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Бизнес план 2022-2026\КОРЕКЦИЯ НА БИЗНЕС ПЛАН 2022-2026\КОРЕКЦИЯ 28112022 С НОВА СПР.13 ОТ КОСТОВА\БИЗНЕС ПЛАН 13032023\ФИНАЛ БП 2022-2026\"/>
    </mc:Choice>
  </mc:AlternateContent>
  <workbookProtection workbookPassword="EB75" lockStructure="1"/>
  <bookViews>
    <workbookView minimized="1" xWindow="0" yWindow="0" windowWidth="21600" windowHeight="9645" firstSheet="9" activeTab="11"/>
  </bookViews>
  <sheets>
    <sheet name="Приложение " sheetId="35" r:id="rId1"/>
    <sheet name="1. Обща информация" sheetId="5" r:id="rId2"/>
    <sheet name="2. Променливи" sheetId="1" r:id="rId3"/>
    <sheet name="3. Показатели за качество" sheetId="2" r:id="rId4"/>
    <sheet name="4. Отчет и прогн. потребление" sheetId="65" r:id="rId5"/>
    <sheet name="4.1. Фактурирани количества" sheetId="74" r:id="rId6"/>
    <sheet name="4.2. Продад. и закупени кол-ва" sheetId="76" r:id="rId7"/>
    <sheet name="5. Персонал" sheetId="60" r:id="rId8"/>
    <sheet name="6. Ел.Енергия" sheetId="39" r:id="rId9"/>
    <sheet name="7. Утайки от ПСОВ" sheetId="58" r:id="rId10"/>
    <sheet name="8. Ремонтна програма" sheetId="46" r:id="rId11"/>
    <sheet name="9.Инвестиционна програма" sheetId="41" r:id="rId12"/>
    <sheet name="10. Финансиране на ИП" sheetId="7" r:id="rId13"/>
    <sheet name="11. Амортиз. план" sheetId="50" r:id="rId14"/>
    <sheet name="11.1.Амортиз.нови активи" sheetId="51" r:id="rId15"/>
    <sheet name="11.2. ДА за периода" sheetId="62" r:id="rId16"/>
    <sheet name="12. Разходи" sheetId="53" r:id="rId17"/>
    <sheet name="12.1. Разходи изменение" sheetId="73" r:id="rId18"/>
    <sheet name="12.2.Нови дейности или обекти" sheetId="77" r:id="rId19"/>
    <sheet name="13. Соц. поносимост" sheetId="16" r:id="rId20"/>
    <sheet name="14. ОПР" sheetId="47" r:id="rId21"/>
    <sheet name="15. ОПП" sheetId="48" r:id="rId22"/>
    <sheet name="16. Необходими приходи" sheetId="17" r:id="rId23"/>
    <sheet name="17. РБА" sheetId="49" r:id="rId24"/>
    <sheet name="18. OK" sheetId="20" r:id="rId25"/>
    <sheet name="19. HB" sheetId="21" r:id="rId26"/>
    <sheet name="20.Цени " sheetId="22" r:id="rId27"/>
    <sheet name="Анализ (ТЧ)" sheetId="78" state="hidden" r:id="rId28"/>
    <sheet name="Анализ (ОЧ)" sheetId="79" state="hidden" r:id="rId29"/>
    <sheet name="Анализ (ИЧ)" sheetId="67" state="hidden" r:id="rId30"/>
    <sheet name="Лист1" sheetId="68" r:id="rId31"/>
    <sheet name="Лист2" sheetId="80" r:id="rId32"/>
    <sheet name="Лист3" sheetId="81" r:id="rId33"/>
  </sheets>
  <externalReferences>
    <externalReference r:id="rId34"/>
    <externalReference r:id="rId35"/>
  </externalReferences>
  <definedNames>
    <definedName name="_xlnm._FilterDatabase" localSheetId="13" hidden="1">'11. Амортиз. план'!$B$1:$B$299</definedName>
    <definedName name="_xlnm._FilterDatabase" localSheetId="15" hidden="1">'11.2. ДА за периода'!$B$1:$CP$192</definedName>
    <definedName name="_xlnm._FilterDatabase" localSheetId="11" hidden="1">'9.Инвестиционна програма'!$B$1:$B$167</definedName>
    <definedName name="Year" localSheetId="5">#REF!</definedName>
    <definedName name="Year" localSheetId="28">#REF!</definedName>
    <definedName name="Year">#REF!</definedName>
    <definedName name="Z_0B349829_3F54_4163_960D_ECAFCC24CFC8_.wvu.PrintArea" localSheetId="19" hidden="1">'13. Соц. поносимост'!$A$1:$J$38</definedName>
    <definedName name="Z_0B349829_3F54_4163_960D_ECAFCC24CFC8_.wvu.PrintArea" localSheetId="2" hidden="1">'2. Променливи'!$B$1:$E$8</definedName>
    <definedName name="Z_0B349829_3F54_4163_960D_ECAFCC24CFC8_.wvu.PrintArea" localSheetId="3" hidden="1">'3. Показатели за качество'!$A$1:$J$7</definedName>
    <definedName name="Z_0B349829_3F54_4163_960D_ECAFCC24CFC8_.wvu.PrintArea" localSheetId="9" hidden="1">'7. Утайки от ПСОВ'!$A$1:$J$54</definedName>
    <definedName name="Z_40B752E9_F1B2_49B8_8062_4CC854FDABFB_.wvu.PrintArea" localSheetId="19" hidden="1">'13. Соц. поносимост'!$A$1:$J$38</definedName>
    <definedName name="Z_40B752E9_F1B2_49B8_8062_4CC854FDABFB_.wvu.PrintArea" localSheetId="2" hidden="1">'2. Променливи'!$B$1:$E$8</definedName>
    <definedName name="Z_40B752E9_F1B2_49B8_8062_4CC854FDABFB_.wvu.PrintArea" localSheetId="3" hidden="1">'3. Показатели за качество'!$A$1:$J$7</definedName>
    <definedName name="Z_40B752E9_F1B2_49B8_8062_4CC854FDABFB_.wvu.PrintArea" localSheetId="9" hidden="1">'7. Утайки от ПСОВ'!$A$1:$J$54</definedName>
    <definedName name="Z_E23DBFBB_7C2B_43B5_8169_5032323B5185_.wvu.PrintArea" localSheetId="19" hidden="1">'13. Соц. поносимост'!$A$1:$J$38</definedName>
    <definedName name="Z_E23DBFBB_7C2B_43B5_8169_5032323B5185_.wvu.PrintArea" localSheetId="2" hidden="1">'2. Променливи'!$B$1:$E$8</definedName>
    <definedName name="Z_E23DBFBB_7C2B_43B5_8169_5032323B5185_.wvu.PrintArea" localSheetId="3" hidden="1">'3. Показатели за качество'!$A$1:$J$7</definedName>
    <definedName name="Z_E23DBFBB_7C2B_43B5_8169_5032323B5185_.wvu.PrintArea" localSheetId="9" hidden="1">'7. Утайки от ПСОВ'!$A$1:$J$54</definedName>
    <definedName name="Амортизации" localSheetId="9" hidden="1">[1]Инвестиции!$43:$43</definedName>
    <definedName name="Амортизации" hidden="1">[1]Инвестиции!$A$43:$IV$43</definedName>
    <definedName name="Амортизации_първа_год" localSheetId="9" hidden="1">[1]Инвестиции!$E$40</definedName>
    <definedName name="Амортизации_първа_год" hidden="1">[1]Инвестиции!$E$40</definedName>
    <definedName name="Брутна_печалба" localSheetId="1">#REF!</definedName>
    <definedName name="Брутна_печалба" localSheetId="12">#REF!</definedName>
    <definedName name="Брутна_печалба" localSheetId="19">#REF!</definedName>
    <definedName name="Брутна_печалба" localSheetId="20">#REF!</definedName>
    <definedName name="Брутна_печалба" localSheetId="21">#REF!</definedName>
    <definedName name="Брутна_печалба" localSheetId="23">#REF!</definedName>
    <definedName name="Брутна_печалба" localSheetId="4">#REF!</definedName>
    <definedName name="Брутна_печалба" localSheetId="8">#REF!</definedName>
    <definedName name="Брутна_печалба" localSheetId="9">#REF!</definedName>
    <definedName name="Брутна_печалба" localSheetId="10">#REF!</definedName>
    <definedName name="Брутна_печалба" localSheetId="11">#REF!</definedName>
    <definedName name="Брутна_печалба" localSheetId="28">#REF!</definedName>
    <definedName name="Брутна_печалба" localSheetId="0">#REF!</definedName>
    <definedName name="Брутна_печалба">#REF!</definedName>
    <definedName name="Вземания_по_ДДС" localSheetId="1">#REF!</definedName>
    <definedName name="Вземания_по_ДДС" localSheetId="12">#REF!</definedName>
    <definedName name="Вземания_по_ДДС" localSheetId="19">#REF!</definedName>
    <definedName name="Вземания_по_ДДС" localSheetId="20">#REF!</definedName>
    <definedName name="Вземания_по_ДДС" localSheetId="21">#REF!</definedName>
    <definedName name="Вземания_по_ДДС" localSheetId="23">#REF!</definedName>
    <definedName name="Вземания_по_ДДС" localSheetId="4">#REF!</definedName>
    <definedName name="Вземания_по_ДДС" localSheetId="8">#REF!</definedName>
    <definedName name="Вземания_по_ДДС" localSheetId="9">#REF!</definedName>
    <definedName name="Вземания_по_ДДС" localSheetId="10">#REF!</definedName>
    <definedName name="Вземания_по_ДДС" localSheetId="11">#REF!</definedName>
    <definedName name="Вземания_по_ДДС" localSheetId="28">#REF!</definedName>
    <definedName name="Вземания_по_ДДС" localSheetId="0">#REF!</definedName>
    <definedName name="Вземания_по_ДДС">#REF!</definedName>
    <definedName name="Вземания_по_получени_през_периода_съучастия" localSheetId="9" hidden="1">'[1]Собствен капитал'!$7:$7</definedName>
    <definedName name="Вземания_по_получени_през_периода_съучастия" hidden="1">'[1]Собствен капитал'!$A$7:$IV$7</definedName>
    <definedName name="Внесен_ДДС" localSheetId="1">#REF!</definedName>
    <definedName name="Внесен_ДДС" localSheetId="12">#REF!</definedName>
    <definedName name="Внесен_ДДС" localSheetId="19">#REF!</definedName>
    <definedName name="Внесен_ДДС" localSheetId="20">#REF!</definedName>
    <definedName name="Внесен_ДДС" localSheetId="21">#REF!</definedName>
    <definedName name="Внесен_ДДС" localSheetId="23">#REF!</definedName>
    <definedName name="Внесен_ДДС" localSheetId="4">#REF!</definedName>
    <definedName name="Внесен_ДДС" localSheetId="8">#REF!</definedName>
    <definedName name="Внесен_ДДС" localSheetId="9">#REF!</definedName>
    <definedName name="Внесен_ДДС" localSheetId="10">#REF!</definedName>
    <definedName name="Внесен_ДДС" localSheetId="11">#REF!</definedName>
    <definedName name="Внесен_ДДС" localSheetId="28">#REF!</definedName>
    <definedName name="Внесен_ДДС" localSheetId="0">#REF!</definedName>
    <definedName name="Внесен_ДДС">#REF!</definedName>
    <definedName name="ВС_1" localSheetId="1">#REF!</definedName>
    <definedName name="ВС_1" localSheetId="12">#REF!</definedName>
    <definedName name="ВС_1" localSheetId="19">#REF!</definedName>
    <definedName name="ВС_1" localSheetId="20">#REF!</definedName>
    <definedName name="ВС_1" localSheetId="21">#REF!</definedName>
    <definedName name="ВС_1" localSheetId="23">#REF!</definedName>
    <definedName name="ВС_1" localSheetId="4">#REF!</definedName>
    <definedName name="ВС_1" localSheetId="8">#REF!</definedName>
    <definedName name="ВС_1" localSheetId="9">#REF!</definedName>
    <definedName name="ВС_1" localSheetId="10">#REF!</definedName>
    <definedName name="ВС_1" localSheetId="11">#REF!</definedName>
    <definedName name="ВС_1" localSheetId="28">#REF!</definedName>
    <definedName name="ВС_1" localSheetId="0">#REF!</definedName>
    <definedName name="ВС_1">#REF!</definedName>
    <definedName name="ВС_2" localSheetId="1">#REF!</definedName>
    <definedName name="ВС_2" localSheetId="12">#REF!</definedName>
    <definedName name="ВС_2" localSheetId="19">#REF!</definedName>
    <definedName name="ВС_2" localSheetId="20">#REF!</definedName>
    <definedName name="ВС_2" localSheetId="21">#REF!</definedName>
    <definedName name="ВС_2" localSheetId="23">#REF!</definedName>
    <definedName name="ВС_2" localSheetId="4">#REF!</definedName>
    <definedName name="ВС_2" localSheetId="8">#REF!</definedName>
    <definedName name="ВС_2" localSheetId="9">#REF!</definedName>
    <definedName name="ВС_2" localSheetId="10">#REF!</definedName>
    <definedName name="ВС_2" localSheetId="11">#REF!</definedName>
    <definedName name="ВС_2" localSheetId="28">#REF!</definedName>
    <definedName name="ВС_2" localSheetId="0">#REF!</definedName>
    <definedName name="ВС_2">#REF!</definedName>
    <definedName name="ВС_3" localSheetId="1">#REF!</definedName>
    <definedName name="ВС_3" localSheetId="12">#REF!</definedName>
    <definedName name="ВС_3" localSheetId="19">#REF!</definedName>
    <definedName name="ВС_3" localSheetId="20">#REF!</definedName>
    <definedName name="ВС_3" localSheetId="21">#REF!</definedName>
    <definedName name="ВС_3" localSheetId="23">#REF!</definedName>
    <definedName name="ВС_3" localSheetId="4">#REF!</definedName>
    <definedName name="ВС_3" localSheetId="8">#REF!</definedName>
    <definedName name="ВС_3" localSheetId="9">#REF!</definedName>
    <definedName name="ВС_3" localSheetId="10">#REF!</definedName>
    <definedName name="ВС_3" localSheetId="11">#REF!</definedName>
    <definedName name="ВС_3" localSheetId="28">#REF!</definedName>
    <definedName name="ВС_3" localSheetId="0">#REF!</definedName>
    <definedName name="ВС_3">#REF!</definedName>
    <definedName name="ВС_4" localSheetId="1">#REF!</definedName>
    <definedName name="ВС_4" localSheetId="12">#REF!</definedName>
    <definedName name="ВС_4" localSheetId="19">#REF!</definedName>
    <definedName name="ВС_4" localSheetId="20">#REF!</definedName>
    <definedName name="ВС_4" localSheetId="21">#REF!</definedName>
    <definedName name="ВС_4" localSheetId="23">#REF!</definedName>
    <definedName name="ВС_4" localSheetId="4">#REF!</definedName>
    <definedName name="ВС_4" localSheetId="8">#REF!</definedName>
    <definedName name="ВС_4" localSheetId="9">#REF!</definedName>
    <definedName name="ВС_4" localSheetId="10">#REF!</definedName>
    <definedName name="ВС_4" localSheetId="11">#REF!</definedName>
    <definedName name="ВС_4" localSheetId="28">#REF!</definedName>
    <definedName name="ВС_4" localSheetId="0">#REF!</definedName>
    <definedName name="ВС_4">#REF!</definedName>
    <definedName name="ВС_5" localSheetId="1">#REF!</definedName>
    <definedName name="ВС_5" localSheetId="12">#REF!</definedName>
    <definedName name="ВС_5" localSheetId="19">#REF!</definedName>
    <definedName name="ВС_5" localSheetId="20">#REF!</definedName>
    <definedName name="ВС_5" localSheetId="21">#REF!</definedName>
    <definedName name="ВС_5" localSheetId="23">#REF!</definedName>
    <definedName name="ВС_5" localSheetId="4">#REF!</definedName>
    <definedName name="ВС_5" localSheetId="8">#REF!</definedName>
    <definedName name="ВС_5" localSheetId="9">#REF!</definedName>
    <definedName name="ВС_5" localSheetId="10">#REF!</definedName>
    <definedName name="ВС_5" localSheetId="11">#REF!</definedName>
    <definedName name="ВС_5" localSheetId="28">#REF!</definedName>
    <definedName name="ВС_5" localSheetId="0">#REF!</definedName>
    <definedName name="ВС_5">#REF!</definedName>
    <definedName name="Всичко_инвестиции" localSheetId="1">#REF!</definedName>
    <definedName name="Всичко_инвестиции" localSheetId="12">'10. Финансиране на ИП'!#REF!</definedName>
    <definedName name="Всичко_инвестиции" localSheetId="19">#REF!</definedName>
    <definedName name="Всичко_инвестиции" localSheetId="20">#REF!</definedName>
    <definedName name="Всичко_инвестиции" localSheetId="21">#REF!</definedName>
    <definedName name="Всичко_инвестиции" localSheetId="23">#REF!</definedName>
    <definedName name="Всичко_инвестиции" localSheetId="4">#REF!</definedName>
    <definedName name="Всичко_инвестиции" localSheetId="8">#REF!</definedName>
    <definedName name="Всичко_инвестиции" localSheetId="9">'[2]6. Инвестиции'!#REF!</definedName>
    <definedName name="Всичко_инвестиции" localSheetId="10">#REF!</definedName>
    <definedName name="Всичко_инвестиции" localSheetId="11">#REF!</definedName>
    <definedName name="Всичко_инвестиции" localSheetId="28">#REF!</definedName>
    <definedName name="Всичко_инвестиции" localSheetId="0">#REF!</definedName>
    <definedName name="Всичко_инвестиции">#REF!</definedName>
    <definedName name="Външни_услуги" localSheetId="1">#REF!</definedName>
    <definedName name="Външни_услуги" localSheetId="12">#REF!</definedName>
    <definedName name="Външни_услуги" localSheetId="19">#REF!</definedName>
    <definedName name="Външни_услуги" localSheetId="20">#REF!</definedName>
    <definedName name="Външни_услуги" localSheetId="21">#REF!</definedName>
    <definedName name="Външни_услуги" localSheetId="23">#REF!</definedName>
    <definedName name="Външни_услуги" localSheetId="4">#REF!</definedName>
    <definedName name="Външни_услуги" localSheetId="8">#REF!</definedName>
    <definedName name="Външни_услуги" localSheetId="9">#REF!</definedName>
    <definedName name="Външни_услуги" localSheetId="10">#REF!</definedName>
    <definedName name="Външни_услуги" localSheetId="11">#REF!</definedName>
    <definedName name="Външни_услуги" localSheetId="28">#REF!</definedName>
    <definedName name="Външни_услуги" localSheetId="0">#REF!</definedName>
    <definedName name="Външни_услуги">#REF!</definedName>
    <definedName name="Данъци" localSheetId="1">#REF!</definedName>
    <definedName name="Данъци" localSheetId="12">#REF!</definedName>
    <definedName name="Данъци" localSheetId="19">#REF!</definedName>
    <definedName name="Данъци" localSheetId="20">#REF!</definedName>
    <definedName name="Данъци" localSheetId="21">#REF!</definedName>
    <definedName name="Данъци" localSheetId="23">#REF!</definedName>
    <definedName name="Данъци" localSheetId="4">#REF!</definedName>
    <definedName name="Данъци" localSheetId="8">#REF!</definedName>
    <definedName name="Данъци" localSheetId="9">#REF!</definedName>
    <definedName name="Данъци" localSheetId="10">#REF!</definedName>
    <definedName name="Данъци" localSheetId="11">#REF!</definedName>
    <definedName name="Данъци" localSheetId="28">#REF!</definedName>
    <definedName name="Данъци" localSheetId="0">#REF!</definedName>
    <definedName name="Данъци">#REF!</definedName>
    <definedName name="Данъчен_период" localSheetId="1">#REF!</definedName>
    <definedName name="Данъчен_период" localSheetId="12">#REF!</definedName>
    <definedName name="Данъчен_период" localSheetId="19">#REF!</definedName>
    <definedName name="Данъчен_период" localSheetId="20">#REF!</definedName>
    <definedName name="Данъчен_период" localSheetId="21">#REF!</definedName>
    <definedName name="Данъчен_период" localSheetId="23">#REF!</definedName>
    <definedName name="Данъчен_период" localSheetId="4">#REF!</definedName>
    <definedName name="Данъчен_период" localSheetId="8">#REF!</definedName>
    <definedName name="Данъчен_период" localSheetId="9">#REF!</definedName>
    <definedName name="Данъчен_период" localSheetId="10">#REF!</definedName>
    <definedName name="Данъчен_период" localSheetId="11">#REF!</definedName>
    <definedName name="Данъчен_период" localSheetId="28">#REF!</definedName>
    <definedName name="Данъчен_период" localSheetId="0">#REF!</definedName>
    <definedName name="Данъчен_период">#REF!</definedName>
    <definedName name="Дни_на_оборот_на_запасите" localSheetId="1">#REF!</definedName>
    <definedName name="Дни_на_оборот_на_запасите" localSheetId="12">#REF!</definedName>
    <definedName name="Дни_на_оборот_на_запасите" localSheetId="19">#REF!</definedName>
    <definedName name="Дни_на_оборот_на_запасите" localSheetId="20">#REF!</definedName>
    <definedName name="Дни_на_оборот_на_запасите" localSheetId="21">#REF!</definedName>
    <definedName name="Дни_на_оборот_на_запасите" localSheetId="23">#REF!</definedName>
    <definedName name="Дни_на_оборот_на_запасите" localSheetId="4">#REF!</definedName>
    <definedName name="Дни_на_оборот_на_запасите" localSheetId="8">#REF!</definedName>
    <definedName name="Дни_на_оборот_на_запасите" localSheetId="9">#REF!</definedName>
    <definedName name="Дни_на_оборот_на_запасите" localSheetId="10">#REF!</definedName>
    <definedName name="Дни_на_оборот_на_запасите" localSheetId="11">#REF!</definedName>
    <definedName name="Дни_на_оборот_на_запасите" localSheetId="28">#REF!</definedName>
    <definedName name="Дни_на_оборот_на_запасите" localSheetId="0">#REF!</definedName>
    <definedName name="Дни_на_оборот_на_запасите">#REF!</definedName>
    <definedName name="Дял_на_продажбите_на_кредит" localSheetId="1">#REF!</definedName>
    <definedName name="Дял_на_продажбите_на_кредит" localSheetId="12">#REF!</definedName>
    <definedName name="Дял_на_продажбите_на_кредит" localSheetId="19">#REF!</definedName>
    <definedName name="Дял_на_продажбите_на_кредит" localSheetId="20">#REF!</definedName>
    <definedName name="Дял_на_продажбите_на_кредит" localSheetId="21">#REF!</definedName>
    <definedName name="Дял_на_продажбите_на_кредит" localSheetId="23">#REF!</definedName>
    <definedName name="Дял_на_продажбите_на_кредит" localSheetId="4">#REF!</definedName>
    <definedName name="Дял_на_продажбите_на_кредит" localSheetId="8">#REF!</definedName>
    <definedName name="Дял_на_продажбите_на_кредит" localSheetId="9">#REF!</definedName>
    <definedName name="Дял_на_продажбите_на_кредит" localSheetId="10">#REF!</definedName>
    <definedName name="Дял_на_продажбите_на_кредит" localSheetId="11">#REF!</definedName>
    <definedName name="Дял_на_продажбите_на_кредит" localSheetId="28">#REF!</definedName>
    <definedName name="Дял_на_продажбите_на_кредит" localSheetId="0">#REF!</definedName>
    <definedName name="Дял_на_продажбите_на_кредит">#REF!</definedName>
    <definedName name="Електроенергия" localSheetId="9" hidden="1">[1]Себестойност!$124:$124</definedName>
    <definedName name="Електроенергия" hidden="1">[1]Себестойност!$A$124:$IV$124</definedName>
    <definedName name="Задължения_по_ДДС" localSheetId="1">#REF!</definedName>
    <definedName name="Задължения_по_ДДС" localSheetId="12">#REF!</definedName>
    <definedName name="Задължения_по_ДДС" localSheetId="19">#REF!</definedName>
    <definedName name="Задължения_по_ДДС" localSheetId="20">#REF!</definedName>
    <definedName name="Задължения_по_ДДС" localSheetId="21">#REF!</definedName>
    <definedName name="Задължения_по_ДДС" localSheetId="23">#REF!</definedName>
    <definedName name="Задължения_по_ДДС" localSheetId="4">#REF!</definedName>
    <definedName name="Задължения_по_ДДС" localSheetId="8">#REF!</definedName>
    <definedName name="Задължения_по_ДДС" localSheetId="9">#REF!</definedName>
    <definedName name="Задължения_по_ДДС" localSheetId="10">#REF!</definedName>
    <definedName name="Задължения_по_ДДС" localSheetId="11">#REF!</definedName>
    <definedName name="Задължения_по_ДДС" localSheetId="28">#REF!</definedName>
    <definedName name="Задължения_по_ДДС" localSheetId="0">#REF!</definedName>
    <definedName name="Задължения_по_ДДС">#REF!</definedName>
    <definedName name="Зона_1" localSheetId="1">#REF!</definedName>
    <definedName name="Зона_1" localSheetId="12">#REF!</definedName>
    <definedName name="Зона_1" localSheetId="19">#REF!</definedName>
    <definedName name="Зона_1" localSheetId="20">#REF!</definedName>
    <definedName name="Зона_1" localSheetId="21">#REF!</definedName>
    <definedName name="Зона_1" localSheetId="23">#REF!</definedName>
    <definedName name="Зона_1" localSheetId="4">#REF!</definedName>
    <definedName name="Зона_1" localSheetId="8">#REF!</definedName>
    <definedName name="Зона_1" localSheetId="9">#REF!</definedName>
    <definedName name="Зона_1" localSheetId="10">#REF!</definedName>
    <definedName name="Зона_1" localSheetId="11">#REF!</definedName>
    <definedName name="Зона_1" localSheetId="28">#REF!</definedName>
    <definedName name="Зона_1" localSheetId="0">#REF!</definedName>
    <definedName name="Зона_1">#REF!</definedName>
    <definedName name="Зона_2" localSheetId="1">#REF!</definedName>
    <definedName name="Зона_2" localSheetId="12">#REF!</definedName>
    <definedName name="Зона_2" localSheetId="19">#REF!</definedName>
    <definedName name="Зона_2" localSheetId="20">#REF!</definedName>
    <definedName name="Зона_2" localSheetId="21">#REF!</definedName>
    <definedName name="Зона_2" localSheetId="23">#REF!</definedName>
    <definedName name="Зона_2" localSheetId="4">#REF!</definedName>
    <definedName name="Зона_2" localSheetId="8">#REF!</definedName>
    <definedName name="Зона_2" localSheetId="9">#REF!</definedName>
    <definedName name="Зона_2" localSheetId="10">#REF!</definedName>
    <definedName name="Зона_2" localSheetId="11">#REF!</definedName>
    <definedName name="Зона_2" localSheetId="28">#REF!</definedName>
    <definedName name="Зона_2" localSheetId="0">#REF!</definedName>
    <definedName name="Зона_2">#REF!</definedName>
    <definedName name="Зона_3" localSheetId="1">#REF!</definedName>
    <definedName name="Зона_3" localSheetId="12">#REF!</definedName>
    <definedName name="Зона_3" localSheetId="19">#REF!</definedName>
    <definedName name="Зона_3" localSheetId="20">#REF!</definedName>
    <definedName name="Зона_3" localSheetId="21">#REF!</definedName>
    <definedName name="Зона_3" localSheetId="23">#REF!</definedName>
    <definedName name="Зона_3" localSheetId="4">#REF!</definedName>
    <definedName name="Зона_3" localSheetId="8">#REF!</definedName>
    <definedName name="Зона_3" localSheetId="9">#REF!</definedName>
    <definedName name="Зона_3" localSheetId="10">#REF!</definedName>
    <definedName name="Зона_3" localSheetId="11">#REF!</definedName>
    <definedName name="Зона_3" localSheetId="28">#REF!</definedName>
    <definedName name="Зона_3" localSheetId="0">#REF!</definedName>
    <definedName name="Зона_3">#REF!</definedName>
    <definedName name="Зона_4" localSheetId="1">#REF!</definedName>
    <definedName name="Зона_4" localSheetId="12">#REF!</definedName>
    <definedName name="Зона_4" localSheetId="19">#REF!</definedName>
    <definedName name="Зона_4" localSheetId="20">#REF!</definedName>
    <definedName name="Зона_4" localSheetId="21">#REF!</definedName>
    <definedName name="Зона_4" localSheetId="23">#REF!</definedName>
    <definedName name="Зона_4" localSheetId="4">#REF!</definedName>
    <definedName name="Зона_4" localSheetId="8">#REF!</definedName>
    <definedName name="Зона_4" localSheetId="9">#REF!</definedName>
    <definedName name="Зона_4" localSheetId="10">#REF!</definedName>
    <definedName name="Зона_4" localSheetId="11">#REF!</definedName>
    <definedName name="Зона_4" localSheetId="28">#REF!</definedName>
    <definedName name="Зона_4" localSheetId="0">#REF!</definedName>
    <definedName name="Зона_4">#REF!</definedName>
    <definedName name="Зона_5" localSheetId="1">#REF!</definedName>
    <definedName name="Зона_5" localSheetId="12">#REF!</definedName>
    <definedName name="Зона_5" localSheetId="19">#REF!</definedName>
    <definedName name="Зона_5" localSheetId="20">#REF!</definedName>
    <definedName name="Зона_5" localSheetId="21">#REF!</definedName>
    <definedName name="Зона_5" localSheetId="23">#REF!</definedName>
    <definedName name="Зона_5" localSheetId="4">#REF!</definedName>
    <definedName name="Зона_5" localSheetId="8">#REF!</definedName>
    <definedName name="Зона_5" localSheetId="9">#REF!</definedName>
    <definedName name="Зона_5" localSheetId="10">#REF!</definedName>
    <definedName name="Зона_5" localSheetId="11">#REF!</definedName>
    <definedName name="Зона_5" localSheetId="28">#REF!</definedName>
    <definedName name="Зона_5" localSheetId="0">#REF!</definedName>
    <definedName name="Зона_5">#REF!</definedName>
    <definedName name="Лихви" localSheetId="1">#REF!</definedName>
    <definedName name="Лихви" localSheetId="12">#REF!</definedName>
    <definedName name="Лихви" localSheetId="19">#REF!</definedName>
    <definedName name="Лихви" localSheetId="20">#REF!</definedName>
    <definedName name="Лихви" localSheetId="21">#REF!</definedName>
    <definedName name="Лихви" localSheetId="23">#REF!</definedName>
    <definedName name="Лихви" localSheetId="4">#REF!</definedName>
    <definedName name="Лихви" localSheetId="8">#REF!</definedName>
    <definedName name="Лихви" localSheetId="9">#REF!</definedName>
    <definedName name="Лихви" localSheetId="10">#REF!</definedName>
    <definedName name="Лихви" localSheetId="11">#REF!</definedName>
    <definedName name="Лихви" localSheetId="28">#REF!</definedName>
    <definedName name="Лихви" localSheetId="0">#REF!</definedName>
    <definedName name="Лихви">#REF!</definedName>
    <definedName name="Материали" localSheetId="1">#REF!</definedName>
    <definedName name="Материали" localSheetId="12">#REF!</definedName>
    <definedName name="Материали" localSheetId="19">#REF!</definedName>
    <definedName name="Материали" localSheetId="20">#REF!</definedName>
    <definedName name="Материали" localSheetId="21">#REF!</definedName>
    <definedName name="Материали" localSheetId="23">#REF!</definedName>
    <definedName name="Материали" localSheetId="4">#REF!</definedName>
    <definedName name="Материали" localSheetId="8">#REF!</definedName>
    <definedName name="Материали" localSheetId="9">#REF!</definedName>
    <definedName name="Материали" localSheetId="10">#REF!</definedName>
    <definedName name="Материали" localSheetId="11">#REF!</definedName>
    <definedName name="Материали" localSheetId="28">#REF!</definedName>
    <definedName name="Материали" localSheetId="0">#REF!</definedName>
    <definedName name="Материали">#REF!</definedName>
    <definedName name="Намаление_на_собствения_капитал" localSheetId="9" hidden="1">'[1]Собствен капитал'!$6:$6</definedName>
    <definedName name="Намаление_на_собствения_капитал" hidden="1">'[1]Собствен капитал'!$A$6:$IV$6</definedName>
    <definedName name="Намаление_на_финансиранията" localSheetId="1">#REF!</definedName>
    <definedName name="Намаление_на_финансиранията" localSheetId="12">#REF!</definedName>
    <definedName name="Намаление_на_финансиранията" localSheetId="19">#REF!</definedName>
    <definedName name="Намаление_на_финансиранията" localSheetId="20">#REF!</definedName>
    <definedName name="Намаление_на_финансиранията" localSheetId="21">#REF!</definedName>
    <definedName name="Намаление_на_финансиранията" localSheetId="23">#REF!</definedName>
    <definedName name="Намаление_на_финансиранията" localSheetId="4">#REF!</definedName>
    <definedName name="Намаление_на_финансиранията" localSheetId="8">#REF!</definedName>
    <definedName name="Намаление_на_финансиранията" localSheetId="9">#REF!</definedName>
    <definedName name="Намаление_на_финансиранията" localSheetId="10">#REF!</definedName>
    <definedName name="Намаление_на_финансиранията" localSheetId="11">#REF!</definedName>
    <definedName name="Намаление_на_финансиранията" localSheetId="28">#REF!</definedName>
    <definedName name="Намаление_на_финансиранията" localSheetId="0">#REF!</definedName>
    <definedName name="Намаление_на_финансиранията">#REF!</definedName>
    <definedName name="Начална_година" localSheetId="1">#REF!</definedName>
    <definedName name="Начална_година" localSheetId="12">#REF!</definedName>
    <definedName name="Начална_година" localSheetId="19">#REF!</definedName>
    <definedName name="Начална_година" localSheetId="20">#REF!</definedName>
    <definedName name="Начална_година" localSheetId="21">#REF!</definedName>
    <definedName name="Начална_година" localSheetId="23">#REF!</definedName>
    <definedName name="Начална_година" localSheetId="4">#REF!</definedName>
    <definedName name="Начална_година" localSheetId="8">#REF!</definedName>
    <definedName name="Начална_година" localSheetId="9">#REF!</definedName>
    <definedName name="Начална_година" localSheetId="10">#REF!</definedName>
    <definedName name="Начална_година" localSheetId="11">#REF!</definedName>
    <definedName name="Начална_година" localSheetId="28">#REF!</definedName>
    <definedName name="Начална_година" localSheetId="0">#REF!</definedName>
    <definedName name="Начална_година">#REF!</definedName>
    <definedName name="_xlnm.Print_Area" localSheetId="1">'1. Обща информация'!$A$1:$D$51</definedName>
    <definedName name="_xlnm.Print_Area" localSheetId="12">'10. Финансиране на ИП'!$A$1:$AR$87</definedName>
    <definedName name="_xlnm.Print_Area" localSheetId="13">'11. Амортиз. план'!$A$1:$AO$294</definedName>
    <definedName name="_xlnm.Print_Area" localSheetId="14">'11.1.Амортиз.нови активи'!$A$1:$AT$122</definedName>
    <definedName name="_xlnm.Print_Area" localSheetId="15">'11.2. ДА за периода'!$A$1:$AT$191</definedName>
    <definedName name="_xlnm.Print_Area" localSheetId="16">'12. Разходи'!$A$1:$BH$95,'12. Разходи'!$A$96:$Z$122</definedName>
    <definedName name="_xlnm.Print_Area" localSheetId="17">'12.1. Разходи изменение'!$A$1:$BE$95,'12.1. Разходи изменение'!$A$97:$AT$108</definedName>
    <definedName name="_xlnm.Print_Area" localSheetId="18">'12.2.Нови дейности или обекти'!$A$1:$AF$156</definedName>
    <definedName name="_xlnm.Print_Area" localSheetId="19">'13. Соц. поносимост'!$A$1:$I$31</definedName>
    <definedName name="_xlnm.Print_Area" localSheetId="20">'14. ОПР'!$A$1:$G$55</definedName>
    <definedName name="_xlnm.Print_Area" localSheetId="21">'15. ОПП'!$A$1:$G$59</definedName>
    <definedName name="_xlnm.Print_Area" localSheetId="22">'16. Необходими приходи'!$A$1:$H$73</definedName>
    <definedName name="_xlnm.Print_Area" localSheetId="23">'17. РБА'!$A$1:$G$86</definedName>
    <definedName name="_xlnm.Print_Area" localSheetId="24">'18. OK'!$A$1:$H$48</definedName>
    <definedName name="_xlnm.Print_Area" localSheetId="25">'19. HB'!$A$1:$H$40</definedName>
    <definedName name="_xlnm.Print_Area" localSheetId="2">'2. Променливи'!$A$1:$R$144</definedName>
    <definedName name="_xlnm.Print_Area" localSheetId="3">'3. Показатели за качество'!$A$1:$V$59</definedName>
    <definedName name="_xlnm.Print_Area" localSheetId="4">'4. Отчет и прогн. потребление'!$A$1:$I$125</definedName>
    <definedName name="_xlnm.Print_Area" localSheetId="5">'4.1. Фактурирани количества'!$A$1:$M$142</definedName>
    <definedName name="_xlnm.Print_Area" localSheetId="6">'4.2. Продад. и закупени кол-ва'!$A$1:$I$118</definedName>
    <definedName name="_xlnm.Print_Area" localSheetId="7">'5. Персонал'!$A$1:$AU$79</definedName>
    <definedName name="_xlnm.Print_Area" localSheetId="8">'6. Ел.Енергия'!$A$1:$U$104</definedName>
    <definedName name="_xlnm.Print_Area" localSheetId="9">'7. Утайки от ПСОВ'!$A$1:$J$55</definedName>
    <definedName name="_xlnm.Print_Area" localSheetId="10">'8. Ремонтна програма'!$A$1:$U$169</definedName>
    <definedName name="_xlnm.Print_Area" localSheetId="11">'9.Инвестиционна програма'!$A$1:$AS$168</definedName>
    <definedName name="Общо_разходи_за_заплати" localSheetId="1">#REF!</definedName>
    <definedName name="Общо_разходи_за_заплати" localSheetId="12">#REF!</definedName>
    <definedName name="Общо_разходи_за_заплати" localSheetId="19">#REF!</definedName>
    <definedName name="Общо_разходи_за_заплати" localSheetId="20">#REF!</definedName>
    <definedName name="Общо_разходи_за_заплати" localSheetId="21">#REF!</definedName>
    <definedName name="Общо_разходи_за_заплати" localSheetId="23">#REF!</definedName>
    <definedName name="Общо_разходи_за_заплати" localSheetId="4">#REF!</definedName>
    <definedName name="Общо_разходи_за_заплати" localSheetId="8">#REF!</definedName>
    <definedName name="Общо_разходи_за_заплати" localSheetId="9">#REF!</definedName>
    <definedName name="Общо_разходи_за_заплати" localSheetId="10">#REF!</definedName>
    <definedName name="Общо_разходи_за_заплати" localSheetId="11">#REF!</definedName>
    <definedName name="Общо_разходи_за_заплати" localSheetId="28">#REF!</definedName>
    <definedName name="Общо_разходи_за_заплати" localSheetId="0">#REF!</definedName>
    <definedName name="Общо_разходи_за_заплати">#REF!</definedName>
    <definedName name="Отчетна_стойност_на_продадените_стоки" localSheetId="9" hidden="1">[1]Себестойност!$125:$125</definedName>
    <definedName name="Отчетна_стойност_на_продадените_стоки" hidden="1">[1]Себестойност!$A$125:$IV$125</definedName>
    <definedName name="Печалба_загуба" localSheetId="1">#REF!</definedName>
    <definedName name="Печалба_загуба" localSheetId="12">#REF!</definedName>
    <definedName name="Печалба_загуба" localSheetId="19">#REF!</definedName>
    <definedName name="Печалба_загуба" localSheetId="20">#REF!</definedName>
    <definedName name="Печалба_загуба" localSheetId="21">#REF!</definedName>
    <definedName name="Печалба_загуба" localSheetId="23">#REF!</definedName>
    <definedName name="Печалба_загуба" localSheetId="4">#REF!</definedName>
    <definedName name="Печалба_загуба" localSheetId="8">#REF!</definedName>
    <definedName name="Печалба_загуба" localSheetId="9">#REF!</definedName>
    <definedName name="Печалба_загуба" localSheetId="10">#REF!</definedName>
    <definedName name="Печалба_загуба" localSheetId="11">#REF!</definedName>
    <definedName name="Печалба_загуба" localSheetId="28">#REF!</definedName>
    <definedName name="Печалба_загуба" localSheetId="0">#REF!</definedName>
    <definedName name="Печалба_загуба">#REF!</definedName>
    <definedName name="_xlnm.Print_Titles" localSheetId="12">'10. Финансиране на ИП'!$A:$B</definedName>
    <definedName name="_xlnm.Print_Titles" localSheetId="13">'11. Амортиз. план'!$A:$D,'11. Амортиз. план'!$7:$8</definedName>
    <definedName name="_xlnm.Print_Titles" localSheetId="14">'11.1.Амортиз.нови активи'!$A:$D,'11.1.Амортиз.нови активи'!$9:$10</definedName>
    <definedName name="_xlnm.Print_Titles" localSheetId="15">'11.2. ДА за периода'!$A:$D,'11.2. ДА за периода'!$8:$9</definedName>
    <definedName name="_xlnm.Print_Titles" localSheetId="16">'12. Разходи'!$A:$B,'12. Разходи'!$8:$10</definedName>
    <definedName name="_xlnm.Print_Titles" localSheetId="17">'12.1. Разходи изменение'!$A:$B,'12.1. Разходи изменение'!$7:$10</definedName>
    <definedName name="_xlnm.Print_Titles" localSheetId="18">'12.2.Нови дейности или обекти'!$A:$B</definedName>
    <definedName name="_xlnm.Print_Titles" localSheetId="2">'2. Променливи'!$7:$8</definedName>
    <definedName name="_xlnm.Print_Titles" localSheetId="4">'4. Отчет и прогн. потребление'!$7:$7</definedName>
    <definedName name="_xlnm.Print_Titles" localSheetId="5">'4.1. Фактурирани количества'!$7:$8</definedName>
    <definedName name="_xlnm.Print_Titles" localSheetId="6">'4.2. Продад. и закупени кол-ва'!$7:$7</definedName>
    <definedName name="_xlnm.Print_Titles" localSheetId="7">'5. Персонал'!$A:$B,'5. Персонал'!$7:$9</definedName>
    <definedName name="_xlnm.Print_Titles" localSheetId="10">'8. Ремонтна програма'!$7:$8</definedName>
    <definedName name="_xlnm.Print_Titles" localSheetId="11">'9.Инвестиционна програма'!$A:$E,'9.Инвестиционна програма'!$8:$9</definedName>
    <definedName name="Платен_ДДС" localSheetId="1">#REF!</definedName>
    <definedName name="Платен_ДДС" localSheetId="12">#REF!</definedName>
    <definedName name="Платен_ДДС" localSheetId="19">#REF!</definedName>
    <definedName name="Платен_ДДС" localSheetId="20">#REF!</definedName>
    <definedName name="Платен_ДДС" localSheetId="21">#REF!</definedName>
    <definedName name="Платен_ДДС" localSheetId="23">#REF!</definedName>
    <definedName name="Платен_ДДС" localSheetId="4">#REF!</definedName>
    <definedName name="Платен_ДДС" localSheetId="8">#REF!</definedName>
    <definedName name="Платен_ДДС" localSheetId="9">#REF!</definedName>
    <definedName name="Платен_ДДС" localSheetId="10">#REF!</definedName>
    <definedName name="Платен_ДДС" localSheetId="11">#REF!</definedName>
    <definedName name="Платен_ДДС" localSheetId="28">#REF!</definedName>
    <definedName name="Платен_ДДС" localSheetId="0">#REF!</definedName>
    <definedName name="Платен_ДДС">#REF!</definedName>
    <definedName name="Погасяване_главници_ДЗ" localSheetId="1">#REF!</definedName>
    <definedName name="Погасяване_главници_ДЗ" localSheetId="12">#REF!</definedName>
    <definedName name="Погасяване_главници_ДЗ" localSheetId="19">#REF!</definedName>
    <definedName name="Погасяване_главници_ДЗ" localSheetId="20">#REF!</definedName>
    <definedName name="Погасяване_главници_ДЗ" localSheetId="21">#REF!</definedName>
    <definedName name="Погасяване_главници_ДЗ" localSheetId="23">#REF!</definedName>
    <definedName name="Погасяване_главници_ДЗ" localSheetId="4">#REF!</definedName>
    <definedName name="Погасяване_главници_ДЗ" localSheetId="8">#REF!</definedName>
    <definedName name="Погасяване_главници_ДЗ" localSheetId="9">#REF!</definedName>
    <definedName name="Погасяване_главници_ДЗ" localSheetId="10">#REF!</definedName>
    <definedName name="Погасяване_главници_ДЗ" localSheetId="11">#REF!</definedName>
    <definedName name="Погасяване_главници_ДЗ" localSheetId="28">#REF!</definedName>
    <definedName name="Погасяване_главници_ДЗ" localSheetId="0">#REF!</definedName>
    <definedName name="Погасяване_главници_ДЗ">#REF!</definedName>
    <definedName name="Погасяване_главници_КЗ" localSheetId="1">#REF!</definedName>
    <definedName name="Погасяване_главници_КЗ" localSheetId="12">#REF!</definedName>
    <definedName name="Погасяване_главници_КЗ" localSheetId="19">#REF!</definedName>
    <definedName name="Погасяване_главници_КЗ" localSheetId="20">#REF!</definedName>
    <definedName name="Погасяване_главници_КЗ" localSheetId="21">#REF!</definedName>
    <definedName name="Погасяване_главници_КЗ" localSheetId="23">#REF!</definedName>
    <definedName name="Погасяване_главници_КЗ" localSheetId="4">#REF!</definedName>
    <definedName name="Погасяване_главници_КЗ" localSheetId="8">#REF!</definedName>
    <definedName name="Погасяване_главници_КЗ" localSheetId="9">#REF!</definedName>
    <definedName name="Погасяване_главници_КЗ" localSheetId="10">#REF!</definedName>
    <definedName name="Погасяване_главници_КЗ" localSheetId="11">#REF!</definedName>
    <definedName name="Погасяване_главници_КЗ" localSheetId="28">#REF!</definedName>
    <definedName name="Погасяване_главници_КЗ" localSheetId="0">#REF!</definedName>
    <definedName name="Погасяване_главници_КЗ">#REF!</definedName>
    <definedName name="Погасяване_главници_ОЗ" localSheetId="1">#REF!</definedName>
    <definedName name="Погасяване_главници_ОЗ" localSheetId="12">#REF!</definedName>
    <definedName name="Погасяване_главници_ОЗ" localSheetId="19">#REF!</definedName>
    <definedName name="Погасяване_главници_ОЗ" localSheetId="20">#REF!</definedName>
    <definedName name="Погасяване_главници_ОЗ" localSheetId="21">#REF!</definedName>
    <definedName name="Погасяване_главници_ОЗ" localSheetId="23">#REF!</definedName>
    <definedName name="Погасяване_главници_ОЗ" localSheetId="4">#REF!</definedName>
    <definedName name="Погасяване_главници_ОЗ" localSheetId="8">#REF!</definedName>
    <definedName name="Погасяване_главници_ОЗ" localSheetId="9">#REF!</definedName>
    <definedName name="Погасяване_главници_ОЗ" localSheetId="10">#REF!</definedName>
    <definedName name="Погасяване_главници_ОЗ" localSheetId="11">#REF!</definedName>
    <definedName name="Погасяване_главници_ОЗ" localSheetId="28">#REF!</definedName>
    <definedName name="Погасяване_главници_ОЗ" localSheetId="0">#REF!</definedName>
    <definedName name="Погасяване_главници_ОЗ">#REF!</definedName>
    <definedName name="Получен_ДДС_от_бюджета_през_периода" localSheetId="1">#REF!</definedName>
    <definedName name="Получен_ДДС_от_бюджета_през_периода" localSheetId="12">#REF!</definedName>
    <definedName name="Получен_ДДС_от_бюджета_през_периода" localSheetId="19">#REF!</definedName>
    <definedName name="Получен_ДДС_от_бюджета_през_периода" localSheetId="20">#REF!</definedName>
    <definedName name="Получен_ДДС_от_бюджета_през_периода" localSheetId="21">#REF!</definedName>
    <definedName name="Получен_ДДС_от_бюджета_през_периода" localSheetId="23">#REF!</definedName>
    <definedName name="Получен_ДДС_от_бюджета_през_периода" localSheetId="4">#REF!</definedName>
    <definedName name="Получен_ДДС_от_бюджета_през_периода" localSheetId="8">#REF!</definedName>
    <definedName name="Получен_ДДС_от_бюджета_през_периода" localSheetId="9">#REF!</definedName>
    <definedName name="Получен_ДДС_от_бюджета_през_периода" localSheetId="10">#REF!</definedName>
    <definedName name="Получен_ДДС_от_бюджета_през_периода" localSheetId="11">#REF!</definedName>
    <definedName name="Получен_ДДС_от_бюджета_през_периода" localSheetId="28">#REF!</definedName>
    <definedName name="Получен_ДДС_от_бюджета_през_периода" localSheetId="0">#REF!</definedName>
    <definedName name="Получен_ДДС_от_бюджета_през_периода">#REF!</definedName>
    <definedName name="Получени_вземания_по_ЗДВ" localSheetId="9" hidden="1">'[1]Собствен капитал'!$5:$5</definedName>
    <definedName name="Получени_вземания_по_ЗДВ" hidden="1">'[1]Собствен капитал'!$A$5:$IV$5</definedName>
    <definedName name="Получени_ДЗ" localSheetId="1">#REF!</definedName>
    <definedName name="Получени_ДЗ" localSheetId="12">#REF!</definedName>
    <definedName name="Получени_ДЗ" localSheetId="19">#REF!</definedName>
    <definedName name="Получени_ДЗ" localSheetId="20">#REF!</definedName>
    <definedName name="Получени_ДЗ" localSheetId="21">#REF!</definedName>
    <definedName name="Получени_ДЗ" localSheetId="23">#REF!</definedName>
    <definedName name="Получени_ДЗ" localSheetId="4">#REF!</definedName>
    <definedName name="Получени_ДЗ" localSheetId="8">#REF!</definedName>
    <definedName name="Получени_ДЗ" localSheetId="9">#REF!</definedName>
    <definedName name="Получени_ДЗ" localSheetId="10">#REF!</definedName>
    <definedName name="Получени_ДЗ" localSheetId="11">#REF!</definedName>
    <definedName name="Получени_ДЗ" localSheetId="28">#REF!</definedName>
    <definedName name="Получени_ДЗ" localSheetId="0">#REF!</definedName>
    <definedName name="Получени_ДЗ">#REF!</definedName>
    <definedName name="Получени_КЗ" localSheetId="1">#REF!</definedName>
    <definedName name="Получени_КЗ" localSheetId="12">#REF!</definedName>
    <definedName name="Получени_КЗ" localSheetId="19">#REF!</definedName>
    <definedName name="Получени_КЗ" localSheetId="20">#REF!</definedName>
    <definedName name="Получени_КЗ" localSheetId="21">#REF!</definedName>
    <definedName name="Получени_КЗ" localSheetId="23">#REF!</definedName>
    <definedName name="Получени_КЗ" localSheetId="4">#REF!</definedName>
    <definedName name="Получени_КЗ" localSheetId="8">#REF!</definedName>
    <definedName name="Получени_КЗ" localSheetId="9">#REF!</definedName>
    <definedName name="Получени_КЗ" localSheetId="10">#REF!</definedName>
    <definedName name="Получени_КЗ" localSheetId="11">#REF!</definedName>
    <definedName name="Получени_КЗ" localSheetId="28">#REF!</definedName>
    <definedName name="Получени_КЗ" localSheetId="0">#REF!</definedName>
    <definedName name="Получени_КЗ">#REF!</definedName>
    <definedName name="Получени_ОЗ" localSheetId="1">#REF!</definedName>
    <definedName name="Получени_ОЗ" localSheetId="12">#REF!</definedName>
    <definedName name="Получени_ОЗ" localSheetId="19">#REF!</definedName>
    <definedName name="Получени_ОЗ" localSheetId="20">#REF!</definedName>
    <definedName name="Получени_ОЗ" localSheetId="21">#REF!</definedName>
    <definedName name="Получени_ОЗ" localSheetId="23">#REF!</definedName>
    <definedName name="Получени_ОЗ" localSheetId="4">#REF!</definedName>
    <definedName name="Получени_ОЗ" localSheetId="8">#REF!</definedName>
    <definedName name="Получени_ОЗ" localSheetId="9">#REF!</definedName>
    <definedName name="Получени_ОЗ" localSheetId="10">#REF!</definedName>
    <definedName name="Получени_ОЗ" localSheetId="11">#REF!</definedName>
    <definedName name="Получени_ОЗ" localSheetId="28">#REF!</definedName>
    <definedName name="Получени_ОЗ" localSheetId="0">#REF!</definedName>
    <definedName name="Получени_ОЗ">#REF!</definedName>
    <definedName name="Получени_съучастия" localSheetId="9" hidden="1">'[1]Собствен капитал'!$4:$4</definedName>
    <definedName name="Получени_съучастия" hidden="1">'[1]Собствен капитал'!$A$4:$IV$4</definedName>
    <definedName name="Получени_финансирания" localSheetId="1">#REF!</definedName>
    <definedName name="Получени_финансирания" localSheetId="12">#REF!</definedName>
    <definedName name="Получени_финансирания" localSheetId="19">#REF!</definedName>
    <definedName name="Получени_финансирания" localSheetId="20">#REF!</definedName>
    <definedName name="Получени_финансирания" localSheetId="21">#REF!</definedName>
    <definedName name="Получени_финансирания" localSheetId="23">#REF!</definedName>
    <definedName name="Получени_финансирания" localSheetId="4">#REF!</definedName>
    <definedName name="Получени_финансирания" localSheetId="8">#REF!</definedName>
    <definedName name="Получени_финансирания" localSheetId="9">#REF!</definedName>
    <definedName name="Получени_финансирания" localSheetId="10">#REF!</definedName>
    <definedName name="Получени_финансирания" localSheetId="11">#REF!</definedName>
    <definedName name="Получени_финансирания" localSheetId="28">#REF!</definedName>
    <definedName name="Получени_финансирания" localSheetId="0">#REF!</definedName>
    <definedName name="Получени_финансирания">#REF!</definedName>
    <definedName name="Продажби" localSheetId="1">#REF!</definedName>
    <definedName name="Продажби" localSheetId="12">#REF!</definedName>
    <definedName name="Продажби" localSheetId="19">#REF!</definedName>
    <definedName name="Продажби" localSheetId="20">#REF!</definedName>
    <definedName name="Продажби" localSheetId="21">#REF!</definedName>
    <definedName name="Продажби" localSheetId="23">#REF!</definedName>
    <definedName name="Продажби" localSheetId="4">#REF!</definedName>
    <definedName name="Продажби" localSheetId="8">#REF!</definedName>
    <definedName name="Продажби" localSheetId="9">#REF!</definedName>
    <definedName name="Продажби" localSheetId="10">#REF!</definedName>
    <definedName name="Продажби" localSheetId="11">#REF!</definedName>
    <definedName name="Продажби" localSheetId="28">#REF!</definedName>
    <definedName name="Продажби" localSheetId="0">#REF!</definedName>
    <definedName name="Продажби">#REF!</definedName>
    <definedName name="Разходи_за_външни_услуги" localSheetId="1">#REF!</definedName>
    <definedName name="Разходи_за_външни_услуги" localSheetId="12">#REF!</definedName>
    <definedName name="Разходи_за_външни_услуги" localSheetId="19">#REF!</definedName>
    <definedName name="Разходи_за_външни_услуги" localSheetId="20">#REF!</definedName>
    <definedName name="Разходи_за_външни_услуги" localSheetId="21">#REF!</definedName>
    <definedName name="Разходи_за_външни_услуги" localSheetId="23">#REF!</definedName>
    <definedName name="Разходи_за_външни_услуги" localSheetId="4">#REF!</definedName>
    <definedName name="Разходи_за_външни_услуги" localSheetId="8">#REF!</definedName>
    <definedName name="Разходи_за_външни_услуги" localSheetId="9">#REF!</definedName>
    <definedName name="Разходи_за_външни_услуги" localSheetId="10">#REF!</definedName>
    <definedName name="Разходи_за_външни_услуги" localSheetId="11">#REF!</definedName>
    <definedName name="Разходи_за_външни_услуги" localSheetId="28">#REF!</definedName>
    <definedName name="Разходи_за_външни_услуги" localSheetId="0">#REF!</definedName>
    <definedName name="Разходи_за_външни_услуги">#REF!</definedName>
    <definedName name="Разходи_за_материали" localSheetId="1">#REF!</definedName>
    <definedName name="Разходи_за_материали" localSheetId="12">#REF!</definedName>
    <definedName name="Разходи_за_материали" localSheetId="19">#REF!</definedName>
    <definedName name="Разходи_за_материали" localSheetId="20">#REF!</definedName>
    <definedName name="Разходи_за_материали" localSheetId="21">#REF!</definedName>
    <definedName name="Разходи_за_материали" localSheetId="23">#REF!</definedName>
    <definedName name="Разходи_за_материали" localSheetId="4">#REF!</definedName>
    <definedName name="Разходи_за_материали" localSheetId="8">#REF!</definedName>
    <definedName name="Разходи_за_материали" localSheetId="9">#REF!</definedName>
    <definedName name="Разходи_за_материали" localSheetId="10">#REF!</definedName>
    <definedName name="Разходи_за_материали" localSheetId="11">#REF!</definedName>
    <definedName name="Разходи_за_материали" localSheetId="28">#REF!</definedName>
    <definedName name="Разходи_за_материали" localSheetId="0">#REF!</definedName>
    <definedName name="Разходи_за_материали">#REF!</definedName>
    <definedName name="Разходи_за_осигуровки" localSheetId="1">#REF!</definedName>
    <definedName name="Разходи_за_осигуровки" localSheetId="12">#REF!</definedName>
    <definedName name="Разходи_за_осигуровки" localSheetId="19">#REF!</definedName>
    <definedName name="Разходи_за_осигуровки" localSheetId="20">#REF!</definedName>
    <definedName name="Разходи_за_осигуровки" localSheetId="21">#REF!</definedName>
    <definedName name="Разходи_за_осигуровки" localSheetId="23">#REF!</definedName>
    <definedName name="Разходи_за_осигуровки" localSheetId="4">#REF!</definedName>
    <definedName name="Разходи_за_осигуровки" localSheetId="8">#REF!</definedName>
    <definedName name="Разходи_за_осигуровки" localSheetId="9">#REF!</definedName>
    <definedName name="Разходи_за_осигуровки" localSheetId="10">#REF!</definedName>
    <definedName name="Разходи_за_осигуровки" localSheetId="11">#REF!</definedName>
    <definedName name="Разходи_за_осигуровки" localSheetId="28">#REF!</definedName>
    <definedName name="Разходи_за_осигуровки" localSheetId="0">#REF!</definedName>
    <definedName name="Разходи_за_осигуровки">#REF!</definedName>
    <definedName name="Срок_на_плащане" localSheetId="1">#REF!</definedName>
    <definedName name="Срок_на_плащане" localSheetId="12">#REF!</definedName>
    <definedName name="Срок_на_плащане" localSheetId="19">#REF!</definedName>
    <definedName name="Срок_на_плащане" localSheetId="20">#REF!</definedName>
    <definedName name="Срок_на_плащане" localSheetId="21">#REF!</definedName>
    <definedName name="Срок_на_плащане" localSheetId="23">#REF!</definedName>
    <definedName name="Срок_на_плащане" localSheetId="4">#REF!</definedName>
    <definedName name="Срок_на_плащане" localSheetId="8">#REF!</definedName>
    <definedName name="Срок_на_плащане" localSheetId="9">#REF!</definedName>
    <definedName name="Срок_на_плащане" localSheetId="10">#REF!</definedName>
    <definedName name="Срок_на_плащане" localSheetId="11">#REF!</definedName>
    <definedName name="Срок_на_плащане" localSheetId="28">#REF!</definedName>
    <definedName name="Срок_на_плащане" localSheetId="0">#REF!</definedName>
    <definedName name="Срок_на_плащане">#REF!</definedName>
    <definedName name="Срок_на_събиране_на_вземанията" localSheetId="1">#REF!</definedName>
    <definedName name="Срок_на_събиране_на_вземанията" localSheetId="12">#REF!</definedName>
    <definedName name="Срок_на_събиране_на_вземанията" localSheetId="19">#REF!</definedName>
    <definedName name="Срок_на_събиране_на_вземанията" localSheetId="20">#REF!</definedName>
    <definedName name="Срок_на_събиране_на_вземанията" localSheetId="21">#REF!</definedName>
    <definedName name="Срок_на_събиране_на_вземанията" localSheetId="23">#REF!</definedName>
    <definedName name="Срок_на_събиране_на_вземанията" localSheetId="4">#REF!</definedName>
    <definedName name="Срок_на_събиране_на_вземанията" localSheetId="8">#REF!</definedName>
    <definedName name="Срок_на_събиране_на_вземанията" localSheetId="9">#REF!</definedName>
    <definedName name="Срок_на_събиране_на_вземанията" localSheetId="10">#REF!</definedName>
    <definedName name="Срок_на_събиране_на_вземанията" localSheetId="11">#REF!</definedName>
    <definedName name="Срок_на_събиране_на_вземанията" localSheetId="28">#REF!</definedName>
    <definedName name="Срок_на_събиране_на_вземанията" localSheetId="0">#REF!</definedName>
    <definedName name="Срок_на_събиране_на_вземанията">#REF!</definedName>
    <definedName name="Ставка_ДДС" localSheetId="1">#REF!</definedName>
    <definedName name="Ставка_ДДС" localSheetId="12">#REF!</definedName>
    <definedName name="Ставка_ДДС" localSheetId="19">#REF!</definedName>
    <definedName name="Ставка_ДДС" localSheetId="20">#REF!</definedName>
    <definedName name="Ставка_ДДС" localSheetId="21">#REF!</definedName>
    <definedName name="Ставка_ДДС" localSheetId="23">#REF!</definedName>
    <definedName name="Ставка_ДДС" localSheetId="4">#REF!</definedName>
    <definedName name="Ставка_ДДС" localSheetId="8">#REF!</definedName>
    <definedName name="Ставка_ДДС" localSheetId="9">#REF!</definedName>
    <definedName name="Ставка_ДДС" localSheetId="10">#REF!</definedName>
    <definedName name="Ставка_ДДС" localSheetId="11">#REF!</definedName>
    <definedName name="Ставка_ДДС" localSheetId="28">#REF!</definedName>
    <definedName name="Ставка_ДДС" localSheetId="0">#REF!</definedName>
    <definedName name="Ставка_ДДС">#REF!</definedName>
    <definedName name="Събран_ДДС" localSheetId="1">#REF!</definedName>
    <definedName name="Събран_ДДС" localSheetId="12">#REF!</definedName>
    <definedName name="Събран_ДДС" localSheetId="19">#REF!</definedName>
    <definedName name="Събран_ДДС" localSheetId="20">#REF!</definedName>
    <definedName name="Събран_ДДС" localSheetId="21">#REF!</definedName>
    <definedName name="Събран_ДДС" localSheetId="23">#REF!</definedName>
    <definedName name="Събран_ДДС" localSheetId="4">#REF!</definedName>
    <definedName name="Събран_ДДС" localSheetId="8">#REF!</definedName>
    <definedName name="Събран_ДДС" localSheetId="9">#REF!</definedName>
    <definedName name="Събран_ДДС" localSheetId="10">#REF!</definedName>
    <definedName name="Събран_ДДС" localSheetId="11">#REF!</definedName>
    <definedName name="Събран_ДДС" localSheetId="28">#REF!</definedName>
    <definedName name="Събран_ДДС" localSheetId="0">#REF!</definedName>
    <definedName name="Събран_ДДС">#REF!</definedName>
    <definedName name="Услуга_1" localSheetId="1">#REF!</definedName>
    <definedName name="Услуга_1" localSheetId="12">#REF!</definedName>
    <definedName name="Услуга_1" localSheetId="19">#REF!</definedName>
    <definedName name="Услуга_1" localSheetId="20">#REF!</definedName>
    <definedName name="Услуга_1" localSheetId="21">#REF!</definedName>
    <definedName name="Услуга_1" localSheetId="23">#REF!</definedName>
    <definedName name="Услуга_1" localSheetId="4">#REF!</definedName>
    <definedName name="Услуга_1" localSheetId="8">#REF!</definedName>
    <definedName name="Услуга_1" localSheetId="9">#REF!</definedName>
    <definedName name="Услуга_1" localSheetId="10">#REF!</definedName>
    <definedName name="Услуга_1" localSheetId="11">#REF!</definedName>
    <definedName name="Услуга_1" localSheetId="28">#REF!</definedName>
    <definedName name="Услуга_1" localSheetId="0">#REF!</definedName>
    <definedName name="Услуга_1">#REF!</definedName>
    <definedName name="Услуга_2" localSheetId="1">#REF!</definedName>
    <definedName name="Услуга_2" localSheetId="12">#REF!</definedName>
    <definedName name="Услуга_2" localSheetId="19">#REF!</definedName>
    <definedName name="Услуга_2" localSheetId="20">#REF!</definedName>
    <definedName name="Услуга_2" localSheetId="21">#REF!</definedName>
    <definedName name="Услуга_2" localSheetId="23">#REF!</definedName>
    <definedName name="Услуга_2" localSheetId="4">#REF!</definedName>
    <definedName name="Услуга_2" localSheetId="8">#REF!</definedName>
    <definedName name="Услуга_2" localSheetId="9">#REF!</definedName>
    <definedName name="Услуга_2" localSheetId="10">#REF!</definedName>
    <definedName name="Услуга_2" localSheetId="11">#REF!</definedName>
    <definedName name="Услуга_2" localSheetId="28">#REF!</definedName>
    <definedName name="Услуга_2" localSheetId="0">#REF!</definedName>
    <definedName name="Услуга_2">#REF!</definedName>
    <definedName name="Услуга_3" localSheetId="1">#REF!</definedName>
    <definedName name="Услуга_3" localSheetId="12">#REF!</definedName>
    <definedName name="Услуга_3" localSheetId="19">#REF!</definedName>
    <definedName name="Услуга_3" localSheetId="20">#REF!</definedName>
    <definedName name="Услуга_3" localSheetId="21">#REF!</definedName>
    <definedName name="Услуга_3" localSheetId="23">#REF!</definedName>
    <definedName name="Услуга_3" localSheetId="4">#REF!</definedName>
    <definedName name="Услуга_3" localSheetId="8">#REF!</definedName>
    <definedName name="Услуга_3" localSheetId="9">#REF!</definedName>
    <definedName name="Услуга_3" localSheetId="10">#REF!</definedName>
    <definedName name="Услуга_3" localSheetId="11">#REF!</definedName>
    <definedName name="Услуга_3" localSheetId="28">#REF!</definedName>
    <definedName name="Услуга_3" localSheetId="0">#REF!</definedName>
    <definedName name="Услуга_3">#REF!</definedName>
    <definedName name="Услуга_4" localSheetId="1">#REF!</definedName>
    <definedName name="Услуга_4" localSheetId="12">#REF!</definedName>
    <definedName name="Услуга_4" localSheetId="19">#REF!</definedName>
    <definedName name="Услуга_4" localSheetId="20">#REF!</definedName>
    <definedName name="Услуга_4" localSheetId="21">#REF!</definedName>
    <definedName name="Услуга_4" localSheetId="23">#REF!</definedName>
    <definedName name="Услуга_4" localSheetId="4">#REF!</definedName>
    <definedName name="Услуга_4" localSheetId="8">#REF!</definedName>
    <definedName name="Услуга_4" localSheetId="9">#REF!</definedName>
    <definedName name="Услуга_4" localSheetId="10">#REF!</definedName>
    <definedName name="Услуга_4" localSheetId="11">#REF!</definedName>
    <definedName name="Услуга_4" localSheetId="28">#REF!</definedName>
    <definedName name="Услуга_4" localSheetId="0">#REF!</definedName>
    <definedName name="Услуга_4">#REF!</definedName>
    <definedName name="Услуга_5" localSheetId="1">#REF!</definedName>
    <definedName name="Услуга_5" localSheetId="12">#REF!</definedName>
    <definedName name="Услуга_5" localSheetId="19">#REF!</definedName>
    <definedName name="Услуга_5" localSheetId="20">#REF!</definedName>
    <definedName name="Услуга_5" localSheetId="21">#REF!</definedName>
    <definedName name="Услуга_5" localSheetId="23">#REF!</definedName>
    <definedName name="Услуга_5" localSheetId="4">#REF!</definedName>
    <definedName name="Услуга_5" localSheetId="8">#REF!</definedName>
    <definedName name="Услуга_5" localSheetId="9">#REF!</definedName>
    <definedName name="Услуга_5" localSheetId="10">#REF!</definedName>
    <definedName name="Услуга_5" localSheetId="11">#REF!</definedName>
    <definedName name="Услуга_5" localSheetId="28">#REF!</definedName>
    <definedName name="Услуга_5" localSheetId="0">#REF!</definedName>
    <definedName name="Услуга_5">#REF!</definedName>
    <definedName name="Услуги_и_др." localSheetId="9" hidden="1">[1]Себестойност!$126:$126</definedName>
    <definedName name="Услуги_и_др." hidden="1">[1]Себестойност!$A$126:$IV$126</definedName>
    <definedName name="ЧПП" localSheetId="1">#REF!</definedName>
    <definedName name="ЧПП" localSheetId="12">#REF!</definedName>
    <definedName name="ЧПП" localSheetId="19">#REF!</definedName>
    <definedName name="ЧПП" localSheetId="20">#REF!</definedName>
    <definedName name="ЧПП" localSheetId="21">#REF!</definedName>
    <definedName name="ЧПП" localSheetId="23">#REF!</definedName>
    <definedName name="ЧПП" localSheetId="4">#REF!</definedName>
    <definedName name="ЧПП" localSheetId="8">#REF!</definedName>
    <definedName name="ЧПП" localSheetId="9">#REF!</definedName>
    <definedName name="ЧПП" localSheetId="10">#REF!</definedName>
    <definedName name="ЧПП" localSheetId="11">#REF!</definedName>
    <definedName name="ЧПП" localSheetId="28">#REF!</definedName>
    <definedName name="ЧПП" localSheetId="0">#REF!</definedName>
    <definedName name="ЧПП">#REF!</definedName>
  </definedNames>
  <calcPr calcId="162913"/>
</workbook>
</file>

<file path=xl/calcChain.xml><?xml version="1.0" encoding="utf-8"?>
<calcChain xmlns="http://schemas.openxmlformats.org/spreadsheetml/2006/main">
  <c r="M120" i="77" l="1"/>
  <c r="L120" i="77"/>
  <c r="K120" i="77"/>
  <c r="J120" i="77"/>
  <c r="M116" i="77" l="1"/>
  <c r="L116" i="77"/>
  <c r="K116" i="77"/>
  <c r="J116" i="77"/>
  <c r="G25" i="68" l="1"/>
  <c r="F25" i="68"/>
  <c r="E25" i="68"/>
  <c r="D25" i="68"/>
  <c r="G24" i="68"/>
  <c r="F24" i="68"/>
  <c r="E24" i="68"/>
  <c r="D24" i="68"/>
  <c r="M16" i="68"/>
  <c r="L16" i="68"/>
  <c r="K16" i="68"/>
  <c r="J16" i="68"/>
  <c r="I16" i="68"/>
  <c r="H16" i="68"/>
  <c r="G16" i="68"/>
  <c r="F16" i="68"/>
  <c r="E16" i="68"/>
  <c r="G8" i="68"/>
  <c r="F8" i="68"/>
  <c r="E8" i="68"/>
  <c r="D8" i="68"/>
  <c r="E70" i="39" l="1"/>
  <c r="F70" i="39"/>
  <c r="G70" i="39"/>
  <c r="H70" i="39"/>
  <c r="N11" i="39"/>
  <c r="M11" i="39"/>
  <c r="L11" i="39"/>
  <c r="K11" i="39"/>
  <c r="F14" i="39"/>
  <c r="G14" i="39"/>
  <c r="H14" i="39"/>
  <c r="E14" i="39"/>
  <c r="E37" i="62" l="1"/>
  <c r="E23" i="62"/>
  <c r="E53" i="62"/>
  <c r="E52" i="62"/>
  <c r="E51" i="62"/>
  <c r="E29" i="62"/>
  <c r="G120" i="77" l="1"/>
  <c r="F120" i="77"/>
  <c r="E120" i="77"/>
  <c r="G73" i="77"/>
  <c r="F73" i="77"/>
  <c r="E73" i="77"/>
  <c r="I75" i="39" l="1"/>
  <c r="I74" i="39"/>
  <c r="I34" i="39"/>
  <c r="I10" i="39"/>
  <c r="G116" i="77" l="1"/>
  <c r="F116" i="77"/>
  <c r="E116" i="77"/>
  <c r="G69" i="77"/>
  <c r="F69" i="77"/>
  <c r="E69" i="77"/>
  <c r="G121" i="77" l="1"/>
  <c r="F121" i="77"/>
  <c r="E121" i="77"/>
  <c r="U36" i="60" l="1"/>
  <c r="O36" i="60"/>
  <c r="I36" i="60"/>
  <c r="C36" i="60"/>
  <c r="O66" i="60" l="1"/>
  <c r="C66" i="60"/>
  <c r="P127" i="62" l="1"/>
  <c r="I126" i="62"/>
  <c r="AE22" i="41"/>
  <c r="AE39" i="41" l="1"/>
  <c r="O39" i="41"/>
  <c r="O22" i="41"/>
  <c r="N39" i="41"/>
  <c r="N22" i="41"/>
  <c r="E72" i="62" l="1"/>
  <c r="L100" i="62"/>
  <c r="E102" i="62"/>
  <c r="E101" i="62"/>
  <c r="E100" i="62"/>
  <c r="L51" i="62"/>
  <c r="N68" i="41"/>
  <c r="N62" i="41"/>
  <c r="L253" i="50" l="1"/>
  <c r="E252" i="50"/>
  <c r="E250" i="50"/>
  <c r="E249" i="50"/>
  <c r="E247" i="50"/>
  <c r="E245" i="50"/>
  <c r="E238" i="50"/>
  <c r="L231" i="50"/>
  <c r="E230" i="50"/>
  <c r="E228" i="50"/>
  <c r="E227" i="50"/>
  <c r="E225" i="50"/>
  <c r="E223" i="50"/>
  <c r="E216" i="50"/>
  <c r="L209" i="50"/>
  <c r="E208" i="50"/>
  <c r="E206" i="50"/>
  <c r="E205" i="50"/>
  <c r="E203" i="50"/>
  <c r="E201" i="50"/>
  <c r="E194" i="50"/>
  <c r="B12" i="47" l="1"/>
  <c r="B10" i="47"/>
  <c r="I25" i="65" l="1"/>
  <c r="H25" i="65"/>
  <c r="G25" i="65"/>
  <c r="F25" i="65"/>
  <c r="E25" i="65"/>
  <c r="G12" i="74" l="1"/>
  <c r="J102" i="74" l="1"/>
  <c r="J98" i="74"/>
  <c r="J94" i="74"/>
  <c r="J85" i="74"/>
  <c r="J81" i="74"/>
  <c r="J69" i="74"/>
  <c r="J65" i="74"/>
  <c r="J61" i="74"/>
  <c r="J52" i="74"/>
  <c r="J48" i="74"/>
  <c r="J33" i="74"/>
  <c r="J29" i="74"/>
  <c r="J25" i="74"/>
  <c r="J16" i="74"/>
  <c r="J12" i="74"/>
  <c r="K102" i="74" l="1"/>
  <c r="K103" i="74" s="1"/>
  <c r="J103" i="74"/>
  <c r="I102" i="74"/>
  <c r="I103" i="74" s="1"/>
  <c r="H102" i="74"/>
  <c r="H103" i="74" s="1"/>
  <c r="G102" i="74"/>
  <c r="K98" i="74"/>
  <c r="K99" i="74" s="1"/>
  <c r="J106" i="74"/>
  <c r="I98" i="74"/>
  <c r="I99" i="74" s="1"/>
  <c r="H98" i="74"/>
  <c r="H99" i="74" s="1"/>
  <c r="G98" i="74"/>
  <c r="K94" i="74"/>
  <c r="I94" i="74"/>
  <c r="H94" i="74"/>
  <c r="G94" i="74"/>
  <c r="K85" i="74"/>
  <c r="K86" i="74" s="1"/>
  <c r="J86" i="74"/>
  <c r="I85" i="74"/>
  <c r="I86" i="74" s="1"/>
  <c r="H85" i="74"/>
  <c r="H86" i="74" s="1"/>
  <c r="G85" i="74"/>
  <c r="G86" i="74" s="1"/>
  <c r="K81" i="74"/>
  <c r="K82" i="74" s="1"/>
  <c r="J82" i="74"/>
  <c r="I81" i="74"/>
  <c r="I82" i="74" s="1"/>
  <c r="H81" i="74"/>
  <c r="H82" i="74" s="1"/>
  <c r="G81" i="74"/>
  <c r="G82" i="74" s="1"/>
  <c r="J70" i="74"/>
  <c r="K69" i="74"/>
  <c r="K70" i="74" s="1"/>
  <c r="I69" i="74"/>
  <c r="I70" i="74" s="1"/>
  <c r="H69" i="74"/>
  <c r="H70" i="74" s="1"/>
  <c r="G69" i="74"/>
  <c r="K65" i="74"/>
  <c r="K66" i="74" s="1"/>
  <c r="J66" i="74"/>
  <c r="I65" i="74"/>
  <c r="I66" i="74" s="1"/>
  <c r="H65" i="74"/>
  <c r="H66" i="74" s="1"/>
  <c r="G65" i="74"/>
  <c r="K61" i="74"/>
  <c r="I61" i="74"/>
  <c r="H61" i="74"/>
  <c r="G61" i="74"/>
  <c r="K52" i="74"/>
  <c r="K53" i="74" s="1"/>
  <c r="J53" i="74"/>
  <c r="I52" i="74"/>
  <c r="I53" i="74" s="1"/>
  <c r="H52" i="74"/>
  <c r="H53" i="74" s="1"/>
  <c r="G52" i="74"/>
  <c r="G53" i="74" s="1"/>
  <c r="K48" i="74"/>
  <c r="K49" i="74" s="1"/>
  <c r="J49" i="74"/>
  <c r="I48" i="74"/>
  <c r="I49" i="74" s="1"/>
  <c r="H48" i="74"/>
  <c r="H49" i="74" s="1"/>
  <c r="G48" i="74"/>
  <c r="G49" i="74" s="1"/>
  <c r="K33" i="74"/>
  <c r="K34" i="74" s="1"/>
  <c r="J34" i="74"/>
  <c r="I33" i="74"/>
  <c r="I34" i="74" s="1"/>
  <c r="H33" i="74"/>
  <c r="H34" i="74" s="1"/>
  <c r="G33" i="74"/>
  <c r="K29" i="74"/>
  <c r="K30" i="74" s="1"/>
  <c r="J30" i="74"/>
  <c r="I29" i="74"/>
  <c r="I30" i="74" s="1"/>
  <c r="H29" i="74"/>
  <c r="H30" i="74" s="1"/>
  <c r="G29" i="74"/>
  <c r="K25" i="74"/>
  <c r="I25" i="74"/>
  <c r="H25" i="74"/>
  <c r="G25" i="74"/>
  <c r="K16" i="74"/>
  <c r="K17" i="74" s="1"/>
  <c r="K21" i="74" s="1"/>
  <c r="J17" i="74"/>
  <c r="J21" i="74" s="1"/>
  <c r="I16" i="74"/>
  <c r="I17" i="74" s="1"/>
  <c r="I21" i="74" s="1"/>
  <c r="H16" i="74"/>
  <c r="H17" i="74" s="1"/>
  <c r="H21" i="74" s="1"/>
  <c r="G16" i="74"/>
  <c r="G17" i="74" s="1"/>
  <c r="G21" i="74" s="1"/>
  <c r="K12" i="74"/>
  <c r="K13" i="74" s="1"/>
  <c r="J13" i="74"/>
  <c r="I12" i="74"/>
  <c r="I13" i="74" s="1"/>
  <c r="H12" i="74"/>
  <c r="H13" i="74" s="1"/>
  <c r="G13" i="74"/>
  <c r="L88" i="74"/>
  <c r="H37" i="74" l="1"/>
  <c r="K73" i="74"/>
  <c r="I106" i="74"/>
  <c r="G106" i="74"/>
  <c r="K106" i="74"/>
  <c r="J99" i="74"/>
  <c r="H106" i="74"/>
  <c r="I73" i="74"/>
  <c r="G73" i="74"/>
  <c r="J73" i="74"/>
  <c r="H73" i="74"/>
  <c r="J37" i="74"/>
  <c r="G37" i="74"/>
  <c r="K37" i="74"/>
  <c r="I37" i="74"/>
  <c r="AH151" i="41" l="1"/>
  <c r="AG151" i="41"/>
  <c r="AF151" i="41"/>
  <c r="AE151" i="41"/>
  <c r="AD151" i="41"/>
  <c r="AC151" i="41"/>
  <c r="AB151" i="41"/>
  <c r="AA151" i="41"/>
  <c r="Z151" i="41"/>
  <c r="Y151" i="41"/>
  <c r="X151" i="41"/>
  <c r="W151" i="41"/>
  <c r="V151" i="41"/>
  <c r="U151" i="41"/>
  <c r="T151" i="41"/>
  <c r="S151" i="41"/>
  <c r="R151" i="41"/>
  <c r="Q151" i="41"/>
  <c r="P151" i="41"/>
  <c r="O151" i="41"/>
  <c r="N151" i="41"/>
  <c r="AH150" i="41"/>
  <c r="AG150" i="41"/>
  <c r="AF150" i="41"/>
  <c r="AE150" i="41"/>
  <c r="AD150" i="41"/>
  <c r="AC150" i="41"/>
  <c r="AB150" i="41"/>
  <c r="AA150" i="41"/>
  <c r="Z150" i="41"/>
  <c r="Y150" i="41"/>
  <c r="X150" i="41"/>
  <c r="W150" i="41"/>
  <c r="V150" i="41"/>
  <c r="U150" i="41"/>
  <c r="T150" i="41"/>
  <c r="S150" i="41"/>
  <c r="R150" i="41"/>
  <c r="Q150" i="41"/>
  <c r="P150" i="41"/>
  <c r="O150" i="41"/>
  <c r="N150" i="41"/>
  <c r="F60" i="1" l="1"/>
  <c r="G60" i="1"/>
  <c r="H60" i="1"/>
  <c r="I60" i="1"/>
  <c r="J60" i="1"/>
  <c r="F61" i="1"/>
  <c r="G61" i="1"/>
  <c r="H61" i="1"/>
  <c r="I61" i="1"/>
  <c r="J61" i="1"/>
  <c r="E61" i="1"/>
  <c r="E60" i="1"/>
  <c r="AF43" i="60" l="1"/>
  <c r="AF39" i="60"/>
  <c r="AE43" i="60"/>
  <c r="AD43" i="60"/>
  <c r="AC43" i="60"/>
  <c r="AB43" i="60"/>
  <c r="AE39" i="60"/>
  <c r="AD39" i="60"/>
  <c r="AC39" i="60"/>
  <c r="AB39" i="60"/>
  <c r="AA43" i="60"/>
  <c r="AA39" i="60"/>
  <c r="Z39" i="60"/>
  <c r="W43" i="60"/>
  <c r="Z43" i="60"/>
  <c r="Y43" i="60"/>
  <c r="X43" i="60"/>
  <c r="V43" i="60"/>
  <c r="Y39" i="60"/>
  <c r="X39" i="60"/>
  <c r="W39" i="60"/>
  <c r="V39" i="60"/>
  <c r="U43" i="60"/>
  <c r="U39" i="60"/>
  <c r="T43" i="60"/>
  <c r="S43" i="60"/>
  <c r="R43" i="60"/>
  <c r="Q43" i="60"/>
  <c r="P43" i="60"/>
  <c r="T39" i="60"/>
  <c r="S39" i="60"/>
  <c r="R39" i="60"/>
  <c r="Q39" i="60"/>
  <c r="P39" i="60"/>
  <c r="O43" i="60"/>
  <c r="O39" i="60"/>
  <c r="N43" i="60"/>
  <c r="M43" i="60"/>
  <c r="L43" i="60"/>
  <c r="K43" i="60"/>
  <c r="J43" i="60"/>
  <c r="N39" i="60"/>
  <c r="M39" i="60"/>
  <c r="L39" i="60"/>
  <c r="K39" i="60"/>
  <c r="J39" i="60"/>
  <c r="I43" i="60"/>
  <c r="I39" i="60"/>
  <c r="H39" i="60"/>
  <c r="G39" i="60"/>
  <c r="F39" i="60"/>
  <c r="E39" i="60"/>
  <c r="D39" i="60"/>
  <c r="H43" i="60"/>
  <c r="G43" i="60"/>
  <c r="F43" i="60"/>
  <c r="E43" i="60"/>
  <c r="D43" i="60"/>
  <c r="C43" i="60"/>
  <c r="C39" i="60"/>
  <c r="AJ94" i="73"/>
  <c r="AK94" i="73"/>
  <c r="AL94" i="73"/>
  <c r="AM94" i="73"/>
  <c r="AN94" i="73"/>
  <c r="AO94" i="73"/>
  <c r="AP94" i="73"/>
  <c r="AQ94" i="73"/>
  <c r="AR94" i="73"/>
  <c r="AS94" i="73"/>
  <c r="AT94" i="73"/>
  <c r="AU94" i="73"/>
  <c r="AV94" i="73"/>
  <c r="AW94" i="73"/>
  <c r="AX94" i="73"/>
  <c r="AY94" i="73"/>
  <c r="AZ94" i="73"/>
  <c r="BA94" i="73"/>
  <c r="BB94" i="73"/>
  <c r="BC94" i="73"/>
  <c r="BD94" i="73"/>
  <c r="BE94" i="73"/>
  <c r="AR69" i="53"/>
  <c r="AS69" i="53"/>
  <c r="AT69" i="53"/>
  <c r="AU69" i="53"/>
  <c r="AV69" i="53"/>
  <c r="AV66" i="53"/>
  <c r="AU66" i="53"/>
  <c r="AT66" i="53"/>
  <c r="AS66" i="53"/>
  <c r="AR66" i="53"/>
  <c r="AQ69" i="53"/>
  <c r="AQ66" i="53"/>
  <c r="AQ62" i="53"/>
  <c r="AN69" i="53"/>
  <c r="AM69" i="53"/>
  <c r="AL69" i="53"/>
  <c r="AK69" i="53"/>
  <c r="AJ69" i="53"/>
  <c r="AN66" i="53"/>
  <c r="AM66" i="53"/>
  <c r="AL66" i="53"/>
  <c r="AK66" i="53"/>
  <c r="AJ66" i="53"/>
  <c r="AI69" i="53"/>
  <c r="AU69" i="73" s="1"/>
  <c r="AI66" i="53"/>
  <c r="AU66" i="73" s="1"/>
  <c r="AF69" i="53"/>
  <c r="AE69" i="53"/>
  <c r="AD69" i="53"/>
  <c r="AC69" i="53"/>
  <c r="AB69" i="53"/>
  <c r="AF66" i="53"/>
  <c r="AE66" i="53"/>
  <c r="AD66" i="53"/>
  <c r="AC66" i="53"/>
  <c r="AB66" i="53"/>
  <c r="AA69" i="53"/>
  <c r="AJ69" i="73" s="1"/>
  <c r="AA66" i="53"/>
  <c r="AJ66" i="73" s="1"/>
  <c r="X69" i="53"/>
  <c r="W69" i="53"/>
  <c r="V69" i="53"/>
  <c r="U69" i="53"/>
  <c r="T69" i="53"/>
  <c r="X66" i="53"/>
  <c r="W66" i="53"/>
  <c r="V66" i="53"/>
  <c r="U66" i="53"/>
  <c r="T66" i="53"/>
  <c r="S69" i="53"/>
  <c r="Y69" i="73" s="1"/>
  <c r="S66" i="53"/>
  <c r="Y66" i="73" s="1"/>
  <c r="P69" i="53"/>
  <c r="O69" i="53"/>
  <c r="N69" i="53"/>
  <c r="M69" i="53"/>
  <c r="L69" i="53"/>
  <c r="P66" i="53"/>
  <c r="O66" i="53"/>
  <c r="N66" i="53"/>
  <c r="M66" i="53"/>
  <c r="L66" i="53"/>
  <c r="K69" i="53"/>
  <c r="N69" i="73" s="1"/>
  <c r="K66" i="53"/>
  <c r="H66" i="53"/>
  <c r="G66" i="53"/>
  <c r="F66" i="53"/>
  <c r="E66" i="53"/>
  <c r="D66" i="53"/>
  <c r="C66" i="53"/>
  <c r="H69" i="53"/>
  <c r="G69" i="53"/>
  <c r="F69" i="53"/>
  <c r="E69" i="53"/>
  <c r="D69" i="53"/>
  <c r="C69" i="53"/>
  <c r="C69" i="73" s="1"/>
  <c r="I69" i="53" l="1"/>
  <c r="V69" i="73"/>
  <c r="BB69" i="73"/>
  <c r="R69" i="53"/>
  <c r="J66" i="53"/>
  <c r="O66" i="73"/>
  <c r="R69" i="73"/>
  <c r="AB69" i="73"/>
  <c r="AM69" i="73"/>
  <c r="AY69" i="73"/>
  <c r="I66" i="53"/>
  <c r="AE69" i="73"/>
  <c r="AP69" i="73"/>
  <c r="AZ69" i="73"/>
  <c r="BE66" i="53"/>
  <c r="K69" i="73"/>
  <c r="D69" i="73"/>
  <c r="U66" i="73"/>
  <c r="S69" i="73"/>
  <c r="AZ69" i="53"/>
  <c r="AX69" i="73"/>
  <c r="Q69" i="53"/>
  <c r="G69" i="73"/>
  <c r="AW66" i="53"/>
  <c r="BA66" i="53"/>
  <c r="U69" i="73"/>
  <c r="Z66" i="73"/>
  <c r="AH66" i="73"/>
  <c r="AF69" i="73"/>
  <c r="AK66" i="73"/>
  <c r="AS66" i="73"/>
  <c r="AQ69" i="73"/>
  <c r="AV66" i="73"/>
  <c r="AO66" i="53"/>
  <c r="BC69" i="73"/>
  <c r="J69" i="73"/>
  <c r="J69" i="53"/>
  <c r="AO69" i="73"/>
  <c r="Y69" i="53"/>
  <c r="H69" i="73"/>
  <c r="Q66" i="73"/>
  <c r="O69" i="73"/>
  <c r="W69" i="73"/>
  <c r="AA69" i="73"/>
  <c r="AI69" i="73"/>
  <c r="AK69" i="73"/>
  <c r="AG69" i="53"/>
  <c r="AV69" i="73"/>
  <c r="BD69" i="73"/>
  <c r="AD69" i="73"/>
  <c r="F69" i="73"/>
  <c r="AD66" i="73"/>
  <c r="AO66" i="73"/>
  <c r="AZ66" i="73"/>
  <c r="BC66" i="53"/>
  <c r="AA66" i="73"/>
  <c r="AH66" i="53"/>
  <c r="D66" i="73"/>
  <c r="P66" i="73"/>
  <c r="AF66" i="73"/>
  <c r="AR66" i="73"/>
  <c r="BB66" i="73"/>
  <c r="AQ66" i="73"/>
  <c r="K66" i="73"/>
  <c r="L66" i="73"/>
  <c r="BD66" i="73"/>
  <c r="AI66" i="73"/>
  <c r="G66" i="73"/>
  <c r="H66" i="73"/>
  <c r="T66" i="73"/>
  <c r="Y66" i="53"/>
  <c r="AB66" i="73"/>
  <c r="AN66" i="73"/>
  <c r="AY66" i="73"/>
  <c r="BG66" i="53"/>
  <c r="BC66" i="73"/>
  <c r="AE66" i="73"/>
  <c r="C66" i="73"/>
  <c r="BH69" i="53"/>
  <c r="AY66" i="53"/>
  <c r="W66" i="73"/>
  <c r="AT69" i="73"/>
  <c r="AL69" i="73"/>
  <c r="AH69" i="53"/>
  <c r="AP69" i="53"/>
  <c r="BG69" i="53"/>
  <c r="BC69" i="53"/>
  <c r="AX69" i="53"/>
  <c r="BF66" i="53"/>
  <c r="BB66" i="53"/>
  <c r="AX66" i="53"/>
  <c r="AX66" i="73"/>
  <c r="AT66" i="73"/>
  <c r="AP66" i="73"/>
  <c r="AL66" i="73"/>
  <c r="V66" i="73"/>
  <c r="R66" i="73"/>
  <c r="N66" i="73"/>
  <c r="J66" i="73"/>
  <c r="F66" i="73"/>
  <c r="BE69" i="73"/>
  <c r="BA69" i="73"/>
  <c r="AW69" i="73"/>
  <c r="AS69" i="73"/>
  <c r="AG69" i="73"/>
  <c r="AC69" i="73"/>
  <c r="Q69" i="73"/>
  <c r="M69" i="73"/>
  <c r="I69" i="73"/>
  <c r="E69" i="73"/>
  <c r="BD69" i="53"/>
  <c r="R66" i="53"/>
  <c r="AO69" i="53"/>
  <c r="BF69" i="53"/>
  <c r="BB69" i="53"/>
  <c r="AW69" i="53"/>
  <c r="BE66" i="73"/>
  <c r="BA66" i="73"/>
  <c r="AW66" i="73"/>
  <c r="AG66" i="73"/>
  <c r="AC66" i="73"/>
  <c r="M66" i="73"/>
  <c r="I66" i="73"/>
  <c r="E66" i="73"/>
  <c r="AR69" i="73"/>
  <c r="AN69" i="73"/>
  <c r="X69" i="73"/>
  <c r="T69" i="73"/>
  <c r="P69" i="73"/>
  <c r="L69" i="73"/>
  <c r="AM66" i="73"/>
  <c r="S66" i="73"/>
  <c r="AH69" i="73"/>
  <c r="Z69" i="73"/>
  <c r="Z69" i="53"/>
  <c r="AG66" i="53"/>
  <c r="AP66" i="53"/>
  <c r="BE69" i="53"/>
  <c r="BA69" i="53"/>
  <c r="BH66" i="53"/>
  <c r="BD66" i="53"/>
  <c r="AZ66" i="53"/>
  <c r="AY69" i="53"/>
  <c r="X66" i="73"/>
  <c r="Z66" i="53"/>
  <c r="Q66" i="53"/>
  <c r="AO94" i="53" l="1"/>
  <c r="AP94" i="53"/>
  <c r="AG94" i="53"/>
  <c r="AH94" i="53"/>
  <c r="J42" i="2" l="1"/>
  <c r="I42" i="2"/>
  <c r="H42" i="2"/>
  <c r="G42" i="2"/>
  <c r="F42" i="2"/>
  <c r="E42" i="2"/>
  <c r="S42" i="2" l="1"/>
  <c r="U42" i="2"/>
  <c r="T42" i="2"/>
  <c r="R42" i="2"/>
  <c r="Q42" i="2"/>
  <c r="C72" i="39" l="1"/>
  <c r="C70" i="39"/>
  <c r="C69" i="39"/>
  <c r="AN48" i="60" l="1"/>
  <c r="J164" i="46" l="1"/>
  <c r="J163" i="46"/>
  <c r="J160" i="46"/>
  <c r="J159" i="46"/>
  <c r="AJ10" i="73" l="1"/>
  <c r="AU10" i="73" s="1"/>
  <c r="Y10" i="73"/>
  <c r="N10" i="73"/>
  <c r="AT26" i="60" l="1"/>
  <c r="AU26" i="60"/>
  <c r="AU24" i="60"/>
  <c r="C11" i="5" l="1"/>
  <c r="AM24" i="79" l="1"/>
  <c r="AN24" i="79"/>
  <c r="AL24" i="79"/>
  <c r="AK23" i="79"/>
  <c r="AL21" i="79"/>
  <c r="AM21" i="79"/>
  <c r="AN21" i="79"/>
  <c r="AO21" i="79"/>
  <c r="AP21" i="79"/>
  <c r="AQ21" i="79"/>
  <c r="AK21" i="79"/>
  <c r="D110" i="46" l="1"/>
  <c r="D79" i="46"/>
  <c r="D53" i="46"/>
  <c r="U18" i="46"/>
  <c r="AH92" i="53" l="1"/>
  <c r="AG92" i="53"/>
  <c r="AW74" i="53"/>
  <c r="AW73" i="53"/>
  <c r="AW72" i="53"/>
  <c r="BC49" i="53"/>
  <c r="BD49" i="53"/>
  <c r="BE49" i="53"/>
  <c r="BF49" i="53"/>
  <c r="BG49" i="53"/>
  <c r="BH49" i="53"/>
  <c r="BC50" i="53"/>
  <c r="BD50" i="53"/>
  <c r="BE50" i="53"/>
  <c r="BF50" i="53"/>
  <c r="BG50" i="53"/>
  <c r="BH50" i="53"/>
  <c r="BD72" i="53"/>
  <c r="BD74" i="53"/>
  <c r="BH74" i="53"/>
  <c r="BG74" i="53"/>
  <c r="BF74" i="53"/>
  <c r="BE74" i="53"/>
  <c r="BH72" i="53"/>
  <c r="BG72" i="53"/>
  <c r="BF72" i="53"/>
  <c r="BE72" i="53"/>
  <c r="BC74" i="53"/>
  <c r="BB74" i="53"/>
  <c r="BA74" i="53"/>
  <c r="AZ74" i="53"/>
  <c r="AY74" i="53"/>
  <c r="AX74" i="53"/>
  <c r="BC72" i="53"/>
  <c r="BB72" i="53"/>
  <c r="BA72" i="53"/>
  <c r="AZ72" i="53"/>
  <c r="AY72" i="53"/>
  <c r="AX72" i="53"/>
  <c r="E142" i="46" l="1"/>
  <c r="I142" i="46"/>
  <c r="H142" i="46"/>
  <c r="G142" i="46"/>
  <c r="F142" i="46"/>
  <c r="AJ65" i="53"/>
  <c r="AK65" i="53"/>
  <c r="AL65" i="53"/>
  <c r="AM65" i="53"/>
  <c r="AN65" i="53"/>
  <c r="AI65" i="53"/>
  <c r="AJ61" i="53"/>
  <c r="AK61" i="53"/>
  <c r="AL61" i="53"/>
  <c r="AM61" i="53"/>
  <c r="AN61" i="53"/>
  <c r="AI61" i="53"/>
  <c r="AJ48" i="53"/>
  <c r="AK48" i="53"/>
  <c r="AL48" i="53"/>
  <c r="AM48" i="53"/>
  <c r="AN48" i="53"/>
  <c r="AI48" i="53"/>
  <c r="AJ24" i="53"/>
  <c r="AK24" i="53"/>
  <c r="AL24" i="53"/>
  <c r="AM24" i="53"/>
  <c r="AN24" i="53"/>
  <c r="AI24" i="53"/>
  <c r="AJ21" i="53"/>
  <c r="AK21" i="53"/>
  <c r="AL21" i="53"/>
  <c r="AM21" i="53"/>
  <c r="AN21" i="53"/>
  <c r="AI21" i="53"/>
  <c r="AB65" i="53"/>
  <c r="AC65" i="53"/>
  <c r="AD65" i="53"/>
  <c r="AE65" i="53"/>
  <c r="AF65" i="53"/>
  <c r="AA65" i="53"/>
  <c r="AB61" i="53"/>
  <c r="AC61" i="53"/>
  <c r="AD61" i="53"/>
  <c r="AE61" i="53"/>
  <c r="AF61" i="53"/>
  <c r="AA61" i="53"/>
  <c r="AB48" i="53"/>
  <c r="AC48" i="53"/>
  <c r="AD48" i="53"/>
  <c r="AE48" i="53"/>
  <c r="AF48" i="53"/>
  <c r="AA48" i="53"/>
  <c r="AB24" i="53"/>
  <c r="AC24" i="53"/>
  <c r="AD24" i="53"/>
  <c r="AE24" i="53"/>
  <c r="AF24" i="53"/>
  <c r="AA24" i="53"/>
  <c r="AB21" i="53"/>
  <c r="AC21" i="53"/>
  <c r="AD21" i="53"/>
  <c r="AE21" i="53"/>
  <c r="AF21" i="53"/>
  <c r="AA21" i="53"/>
  <c r="T65" i="53"/>
  <c r="U65" i="53"/>
  <c r="V65" i="53"/>
  <c r="W65" i="53"/>
  <c r="X65" i="53"/>
  <c r="S65" i="53"/>
  <c r="T61" i="53"/>
  <c r="U61" i="53"/>
  <c r="V61" i="53"/>
  <c r="W61" i="53"/>
  <c r="X61" i="53"/>
  <c r="S61" i="53"/>
  <c r="T48" i="53"/>
  <c r="U48" i="53"/>
  <c r="V48" i="53"/>
  <c r="W48" i="53"/>
  <c r="X48" i="53"/>
  <c r="S48" i="53"/>
  <c r="T24" i="53"/>
  <c r="U24" i="53"/>
  <c r="V24" i="53"/>
  <c r="W24" i="53"/>
  <c r="X24" i="53"/>
  <c r="S24" i="53"/>
  <c r="T21" i="53"/>
  <c r="U21" i="53"/>
  <c r="V21" i="53"/>
  <c r="W21" i="53"/>
  <c r="X21" i="53"/>
  <c r="S21" i="53"/>
  <c r="L65" i="53"/>
  <c r="M65" i="53"/>
  <c r="N65" i="53"/>
  <c r="O65" i="53"/>
  <c r="P65" i="53"/>
  <c r="K65" i="53"/>
  <c r="L61" i="53"/>
  <c r="M61" i="53"/>
  <c r="N61" i="53"/>
  <c r="O61" i="53"/>
  <c r="P61" i="53"/>
  <c r="K61" i="53"/>
  <c r="L48" i="53"/>
  <c r="M48" i="53"/>
  <c r="N48" i="53"/>
  <c r="O48" i="53"/>
  <c r="P48" i="53"/>
  <c r="K48" i="53"/>
  <c r="L24" i="53"/>
  <c r="M24" i="53"/>
  <c r="N24" i="53"/>
  <c r="O24" i="53"/>
  <c r="P24" i="53"/>
  <c r="K24" i="53"/>
  <c r="L21" i="53"/>
  <c r="M21" i="53"/>
  <c r="N21" i="53"/>
  <c r="O21" i="53"/>
  <c r="P21" i="53"/>
  <c r="K21" i="53"/>
  <c r="D65" i="53"/>
  <c r="E65" i="53"/>
  <c r="F65" i="53"/>
  <c r="G65" i="53"/>
  <c r="H65" i="53"/>
  <c r="C65" i="53"/>
  <c r="D61" i="53"/>
  <c r="E61" i="53"/>
  <c r="F61" i="53"/>
  <c r="G61" i="53"/>
  <c r="H61" i="53"/>
  <c r="C61" i="53"/>
  <c r="D24" i="53"/>
  <c r="E24" i="53"/>
  <c r="F24" i="53"/>
  <c r="G24" i="53"/>
  <c r="H24" i="53"/>
  <c r="C24" i="53"/>
  <c r="D48" i="53"/>
  <c r="E48" i="53"/>
  <c r="F48" i="53"/>
  <c r="G48" i="53"/>
  <c r="H48" i="53"/>
  <c r="C48" i="53"/>
  <c r="E21" i="53"/>
  <c r="F21" i="53"/>
  <c r="G21" i="53"/>
  <c r="H21" i="53"/>
  <c r="D21" i="53"/>
  <c r="C21" i="53"/>
  <c r="O153" i="46"/>
  <c r="N153" i="46"/>
  <c r="M153" i="46"/>
  <c r="L153" i="46"/>
  <c r="K153" i="46"/>
  <c r="O151" i="46"/>
  <c r="N151" i="46"/>
  <c r="M151" i="46"/>
  <c r="L151" i="46"/>
  <c r="K151" i="46"/>
  <c r="O149" i="46"/>
  <c r="N149" i="46"/>
  <c r="M149" i="46"/>
  <c r="L149" i="46"/>
  <c r="K149" i="46"/>
  <c r="O147" i="46"/>
  <c r="N147" i="46"/>
  <c r="M147" i="46"/>
  <c r="L147" i="46"/>
  <c r="K147" i="46"/>
  <c r="O145" i="46"/>
  <c r="N145" i="46"/>
  <c r="M145" i="46"/>
  <c r="L145" i="46"/>
  <c r="K145" i="46"/>
  <c r="O141" i="46"/>
  <c r="V14" i="79" s="1"/>
  <c r="N141" i="46"/>
  <c r="U14" i="79" s="1"/>
  <c r="M141" i="46"/>
  <c r="L141" i="46"/>
  <c r="S14" i="79" s="1"/>
  <c r="K141" i="46"/>
  <c r="J141" i="46"/>
  <c r="Q14" i="79" s="1"/>
  <c r="O122" i="46"/>
  <c r="N122" i="46"/>
  <c r="M122" i="46"/>
  <c r="L122" i="46"/>
  <c r="K122" i="46"/>
  <c r="O120" i="46"/>
  <c r="N120" i="46"/>
  <c r="M120" i="46"/>
  <c r="L120" i="46"/>
  <c r="K120" i="46"/>
  <c r="O118" i="46"/>
  <c r="N118" i="46"/>
  <c r="M118" i="46"/>
  <c r="L118" i="46"/>
  <c r="K118" i="46"/>
  <c r="O116" i="46"/>
  <c r="N116" i="46"/>
  <c r="M116" i="46"/>
  <c r="L116" i="46"/>
  <c r="K116" i="46"/>
  <c r="O114" i="46"/>
  <c r="N114" i="46"/>
  <c r="M114" i="46"/>
  <c r="L114" i="46"/>
  <c r="K114" i="46"/>
  <c r="O110" i="46"/>
  <c r="V13" i="79" s="1"/>
  <c r="N110" i="46"/>
  <c r="U13" i="79" s="1"/>
  <c r="M110" i="46"/>
  <c r="T13" i="79" s="1"/>
  <c r="L110" i="46"/>
  <c r="S13" i="79" s="1"/>
  <c r="K110" i="46"/>
  <c r="R13" i="79" s="1"/>
  <c r="J110" i="46"/>
  <c r="Q13" i="79" s="1"/>
  <c r="I110" i="46"/>
  <c r="V7" i="79" s="1"/>
  <c r="H110" i="46"/>
  <c r="U7" i="79" s="1"/>
  <c r="G110" i="46"/>
  <c r="T7" i="79" s="1"/>
  <c r="F110" i="46"/>
  <c r="S7" i="79" s="1"/>
  <c r="E110" i="46"/>
  <c r="Q7" i="79"/>
  <c r="U108" i="46"/>
  <c r="T108" i="46"/>
  <c r="S108" i="46"/>
  <c r="R108" i="46"/>
  <c r="Q108" i="46"/>
  <c r="P108" i="46"/>
  <c r="U107" i="46"/>
  <c r="T107" i="46"/>
  <c r="S107" i="46"/>
  <c r="R107" i="46"/>
  <c r="Q107" i="46"/>
  <c r="P107" i="46"/>
  <c r="U106" i="46"/>
  <c r="T106" i="46"/>
  <c r="S106" i="46"/>
  <c r="R106" i="46"/>
  <c r="Q106" i="46"/>
  <c r="P106" i="46"/>
  <c r="U105" i="46"/>
  <c r="T105" i="46"/>
  <c r="S105" i="46"/>
  <c r="R105" i="46"/>
  <c r="Q105" i="46"/>
  <c r="P105" i="46"/>
  <c r="U104" i="46"/>
  <c r="T104" i="46"/>
  <c r="S104" i="46"/>
  <c r="R104" i="46"/>
  <c r="Q104" i="46"/>
  <c r="P104" i="46"/>
  <c r="U103" i="46"/>
  <c r="T103" i="46"/>
  <c r="S103" i="46"/>
  <c r="R103" i="46"/>
  <c r="Q103" i="46"/>
  <c r="P103" i="46"/>
  <c r="U102" i="46"/>
  <c r="T102" i="46"/>
  <c r="S102" i="46"/>
  <c r="R102" i="46"/>
  <c r="Q102" i="46"/>
  <c r="P102" i="46"/>
  <c r="U101" i="46"/>
  <c r="T101" i="46"/>
  <c r="S101" i="46"/>
  <c r="R101" i="46"/>
  <c r="Q101" i="46"/>
  <c r="P101" i="46"/>
  <c r="U100" i="46"/>
  <c r="T100" i="46"/>
  <c r="S100" i="46"/>
  <c r="R100" i="46"/>
  <c r="Q100" i="46"/>
  <c r="P100" i="46"/>
  <c r="U99" i="46"/>
  <c r="T99" i="46"/>
  <c r="S99" i="46"/>
  <c r="R99" i="46"/>
  <c r="Q99" i="46"/>
  <c r="P99" i="46"/>
  <c r="U98" i="46"/>
  <c r="T98" i="46"/>
  <c r="S98" i="46"/>
  <c r="R98" i="46"/>
  <c r="Q98" i="46"/>
  <c r="P98" i="46"/>
  <c r="U97" i="46"/>
  <c r="T97" i="46"/>
  <c r="S97" i="46"/>
  <c r="R97" i="46"/>
  <c r="Q97" i="46"/>
  <c r="P97" i="46"/>
  <c r="U96" i="46"/>
  <c r="T96" i="46"/>
  <c r="S96" i="46"/>
  <c r="R96" i="46"/>
  <c r="Q96" i="46"/>
  <c r="P96" i="46"/>
  <c r="O91" i="46"/>
  <c r="N91" i="46"/>
  <c r="M91" i="46"/>
  <c r="L91" i="46"/>
  <c r="K91" i="46"/>
  <c r="O89" i="46"/>
  <c r="N89" i="46"/>
  <c r="M89" i="46"/>
  <c r="L89" i="46"/>
  <c r="K89" i="46"/>
  <c r="O87" i="46"/>
  <c r="N87" i="46"/>
  <c r="M87" i="46"/>
  <c r="L87" i="46"/>
  <c r="K87" i="46"/>
  <c r="O85" i="46"/>
  <c r="N85" i="46"/>
  <c r="M85" i="46"/>
  <c r="L85" i="46"/>
  <c r="K85" i="46"/>
  <c r="O83" i="46"/>
  <c r="N83" i="46"/>
  <c r="M83" i="46"/>
  <c r="L83" i="46"/>
  <c r="K83" i="46"/>
  <c r="O79" i="46"/>
  <c r="V12" i="79" s="1"/>
  <c r="N79" i="46"/>
  <c r="M79" i="46"/>
  <c r="T12" i="79" s="1"/>
  <c r="L79" i="46"/>
  <c r="S12" i="79" s="1"/>
  <c r="K79" i="46"/>
  <c r="R12" i="79" s="1"/>
  <c r="J79" i="46"/>
  <c r="Q12" i="79" s="1"/>
  <c r="I79" i="46"/>
  <c r="V6" i="79" s="1"/>
  <c r="H79" i="46"/>
  <c r="G79" i="46"/>
  <c r="T6" i="79" s="1"/>
  <c r="F79" i="46"/>
  <c r="S6" i="79" s="1"/>
  <c r="E79" i="46"/>
  <c r="Q6" i="79"/>
  <c r="U77" i="46"/>
  <c r="T77" i="46"/>
  <c r="S77" i="46"/>
  <c r="R77" i="46"/>
  <c r="Q77" i="46"/>
  <c r="P77" i="46"/>
  <c r="U76" i="46"/>
  <c r="T76" i="46"/>
  <c r="S76" i="46"/>
  <c r="R76" i="46"/>
  <c r="Q76" i="46"/>
  <c r="P76" i="46"/>
  <c r="U75" i="46"/>
  <c r="T75" i="46"/>
  <c r="S75" i="46"/>
  <c r="R75" i="46"/>
  <c r="Q75" i="46"/>
  <c r="P75" i="46"/>
  <c r="U74" i="46"/>
  <c r="T74" i="46"/>
  <c r="S74" i="46"/>
  <c r="R74" i="46"/>
  <c r="Q74" i="46"/>
  <c r="P74" i="46"/>
  <c r="U73" i="46"/>
  <c r="T73" i="46"/>
  <c r="S73" i="46"/>
  <c r="R73" i="46"/>
  <c r="Q73" i="46"/>
  <c r="P73" i="46"/>
  <c r="U72" i="46"/>
  <c r="T72" i="46"/>
  <c r="S72" i="46"/>
  <c r="R72" i="46"/>
  <c r="Q72" i="46"/>
  <c r="P72" i="46"/>
  <c r="U71" i="46"/>
  <c r="T71" i="46"/>
  <c r="S71" i="46"/>
  <c r="R71" i="46"/>
  <c r="Q71" i="46"/>
  <c r="P71" i="46"/>
  <c r="U70" i="46"/>
  <c r="T70" i="46"/>
  <c r="S70" i="46"/>
  <c r="R70" i="46"/>
  <c r="Q70" i="46"/>
  <c r="P70" i="46"/>
  <c r="O65" i="46"/>
  <c r="N65" i="46"/>
  <c r="M65" i="46"/>
  <c r="L65" i="46"/>
  <c r="K65" i="46"/>
  <c r="O63" i="46"/>
  <c r="N63" i="46"/>
  <c r="M63" i="46"/>
  <c r="L63" i="46"/>
  <c r="K63" i="46"/>
  <c r="O61" i="46"/>
  <c r="N61" i="46"/>
  <c r="M61" i="46"/>
  <c r="L61" i="46"/>
  <c r="K61" i="46"/>
  <c r="O59" i="46"/>
  <c r="N59" i="46"/>
  <c r="M59" i="46"/>
  <c r="L59" i="46"/>
  <c r="K59" i="46"/>
  <c r="O57" i="46"/>
  <c r="N57" i="46"/>
  <c r="M57" i="46"/>
  <c r="L57" i="46"/>
  <c r="K57" i="46"/>
  <c r="O53" i="46"/>
  <c r="V11" i="79" s="1"/>
  <c r="N53" i="46"/>
  <c r="U11" i="79" s="1"/>
  <c r="M53" i="46"/>
  <c r="T11" i="79" s="1"/>
  <c r="L53" i="46"/>
  <c r="S11" i="79" s="1"/>
  <c r="K53" i="46"/>
  <c r="R11" i="79" s="1"/>
  <c r="J53" i="46"/>
  <c r="Q11" i="79" s="1"/>
  <c r="I53" i="46"/>
  <c r="H53" i="46"/>
  <c r="U5" i="79" s="1"/>
  <c r="G53" i="46"/>
  <c r="T5" i="79" s="1"/>
  <c r="F53" i="46"/>
  <c r="E53" i="46"/>
  <c r="R5" i="79" s="1"/>
  <c r="Q5" i="79"/>
  <c r="U51" i="46"/>
  <c r="T51" i="46"/>
  <c r="S51" i="46"/>
  <c r="R51" i="46"/>
  <c r="Q51" i="46"/>
  <c r="P51" i="46"/>
  <c r="U50" i="46"/>
  <c r="T50" i="46"/>
  <c r="S50" i="46"/>
  <c r="R50" i="46"/>
  <c r="Q50" i="46"/>
  <c r="P50" i="46"/>
  <c r="U49" i="46"/>
  <c r="T49" i="46"/>
  <c r="S49" i="46"/>
  <c r="R49" i="46"/>
  <c r="Q49" i="46"/>
  <c r="P49" i="46"/>
  <c r="U48" i="46"/>
  <c r="T48" i="46"/>
  <c r="S48" i="46"/>
  <c r="R48" i="46"/>
  <c r="Q48" i="46"/>
  <c r="P48" i="46"/>
  <c r="U47" i="46"/>
  <c r="T47" i="46"/>
  <c r="S47" i="46"/>
  <c r="R47" i="46"/>
  <c r="Q47" i="46"/>
  <c r="P47" i="46"/>
  <c r="U46" i="46"/>
  <c r="T46" i="46"/>
  <c r="S46" i="46"/>
  <c r="R46" i="46"/>
  <c r="Q46" i="46"/>
  <c r="P46" i="46"/>
  <c r="U45" i="46"/>
  <c r="T45" i="46"/>
  <c r="S45" i="46"/>
  <c r="R45" i="46"/>
  <c r="Q45" i="46"/>
  <c r="P45" i="46"/>
  <c r="U44" i="46"/>
  <c r="T44" i="46"/>
  <c r="S44" i="46"/>
  <c r="R44" i="46"/>
  <c r="Q44" i="46"/>
  <c r="P44" i="46"/>
  <c r="U43" i="46"/>
  <c r="T43" i="46"/>
  <c r="S43" i="46"/>
  <c r="R43" i="46"/>
  <c r="Q43" i="46"/>
  <c r="P43" i="46"/>
  <c r="U42" i="46"/>
  <c r="T42" i="46"/>
  <c r="S42" i="46"/>
  <c r="R42" i="46"/>
  <c r="Q42" i="46"/>
  <c r="P42" i="46"/>
  <c r="U41" i="46"/>
  <c r="T41" i="46"/>
  <c r="S41" i="46"/>
  <c r="R41" i="46"/>
  <c r="Q41" i="46"/>
  <c r="P41" i="46"/>
  <c r="O36" i="46"/>
  <c r="N36" i="46"/>
  <c r="M36" i="46"/>
  <c r="L36" i="46"/>
  <c r="K36" i="46"/>
  <c r="O34" i="46"/>
  <c r="N34" i="46"/>
  <c r="M34" i="46"/>
  <c r="L34" i="46"/>
  <c r="K34" i="46"/>
  <c r="O32" i="46"/>
  <c r="N32" i="46"/>
  <c r="M32" i="46"/>
  <c r="L32" i="46"/>
  <c r="K32" i="46"/>
  <c r="O30" i="46"/>
  <c r="N30" i="46"/>
  <c r="M30" i="46"/>
  <c r="L30" i="46"/>
  <c r="K30" i="46"/>
  <c r="O28" i="46"/>
  <c r="N28" i="46"/>
  <c r="M28" i="46"/>
  <c r="L28" i="46"/>
  <c r="K28" i="46"/>
  <c r="O24" i="46"/>
  <c r="V10" i="79" s="1"/>
  <c r="N24" i="46"/>
  <c r="U10" i="79" s="1"/>
  <c r="M24" i="46"/>
  <c r="T10" i="79" s="1"/>
  <c r="L24" i="46"/>
  <c r="S10" i="79" s="1"/>
  <c r="K24" i="46"/>
  <c r="R10" i="79" s="1"/>
  <c r="J24" i="46"/>
  <c r="I24" i="46"/>
  <c r="H24" i="46"/>
  <c r="G24" i="46"/>
  <c r="F24" i="46"/>
  <c r="E24" i="46"/>
  <c r="D24" i="46"/>
  <c r="U22" i="46"/>
  <c r="T22" i="46"/>
  <c r="S22" i="46"/>
  <c r="R22" i="46"/>
  <c r="Q22" i="46"/>
  <c r="P22" i="46"/>
  <c r="U21" i="46"/>
  <c r="T21" i="46"/>
  <c r="S21" i="46"/>
  <c r="R21" i="46"/>
  <c r="Q21" i="46"/>
  <c r="P21" i="46"/>
  <c r="U20" i="46"/>
  <c r="T20" i="46"/>
  <c r="S20" i="46"/>
  <c r="R20" i="46"/>
  <c r="Q20" i="46"/>
  <c r="P20" i="46"/>
  <c r="U19" i="46"/>
  <c r="T19" i="46"/>
  <c r="S19" i="46"/>
  <c r="R19" i="46"/>
  <c r="Q19" i="46"/>
  <c r="P19" i="46"/>
  <c r="T18" i="46"/>
  <c r="S18" i="46"/>
  <c r="R18" i="46"/>
  <c r="Q18" i="46"/>
  <c r="P18" i="46"/>
  <c r="U17" i="46"/>
  <c r="T17" i="46"/>
  <c r="S17" i="46"/>
  <c r="R17" i="46"/>
  <c r="Q17" i="46"/>
  <c r="P17" i="46"/>
  <c r="U16" i="46"/>
  <c r="T16" i="46"/>
  <c r="S16" i="46"/>
  <c r="R16" i="46"/>
  <c r="Q16" i="46"/>
  <c r="P16" i="46"/>
  <c r="U15" i="46"/>
  <c r="T15" i="46"/>
  <c r="S15" i="46"/>
  <c r="R15" i="46"/>
  <c r="Q15" i="46"/>
  <c r="P15" i="46"/>
  <c r="U14" i="46"/>
  <c r="T14" i="46"/>
  <c r="S14" i="46"/>
  <c r="R14" i="46"/>
  <c r="Q14" i="46"/>
  <c r="P14" i="46"/>
  <c r="U13" i="46"/>
  <c r="T13" i="46"/>
  <c r="S13" i="46"/>
  <c r="R13" i="46"/>
  <c r="Q13" i="46"/>
  <c r="P13" i="46"/>
  <c r="U12" i="46"/>
  <c r="T12" i="46"/>
  <c r="S12" i="46"/>
  <c r="R12" i="46"/>
  <c r="Q12" i="46"/>
  <c r="P12" i="46"/>
  <c r="U11" i="46"/>
  <c r="T11" i="46"/>
  <c r="S11" i="46"/>
  <c r="R11" i="46"/>
  <c r="Q11" i="46"/>
  <c r="P11" i="46"/>
  <c r="U10" i="46"/>
  <c r="T10" i="46"/>
  <c r="S10" i="46"/>
  <c r="R10" i="46"/>
  <c r="Q10" i="46"/>
  <c r="P10" i="46"/>
  <c r="O8" i="46"/>
  <c r="U8" i="46" s="1"/>
  <c r="N8" i="46"/>
  <c r="T8" i="46" s="1"/>
  <c r="M8" i="46"/>
  <c r="S8" i="46" s="1"/>
  <c r="L8" i="46"/>
  <c r="R8" i="46" s="1"/>
  <c r="K8" i="46"/>
  <c r="Q8" i="46" s="1"/>
  <c r="J8" i="46"/>
  <c r="P8" i="46" s="1"/>
  <c r="AX65" i="53" l="1"/>
  <c r="AW65" i="53"/>
  <c r="G111" i="46"/>
  <c r="Q10" i="79"/>
  <c r="J37" i="46"/>
  <c r="N142" i="46"/>
  <c r="T14" i="79"/>
  <c r="K154" i="46"/>
  <c r="R14" i="79"/>
  <c r="L111" i="46"/>
  <c r="F111" i="46"/>
  <c r="R7" i="79"/>
  <c r="O80" i="46"/>
  <c r="U12" i="79"/>
  <c r="F80" i="46"/>
  <c r="R6" i="79"/>
  <c r="H80" i="46"/>
  <c r="I80" i="46"/>
  <c r="U6" i="79"/>
  <c r="G80" i="46"/>
  <c r="I54" i="46"/>
  <c r="V5" i="79"/>
  <c r="H54" i="46"/>
  <c r="G54" i="46"/>
  <c r="S5" i="79"/>
  <c r="F25" i="46"/>
  <c r="O154" i="46"/>
  <c r="O142" i="46"/>
  <c r="N154" i="46"/>
  <c r="M142" i="46"/>
  <c r="M154" i="46"/>
  <c r="L154" i="46"/>
  <c r="O123" i="46"/>
  <c r="N123" i="46"/>
  <c r="O111" i="46"/>
  <c r="M123" i="46"/>
  <c r="N111" i="46"/>
  <c r="M111" i="46"/>
  <c r="L123" i="46"/>
  <c r="K123" i="46"/>
  <c r="I111" i="46"/>
  <c r="H111" i="46"/>
  <c r="E111" i="46"/>
  <c r="O92" i="46"/>
  <c r="N80" i="46"/>
  <c r="N92" i="46"/>
  <c r="S47" i="60" s="1"/>
  <c r="M92" i="46"/>
  <c r="R47" i="60" s="1"/>
  <c r="L92" i="46"/>
  <c r="U68" i="53" s="1"/>
  <c r="M80" i="46"/>
  <c r="K92" i="46"/>
  <c r="L80" i="46"/>
  <c r="E80" i="46"/>
  <c r="F54" i="46"/>
  <c r="E54" i="46"/>
  <c r="O37" i="46"/>
  <c r="N37" i="46"/>
  <c r="M37" i="46"/>
  <c r="L37" i="46"/>
  <c r="I25" i="46"/>
  <c r="J154" i="46"/>
  <c r="J123" i="46"/>
  <c r="J92" i="46"/>
  <c r="J66" i="46"/>
  <c r="K142" i="46"/>
  <c r="L142" i="46"/>
  <c r="K111" i="46"/>
  <c r="M66" i="46"/>
  <c r="N66" i="46"/>
  <c r="N68" i="46" s="1"/>
  <c r="K66" i="46"/>
  <c r="O66" i="46"/>
  <c r="L66" i="46"/>
  <c r="M68" i="53" s="1"/>
  <c r="K37" i="46"/>
  <c r="K80" i="46"/>
  <c r="O54" i="46"/>
  <c r="N54" i="46"/>
  <c r="M54" i="46"/>
  <c r="L54" i="46"/>
  <c r="K54" i="46"/>
  <c r="K25" i="46"/>
  <c r="L25" i="46"/>
  <c r="O25" i="46"/>
  <c r="G25" i="46"/>
  <c r="H25" i="46"/>
  <c r="M25" i="46"/>
  <c r="E25" i="46"/>
  <c r="N25" i="46"/>
  <c r="M94" i="46" l="1"/>
  <c r="AN68" i="53"/>
  <c r="AF47" i="60"/>
  <c r="J156" i="46"/>
  <c r="AA47" i="60"/>
  <c r="N156" i="46"/>
  <c r="AE47" i="60"/>
  <c r="L156" i="46"/>
  <c r="AC47" i="60"/>
  <c r="M156" i="46"/>
  <c r="AD47" i="60"/>
  <c r="O156" i="46"/>
  <c r="K156" i="46"/>
  <c r="AB47" i="60"/>
  <c r="K125" i="46"/>
  <c r="V47" i="60"/>
  <c r="L125" i="46"/>
  <c r="W47" i="60"/>
  <c r="O125" i="46"/>
  <c r="Z47" i="60"/>
  <c r="M125" i="46"/>
  <c r="X47" i="60"/>
  <c r="AA68" i="53"/>
  <c r="AJ68" i="73" s="1"/>
  <c r="U47" i="60"/>
  <c r="AE68" i="53"/>
  <c r="Y47" i="60"/>
  <c r="J94" i="46"/>
  <c r="O47" i="60"/>
  <c r="N94" i="46"/>
  <c r="K94" i="46"/>
  <c r="P47" i="60"/>
  <c r="X68" i="53"/>
  <c r="T47" i="60"/>
  <c r="L94" i="46"/>
  <c r="Q47" i="60"/>
  <c r="L68" i="46"/>
  <c r="K47" i="60"/>
  <c r="O68" i="53"/>
  <c r="M47" i="60"/>
  <c r="O68" i="46"/>
  <c r="N47" i="60"/>
  <c r="M68" i="46"/>
  <c r="L47" i="60"/>
  <c r="J68" i="46"/>
  <c r="I47" i="60"/>
  <c r="K68" i="46"/>
  <c r="J47" i="60"/>
  <c r="O39" i="46"/>
  <c r="H47" i="60"/>
  <c r="M39" i="46"/>
  <c r="F47" i="60"/>
  <c r="N39" i="46"/>
  <c r="G47" i="60"/>
  <c r="L39" i="46"/>
  <c r="E47" i="60"/>
  <c r="K39" i="46"/>
  <c r="D47" i="60"/>
  <c r="C68" i="53"/>
  <c r="C47" i="60"/>
  <c r="AM68" i="53"/>
  <c r="F68" i="53"/>
  <c r="AK68" i="53"/>
  <c r="K68" i="53"/>
  <c r="N68" i="73" s="1"/>
  <c r="N125" i="46"/>
  <c r="AD68" i="53"/>
  <c r="O94" i="46"/>
  <c r="H68" i="53"/>
  <c r="G68" i="53"/>
  <c r="AI68" i="53"/>
  <c r="AU68" i="73" s="1"/>
  <c r="J125" i="46"/>
  <c r="S68" i="53"/>
  <c r="Y68" i="73" s="1"/>
  <c r="J39" i="46"/>
  <c r="N124" i="46"/>
  <c r="L155" i="46"/>
  <c r="AL68" i="53"/>
  <c r="K155" i="46"/>
  <c r="AJ68" i="53"/>
  <c r="AF68" i="53"/>
  <c r="O124" i="46"/>
  <c r="L124" i="46"/>
  <c r="AC68" i="53"/>
  <c r="K124" i="46"/>
  <c r="AB68" i="53"/>
  <c r="K93" i="46"/>
  <c r="T68" i="53"/>
  <c r="V68" i="53"/>
  <c r="W68" i="53"/>
  <c r="P68" i="53"/>
  <c r="N68" i="53"/>
  <c r="K67" i="46"/>
  <c r="L68" i="53"/>
  <c r="O38" i="46"/>
  <c r="N38" i="46"/>
  <c r="M38" i="46"/>
  <c r="E68" i="53"/>
  <c r="K38" i="46"/>
  <c r="D68" i="53"/>
  <c r="L38" i="46"/>
  <c r="N155" i="46"/>
  <c r="M155" i="46"/>
  <c r="O93" i="46"/>
  <c r="L93" i="46"/>
  <c r="N93" i="46"/>
  <c r="N67" i="46"/>
  <c r="M67" i="46"/>
  <c r="L67" i="46"/>
  <c r="M93" i="46"/>
  <c r="O155" i="46"/>
  <c r="O67" i="46"/>
  <c r="M124" i="46"/>
  <c r="AX68" i="73" l="1"/>
  <c r="AY68" i="73"/>
  <c r="AW68" i="73"/>
  <c r="AV68" i="73"/>
  <c r="BC68" i="73"/>
  <c r="BB68" i="73"/>
  <c r="BA68" i="73"/>
  <c r="AZ68" i="73"/>
  <c r="BE68" i="73"/>
  <c r="BD68" i="73"/>
  <c r="AP68" i="53"/>
  <c r="AO68" i="53"/>
  <c r="AR68" i="73"/>
  <c r="AQ68" i="73"/>
  <c r="AG68" i="53"/>
  <c r="AT68" i="73"/>
  <c r="AS68" i="73"/>
  <c r="AH68" i="53"/>
  <c r="AN68" i="73"/>
  <c r="AM68" i="73"/>
  <c r="AO68" i="73"/>
  <c r="AP68" i="73"/>
  <c r="AL68" i="73"/>
  <c r="AK68" i="73"/>
  <c r="AF68" i="73"/>
  <c r="AG68" i="73"/>
  <c r="AE68" i="73"/>
  <c r="AD68" i="73"/>
  <c r="AI68" i="73"/>
  <c r="Y68" i="53"/>
  <c r="Z68" i="53"/>
  <c r="AH68" i="73"/>
  <c r="AB68" i="73"/>
  <c r="AA68" i="73"/>
  <c r="Z68" i="73"/>
  <c r="AC68" i="73"/>
  <c r="O68" i="73"/>
  <c r="P68" i="73"/>
  <c r="Q68" i="73"/>
  <c r="V68" i="73"/>
  <c r="U68" i="73"/>
  <c r="R68" i="73"/>
  <c r="S68" i="73"/>
  <c r="T68" i="73"/>
  <c r="W68" i="73"/>
  <c r="Q68" i="53"/>
  <c r="X68" i="73"/>
  <c r="R68" i="53"/>
  <c r="BB68" i="53"/>
  <c r="BH68" i="53"/>
  <c r="AY68" i="53"/>
  <c r="BE68" i="53"/>
  <c r="BD68" i="53"/>
  <c r="AX68" i="53"/>
  <c r="BF68" i="53"/>
  <c r="AZ68" i="53"/>
  <c r="BA68" i="53"/>
  <c r="BG68" i="53"/>
  <c r="E68" i="73"/>
  <c r="F68" i="73"/>
  <c r="J68" i="73"/>
  <c r="G68" i="73"/>
  <c r="K68" i="73"/>
  <c r="AW68" i="53"/>
  <c r="C68" i="73"/>
  <c r="D68" i="73"/>
  <c r="H68" i="73"/>
  <c r="L68" i="73"/>
  <c r="I68" i="73"/>
  <c r="M68" i="73"/>
  <c r="BC68" i="53"/>
  <c r="AH33" i="50"/>
  <c r="AI33" i="50" s="1"/>
  <c r="AJ33" i="50" s="1"/>
  <c r="AK33" i="50" s="1"/>
  <c r="AL33" i="50" s="1"/>
  <c r="AM33" i="50" s="1"/>
  <c r="AH32" i="50"/>
  <c r="AI32" i="50" s="1"/>
  <c r="AJ32" i="50" s="1"/>
  <c r="AK32" i="50" s="1"/>
  <c r="AL32" i="50" s="1"/>
  <c r="AM32" i="50" s="1"/>
  <c r="AH29" i="50"/>
  <c r="AI29" i="50" s="1"/>
  <c r="AJ29" i="50" s="1"/>
  <c r="AK29" i="50" s="1"/>
  <c r="AL29" i="50" s="1"/>
  <c r="AM29" i="50" s="1"/>
  <c r="AA33" i="50"/>
  <c r="AB33" i="50" s="1"/>
  <c r="AC33" i="50" s="1"/>
  <c r="AD33" i="50" s="1"/>
  <c r="AE33" i="50" s="1"/>
  <c r="AF33" i="50" s="1"/>
  <c r="AA32" i="50"/>
  <c r="AB32" i="50" s="1"/>
  <c r="AC32" i="50" s="1"/>
  <c r="AD32" i="50" s="1"/>
  <c r="AE32" i="50" s="1"/>
  <c r="AF32" i="50" s="1"/>
  <c r="AA29" i="50"/>
  <c r="AB29" i="50" s="1"/>
  <c r="AC29" i="50" s="1"/>
  <c r="AD29" i="50" s="1"/>
  <c r="AE29" i="50" s="1"/>
  <c r="AF29" i="50" s="1"/>
  <c r="AC33" i="79" l="1"/>
  <c r="AD33" i="79"/>
  <c r="AE33" i="79"/>
  <c r="AC34" i="79"/>
  <c r="AD34" i="79"/>
  <c r="AE34" i="79"/>
  <c r="AC35" i="79"/>
  <c r="AD35" i="79"/>
  <c r="AE35" i="79"/>
  <c r="AB34" i="79"/>
  <c r="AB35" i="79"/>
  <c r="AB33" i="79"/>
  <c r="AB36" i="79" l="1"/>
  <c r="AC36" i="79"/>
  <c r="AD36" i="79"/>
  <c r="T147" i="67"/>
  <c r="T160" i="67"/>
  <c r="T173" i="67"/>
  <c r="E70" i="17" l="1"/>
  <c r="G50" i="17" s="1"/>
  <c r="E71" i="17"/>
  <c r="E69" i="17"/>
  <c r="F49" i="17" s="1"/>
  <c r="E50" i="17" l="1"/>
  <c r="D50" i="17"/>
  <c r="D49" i="17"/>
  <c r="H49" i="17"/>
  <c r="E49" i="17"/>
  <c r="F50" i="17"/>
  <c r="G49" i="17"/>
  <c r="H50" i="17"/>
  <c r="AA35" i="79"/>
  <c r="AA34" i="79"/>
  <c r="AA33" i="79"/>
  <c r="AE36" i="79"/>
  <c r="AA36" i="79" l="1"/>
  <c r="AB27" i="79" l="1"/>
  <c r="AC27" i="79"/>
  <c r="AD27" i="79"/>
  <c r="AE27" i="79"/>
  <c r="AB28" i="79"/>
  <c r="AC28" i="79"/>
  <c r="AD28" i="79"/>
  <c r="AE28" i="79"/>
  <c r="AB29" i="79"/>
  <c r="AC29" i="79"/>
  <c r="AD29" i="79"/>
  <c r="AE29" i="79"/>
  <c r="AA28" i="79"/>
  <c r="AA29" i="79"/>
  <c r="AA27" i="79"/>
  <c r="AB20" i="79"/>
  <c r="AC20" i="79"/>
  <c r="AD20" i="79"/>
  <c r="AE20" i="79"/>
  <c r="AA20" i="79"/>
  <c r="AB15" i="79"/>
  <c r="AC15" i="79"/>
  <c r="AD15" i="79"/>
  <c r="AE15" i="79"/>
  <c r="AB16" i="79"/>
  <c r="AC16" i="79"/>
  <c r="AD16" i="79"/>
  <c r="AE16" i="79"/>
  <c r="AB17" i="79"/>
  <c r="AC17" i="79"/>
  <c r="AD17" i="79"/>
  <c r="AE17" i="79"/>
  <c r="AA17" i="79"/>
  <c r="AA16" i="79"/>
  <c r="AA15" i="79"/>
  <c r="AA21" i="79"/>
  <c r="AA18" i="79"/>
  <c r="AI14" i="79" s="1"/>
  <c r="AN47" i="67"/>
  <c r="AO47" i="67"/>
  <c r="AP47" i="67"/>
  <c r="AQ47" i="67"/>
  <c r="AM51" i="67"/>
  <c r="AM50" i="67"/>
  <c r="AM47" i="67"/>
  <c r="AT4" i="67"/>
  <c r="AT9" i="67" s="1"/>
  <c r="AT14" i="67" s="1"/>
  <c r="AT19" i="67" s="1"/>
  <c r="AT24" i="67" s="1"/>
  <c r="AU4" i="67"/>
  <c r="AU9" i="67" s="1"/>
  <c r="AU14" i="67" s="1"/>
  <c r="AU19" i="67" s="1"/>
  <c r="AU24" i="67" s="1"/>
  <c r="AV4" i="67"/>
  <c r="AV9" i="67" s="1"/>
  <c r="AV14" i="67" s="1"/>
  <c r="AV19" i="67" s="1"/>
  <c r="AV24" i="67" s="1"/>
  <c r="AW4" i="67"/>
  <c r="AW9" i="67" s="1"/>
  <c r="AW14" i="67" s="1"/>
  <c r="AW19" i="67" s="1"/>
  <c r="AW24" i="67" s="1"/>
  <c r="AS4" i="67"/>
  <c r="AS9" i="67" s="1"/>
  <c r="AS14" i="67" s="1"/>
  <c r="AS19" i="67" s="1"/>
  <c r="AS24" i="67" s="1"/>
  <c r="T97" i="67"/>
  <c r="AL35" i="67" s="1"/>
  <c r="AS23" i="67" s="1"/>
  <c r="AL27" i="67"/>
  <c r="AS18" i="67" s="1"/>
  <c r="AL19" i="67"/>
  <c r="AL11" i="67"/>
  <c r="AL3" i="67"/>
  <c r="AE17" i="67"/>
  <c r="AD17" i="67"/>
  <c r="S159" i="67"/>
  <c r="S158" i="67"/>
  <c r="S157" i="67"/>
  <c r="S156" i="67"/>
  <c r="S155" i="67"/>
  <c r="S154" i="67"/>
  <c r="S153" i="67"/>
  <c r="S152" i="67"/>
  <c r="S151" i="67"/>
  <c r="S150" i="67"/>
  <c r="S172" i="67"/>
  <c r="S171" i="67"/>
  <c r="S170" i="67"/>
  <c r="S169" i="67"/>
  <c r="S168" i="67"/>
  <c r="S167" i="67"/>
  <c r="S166" i="67"/>
  <c r="S165" i="67"/>
  <c r="S164" i="67"/>
  <c r="S163" i="67"/>
  <c r="S146" i="67"/>
  <c r="S145" i="67"/>
  <c r="S143" i="67"/>
  <c r="S142" i="67"/>
  <c r="S141" i="67"/>
  <c r="S140" i="67"/>
  <c r="S139" i="67"/>
  <c r="S138" i="67"/>
  <c r="S144" i="67"/>
  <c r="S137" i="67"/>
  <c r="U59" i="67"/>
  <c r="V59" i="67"/>
  <c r="W59" i="67"/>
  <c r="X59" i="67"/>
  <c r="Y59" i="67"/>
  <c r="U61" i="67"/>
  <c r="V61" i="67"/>
  <c r="W61" i="67"/>
  <c r="X61" i="67"/>
  <c r="Y61" i="67"/>
  <c r="T61" i="67"/>
  <c r="T59" i="67"/>
  <c r="U38" i="67"/>
  <c r="V38" i="67"/>
  <c r="W38" i="67"/>
  <c r="X38" i="67"/>
  <c r="Y38" i="67"/>
  <c r="U40" i="67"/>
  <c r="V40" i="67"/>
  <c r="W40" i="67"/>
  <c r="X40" i="67"/>
  <c r="Y40" i="67"/>
  <c r="T40" i="67"/>
  <c r="T38" i="67"/>
  <c r="U19" i="67"/>
  <c r="V19" i="67"/>
  <c r="W19" i="67"/>
  <c r="X19" i="67"/>
  <c r="Y19" i="67"/>
  <c r="T19" i="67"/>
  <c r="U17" i="67"/>
  <c r="V17" i="67"/>
  <c r="W17" i="67"/>
  <c r="X17" i="67"/>
  <c r="Y17" i="67"/>
  <c r="T17" i="67"/>
  <c r="Y25" i="67"/>
  <c r="Y46" i="67" s="1"/>
  <c r="X25" i="67"/>
  <c r="X46" i="67" s="1"/>
  <c r="W25" i="67"/>
  <c r="W46" i="67" s="1"/>
  <c r="V25" i="67"/>
  <c r="V46" i="67" s="1"/>
  <c r="V77" i="67" s="1"/>
  <c r="V98" i="67" s="1"/>
  <c r="U25" i="67"/>
  <c r="U46" i="67" s="1"/>
  <c r="T25" i="67"/>
  <c r="T46" i="67" s="1"/>
  <c r="C40" i="67"/>
  <c r="C58" i="67" s="1"/>
  <c r="C82" i="67" s="1"/>
  <c r="C100" i="67" s="1"/>
  <c r="G58" i="67"/>
  <c r="F58" i="67"/>
  <c r="E58" i="67"/>
  <c r="D58" i="67"/>
  <c r="B58" i="67"/>
  <c r="G82" i="67"/>
  <c r="F82" i="67"/>
  <c r="E82" i="67"/>
  <c r="D82" i="67"/>
  <c r="B82" i="67"/>
  <c r="G40" i="67"/>
  <c r="G100" i="67" s="1"/>
  <c r="F40" i="67"/>
  <c r="F100" i="67" s="1"/>
  <c r="E40" i="67"/>
  <c r="E100" i="67" s="1"/>
  <c r="D40" i="67"/>
  <c r="D100" i="67" s="1"/>
  <c r="B40" i="67"/>
  <c r="B100" i="67" s="1"/>
  <c r="AI16" i="79" l="1"/>
  <c r="AC14" i="79"/>
  <c r="AB14" i="79"/>
  <c r="AE14" i="79"/>
  <c r="AD14" i="79"/>
  <c r="AA14" i="79"/>
  <c r="V128" i="67"/>
  <c r="X130" i="67"/>
  <c r="T128" i="67"/>
  <c r="T130" i="67"/>
  <c r="X128" i="67"/>
  <c r="V130" i="67"/>
  <c r="W128" i="67"/>
  <c r="Y130" i="67"/>
  <c r="U130" i="67"/>
  <c r="AA40" i="67"/>
  <c r="AA59" i="67"/>
  <c r="Y128" i="67"/>
  <c r="U128" i="67"/>
  <c r="W130" i="67"/>
  <c r="AA38" i="67"/>
  <c r="Z38" i="67"/>
  <c r="AA61" i="67"/>
  <c r="Z61" i="67"/>
  <c r="Z59" i="67"/>
  <c r="Z40" i="67"/>
  <c r="AA17" i="67"/>
  <c r="AA19" i="67"/>
  <c r="Z19" i="67"/>
  <c r="Z17" i="67"/>
  <c r="U115" i="67"/>
  <c r="U77" i="67"/>
  <c r="U98" i="67" s="1"/>
  <c r="Y115" i="67"/>
  <c r="Y77" i="67"/>
  <c r="Y98" i="67" s="1"/>
  <c r="T115" i="67"/>
  <c r="T77" i="67"/>
  <c r="T98" i="67" s="1"/>
  <c r="W115" i="67"/>
  <c r="W77" i="67"/>
  <c r="W98" i="67" s="1"/>
  <c r="X77" i="67"/>
  <c r="X98" i="67" s="1"/>
  <c r="X115" i="67"/>
  <c r="V115" i="67"/>
  <c r="AA130" i="67" l="1"/>
  <c r="AA128" i="67"/>
  <c r="Z128" i="67"/>
  <c r="Z130" i="67"/>
  <c r="J7" i="67" l="1"/>
  <c r="O5" i="67"/>
  <c r="O4" i="67"/>
  <c r="O6" i="67"/>
  <c r="O7" i="67" l="1"/>
  <c r="N7" i="67"/>
  <c r="M7" i="67"/>
  <c r="L7" i="67"/>
  <c r="K7" i="67"/>
  <c r="AH5" i="78" l="1"/>
  <c r="AH6" i="78"/>
  <c r="AH7" i="78"/>
  <c r="AH8" i="78"/>
  <c r="AH9" i="78"/>
  <c r="AH10" i="78"/>
  <c r="AH11" i="78"/>
  <c r="AH12" i="78"/>
  <c r="AH13" i="78"/>
  <c r="AH14" i="78"/>
  <c r="AH15" i="78"/>
  <c r="AH16" i="78"/>
  <c r="AH17" i="78"/>
  <c r="AH18" i="78"/>
  <c r="AH19" i="78"/>
  <c r="AH20" i="78"/>
  <c r="AH21" i="78"/>
  <c r="AH22" i="78"/>
  <c r="AH23" i="78"/>
  <c r="AH24" i="78"/>
  <c r="AH25" i="78"/>
  <c r="AH26" i="78"/>
  <c r="AH27" i="78"/>
  <c r="AH28" i="78"/>
  <c r="AH29" i="78"/>
  <c r="AH30" i="78"/>
  <c r="AH31" i="78"/>
  <c r="AH32" i="78"/>
  <c r="AH33" i="78"/>
  <c r="AH4" i="78"/>
  <c r="R47" i="79"/>
  <c r="S47" i="79"/>
  <c r="T47" i="79"/>
  <c r="U47" i="79"/>
  <c r="V47" i="79"/>
  <c r="R48" i="79"/>
  <c r="S48" i="79"/>
  <c r="T48" i="79"/>
  <c r="U48" i="79"/>
  <c r="V48" i="79"/>
  <c r="R49" i="79"/>
  <c r="S49" i="79"/>
  <c r="T49" i="79"/>
  <c r="U49" i="79"/>
  <c r="V49" i="79"/>
  <c r="R50" i="79"/>
  <c r="S50" i="79"/>
  <c r="T50" i="79"/>
  <c r="U50" i="79"/>
  <c r="V50" i="79"/>
  <c r="R51" i="79"/>
  <c r="S51" i="79"/>
  <c r="T51" i="79"/>
  <c r="U51" i="79"/>
  <c r="V51" i="79"/>
  <c r="R52" i="79"/>
  <c r="S52" i="79"/>
  <c r="T52" i="79"/>
  <c r="U52" i="79"/>
  <c r="V52" i="79"/>
  <c r="R53" i="79"/>
  <c r="S53" i="79"/>
  <c r="T53" i="79"/>
  <c r="U53" i="79"/>
  <c r="V53" i="79"/>
  <c r="R54" i="79"/>
  <c r="S54" i="79"/>
  <c r="T54" i="79"/>
  <c r="U54" i="79"/>
  <c r="V54" i="79"/>
  <c r="R55" i="79"/>
  <c r="S55" i="79"/>
  <c r="T55" i="79"/>
  <c r="U55" i="79"/>
  <c r="V55" i="79"/>
  <c r="Q48" i="79"/>
  <c r="Q49" i="79"/>
  <c r="Q50" i="79"/>
  <c r="Q51" i="79"/>
  <c r="Q52" i="79"/>
  <c r="Q53" i="79"/>
  <c r="Q54" i="79"/>
  <c r="Q55" i="79"/>
  <c r="Q47" i="79"/>
  <c r="R34" i="79"/>
  <c r="S34" i="79"/>
  <c r="T34" i="79"/>
  <c r="U34" i="79"/>
  <c r="V34" i="79"/>
  <c r="R35" i="79"/>
  <c r="S35" i="79"/>
  <c r="T35" i="79"/>
  <c r="U35" i="79"/>
  <c r="V35" i="79"/>
  <c r="R36" i="79"/>
  <c r="S36" i="79"/>
  <c r="T36" i="79"/>
  <c r="U36" i="79"/>
  <c r="V36" i="79"/>
  <c r="R37" i="79"/>
  <c r="S37" i="79"/>
  <c r="T37" i="79"/>
  <c r="U37" i="79"/>
  <c r="V37" i="79"/>
  <c r="R38" i="79"/>
  <c r="S38" i="79"/>
  <c r="T38" i="79"/>
  <c r="U38" i="79"/>
  <c r="V38" i="79"/>
  <c r="R39" i="79"/>
  <c r="S39" i="79"/>
  <c r="T39" i="79"/>
  <c r="U39" i="79"/>
  <c r="V39" i="79"/>
  <c r="R40" i="79"/>
  <c r="S40" i="79"/>
  <c r="T40" i="79"/>
  <c r="U40" i="79"/>
  <c r="V40" i="79"/>
  <c r="R41" i="79"/>
  <c r="S41" i="79"/>
  <c r="T41" i="79"/>
  <c r="U41" i="79"/>
  <c r="V41" i="79"/>
  <c r="R42" i="79"/>
  <c r="S42" i="79"/>
  <c r="T42" i="79"/>
  <c r="U42" i="79"/>
  <c r="V42" i="79"/>
  <c r="R43" i="79"/>
  <c r="S43" i="79"/>
  <c r="T43" i="79"/>
  <c r="U43" i="79"/>
  <c r="V43" i="79"/>
  <c r="R44" i="79"/>
  <c r="S44" i="79"/>
  <c r="T44" i="79"/>
  <c r="U44" i="79"/>
  <c r="V44" i="79"/>
  <c r="R45" i="79"/>
  <c r="S45" i="79"/>
  <c r="T45" i="79"/>
  <c r="U45" i="79"/>
  <c r="V45" i="79"/>
  <c r="Q35" i="79"/>
  <c r="Q36" i="79"/>
  <c r="Q37" i="79"/>
  <c r="Q38" i="79"/>
  <c r="Q39" i="79"/>
  <c r="Q40" i="79"/>
  <c r="Q41" i="79"/>
  <c r="Q42" i="79"/>
  <c r="Q43" i="79"/>
  <c r="Q44" i="79"/>
  <c r="Q45" i="79"/>
  <c r="Q34" i="79"/>
  <c r="T4" i="79"/>
  <c r="U4" i="79"/>
  <c r="V4" i="79"/>
  <c r="L17" i="78"/>
  <c r="M17" i="78"/>
  <c r="N17" i="78"/>
  <c r="O17" i="78"/>
  <c r="P17" i="78"/>
  <c r="Q17" i="78"/>
  <c r="R17" i="78"/>
  <c r="L21" i="78"/>
  <c r="M21" i="78"/>
  <c r="N21" i="78"/>
  <c r="O21" i="78"/>
  <c r="P21" i="78"/>
  <c r="Q21" i="78"/>
  <c r="R21" i="78"/>
  <c r="D64" i="78"/>
  <c r="E64" i="78"/>
  <c r="F64" i="78"/>
  <c r="G64" i="78"/>
  <c r="H64" i="78"/>
  <c r="C64" i="78"/>
  <c r="D59" i="78"/>
  <c r="E59" i="78"/>
  <c r="F59" i="78"/>
  <c r="G59" i="78"/>
  <c r="H59" i="78"/>
  <c r="D60" i="78"/>
  <c r="E60" i="78"/>
  <c r="F60" i="78"/>
  <c r="G60" i="78"/>
  <c r="H60" i="78"/>
  <c r="D61" i="78"/>
  <c r="E61" i="78"/>
  <c r="F61" i="78"/>
  <c r="G61" i="78"/>
  <c r="H61" i="78"/>
  <c r="C61" i="78"/>
  <c r="C60" i="78"/>
  <c r="C59" i="78"/>
  <c r="D21" i="78"/>
  <c r="E21" i="78"/>
  <c r="F21" i="78"/>
  <c r="G21" i="78"/>
  <c r="H21" i="78"/>
  <c r="D22" i="78"/>
  <c r="E22" i="78"/>
  <c r="F22" i="78"/>
  <c r="G22" i="78"/>
  <c r="H22" i="78"/>
  <c r="D23" i="78"/>
  <c r="E23" i="78"/>
  <c r="F23" i="78"/>
  <c r="G23" i="78"/>
  <c r="H23" i="78"/>
  <c r="D24" i="78"/>
  <c r="E24" i="78"/>
  <c r="F24" i="78"/>
  <c r="G24" i="78"/>
  <c r="H24" i="78"/>
  <c r="D25" i="78"/>
  <c r="E25" i="78"/>
  <c r="F25" i="78"/>
  <c r="G25" i="78"/>
  <c r="H25" i="78"/>
  <c r="D26" i="78"/>
  <c r="E26" i="78"/>
  <c r="F26" i="78"/>
  <c r="G26" i="78"/>
  <c r="H26" i="78"/>
  <c r="C22" i="78"/>
  <c r="C23" i="78"/>
  <c r="C24" i="78"/>
  <c r="C25" i="78"/>
  <c r="C26" i="78"/>
  <c r="C21" i="78"/>
  <c r="D20" i="78"/>
  <c r="E20" i="78"/>
  <c r="F20" i="78"/>
  <c r="G20" i="78"/>
  <c r="H20" i="78"/>
  <c r="C20" i="78"/>
  <c r="C19" i="78"/>
  <c r="D19" i="78"/>
  <c r="E19" i="78"/>
  <c r="F19" i="78"/>
  <c r="G19" i="78"/>
  <c r="H19" i="78"/>
  <c r="D15" i="78"/>
  <c r="E15" i="78"/>
  <c r="F15" i="78"/>
  <c r="G15" i="78"/>
  <c r="H15" i="78"/>
  <c r="D16" i="78"/>
  <c r="E16" i="78"/>
  <c r="F16" i="78"/>
  <c r="G16" i="78"/>
  <c r="H16" i="78"/>
  <c r="D17" i="78"/>
  <c r="E17" i="78"/>
  <c r="F17" i="78"/>
  <c r="G17" i="78"/>
  <c r="H17" i="78"/>
  <c r="D18" i="78"/>
  <c r="E18" i="78"/>
  <c r="F18" i="78"/>
  <c r="G18" i="78"/>
  <c r="H18" i="78"/>
  <c r="C16" i="78"/>
  <c r="C17" i="78"/>
  <c r="C18" i="78"/>
  <c r="C15" i="78"/>
  <c r="D8" i="78"/>
  <c r="E8" i="78"/>
  <c r="F8" i="78"/>
  <c r="G8" i="78"/>
  <c r="H8" i="78"/>
  <c r="D9" i="78"/>
  <c r="E9" i="78"/>
  <c r="F9" i="78"/>
  <c r="G9" i="78"/>
  <c r="H9" i="78"/>
  <c r="D10" i="78"/>
  <c r="E10" i="78"/>
  <c r="F10" i="78"/>
  <c r="G10" i="78"/>
  <c r="H10" i="78"/>
  <c r="D11" i="78"/>
  <c r="E11" i="78"/>
  <c r="F11" i="78"/>
  <c r="G11" i="78"/>
  <c r="H11" i="78"/>
  <c r="C9" i="78"/>
  <c r="C10" i="78"/>
  <c r="C11" i="78"/>
  <c r="C8" i="78"/>
  <c r="D7" i="78"/>
  <c r="E7" i="78"/>
  <c r="F7" i="78"/>
  <c r="G7" i="78"/>
  <c r="H7" i="78"/>
  <c r="C7" i="78"/>
  <c r="W51" i="79" l="1"/>
  <c r="W54" i="79"/>
  <c r="W50" i="79"/>
  <c r="W49" i="79"/>
  <c r="W55" i="79"/>
  <c r="W34" i="79"/>
  <c r="W47" i="79"/>
  <c r="X44" i="79"/>
  <c r="W44" i="79"/>
  <c r="X51" i="79"/>
  <c r="X42" i="79"/>
  <c r="W38" i="79"/>
  <c r="X55" i="79"/>
  <c r="X40" i="79"/>
  <c r="W40" i="79"/>
  <c r="X36" i="79"/>
  <c r="W36" i="79"/>
  <c r="X45" i="79"/>
  <c r="X47" i="79"/>
  <c r="W45" i="79"/>
  <c r="X41" i="79"/>
  <c r="W41" i="79"/>
  <c r="X37" i="79"/>
  <c r="W37" i="79"/>
  <c r="X43" i="79"/>
  <c r="W43" i="79"/>
  <c r="X39" i="79"/>
  <c r="W39" i="79"/>
  <c r="X35" i="79"/>
  <c r="W35" i="79"/>
  <c r="W42" i="79"/>
  <c r="X34" i="79"/>
  <c r="X38" i="79"/>
  <c r="X53" i="79"/>
  <c r="W53" i="79"/>
  <c r="X49" i="79"/>
  <c r="X52" i="79"/>
  <c r="W48" i="79"/>
  <c r="W52" i="79"/>
  <c r="X48" i="79"/>
  <c r="X54" i="79"/>
  <c r="X50" i="79"/>
  <c r="W14" i="79"/>
  <c r="W7" i="79"/>
  <c r="W6" i="79"/>
  <c r="X5" i="79"/>
  <c r="X11" i="79"/>
  <c r="X14" i="79"/>
  <c r="W12" i="79"/>
  <c r="X13" i="79"/>
  <c r="W11" i="79"/>
  <c r="W5" i="79"/>
  <c r="X12" i="79"/>
  <c r="X6" i="79"/>
  <c r="W13" i="79"/>
  <c r="X7" i="79"/>
  <c r="AW94" i="53" l="1"/>
  <c r="BH94" i="53"/>
  <c r="BG94" i="53"/>
  <c r="BF94" i="53"/>
  <c r="BE94" i="53"/>
  <c r="BB94" i="53"/>
  <c r="BA94" i="53"/>
  <c r="AZ94" i="53"/>
  <c r="AY94" i="53"/>
  <c r="AX94" i="53"/>
  <c r="Y94" i="73"/>
  <c r="Z94" i="73"/>
  <c r="AA94" i="73"/>
  <c r="AB94" i="73"/>
  <c r="AC94" i="73"/>
  <c r="AD94" i="73"/>
  <c r="AE94" i="73"/>
  <c r="AF94" i="73"/>
  <c r="AG94" i="73"/>
  <c r="AH94" i="73"/>
  <c r="AI94" i="73"/>
  <c r="N94" i="73"/>
  <c r="O94" i="73"/>
  <c r="P94" i="73"/>
  <c r="Q94" i="73"/>
  <c r="R94" i="73"/>
  <c r="S94" i="73"/>
  <c r="T94" i="73"/>
  <c r="U94" i="73"/>
  <c r="V94" i="73"/>
  <c r="W94" i="73"/>
  <c r="X94" i="73"/>
  <c r="C94" i="73"/>
  <c r="D94" i="73"/>
  <c r="E94" i="73"/>
  <c r="F94" i="73"/>
  <c r="G94" i="73"/>
  <c r="H94" i="73"/>
  <c r="I94" i="73"/>
  <c r="J94" i="73"/>
  <c r="K94" i="73"/>
  <c r="L94" i="73"/>
  <c r="M94" i="73"/>
  <c r="Y94" i="53"/>
  <c r="Z94" i="53"/>
  <c r="Q94" i="53"/>
  <c r="R94" i="53"/>
  <c r="I94" i="53"/>
  <c r="J94" i="53"/>
  <c r="C27" i="60"/>
  <c r="BD94" i="53" l="1"/>
  <c r="BC94" i="53"/>
  <c r="L44" i="2"/>
  <c r="K44" i="2"/>
  <c r="L43" i="2"/>
  <c r="K43" i="2"/>
  <c r="L42" i="2"/>
  <c r="K42" i="2"/>
  <c r="L41" i="2"/>
  <c r="K41" i="2"/>
  <c r="L40" i="2"/>
  <c r="K40" i="2"/>
  <c r="L38" i="2"/>
  <c r="K38" i="2"/>
  <c r="L37" i="2"/>
  <c r="K37" i="2"/>
  <c r="L36" i="2"/>
  <c r="K36" i="2"/>
  <c r="L35" i="2"/>
  <c r="K35" i="2"/>
  <c r="L34" i="2"/>
  <c r="K34" i="2"/>
  <c r="L33" i="2"/>
  <c r="K33" i="2"/>
  <c r="L32" i="2"/>
  <c r="K32" i="2"/>
  <c r="L31" i="2"/>
  <c r="K31" i="2"/>
  <c r="L30" i="2"/>
  <c r="K30" i="2"/>
  <c r="L29" i="2"/>
  <c r="K29" i="2"/>
  <c r="L28" i="2"/>
  <c r="K28" i="2"/>
  <c r="L27" i="2"/>
  <c r="K27" i="2"/>
  <c r="L26" i="2"/>
  <c r="K26" i="2"/>
  <c r="L25" i="2"/>
  <c r="K25" i="2"/>
  <c r="L24" i="2"/>
  <c r="K24" i="2"/>
  <c r="L23" i="2"/>
  <c r="K23" i="2"/>
  <c r="L22" i="2"/>
  <c r="K22" i="2"/>
  <c r="L21" i="2"/>
  <c r="K21" i="2"/>
  <c r="L20" i="2"/>
  <c r="K20" i="2"/>
  <c r="L17" i="2"/>
  <c r="K17" i="2"/>
  <c r="L16" i="2"/>
  <c r="K16" i="2"/>
  <c r="L15" i="2"/>
  <c r="K15" i="2"/>
  <c r="L14" i="2"/>
  <c r="K14" i="2"/>
  <c r="L13" i="2"/>
  <c r="K13" i="2"/>
  <c r="L12" i="2"/>
  <c r="K12" i="2"/>
  <c r="P49" i="1"/>
  <c r="O49" i="1"/>
  <c r="N49" i="1"/>
  <c r="M49" i="1"/>
  <c r="L49" i="1"/>
  <c r="K49" i="1"/>
  <c r="P44" i="1"/>
  <c r="O44" i="1"/>
  <c r="N44" i="1"/>
  <c r="M44" i="1"/>
  <c r="L44" i="1"/>
  <c r="K44" i="1"/>
  <c r="P39" i="1"/>
  <c r="O39" i="1"/>
  <c r="N39" i="1"/>
  <c r="M39" i="1"/>
  <c r="L39" i="1"/>
  <c r="K39" i="1"/>
  <c r="P34" i="1"/>
  <c r="O34" i="1"/>
  <c r="N34" i="1"/>
  <c r="M34" i="1"/>
  <c r="L34" i="1"/>
  <c r="K34" i="1"/>
  <c r="AM58" i="50"/>
  <c r="AL58" i="50"/>
  <c r="AK58" i="50"/>
  <c r="AJ58" i="50"/>
  <c r="AI58" i="50"/>
  <c r="AH58" i="50"/>
  <c r="AM57" i="50"/>
  <c r="AL57" i="50"/>
  <c r="AK57" i="50"/>
  <c r="AJ57" i="50"/>
  <c r="AI57" i="50"/>
  <c r="AH57" i="50"/>
  <c r="AM54" i="50"/>
  <c r="AL54" i="50"/>
  <c r="AK54" i="50"/>
  <c r="AJ54" i="50"/>
  <c r="AI54" i="50"/>
  <c r="AH54" i="50"/>
  <c r="E25" i="2" l="1"/>
  <c r="AB20" i="78" s="1"/>
  <c r="H82" i="1"/>
  <c r="G82" i="1"/>
  <c r="G83" i="1"/>
  <c r="H83" i="1"/>
  <c r="K79" i="74"/>
  <c r="J79" i="74"/>
  <c r="I79" i="74"/>
  <c r="H79" i="74"/>
  <c r="K46" i="74"/>
  <c r="J46" i="74"/>
  <c r="I46" i="74"/>
  <c r="H46" i="74"/>
  <c r="K10" i="74"/>
  <c r="J10" i="74"/>
  <c r="I10" i="74"/>
  <c r="H10" i="74"/>
  <c r="H25" i="2" l="1"/>
  <c r="AE20" i="78" s="1"/>
  <c r="G25" i="2"/>
  <c r="AU12" i="60"/>
  <c r="AT12" i="60"/>
  <c r="AP12" i="60"/>
  <c r="AQ12" i="60"/>
  <c r="AR12" i="60"/>
  <c r="AO12" i="60"/>
  <c r="AN12" i="60"/>
  <c r="AM12" i="60"/>
  <c r="AM13" i="60"/>
  <c r="AR26" i="60"/>
  <c r="AQ26" i="60"/>
  <c r="AP26" i="60"/>
  <c r="AO26" i="60"/>
  <c r="AN26" i="60"/>
  <c r="AM26" i="60"/>
  <c r="S25" i="2" l="1"/>
  <c r="AD20" i="78"/>
  <c r="AS26" i="60"/>
  <c r="AS12" i="60"/>
  <c r="C24" i="7"/>
  <c r="H91" i="39"/>
  <c r="H90" i="39"/>
  <c r="H89" i="39"/>
  <c r="G91" i="39"/>
  <c r="G90" i="39"/>
  <c r="G89" i="39"/>
  <c r="F91" i="39"/>
  <c r="F90" i="39"/>
  <c r="F89" i="39"/>
  <c r="E91" i="39"/>
  <c r="E90" i="39"/>
  <c r="E89" i="39"/>
  <c r="D91" i="39"/>
  <c r="D90" i="39"/>
  <c r="D89" i="39"/>
  <c r="E90" i="1" l="1"/>
  <c r="F93" i="1"/>
  <c r="F98" i="1"/>
  <c r="F103" i="1"/>
  <c r="E93" i="1"/>
  <c r="E98" i="1"/>
  <c r="E103" i="1"/>
  <c r="J24" i="7" l="1"/>
  <c r="J43" i="2" l="1"/>
  <c r="I43" i="2"/>
  <c r="H43" i="2"/>
  <c r="G43" i="2"/>
  <c r="F43" i="2"/>
  <c r="E43" i="2"/>
  <c r="AB40" i="78" s="1"/>
  <c r="AG39" i="78"/>
  <c r="AF39" i="78"/>
  <c r="AE39" i="78"/>
  <c r="AD39" i="78"/>
  <c r="AC39" i="78"/>
  <c r="AB39" i="78"/>
  <c r="J36" i="2"/>
  <c r="I36" i="2"/>
  <c r="H36" i="2"/>
  <c r="G36" i="2"/>
  <c r="F36" i="2"/>
  <c r="E36" i="2"/>
  <c r="AB31" i="78" s="1"/>
  <c r="J35" i="2"/>
  <c r="AG30" i="78" s="1"/>
  <c r="I35" i="2"/>
  <c r="AF30" i="78" s="1"/>
  <c r="H35" i="2"/>
  <c r="AE30" i="78" s="1"/>
  <c r="G35" i="2"/>
  <c r="AD30" i="78" s="1"/>
  <c r="F35" i="2"/>
  <c r="AC30" i="78" s="1"/>
  <c r="E35" i="2"/>
  <c r="AB30" i="78" s="1"/>
  <c r="J33" i="2"/>
  <c r="AG28" i="78" s="1"/>
  <c r="I33" i="2"/>
  <c r="AF28" i="78" s="1"/>
  <c r="H33" i="2"/>
  <c r="AE28" i="78" s="1"/>
  <c r="G33" i="2"/>
  <c r="AD28" i="78" s="1"/>
  <c r="F33" i="2"/>
  <c r="AC28" i="78" s="1"/>
  <c r="E33" i="2"/>
  <c r="AB28" i="78" s="1"/>
  <c r="J32" i="2"/>
  <c r="AG27" i="78" s="1"/>
  <c r="I32" i="2"/>
  <c r="AF27" i="78" s="1"/>
  <c r="H32" i="2"/>
  <c r="AE27" i="78" s="1"/>
  <c r="G32" i="2"/>
  <c r="AD27" i="78" s="1"/>
  <c r="F32" i="2"/>
  <c r="AC27" i="78" s="1"/>
  <c r="E32" i="2"/>
  <c r="AB27" i="78" s="1"/>
  <c r="E31" i="2"/>
  <c r="AB26" i="78" s="1"/>
  <c r="J27" i="2"/>
  <c r="I27" i="2"/>
  <c r="H27" i="2"/>
  <c r="G27" i="2"/>
  <c r="F27" i="2"/>
  <c r="E27" i="2"/>
  <c r="AB22" i="78" s="1"/>
  <c r="J26" i="2"/>
  <c r="I26" i="2"/>
  <c r="H26" i="2"/>
  <c r="G26" i="2"/>
  <c r="F26" i="2"/>
  <c r="E26" i="2"/>
  <c r="AB21" i="78" s="1"/>
  <c r="J20" i="2"/>
  <c r="I20" i="2"/>
  <c r="H20" i="2"/>
  <c r="G20" i="2"/>
  <c r="F20" i="2"/>
  <c r="E20" i="2"/>
  <c r="AB15" i="78" s="1"/>
  <c r="J17" i="2"/>
  <c r="AG12" i="78" s="1"/>
  <c r="I17" i="2"/>
  <c r="AF12" i="78" s="1"/>
  <c r="H17" i="2"/>
  <c r="AE12" i="78" s="1"/>
  <c r="G17" i="2"/>
  <c r="AD12" i="78" s="1"/>
  <c r="F17" i="2"/>
  <c r="AC12" i="78" s="1"/>
  <c r="E17" i="2"/>
  <c r="AB12" i="78" s="1"/>
  <c r="J16" i="2"/>
  <c r="AG11" i="78" s="1"/>
  <c r="I16" i="2"/>
  <c r="AF11" i="78" s="1"/>
  <c r="H16" i="2"/>
  <c r="AE11" i="78" s="1"/>
  <c r="G16" i="2"/>
  <c r="AD11" i="78" s="1"/>
  <c r="F16" i="2"/>
  <c r="AC11" i="78" s="1"/>
  <c r="E16" i="2"/>
  <c r="AB11" i="78" s="1"/>
  <c r="J12" i="2"/>
  <c r="AG7" i="78" s="1"/>
  <c r="I12" i="2"/>
  <c r="AF7" i="78" s="1"/>
  <c r="H12" i="2"/>
  <c r="AE7" i="78" s="1"/>
  <c r="G12" i="2"/>
  <c r="AD7" i="78" s="1"/>
  <c r="F12" i="2"/>
  <c r="AC7" i="78" s="1"/>
  <c r="E12" i="2"/>
  <c r="AB7" i="78" s="1"/>
  <c r="D33" i="65"/>
  <c r="C42" i="78" s="1"/>
  <c r="O10" i="39"/>
  <c r="D112" i="74"/>
  <c r="K122" i="74"/>
  <c r="J122" i="74"/>
  <c r="I122" i="74"/>
  <c r="H122" i="74"/>
  <c r="G122" i="74"/>
  <c r="F125" i="74"/>
  <c r="E125" i="74"/>
  <c r="D125" i="74"/>
  <c r="F124" i="74"/>
  <c r="E124" i="74"/>
  <c r="D124" i="74"/>
  <c r="F121" i="74"/>
  <c r="E121" i="74"/>
  <c r="D121" i="74"/>
  <c r="D120" i="74"/>
  <c r="F120" i="74"/>
  <c r="E120" i="74"/>
  <c r="F119" i="74"/>
  <c r="E119" i="74"/>
  <c r="D119" i="74"/>
  <c r="F118" i="74"/>
  <c r="E118" i="74"/>
  <c r="D118" i="74"/>
  <c r="F117" i="74"/>
  <c r="E117" i="74"/>
  <c r="D117" i="74"/>
  <c r="F116" i="74"/>
  <c r="E116" i="74"/>
  <c r="F112" i="74"/>
  <c r="E112" i="74"/>
  <c r="D110" i="74"/>
  <c r="D116" i="74"/>
  <c r="F115" i="74"/>
  <c r="E115" i="74"/>
  <c r="D115" i="74"/>
  <c r="F114" i="74"/>
  <c r="E114" i="74"/>
  <c r="D114" i="74"/>
  <c r="F113" i="74"/>
  <c r="E113" i="74"/>
  <c r="D113" i="74"/>
  <c r="F111" i="74"/>
  <c r="E111" i="74"/>
  <c r="D111" i="74"/>
  <c r="F110" i="74"/>
  <c r="E110" i="74"/>
  <c r="AD40" i="78" l="1"/>
  <c r="R43" i="2"/>
  <c r="AE40" i="78"/>
  <c r="S43" i="2"/>
  <c r="AF40" i="78"/>
  <c r="T43" i="2"/>
  <c r="AC40" i="78"/>
  <c r="Q43" i="2"/>
  <c r="AG40" i="78"/>
  <c r="U43" i="2"/>
  <c r="AF15" i="78"/>
  <c r="T20" i="2"/>
  <c r="AD21" i="78"/>
  <c r="R26" i="2"/>
  <c r="AF22" i="78"/>
  <c r="T27" i="2"/>
  <c r="AE31" i="78"/>
  <c r="S36" i="2"/>
  <c r="J21" i="2"/>
  <c r="V21" i="2" s="1"/>
  <c r="F21" i="2"/>
  <c r="AC16" i="78" s="1"/>
  <c r="AC15" i="78"/>
  <c r="Q20" i="2"/>
  <c r="AG15" i="78"/>
  <c r="V20" i="2"/>
  <c r="U20" i="2"/>
  <c r="AE21" i="78"/>
  <c r="S26" i="2"/>
  <c r="AC22" i="78"/>
  <c r="Q27" i="2"/>
  <c r="AG22" i="78"/>
  <c r="U27" i="2"/>
  <c r="V27" i="2"/>
  <c r="AF31" i="78"/>
  <c r="T36" i="2"/>
  <c r="AD15" i="78"/>
  <c r="R20" i="2"/>
  <c r="AF21" i="78"/>
  <c r="T26" i="2"/>
  <c r="AD22" i="78"/>
  <c r="R27" i="2"/>
  <c r="AC31" i="78"/>
  <c r="Q36" i="2"/>
  <c r="AG31" i="78"/>
  <c r="V36" i="2"/>
  <c r="U36" i="2"/>
  <c r="AE15" i="78"/>
  <c r="S20" i="2"/>
  <c r="AC21" i="78"/>
  <c r="Q26" i="2"/>
  <c r="AG21" i="78"/>
  <c r="V26" i="2"/>
  <c r="U26" i="2"/>
  <c r="AE22" i="78"/>
  <c r="S27" i="2"/>
  <c r="AD31" i="78"/>
  <c r="R36" i="2"/>
  <c r="E21" i="2"/>
  <c r="AB16" i="78" s="1"/>
  <c r="G21" i="2"/>
  <c r="AD16" i="78" s="1"/>
  <c r="I21" i="2"/>
  <c r="AF16" i="78" s="1"/>
  <c r="H21" i="2"/>
  <c r="AP72" i="60"/>
  <c r="AP73" i="60"/>
  <c r="AP77" i="60"/>
  <c r="AP76" i="60"/>
  <c r="AN142" i="41"/>
  <c r="AM145" i="41"/>
  <c r="AN146" i="41"/>
  <c r="AN141" i="41"/>
  <c r="V1" i="2"/>
  <c r="AL293" i="50"/>
  <c r="AL290" i="50"/>
  <c r="AL294" i="50"/>
  <c r="AL289" i="50"/>
  <c r="AG16" i="78" l="1"/>
  <c r="U21" i="2"/>
  <c r="Q21" i="2"/>
  <c r="R21" i="2"/>
  <c r="AE16" i="78"/>
  <c r="S21" i="2"/>
  <c r="T21" i="2"/>
  <c r="I100" i="65"/>
  <c r="H100" i="65"/>
  <c r="G100" i="65"/>
  <c r="F100" i="65"/>
  <c r="E100" i="65"/>
  <c r="D100" i="65"/>
  <c r="C71" i="78" s="1"/>
  <c r="D56" i="65"/>
  <c r="C58" i="78" s="1"/>
  <c r="D55" i="65"/>
  <c r="C57" i="78" s="1"/>
  <c r="D51" i="65"/>
  <c r="C53" i="78" s="1"/>
  <c r="D50" i="65"/>
  <c r="C52" i="78" s="1"/>
  <c r="F74" i="74"/>
  <c r="E74" i="74"/>
  <c r="D74" i="74"/>
  <c r="D24" i="65"/>
  <c r="D23" i="65"/>
  <c r="D22" i="65"/>
  <c r="AC23" i="79" l="1"/>
  <c r="F71" i="78"/>
  <c r="AD23" i="79"/>
  <c r="G71" i="78"/>
  <c r="AE23" i="79"/>
  <c r="H71" i="78"/>
  <c r="AA23" i="79"/>
  <c r="D71" i="78"/>
  <c r="AB23" i="79"/>
  <c r="E71" i="78"/>
  <c r="E14" i="21"/>
  <c r="E15" i="21"/>
  <c r="AN51" i="67" s="1"/>
  <c r="C8" i="21"/>
  <c r="D12" i="21" s="1"/>
  <c r="D8" i="20"/>
  <c r="E52" i="47"/>
  <c r="E51" i="47"/>
  <c r="E48" i="47"/>
  <c r="E47" i="47"/>
  <c r="G7" i="47"/>
  <c r="F7" i="47"/>
  <c r="E7" i="47"/>
  <c r="D7" i="47"/>
  <c r="C7" i="47"/>
  <c r="B7" i="47"/>
  <c r="G16" i="47"/>
  <c r="AI5" i="67" s="1"/>
  <c r="F16" i="47"/>
  <c r="AH5" i="67" s="1"/>
  <c r="E16" i="47"/>
  <c r="AG5" i="67" s="1"/>
  <c r="D16" i="47"/>
  <c r="AF5" i="67" s="1"/>
  <c r="C16" i="47"/>
  <c r="AE5" i="67" s="1"/>
  <c r="B16" i="47"/>
  <c r="AD5" i="67" s="1"/>
  <c r="B9" i="47"/>
  <c r="H9" i="60"/>
  <c r="G9" i="60"/>
  <c r="F9" i="60"/>
  <c r="E9" i="60"/>
  <c r="D9" i="60"/>
  <c r="C9" i="60"/>
  <c r="K7" i="74"/>
  <c r="J7" i="74"/>
  <c r="I7" i="74"/>
  <c r="H7" i="74"/>
  <c r="G7" i="74"/>
  <c r="F7" i="74"/>
  <c r="H56" i="39"/>
  <c r="G56" i="39"/>
  <c r="F56" i="39"/>
  <c r="E56" i="39"/>
  <c r="D56" i="39"/>
  <c r="C56" i="39"/>
  <c r="H44" i="39"/>
  <c r="G44" i="39"/>
  <c r="F44" i="39"/>
  <c r="E44" i="39"/>
  <c r="D44" i="39"/>
  <c r="C44" i="39"/>
  <c r="H21" i="39"/>
  <c r="G21" i="39"/>
  <c r="F21" i="39"/>
  <c r="E21" i="39"/>
  <c r="D21" i="39"/>
  <c r="C21" i="39"/>
  <c r="H9" i="39"/>
  <c r="G9" i="39"/>
  <c r="F9" i="39"/>
  <c r="E9" i="39"/>
  <c r="D9" i="39"/>
  <c r="C9" i="39"/>
  <c r="AR132" i="41"/>
  <c r="AQ132" i="41"/>
  <c r="AP132" i="41"/>
  <c r="AO132" i="41"/>
  <c r="AN132" i="41"/>
  <c r="AL132" i="41"/>
  <c r="AR131" i="41"/>
  <c r="AQ131" i="41"/>
  <c r="AP131" i="41"/>
  <c r="AO131" i="41"/>
  <c r="AR130" i="41"/>
  <c r="AQ130" i="41"/>
  <c r="AP130" i="41"/>
  <c r="AO130" i="41"/>
  <c r="AN130" i="41"/>
  <c r="AL130" i="41"/>
  <c r="L9" i="41"/>
  <c r="K9" i="41"/>
  <c r="J9" i="41"/>
  <c r="I9" i="41"/>
  <c r="H9" i="41"/>
  <c r="G9" i="41"/>
  <c r="F9" i="41"/>
  <c r="I8" i="7"/>
  <c r="I36" i="7" s="1"/>
  <c r="H8" i="7"/>
  <c r="G8" i="7"/>
  <c r="F8" i="7"/>
  <c r="E8" i="7"/>
  <c r="E36" i="7" s="1"/>
  <c r="D8" i="7"/>
  <c r="C8" i="7"/>
  <c r="C58" i="7" s="1"/>
  <c r="A4" i="7"/>
  <c r="AL48" i="7"/>
  <c r="AL52" i="7" s="1"/>
  <c r="AL37" i="7"/>
  <c r="AL41" i="7" s="1"/>
  <c r="AL38" i="7"/>
  <c r="AR75" i="7"/>
  <c r="AQ75" i="7"/>
  <c r="AP75" i="7"/>
  <c r="AO75" i="7"/>
  <c r="AN75" i="7"/>
  <c r="AM75" i="7"/>
  <c r="AM70" i="7"/>
  <c r="AF70" i="7"/>
  <c r="Y70" i="7"/>
  <c r="R70" i="7"/>
  <c r="K70" i="7"/>
  <c r="D70" i="7"/>
  <c r="AR64" i="7"/>
  <c r="AQ64" i="7"/>
  <c r="AP64" i="7"/>
  <c r="AO64" i="7"/>
  <c r="AN64" i="7"/>
  <c r="AM64" i="7"/>
  <c r="AM59" i="7"/>
  <c r="AF59" i="7"/>
  <c r="Y59" i="7"/>
  <c r="R59" i="7"/>
  <c r="K59" i="7"/>
  <c r="D59" i="7"/>
  <c r="AE54" i="7"/>
  <c r="AF48" i="7" s="1"/>
  <c r="X54" i="7"/>
  <c r="Y48" i="7" s="1"/>
  <c r="Y54" i="7" s="1"/>
  <c r="Z48" i="7" s="1"/>
  <c r="Z54" i="7" s="1"/>
  <c r="AA48" i="7" s="1"/>
  <c r="AA54" i="7" s="1"/>
  <c r="AB48" i="7" s="1"/>
  <c r="Q54" i="7"/>
  <c r="R48" i="7" s="1"/>
  <c r="J54" i="7"/>
  <c r="K48" i="7" s="1"/>
  <c r="K54" i="7" s="1"/>
  <c r="L48" i="7" s="1"/>
  <c r="C54" i="7"/>
  <c r="D48" i="7" s="1"/>
  <c r="AK53" i="7"/>
  <c r="AJ53" i="7"/>
  <c r="AI53" i="7"/>
  <c r="AH53" i="7"/>
  <c r="AG53" i="7"/>
  <c r="AF53" i="7"/>
  <c r="AE53" i="7"/>
  <c r="AD53" i="7"/>
  <c r="AC53" i="7"/>
  <c r="AB53" i="7"/>
  <c r="AA53" i="7"/>
  <c r="Z53" i="7"/>
  <c r="Y53" i="7"/>
  <c r="X53" i="7"/>
  <c r="W53" i="7"/>
  <c r="V53" i="7"/>
  <c r="U53" i="7"/>
  <c r="T53" i="7"/>
  <c r="S53" i="7"/>
  <c r="R53" i="7"/>
  <c r="Q53" i="7"/>
  <c r="P53" i="7"/>
  <c r="O53" i="7"/>
  <c r="N53" i="7"/>
  <c r="M53" i="7"/>
  <c r="L53" i="7"/>
  <c r="K53" i="7"/>
  <c r="J53" i="7"/>
  <c r="I53" i="7"/>
  <c r="H53" i="7"/>
  <c r="G53" i="7"/>
  <c r="F53" i="7"/>
  <c r="E53" i="7"/>
  <c r="D53" i="7"/>
  <c r="C53" i="7"/>
  <c r="AE52" i="7"/>
  <c r="X52" i="7"/>
  <c r="Q52" i="7"/>
  <c r="J52" i="7"/>
  <c r="C52" i="7"/>
  <c r="AR51" i="7"/>
  <c r="AQ51" i="7"/>
  <c r="AP51" i="7"/>
  <c r="AO51" i="7"/>
  <c r="AN51" i="7"/>
  <c r="AM51" i="7"/>
  <c r="AL51" i="7"/>
  <c r="AR50" i="7"/>
  <c r="AQ50" i="7"/>
  <c r="AP50" i="7"/>
  <c r="AO50" i="7"/>
  <c r="AN50" i="7"/>
  <c r="AM50" i="7"/>
  <c r="AL50" i="7"/>
  <c r="AR49" i="7"/>
  <c r="AQ49" i="7"/>
  <c r="AP49" i="7"/>
  <c r="AO49" i="7"/>
  <c r="AN49" i="7"/>
  <c r="AM49" i="7"/>
  <c r="AL49" i="7"/>
  <c r="AE43" i="7"/>
  <c r="AF37" i="7" s="1"/>
  <c r="AF43" i="7" s="1"/>
  <c r="AG37" i="7" s="1"/>
  <c r="C73" i="49" s="1"/>
  <c r="X43" i="7"/>
  <c r="Y37" i="7" s="1"/>
  <c r="Q43" i="7"/>
  <c r="R37" i="7" s="1"/>
  <c r="R43" i="7" s="1"/>
  <c r="S37" i="7" s="1"/>
  <c r="C45" i="49" s="1"/>
  <c r="J43" i="7"/>
  <c r="K37" i="7" s="1"/>
  <c r="C43" i="7"/>
  <c r="D37" i="7" s="1"/>
  <c r="D43" i="7" s="1"/>
  <c r="E37" i="7" s="1"/>
  <c r="C17" i="49" s="1"/>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I42" i="7"/>
  <c r="H42" i="7"/>
  <c r="G42" i="7"/>
  <c r="F42" i="7"/>
  <c r="E42" i="7"/>
  <c r="D42" i="7"/>
  <c r="C42" i="7"/>
  <c r="AE41" i="7"/>
  <c r="X41" i="7"/>
  <c r="Q41" i="7"/>
  <c r="J41" i="7"/>
  <c r="C41" i="7"/>
  <c r="AR40" i="7"/>
  <c r="AQ40" i="7"/>
  <c r="AP40" i="7"/>
  <c r="AO40" i="7"/>
  <c r="AN40" i="7"/>
  <c r="AM40" i="7"/>
  <c r="AL40" i="7"/>
  <c r="AR39" i="7"/>
  <c r="AQ39" i="7"/>
  <c r="AP39" i="7"/>
  <c r="AO39" i="7"/>
  <c r="AN39" i="7"/>
  <c r="AM39" i="7"/>
  <c r="AL39" i="7"/>
  <c r="AR38" i="7"/>
  <c r="AQ38" i="7"/>
  <c r="AP38" i="7"/>
  <c r="AO38" i="7"/>
  <c r="AN38" i="7"/>
  <c r="AM38" i="7"/>
  <c r="AE24" i="7"/>
  <c r="X24" i="7"/>
  <c r="Q24" i="7"/>
  <c r="N8" i="7"/>
  <c r="G58" i="7"/>
  <c r="E8" i="20" l="1"/>
  <c r="D9" i="20"/>
  <c r="AL43" i="7"/>
  <c r="AM37" i="7" s="1"/>
  <c r="F35" i="47"/>
  <c r="F34" i="47" s="1"/>
  <c r="AH8" i="67" s="1"/>
  <c r="AL24" i="7"/>
  <c r="F14" i="21"/>
  <c r="AN50" i="67"/>
  <c r="B8" i="47"/>
  <c r="AD4" i="67"/>
  <c r="AD6" i="67" s="1"/>
  <c r="AO53" i="7"/>
  <c r="D35" i="47"/>
  <c r="D34" i="47" s="1"/>
  <c r="AF8" i="67" s="1"/>
  <c r="F15" i="21"/>
  <c r="E12" i="21"/>
  <c r="AM48" i="67"/>
  <c r="J8" i="7"/>
  <c r="J58" i="7" s="1"/>
  <c r="AM42" i="7"/>
  <c r="AQ42" i="7"/>
  <c r="AN42" i="7"/>
  <c r="AR42" i="7"/>
  <c r="AL53" i="7"/>
  <c r="AP53" i="7"/>
  <c r="AM53" i="7"/>
  <c r="AQ53" i="7"/>
  <c r="AL42" i="7"/>
  <c r="AP42" i="7"/>
  <c r="AN53" i="7"/>
  <c r="AR53" i="7"/>
  <c r="AL54" i="7"/>
  <c r="AM48" i="7" s="1"/>
  <c r="AM52" i="7" s="1"/>
  <c r="B35" i="47"/>
  <c r="B34" i="47" s="1"/>
  <c r="AD8" i="67" s="1"/>
  <c r="R41" i="7"/>
  <c r="C35" i="47"/>
  <c r="C34" i="47" s="1"/>
  <c r="AE8" i="67" s="1"/>
  <c r="G35" i="47"/>
  <c r="G34" i="47" s="1"/>
  <c r="AI8" i="67" s="1"/>
  <c r="Y52" i="7"/>
  <c r="K52" i="7"/>
  <c r="E35" i="47"/>
  <c r="E34" i="47" s="1"/>
  <c r="AG8" i="67" s="1"/>
  <c r="D13" i="21"/>
  <c r="P8" i="7"/>
  <c r="W8" i="7" s="1"/>
  <c r="E58" i="7"/>
  <c r="L8" i="7"/>
  <c r="L36" i="7" s="1"/>
  <c r="E69" i="7"/>
  <c r="E47" i="7"/>
  <c r="F36" i="7"/>
  <c r="F58" i="7"/>
  <c r="M8" i="7"/>
  <c r="E43" i="7"/>
  <c r="E41" i="7"/>
  <c r="AG43" i="7"/>
  <c r="AG41" i="7"/>
  <c r="AO42" i="7"/>
  <c r="D41" i="7"/>
  <c r="AF41" i="7"/>
  <c r="K43" i="7"/>
  <c r="L37" i="7" s="1"/>
  <c r="C31" i="49" s="1"/>
  <c r="K41" i="7"/>
  <c r="I47" i="7"/>
  <c r="I69" i="7"/>
  <c r="D58" i="7"/>
  <c r="D36" i="7"/>
  <c r="K8" i="7"/>
  <c r="H58" i="7"/>
  <c r="H36" i="7"/>
  <c r="O8" i="7"/>
  <c r="N36" i="7"/>
  <c r="N58" i="7"/>
  <c r="U8" i="7"/>
  <c r="S43" i="7"/>
  <c r="S41" i="7"/>
  <c r="AM43" i="7"/>
  <c r="AN37" i="7" s="1"/>
  <c r="AM41" i="7"/>
  <c r="Y43" i="7"/>
  <c r="Z37" i="7" s="1"/>
  <c r="C59" i="49" s="1"/>
  <c r="Y41" i="7"/>
  <c r="AB54" i="7"/>
  <c r="AC48" i="7" s="1"/>
  <c r="AB52" i="7"/>
  <c r="L54" i="7"/>
  <c r="M48" i="7" s="1"/>
  <c r="L52" i="7"/>
  <c r="AF54" i="7"/>
  <c r="AG48" i="7" s="1"/>
  <c r="AF52" i="7"/>
  <c r="G36" i="7"/>
  <c r="D54" i="7"/>
  <c r="E48" i="7" s="1"/>
  <c r="D52" i="7"/>
  <c r="I58" i="7"/>
  <c r="R54" i="7"/>
  <c r="S48" i="7" s="1"/>
  <c r="R52" i="7"/>
  <c r="C36" i="7"/>
  <c r="AA52" i="7"/>
  <c r="Z52" i="7"/>
  <c r="F8" i="20" l="1"/>
  <c r="E9" i="20"/>
  <c r="J36" i="7"/>
  <c r="J69" i="7" s="1"/>
  <c r="L58" i="7"/>
  <c r="Q8" i="7"/>
  <c r="Q36" i="7" s="1"/>
  <c r="AH37" i="7"/>
  <c r="D73" i="49" s="1"/>
  <c r="C74" i="49"/>
  <c r="T37" i="7"/>
  <c r="D45" i="49" s="1"/>
  <c r="C46" i="49"/>
  <c r="F37" i="7"/>
  <c r="D17" i="49" s="1"/>
  <c r="C18" i="49"/>
  <c r="C16" i="49" s="1"/>
  <c r="G15" i="21"/>
  <c r="AO51" i="67"/>
  <c r="G14" i="21"/>
  <c r="AO50" i="67"/>
  <c r="D16" i="21"/>
  <c r="AM52" i="67" s="1"/>
  <c r="AM49" i="67"/>
  <c r="F12" i="21"/>
  <c r="AN48" i="67"/>
  <c r="AM54" i="7"/>
  <c r="AN48" i="7" s="1"/>
  <c r="AN54" i="7" s="1"/>
  <c r="AO48" i="7" s="1"/>
  <c r="P36" i="7"/>
  <c r="P69" i="7" s="1"/>
  <c r="E13" i="21"/>
  <c r="P58" i="7"/>
  <c r="S8" i="7"/>
  <c r="Z8" i="7" s="1"/>
  <c r="S54" i="7"/>
  <c r="T48" i="7" s="1"/>
  <c r="S52" i="7"/>
  <c r="L69" i="7"/>
  <c r="L47" i="7"/>
  <c r="M58" i="7"/>
  <c r="T8" i="7"/>
  <c r="M36" i="7"/>
  <c r="W58" i="7"/>
  <c r="W36" i="7"/>
  <c r="AD8" i="7"/>
  <c r="AG54" i="7"/>
  <c r="AH48" i="7" s="1"/>
  <c r="AG52" i="7"/>
  <c r="AC54" i="7"/>
  <c r="AD48" i="7" s="1"/>
  <c r="AC52" i="7"/>
  <c r="AN43" i="7"/>
  <c r="AO37" i="7" s="1"/>
  <c r="AN41" i="7"/>
  <c r="N69" i="7"/>
  <c r="N47" i="7"/>
  <c r="K58" i="7"/>
  <c r="K36" i="7"/>
  <c r="R8" i="7"/>
  <c r="P47" i="7"/>
  <c r="L43" i="7"/>
  <c r="L41" i="7"/>
  <c r="E54" i="7"/>
  <c r="F48" i="7" s="1"/>
  <c r="E52" i="7"/>
  <c r="O58" i="7"/>
  <c r="O36" i="7"/>
  <c r="V8" i="7"/>
  <c r="D69" i="7"/>
  <c r="D47" i="7"/>
  <c r="F69" i="7"/>
  <c r="F47" i="7"/>
  <c r="C69" i="7"/>
  <c r="C47" i="7"/>
  <c r="G69" i="7"/>
  <c r="G47" i="7"/>
  <c r="M54" i="7"/>
  <c r="N48" i="7" s="1"/>
  <c r="M52" i="7"/>
  <c r="Z43" i="7"/>
  <c r="Z41" i="7"/>
  <c r="U58" i="7"/>
  <c r="U36" i="7"/>
  <c r="AB8" i="7"/>
  <c r="H69" i="7"/>
  <c r="H47" i="7"/>
  <c r="J47" i="7"/>
  <c r="T43" i="7" l="1"/>
  <c r="AN52" i="7"/>
  <c r="AH43" i="7"/>
  <c r="AI37" i="7" s="1"/>
  <c r="E73" i="49" s="1"/>
  <c r="G8" i="20"/>
  <c r="F9" i="20"/>
  <c r="F41" i="7"/>
  <c r="F43" i="7"/>
  <c r="G37" i="7" s="1"/>
  <c r="AH41" i="7"/>
  <c r="Q58" i="7"/>
  <c r="X8" i="7"/>
  <c r="X36" i="7" s="1"/>
  <c r="T41" i="7"/>
  <c r="AA37" i="7"/>
  <c r="D59" i="49" s="1"/>
  <c r="C60" i="49"/>
  <c r="U37" i="7"/>
  <c r="E45" i="49" s="1"/>
  <c r="D46" i="49"/>
  <c r="H15" i="21"/>
  <c r="AQ51" i="67" s="1"/>
  <c r="AP51" i="67"/>
  <c r="M37" i="7"/>
  <c r="D31" i="49" s="1"/>
  <c r="C32" i="49"/>
  <c r="C30" i="49" s="1"/>
  <c r="H14" i="21"/>
  <c r="AQ50" i="67" s="1"/>
  <c r="AP50" i="67"/>
  <c r="F13" i="21"/>
  <c r="AO49" i="67" s="1"/>
  <c r="AN49" i="67"/>
  <c r="G12" i="21"/>
  <c r="AO48" i="67"/>
  <c r="E16" i="21"/>
  <c r="AN52" i="67" s="1"/>
  <c r="S36" i="7"/>
  <c r="S69" i="7" s="1"/>
  <c r="S58" i="7"/>
  <c r="Q47" i="7"/>
  <c r="Q69" i="7"/>
  <c r="AD36" i="7"/>
  <c r="AD58" i="7"/>
  <c r="AK8" i="7"/>
  <c r="T58" i="7"/>
  <c r="T36" i="7"/>
  <c r="AA8" i="7"/>
  <c r="O69" i="7"/>
  <c r="O47" i="7"/>
  <c r="F54" i="7"/>
  <c r="G48" i="7" s="1"/>
  <c r="F52" i="7"/>
  <c r="AD54" i="7"/>
  <c r="AD52" i="7"/>
  <c r="W69" i="7"/>
  <c r="W47" i="7"/>
  <c r="N54" i="7"/>
  <c r="O48" i="7" s="1"/>
  <c r="Z36" i="7"/>
  <c r="Z58" i="7"/>
  <c r="AG8" i="7"/>
  <c r="V36" i="7"/>
  <c r="V58" i="7"/>
  <c r="AC8" i="7"/>
  <c r="K69" i="7"/>
  <c r="K47" i="7"/>
  <c r="AB58" i="7"/>
  <c r="AB36" i="7"/>
  <c r="AI8" i="7"/>
  <c r="U69" i="7"/>
  <c r="U47" i="7"/>
  <c r="AO54" i="7"/>
  <c r="AP48" i="7" s="1"/>
  <c r="AO52" i="7"/>
  <c r="M43" i="7"/>
  <c r="R36" i="7"/>
  <c r="R58" i="7"/>
  <c r="Y8" i="7"/>
  <c r="AO43" i="7"/>
  <c r="AP37" i="7" s="1"/>
  <c r="AO41" i="7"/>
  <c r="AH54" i="7"/>
  <c r="AI48" i="7" s="1"/>
  <c r="AH52" i="7"/>
  <c r="M69" i="7"/>
  <c r="M47" i="7"/>
  <c r="T54" i="7"/>
  <c r="U48" i="7" s="1"/>
  <c r="T52" i="7"/>
  <c r="N52" i="7" l="1"/>
  <c r="D18" i="49"/>
  <c r="D74" i="49"/>
  <c r="AA41" i="7"/>
  <c r="U43" i="7"/>
  <c r="V37" i="7" s="1"/>
  <c r="F45" i="49" s="1"/>
  <c r="AA43" i="7"/>
  <c r="D60" i="49" s="1"/>
  <c r="AI43" i="7"/>
  <c r="E74" i="49" s="1"/>
  <c r="E17" i="49"/>
  <c r="G41" i="7"/>
  <c r="H8" i="20"/>
  <c r="H9" i="20" s="1"/>
  <c r="G9" i="20"/>
  <c r="M41" i="7"/>
  <c r="U41" i="7"/>
  <c r="AI41" i="7"/>
  <c r="G43" i="7"/>
  <c r="E18" i="49" s="1"/>
  <c r="X58" i="7"/>
  <c r="AE8" i="7"/>
  <c r="AL8" i="7" s="1"/>
  <c r="S47" i="7"/>
  <c r="H37" i="7"/>
  <c r="F17" i="49" s="1"/>
  <c r="N37" i="7"/>
  <c r="E31" i="49" s="1"/>
  <c r="D32" i="49"/>
  <c r="D30" i="49" s="1"/>
  <c r="F16" i="21"/>
  <c r="AO52" i="67" s="1"/>
  <c r="G13" i="21"/>
  <c r="AP49" i="67" s="1"/>
  <c r="H12" i="21"/>
  <c r="AQ48" i="67" s="1"/>
  <c r="AP48" i="67"/>
  <c r="R69" i="7"/>
  <c r="R47" i="7"/>
  <c r="AP43" i="7"/>
  <c r="AQ37" i="7" s="1"/>
  <c r="AP41" i="7"/>
  <c r="Z69" i="7"/>
  <c r="Z47" i="7"/>
  <c r="AK58" i="7"/>
  <c r="AR8" i="7"/>
  <c r="AK36" i="7"/>
  <c r="AP54" i="7"/>
  <c r="AQ48" i="7" s="1"/>
  <c r="AB69" i="7"/>
  <c r="AB47" i="7"/>
  <c r="U54" i="7"/>
  <c r="V48" i="7" s="1"/>
  <c r="X69" i="7"/>
  <c r="X47" i="7"/>
  <c r="G54" i="7"/>
  <c r="H48" i="7" s="1"/>
  <c r="AA58" i="7"/>
  <c r="AA36" i="7"/>
  <c r="AH8" i="7"/>
  <c r="V69" i="7"/>
  <c r="V47" i="7"/>
  <c r="Y36" i="7"/>
  <c r="Y58" i="7"/>
  <c r="AF8" i="7"/>
  <c r="AC58" i="7"/>
  <c r="AC36" i="7"/>
  <c r="AJ8" i="7"/>
  <c r="AI54" i="7"/>
  <c r="AJ48" i="7" s="1"/>
  <c r="AI52" i="7"/>
  <c r="AI58" i="7"/>
  <c r="AI36" i="7"/>
  <c r="AP8" i="7"/>
  <c r="AG58" i="7"/>
  <c r="AG36" i="7"/>
  <c r="AN8" i="7"/>
  <c r="O54" i="7"/>
  <c r="P48" i="7" s="1"/>
  <c r="T69" i="7"/>
  <c r="T47" i="7"/>
  <c r="AD69" i="7"/>
  <c r="AD47" i="7"/>
  <c r="U52" i="7" l="1"/>
  <c r="O52" i="7"/>
  <c r="G52" i="7"/>
  <c r="AP52" i="7"/>
  <c r="AJ37" i="7"/>
  <c r="F73" i="49" s="1"/>
  <c r="AB37" i="7"/>
  <c r="E59" i="49" s="1"/>
  <c r="E46" i="49"/>
  <c r="AE36" i="7"/>
  <c r="AE69" i="7" s="1"/>
  <c r="N43" i="7"/>
  <c r="O37" i="7" s="1"/>
  <c r="F31" i="49" s="1"/>
  <c r="H43" i="7"/>
  <c r="I37" i="7" s="1"/>
  <c r="G17" i="49" s="1"/>
  <c r="AE58" i="7"/>
  <c r="H41" i="7"/>
  <c r="AJ43" i="7"/>
  <c r="AK37" i="7" s="1"/>
  <c r="AJ41" i="7"/>
  <c r="N41" i="7"/>
  <c r="V43" i="7"/>
  <c r="V41" i="7"/>
  <c r="AB41" i="7"/>
  <c r="G16" i="21"/>
  <c r="AP52" i="67" s="1"/>
  <c r="H13" i="21"/>
  <c r="AQ49" i="67" s="1"/>
  <c r="AJ58" i="7"/>
  <c r="AJ36" i="7"/>
  <c r="AQ8" i="7"/>
  <c r="Y47" i="7"/>
  <c r="Y69" i="7"/>
  <c r="AH36" i="7"/>
  <c r="AH58" i="7"/>
  <c r="AO8" i="7"/>
  <c r="AK69" i="7"/>
  <c r="AK47" i="7"/>
  <c r="AJ54" i="7"/>
  <c r="AK48" i="7" s="1"/>
  <c r="AJ52" i="7"/>
  <c r="AC69" i="7"/>
  <c r="AC47" i="7"/>
  <c r="AA69" i="7"/>
  <c r="AA47" i="7"/>
  <c r="V54" i="7"/>
  <c r="W48" i="7" s="1"/>
  <c r="V52" i="7"/>
  <c r="AR58" i="7"/>
  <c r="AR36" i="7"/>
  <c r="P54" i="7"/>
  <c r="P52" i="7" s="1"/>
  <c r="AP36" i="7"/>
  <c r="AP58" i="7"/>
  <c r="AF58" i="7"/>
  <c r="AF36" i="7"/>
  <c r="AM8" i="7"/>
  <c r="H54" i="7"/>
  <c r="I48" i="7" s="1"/>
  <c r="AL58" i="7"/>
  <c r="AL36" i="7"/>
  <c r="AQ43" i="7"/>
  <c r="AR37" i="7" s="1"/>
  <c r="AQ41" i="7"/>
  <c r="AG69" i="7"/>
  <c r="AG47" i="7"/>
  <c r="AN36" i="7"/>
  <c r="AN58" i="7"/>
  <c r="AI69" i="7"/>
  <c r="AI47" i="7"/>
  <c r="AQ54" i="7"/>
  <c r="AR48" i="7" s="1"/>
  <c r="AQ52" i="7" l="1"/>
  <c r="H52" i="7"/>
  <c r="AB43" i="7"/>
  <c r="AE47" i="7"/>
  <c r="E32" i="49"/>
  <c r="F18" i="49"/>
  <c r="F74" i="49"/>
  <c r="G73" i="49"/>
  <c r="AK43" i="7"/>
  <c r="G74" i="49" s="1"/>
  <c r="O41" i="7"/>
  <c r="I43" i="7"/>
  <c r="G18" i="49" s="1"/>
  <c r="AK41" i="7"/>
  <c r="I41" i="7"/>
  <c r="O43" i="7"/>
  <c r="F32" i="49" s="1"/>
  <c r="W37" i="7"/>
  <c r="F46" i="49"/>
  <c r="AC37" i="7"/>
  <c r="E60" i="49"/>
  <c r="H16" i="21"/>
  <c r="AQ52" i="67" s="1"/>
  <c r="AN69" i="7"/>
  <c r="AN47" i="7"/>
  <c r="AQ58" i="7"/>
  <c r="AQ36" i="7"/>
  <c r="AF69" i="7"/>
  <c r="AF47" i="7"/>
  <c r="AR69" i="7"/>
  <c r="AR47" i="7"/>
  <c r="AH69" i="7"/>
  <c r="AH47" i="7"/>
  <c r="AJ69" i="7"/>
  <c r="AJ47" i="7"/>
  <c r="AR41" i="7"/>
  <c r="AR43" i="7"/>
  <c r="AM58" i="7"/>
  <c r="AM36" i="7"/>
  <c r="AR54" i="7"/>
  <c r="AR52" i="7" s="1"/>
  <c r="AL69" i="7"/>
  <c r="AL47" i="7"/>
  <c r="I54" i="7"/>
  <c r="I52" i="7" s="1"/>
  <c r="AP69" i="7"/>
  <c r="AP47" i="7"/>
  <c r="W54" i="7"/>
  <c r="W52" i="7" s="1"/>
  <c r="AK54" i="7"/>
  <c r="AK52" i="7"/>
  <c r="AO58" i="7"/>
  <c r="AO36" i="7"/>
  <c r="P37" i="7" l="1"/>
  <c r="G31" i="49" s="1"/>
  <c r="F59" i="49"/>
  <c r="AC43" i="7"/>
  <c r="AC41" i="7"/>
  <c r="G45" i="49"/>
  <c r="W43" i="7"/>
  <c r="G46" i="49" s="1"/>
  <c r="W41" i="7"/>
  <c r="AQ69" i="7"/>
  <c r="AQ47" i="7"/>
  <c r="AM69" i="7"/>
  <c r="AM47" i="7"/>
  <c r="AO47" i="7"/>
  <c r="AO69" i="7"/>
  <c r="P41" i="7" l="1"/>
  <c r="P43" i="7"/>
  <c r="G32" i="49" s="1"/>
  <c r="AD37" i="7"/>
  <c r="F60" i="49"/>
  <c r="G114" i="41"/>
  <c r="AK15" i="7"/>
  <c r="AJ15" i="7"/>
  <c r="AI15" i="7"/>
  <c r="AH15" i="7"/>
  <c r="AG15" i="7"/>
  <c r="AF15" i="7"/>
  <c r="AE15" i="7"/>
  <c r="X16" i="7"/>
  <c r="AD15" i="7"/>
  <c r="AC15" i="7"/>
  <c r="AB15" i="7"/>
  <c r="AA15" i="7"/>
  <c r="Z15" i="7"/>
  <c r="Y15" i="7"/>
  <c r="X15" i="7"/>
  <c r="E144" i="41"/>
  <c r="I39" i="67" s="1"/>
  <c r="E143" i="41"/>
  <c r="I36" i="67" s="1"/>
  <c r="E142" i="41"/>
  <c r="I33" i="67" s="1"/>
  <c r="I6" i="67" s="1"/>
  <c r="E141" i="41"/>
  <c r="I30" i="67" s="1"/>
  <c r="I5" i="67" s="1"/>
  <c r="E140" i="41"/>
  <c r="I27" i="67" s="1"/>
  <c r="I4" i="67" s="1"/>
  <c r="L123" i="41"/>
  <c r="K123" i="41"/>
  <c r="J123" i="41"/>
  <c r="I123" i="41"/>
  <c r="H123" i="41"/>
  <c r="G123" i="41"/>
  <c r="F123" i="41"/>
  <c r="L122" i="41"/>
  <c r="K122" i="41"/>
  <c r="J122" i="41"/>
  <c r="I122" i="41"/>
  <c r="H122" i="41"/>
  <c r="G122" i="41"/>
  <c r="F122" i="41"/>
  <c r="L121" i="41"/>
  <c r="K121" i="41"/>
  <c r="J121" i="41"/>
  <c r="I121" i="41"/>
  <c r="H121" i="41"/>
  <c r="G121" i="41"/>
  <c r="F121" i="41"/>
  <c r="L120" i="41"/>
  <c r="K120" i="41"/>
  <c r="J120" i="41"/>
  <c r="I120" i="41"/>
  <c r="H120" i="41"/>
  <c r="G120" i="41"/>
  <c r="F120" i="41"/>
  <c r="L119" i="41"/>
  <c r="K119" i="41"/>
  <c r="J119" i="41"/>
  <c r="I119" i="41"/>
  <c r="H119" i="41"/>
  <c r="G119" i="41"/>
  <c r="F119" i="41"/>
  <c r="L118" i="41"/>
  <c r="K118" i="41"/>
  <c r="J118" i="41"/>
  <c r="I118" i="41"/>
  <c r="H118" i="41"/>
  <c r="G118" i="41"/>
  <c r="F118" i="41"/>
  <c r="L117" i="41"/>
  <c r="K117" i="41"/>
  <c r="J117" i="41"/>
  <c r="I117" i="41"/>
  <c r="H117" i="41"/>
  <c r="G117" i="41"/>
  <c r="F117" i="41"/>
  <c r="L116" i="41"/>
  <c r="K116" i="41"/>
  <c r="J116" i="41"/>
  <c r="I116" i="41"/>
  <c r="H116" i="41"/>
  <c r="G116" i="41"/>
  <c r="F116" i="41"/>
  <c r="L115" i="41"/>
  <c r="K115" i="41"/>
  <c r="J115" i="41"/>
  <c r="I115" i="41"/>
  <c r="H115" i="41"/>
  <c r="G115" i="41"/>
  <c r="F115" i="41"/>
  <c r="L114" i="41"/>
  <c r="K114" i="41"/>
  <c r="J114" i="41"/>
  <c r="I114" i="41"/>
  <c r="H114" i="41"/>
  <c r="F114" i="41"/>
  <c r="L113" i="41"/>
  <c r="K113" i="41"/>
  <c r="J113" i="41"/>
  <c r="I113" i="41"/>
  <c r="H113" i="41"/>
  <c r="G113" i="41"/>
  <c r="F113" i="41"/>
  <c r="L112" i="41"/>
  <c r="K112" i="41"/>
  <c r="J112" i="41"/>
  <c r="I112" i="41"/>
  <c r="H112" i="41"/>
  <c r="G112" i="41"/>
  <c r="F112" i="41"/>
  <c r="L111" i="41"/>
  <c r="K111" i="41"/>
  <c r="J111" i="41"/>
  <c r="I111" i="41"/>
  <c r="H111" i="41"/>
  <c r="G111" i="41"/>
  <c r="F111" i="41"/>
  <c r="L110" i="41"/>
  <c r="K110" i="41"/>
  <c r="J110" i="41"/>
  <c r="I110" i="41"/>
  <c r="H110" i="41"/>
  <c r="G110" i="41"/>
  <c r="F110" i="41"/>
  <c r="L109" i="41"/>
  <c r="K109" i="41"/>
  <c r="J109" i="41"/>
  <c r="I109" i="41"/>
  <c r="H109" i="41"/>
  <c r="G109" i="41"/>
  <c r="F109" i="41"/>
  <c r="L108" i="41"/>
  <c r="K108" i="41"/>
  <c r="J108" i="41"/>
  <c r="I108" i="41"/>
  <c r="H108" i="41"/>
  <c r="G108" i="41"/>
  <c r="F108" i="41"/>
  <c r="L107" i="41"/>
  <c r="K107" i="41"/>
  <c r="J107" i="41"/>
  <c r="I107" i="41"/>
  <c r="H107" i="41"/>
  <c r="G107" i="41"/>
  <c r="F107" i="41"/>
  <c r="L106" i="41"/>
  <c r="K106" i="41"/>
  <c r="J106" i="41"/>
  <c r="I106" i="41"/>
  <c r="H106" i="41"/>
  <c r="G106" i="41"/>
  <c r="F106" i="41"/>
  <c r="L105" i="41"/>
  <c r="K105" i="41"/>
  <c r="J105" i="41"/>
  <c r="I105" i="41"/>
  <c r="H105" i="41"/>
  <c r="G105" i="41"/>
  <c r="F105" i="41"/>
  <c r="L104" i="41"/>
  <c r="K104" i="41"/>
  <c r="J104" i="41"/>
  <c r="I104" i="41"/>
  <c r="H104" i="41"/>
  <c r="G104" i="41"/>
  <c r="F104" i="41"/>
  <c r="L103" i="41"/>
  <c r="K103" i="41"/>
  <c r="J103" i="41"/>
  <c r="I103" i="41"/>
  <c r="H103" i="41"/>
  <c r="G103" i="41"/>
  <c r="F103" i="41"/>
  <c r="L102" i="41"/>
  <c r="K102" i="41"/>
  <c r="J102" i="41"/>
  <c r="I102" i="41"/>
  <c r="H102" i="41"/>
  <c r="G102" i="41"/>
  <c r="F102" i="41"/>
  <c r="L101" i="41"/>
  <c r="K101" i="41"/>
  <c r="J101" i="41"/>
  <c r="I101" i="41"/>
  <c r="H101" i="41"/>
  <c r="G101" i="41"/>
  <c r="F101" i="41"/>
  <c r="L100" i="41"/>
  <c r="K100" i="41"/>
  <c r="J100" i="41"/>
  <c r="I100" i="41"/>
  <c r="H100" i="41"/>
  <c r="G100" i="41"/>
  <c r="F100" i="41"/>
  <c r="AH99" i="41"/>
  <c r="AH144" i="41" s="1"/>
  <c r="AG99" i="41"/>
  <c r="AG144" i="41" s="1"/>
  <c r="AF99" i="41"/>
  <c r="AF144" i="41" s="1"/>
  <c r="AE99" i="41"/>
  <c r="AE144" i="41" s="1"/>
  <c r="AD99" i="41"/>
  <c r="AD144" i="41" s="1"/>
  <c r="AC99" i="41"/>
  <c r="AC144" i="41" s="1"/>
  <c r="AB99" i="41"/>
  <c r="AB144" i="41" s="1"/>
  <c r="AA99" i="41"/>
  <c r="AA144" i="41" s="1"/>
  <c r="Z99" i="41"/>
  <c r="Z144" i="41" s="1"/>
  <c r="Y99" i="41"/>
  <c r="Y144" i="41" s="1"/>
  <c r="X99" i="41"/>
  <c r="X144" i="41" s="1"/>
  <c r="W99" i="41"/>
  <c r="W144" i="41" s="1"/>
  <c r="V99" i="41"/>
  <c r="V144" i="41" s="1"/>
  <c r="U99" i="41"/>
  <c r="U144" i="41" s="1"/>
  <c r="T99" i="41"/>
  <c r="T144" i="41" s="1"/>
  <c r="S99" i="41"/>
  <c r="S144" i="41" s="1"/>
  <c r="S157" i="41" s="1"/>
  <c r="AJ18" i="7" s="1"/>
  <c r="R99" i="41"/>
  <c r="R144" i="41" s="1"/>
  <c r="Q99" i="41"/>
  <c r="Q144" i="41" s="1"/>
  <c r="P99" i="41"/>
  <c r="P144" i="41" s="1"/>
  <c r="O99" i="41"/>
  <c r="O144" i="41" s="1"/>
  <c r="O157" i="41" s="1"/>
  <c r="AF18" i="7" s="1"/>
  <c r="N99" i="41"/>
  <c r="N144" i="41" s="1"/>
  <c r="L97" i="41"/>
  <c r="K97" i="41"/>
  <c r="J97" i="41"/>
  <c r="I97" i="41"/>
  <c r="H97" i="41"/>
  <c r="G97" i="41"/>
  <c r="F97" i="41"/>
  <c r="L96" i="41"/>
  <c r="K96" i="41"/>
  <c r="J96" i="41"/>
  <c r="I96" i="41"/>
  <c r="H96" i="41"/>
  <c r="G96" i="41"/>
  <c r="F96" i="41"/>
  <c r="L95" i="41"/>
  <c r="K95" i="41"/>
  <c r="J95" i="41"/>
  <c r="I95" i="41"/>
  <c r="H95" i="41"/>
  <c r="G95" i="41"/>
  <c r="F95" i="41"/>
  <c r="L94" i="41"/>
  <c r="K94" i="41"/>
  <c r="J94" i="41"/>
  <c r="I94" i="41"/>
  <c r="H94" i="41"/>
  <c r="G94" i="41"/>
  <c r="F94" i="41"/>
  <c r="L93" i="41"/>
  <c r="K93" i="41"/>
  <c r="J93" i="41"/>
  <c r="I93" i="41"/>
  <c r="H93" i="41"/>
  <c r="G93" i="41"/>
  <c r="F93" i="41"/>
  <c r="L92" i="41"/>
  <c r="K92" i="41"/>
  <c r="J92" i="41"/>
  <c r="I92" i="41"/>
  <c r="H92" i="41"/>
  <c r="G92" i="41"/>
  <c r="F92" i="41"/>
  <c r="L91" i="41"/>
  <c r="K91" i="41"/>
  <c r="J91" i="41"/>
  <c r="I91" i="41"/>
  <c r="H91" i="41"/>
  <c r="G91" i="41"/>
  <c r="F91" i="41"/>
  <c r="L90" i="41"/>
  <c r="K90" i="41"/>
  <c r="J90" i="41"/>
  <c r="I90" i="41"/>
  <c r="H90" i="41"/>
  <c r="G90" i="41"/>
  <c r="F90" i="41"/>
  <c r="L89" i="41"/>
  <c r="K89" i="41"/>
  <c r="J89" i="41"/>
  <c r="I89" i="41"/>
  <c r="H89" i="41"/>
  <c r="G89" i="41"/>
  <c r="F89" i="41"/>
  <c r="L88" i="41"/>
  <c r="K88" i="41"/>
  <c r="J88" i="41"/>
  <c r="I88" i="41"/>
  <c r="H88" i="41"/>
  <c r="G88" i="41"/>
  <c r="F88" i="41"/>
  <c r="L87" i="41"/>
  <c r="K87" i="41"/>
  <c r="J87" i="41"/>
  <c r="I87" i="41"/>
  <c r="H87" i="41"/>
  <c r="G87" i="41"/>
  <c r="F87" i="41"/>
  <c r="L86" i="41"/>
  <c r="K86" i="41"/>
  <c r="J86" i="41"/>
  <c r="I86" i="41"/>
  <c r="H86" i="41"/>
  <c r="G86" i="41"/>
  <c r="F86" i="41"/>
  <c r="L85" i="41"/>
  <c r="K85" i="41"/>
  <c r="J85" i="41"/>
  <c r="I85" i="41"/>
  <c r="H85" i="41"/>
  <c r="G85" i="41"/>
  <c r="F85" i="41"/>
  <c r="L84" i="41"/>
  <c r="K84" i="41"/>
  <c r="J84" i="41"/>
  <c r="I84" i="41"/>
  <c r="H84" i="41"/>
  <c r="G84" i="41"/>
  <c r="F84" i="41"/>
  <c r="L83" i="41"/>
  <c r="K83" i="41"/>
  <c r="J83" i="41"/>
  <c r="I83" i="41"/>
  <c r="H83" i="41"/>
  <c r="G83" i="41"/>
  <c r="F83" i="41"/>
  <c r="L82" i="41"/>
  <c r="K82" i="41"/>
  <c r="J82" i="41"/>
  <c r="I82" i="41"/>
  <c r="H82" i="41"/>
  <c r="G82" i="41"/>
  <c r="F82" i="41"/>
  <c r="L81" i="41"/>
  <c r="K81" i="41"/>
  <c r="J81" i="41"/>
  <c r="I81" i="41"/>
  <c r="H81" i="41"/>
  <c r="G81" i="41"/>
  <c r="F81" i="41"/>
  <c r="L80" i="41"/>
  <c r="K80" i="41"/>
  <c r="J80" i="41"/>
  <c r="I80" i="41"/>
  <c r="H80" i="41"/>
  <c r="G80" i="41"/>
  <c r="F80" i="41"/>
  <c r="L79" i="41"/>
  <c r="K79" i="41"/>
  <c r="J79" i="41"/>
  <c r="I79" i="41"/>
  <c r="H79" i="41"/>
  <c r="G79" i="41"/>
  <c r="F79" i="41"/>
  <c r="L78" i="41"/>
  <c r="K78" i="41"/>
  <c r="J78" i="41"/>
  <c r="I78" i="41"/>
  <c r="H78" i="41"/>
  <c r="G78" i="41"/>
  <c r="F78" i="41"/>
  <c r="L77" i="41"/>
  <c r="K77" i="41"/>
  <c r="J77" i="41"/>
  <c r="I77" i="41"/>
  <c r="H77" i="41"/>
  <c r="G77" i="41"/>
  <c r="F77" i="41"/>
  <c r="L76" i="41"/>
  <c r="K76" i="41"/>
  <c r="J76" i="41"/>
  <c r="I76" i="41"/>
  <c r="H76" i="41"/>
  <c r="G76" i="41"/>
  <c r="F76" i="41"/>
  <c r="L75" i="41"/>
  <c r="K75" i="41"/>
  <c r="J75" i="41"/>
  <c r="I75" i="41"/>
  <c r="H75" i="41"/>
  <c r="G75" i="41"/>
  <c r="F75" i="41"/>
  <c r="L74" i="41"/>
  <c r="K74" i="41"/>
  <c r="J74" i="41"/>
  <c r="I74" i="41"/>
  <c r="H74" i="41"/>
  <c r="G74" i="41"/>
  <c r="F74" i="41"/>
  <c r="AH73" i="41"/>
  <c r="AH143" i="41" s="1"/>
  <c r="AG73" i="41"/>
  <c r="AG143" i="41" s="1"/>
  <c r="AF73" i="41"/>
  <c r="AF143" i="41" s="1"/>
  <c r="AB71" i="7" s="1"/>
  <c r="AE73" i="41"/>
  <c r="AE143" i="41" s="1"/>
  <c r="AD73" i="41"/>
  <c r="AD143" i="41" s="1"/>
  <c r="AC73" i="41"/>
  <c r="AC143" i="41" s="1"/>
  <c r="AB73" i="41"/>
  <c r="AB143" i="41" s="1"/>
  <c r="AA73" i="41"/>
  <c r="AA143" i="41" s="1"/>
  <c r="Z73" i="41"/>
  <c r="Z143" i="41" s="1"/>
  <c r="Y73" i="41"/>
  <c r="Y143" i="41" s="1"/>
  <c r="X73" i="41"/>
  <c r="X143" i="41" s="1"/>
  <c r="AA60" i="7" s="1"/>
  <c r="W73" i="41"/>
  <c r="W143" i="41" s="1"/>
  <c r="V73" i="41"/>
  <c r="V143" i="41" s="1"/>
  <c r="U73" i="41"/>
  <c r="U143" i="41" s="1"/>
  <c r="U156" i="41" s="1"/>
  <c r="T73" i="41"/>
  <c r="T143" i="41" s="1"/>
  <c r="S73" i="41"/>
  <c r="S143" i="41" s="1"/>
  <c r="R73" i="41"/>
  <c r="R143" i="41" s="1"/>
  <c r="R156" i="41" s="1"/>
  <c r="AB18" i="7" s="1"/>
  <c r="Q73" i="41"/>
  <c r="Q143" i="41" s="1"/>
  <c r="Q156" i="41" s="1"/>
  <c r="AA18" i="7" s="1"/>
  <c r="P73" i="41"/>
  <c r="P143" i="41" s="1"/>
  <c r="O73" i="41"/>
  <c r="O143" i="41" s="1"/>
  <c r="N73" i="41"/>
  <c r="N143" i="41" s="1"/>
  <c r="N156" i="41" s="1"/>
  <c r="X18" i="7" s="1"/>
  <c r="L71" i="41"/>
  <c r="K71" i="41"/>
  <c r="J71" i="41"/>
  <c r="I71" i="41"/>
  <c r="H71" i="41"/>
  <c r="G71" i="41"/>
  <c r="F71" i="41"/>
  <c r="L70" i="41"/>
  <c r="N75" i="67" s="1"/>
  <c r="K70" i="41"/>
  <c r="M75" i="67" s="1"/>
  <c r="J70" i="41"/>
  <c r="L75" i="67" s="1"/>
  <c r="I70" i="41"/>
  <c r="K75" i="67" s="1"/>
  <c r="H70" i="41"/>
  <c r="J75" i="67" s="1"/>
  <c r="G70" i="41"/>
  <c r="F70" i="41"/>
  <c r="L69" i="41"/>
  <c r="N76" i="67" s="1"/>
  <c r="K69" i="41"/>
  <c r="M76" i="67" s="1"/>
  <c r="J69" i="41"/>
  <c r="L76" i="67" s="1"/>
  <c r="I69" i="41"/>
  <c r="K76" i="67" s="1"/>
  <c r="H69" i="41"/>
  <c r="J76" i="67" s="1"/>
  <c r="G69" i="41"/>
  <c r="F69" i="41"/>
  <c r="L68" i="41"/>
  <c r="K68" i="41"/>
  <c r="J68" i="41"/>
  <c r="L77" i="67" s="1"/>
  <c r="I68" i="41"/>
  <c r="H68" i="41"/>
  <c r="G68" i="41"/>
  <c r="F68" i="41"/>
  <c r="L67" i="41"/>
  <c r="K67" i="41"/>
  <c r="J67" i="41"/>
  <c r="I67" i="41"/>
  <c r="H67" i="41"/>
  <c r="G67" i="41"/>
  <c r="F67" i="41"/>
  <c r="L66" i="41"/>
  <c r="K66" i="41"/>
  <c r="J66" i="41"/>
  <c r="I66" i="41"/>
  <c r="H66" i="41"/>
  <c r="G66" i="41"/>
  <c r="F66" i="41"/>
  <c r="L65" i="41"/>
  <c r="K65" i="41"/>
  <c r="J65" i="41"/>
  <c r="I65" i="41"/>
  <c r="H65" i="41"/>
  <c r="G65" i="41"/>
  <c r="F65" i="41"/>
  <c r="L64" i="41"/>
  <c r="K64" i="41"/>
  <c r="J64" i="41"/>
  <c r="I64" i="41"/>
  <c r="H64" i="41"/>
  <c r="G64" i="41"/>
  <c r="F64" i="41"/>
  <c r="L63" i="41"/>
  <c r="K63" i="41"/>
  <c r="J63" i="41"/>
  <c r="I63" i="41"/>
  <c r="H63" i="41"/>
  <c r="G63" i="41"/>
  <c r="F63" i="41"/>
  <c r="L62" i="41"/>
  <c r="K62" i="41"/>
  <c r="J62" i="41"/>
  <c r="I62" i="41"/>
  <c r="H62" i="41"/>
  <c r="G62" i="41"/>
  <c r="F62" i="41"/>
  <c r="L61" i="41"/>
  <c r="K61" i="41"/>
  <c r="J61" i="41"/>
  <c r="I61" i="41"/>
  <c r="H61" i="41"/>
  <c r="G61" i="41"/>
  <c r="F61" i="41"/>
  <c r="AH60" i="41"/>
  <c r="AG60" i="41"/>
  <c r="AF60" i="41"/>
  <c r="AE60" i="41"/>
  <c r="AD60" i="41"/>
  <c r="AC60" i="41"/>
  <c r="AB60" i="41"/>
  <c r="AA60" i="41"/>
  <c r="Z60" i="41"/>
  <c r="Y60" i="41"/>
  <c r="X60" i="41"/>
  <c r="W60" i="41"/>
  <c r="V60" i="41"/>
  <c r="U60" i="41"/>
  <c r="T60" i="41"/>
  <c r="S60" i="41"/>
  <c r="R60" i="41"/>
  <c r="Q60" i="41"/>
  <c r="P60" i="41"/>
  <c r="O60" i="41"/>
  <c r="N60" i="41"/>
  <c r="L59" i="41"/>
  <c r="K59" i="41"/>
  <c r="J59" i="41"/>
  <c r="I59" i="41"/>
  <c r="H59" i="41"/>
  <c r="G59" i="41"/>
  <c r="F59" i="41"/>
  <c r="L58" i="41"/>
  <c r="K58" i="41"/>
  <c r="J58" i="41"/>
  <c r="I58" i="41"/>
  <c r="H58" i="41"/>
  <c r="G58" i="41"/>
  <c r="F58" i="41"/>
  <c r="AH57" i="41"/>
  <c r="AG57" i="41"/>
  <c r="AF57" i="41"/>
  <c r="AE57" i="41"/>
  <c r="AD57" i="41"/>
  <c r="AC57" i="41"/>
  <c r="AB57" i="41"/>
  <c r="AA57" i="41"/>
  <c r="Z57" i="41"/>
  <c r="Y57" i="41"/>
  <c r="X57" i="41"/>
  <c r="W57" i="41"/>
  <c r="V57" i="41"/>
  <c r="U57" i="41"/>
  <c r="T57" i="41"/>
  <c r="S57" i="41"/>
  <c r="R57" i="41"/>
  <c r="Q57" i="41"/>
  <c r="P57" i="41"/>
  <c r="O57" i="41"/>
  <c r="N57" i="41"/>
  <c r="L56" i="41"/>
  <c r="K56" i="41"/>
  <c r="J56" i="41"/>
  <c r="I56" i="41"/>
  <c r="H56" i="41"/>
  <c r="G56" i="41"/>
  <c r="F56" i="41"/>
  <c r="L55" i="41"/>
  <c r="K55" i="41"/>
  <c r="J55" i="41"/>
  <c r="I55" i="41"/>
  <c r="H55" i="41"/>
  <c r="G55" i="41"/>
  <c r="F55" i="41"/>
  <c r="L54" i="41"/>
  <c r="K54" i="41"/>
  <c r="J54" i="41"/>
  <c r="I54" i="41"/>
  <c r="H54" i="41"/>
  <c r="G54" i="41"/>
  <c r="F54" i="41"/>
  <c r="L53" i="41"/>
  <c r="K53" i="41"/>
  <c r="J53" i="41"/>
  <c r="I53" i="41"/>
  <c r="H53" i="41"/>
  <c r="G53" i="41"/>
  <c r="F53" i="41"/>
  <c r="L52" i="41"/>
  <c r="K52" i="41"/>
  <c r="J52" i="41"/>
  <c r="I52" i="41"/>
  <c r="H52" i="41"/>
  <c r="G52" i="41"/>
  <c r="F52" i="41"/>
  <c r="L51" i="41"/>
  <c r="N70" i="67" s="1"/>
  <c r="K51" i="41"/>
  <c r="M70" i="67" s="1"/>
  <c r="J51" i="41"/>
  <c r="L70" i="67" s="1"/>
  <c r="I51" i="41"/>
  <c r="H51" i="41"/>
  <c r="J70" i="67" s="1"/>
  <c r="G51" i="41"/>
  <c r="F51" i="41"/>
  <c r="L50" i="41"/>
  <c r="K50" i="41"/>
  <c r="J50" i="41"/>
  <c r="I50" i="41"/>
  <c r="H50" i="41"/>
  <c r="G50" i="41"/>
  <c r="F50" i="41"/>
  <c r="L49" i="41"/>
  <c r="N69" i="67" s="1"/>
  <c r="K49" i="41"/>
  <c r="M69" i="67" s="1"/>
  <c r="J49" i="41"/>
  <c r="L69" i="67" s="1"/>
  <c r="I49" i="41"/>
  <c r="K69" i="67" s="1"/>
  <c r="H49" i="41"/>
  <c r="J69" i="67" s="1"/>
  <c r="G49" i="41"/>
  <c r="F49" i="41"/>
  <c r="AH48" i="41"/>
  <c r="AG48" i="41"/>
  <c r="AF48" i="41"/>
  <c r="AE48" i="41"/>
  <c r="AD48" i="41"/>
  <c r="AC48" i="41"/>
  <c r="AB48" i="41"/>
  <c r="AA48" i="41"/>
  <c r="Z48" i="41"/>
  <c r="Y48" i="41"/>
  <c r="X48" i="41"/>
  <c r="W48" i="41"/>
  <c r="V48" i="41"/>
  <c r="U48" i="41"/>
  <c r="T48" i="41"/>
  <c r="S48" i="41"/>
  <c r="R48" i="41"/>
  <c r="Q48" i="41"/>
  <c r="P48" i="41"/>
  <c r="O48" i="41"/>
  <c r="N48" i="41"/>
  <c r="L47" i="41"/>
  <c r="K47" i="41"/>
  <c r="J47" i="41"/>
  <c r="I47" i="41"/>
  <c r="H47" i="41"/>
  <c r="G47" i="41"/>
  <c r="F47" i="41"/>
  <c r="L46" i="41"/>
  <c r="K46" i="41"/>
  <c r="J46" i="41"/>
  <c r="I46" i="41"/>
  <c r="H46" i="41"/>
  <c r="G46" i="41"/>
  <c r="F46" i="41"/>
  <c r="L45" i="41"/>
  <c r="K45" i="41"/>
  <c r="J45" i="41"/>
  <c r="I45" i="41"/>
  <c r="H45" i="41"/>
  <c r="G45" i="41"/>
  <c r="F45" i="41"/>
  <c r="L44" i="41"/>
  <c r="K44" i="41"/>
  <c r="J44" i="41"/>
  <c r="I44" i="41"/>
  <c r="H44" i="41"/>
  <c r="G44" i="41"/>
  <c r="F44" i="41"/>
  <c r="L43" i="41"/>
  <c r="K43" i="41"/>
  <c r="J43" i="41"/>
  <c r="I43" i="41"/>
  <c r="H43" i="41"/>
  <c r="G43" i="41"/>
  <c r="F43" i="41"/>
  <c r="L42" i="41"/>
  <c r="N64" i="67" s="1"/>
  <c r="K42" i="41"/>
  <c r="M64" i="67" s="1"/>
  <c r="J42" i="41"/>
  <c r="L64" i="67" s="1"/>
  <c r="I42" i="41"/>
  <c r="K64" i="67" s="1"/>
  <c r="H42" i="41"/>
  <c r="J64" i="67" s="1"/>
  <c r="G42" i="41"/>
  <c r="F42" i="41"/>
  <c r="L41" i="41"/>
  <c r="N65" i="67" s="1"/>
  <c r="K41" i="41"/>
  <c r="M65" i="67" s="1"/>
  <c r="J41" i="41"/>
  <c r="L65" i="67" s="1"/>
  <c r="I41" i="41"/>
  <c r="K65" i="67" s="1"/>
  <c r="H41" i="41"/>
  <c r="J65" i="67" s="1"/>
  <c r="G41" i="41"/>
  <c r="F41" i="41"/>
  <c r="L40" i="41"/>
  <c r="N63" i="67" s="1"/>
  <c r="K40" i="41"/>
  <c r="M63" i="67" s="1"/>
  <c r="J40" i="41"/>
  <c r="L63" i="67" s="1"/>
  <c r="I40" i="41"/>
  <c r="H40" i="41"/>
  <c r="J63" i="67" s="1"/>
  <c r="G40" i="41"/>
  <c r="F40" i="41"/>
  <c r="L39" i="41"/>
  <c r="K39" i="41"/>
  <c r="M62" i="67" s="1"/>
  <c r="J39" i="41"/>
  <c r="L62" i="67" s="1"/>
  <c r="I39" i="41"/>
  <c r="K62" i="67" s="1"/>
  <c r="H39" i="41"/>
  <c r="G39" i="41"/>
  <c r="F39" i="41"/>
  <c r="L38" i="41"/>
  <c r="N61" i="67" s="1"/>
  <c r="K38" i="41"/>
  <c r="J38" i="41"/>
  <c r="L61" i="67" s="1"/>
  <c r="I38" i="41"/>
  <c r="K61" i="67" s="1"/>
  <c r="H38" i="41"/>
  <c r="J61" i="67" s="1"/>
  <c r="G38" i="41"/>
  <c r="F38" i="41"/>
  <c r="L37" i="41"/>
  <c r="N60" i="67" s="1"/>
  <c r="K37" i="41"/>
  <c r="M60" i="67" s="1"/>
  <c r="J37" i="41"/>
  <c r="I37" i="41"/>
  <c r="K60" i="67" s="1"/>
  <c r="H37" i="41"/>
  <c r="J60" i="67" s="1"/>
  <c r="G37" i="41"/>
  <c r="F37" i="41"/>
  <c r="AH36" i="41"/>
  <c r="AG36" i="41"/>
  <c r="AF36" i="41"/>
  <c r="AE36" i="41"/>
  <c r="AD36" i="41"/>
  <c r="AC36" i="41"/>
  <c r="AB36" i="41"/>
  <c r="AA36" i="41"/>
  <c r="Z36" i="41"/>
  <c r="Y36" i="41"/>
  <c r="X36" i="41"/>
  <c r="W36" i="41"/>
  <c r="V36" i="41"/>
  <c r="U36" i="41"/>
  <c r="T36" i="41"/>
  <c r="S36" i="41"/>
  <c r="R36" i="41"/>
  <c r="Q36" i="41"/>
  <c r="P36" i="41"/>
  <c r="O36" i="41"/>
  <c r="N36" i="41"/>
  <c r="L35" i="41"/>
  <c r="K35" i="41"/>
  <c r="J35" i="41"/>
  <c r="I35" i="41"/>
  <c r="H35" i="41"/>
  <c r="G35" i="41"/>
  <c r="F35" i="41"/>
  <c r="L34" i="41"/>
  <c r="K34" i="41"/>
  <c r="J34" i="41"/>
  <c r="I34" i="41"/>
  <c r="H34" i="41"/>
  <c r="G34" i="41"/>
  <c r="F34" i="41"/>
  <c r="L33" i="41"/>
  <c r="K33" i="41"/>
  <c r="J33" i="41"/>
  <c r="I33" i="41"/>
  <c r="H33" i="41"/>
  <c r="G33" i="41"/>
  <c r="F33" i="41"/>
  <c r="L32" i="41"/>
  <c r="K32" i="41"/>
  <c r="J32" i="41"/>
  <c r="I32" i="41"/>
  <c r="H32" i="41"/>
  <c r="G32" i="41"/>
  <c r="F32" i="41"/>
  <c r="L31" i="41"/>
  <c r="K31" i="41"/>
  <c r="J31" i="41"/>
  <c r="I31" i="41"/>
  <c r="H31" i="41"/>
  <c r="G31" i="41"/>
  <c r="F31" i="41"/>
  <c r="L30" i="41"/>
  <c r="K30" i="41"/>
  <c r="J30" i="41"/>
  <c r="I30" i="41"/>
  <c r="H30" i="41"/>
  <c r="G30" i="41"/>
  <c r="F30" i="41"/>
  <c r="L29" i="41"/>
  <c r="N56" i="67" s="1"/>
  <c r="K29" i="41"/>
  <c r="M56" i="67" s="1"/>
  <c r="J29" i="41"/>
  <c r="L56" i="67" s="1"/>
  <c r="I29" i="41"/>
  <c r="K56" i="67" s="1"/>
  <c r="H29" i="41"/>
  <c r="J56" i="67" s="1"/>
  <c r="G29" i="41"/>
  <c r="F29" i="41"/>
  <c r="L28" i="41"/>
  <c r="K28" i="41"/>
  <c r="J28" i="41"/>
  <c r="I28" i="41"/>
  <c r="H28" i="41"/>
  <c r="G28" i="41"/>
  <c r="F28" i="41"/>
  <c r="L27" i="41"/>
  <c r="K27" i="41"/>
  <c r="J27" i="41"/>
  <c r="I27" i="41"/>
  <c r="H27" i="41"/>
  <c r="G27" i="41"/>
  <c r="F27" i="41"/>
  <c r="L26" i="41"/>
  <c r="K26" i="41"/>
  <c r="J26" i="41"/>
  <c r="I26" i="41"/>
  <c r="H26" i="41"/>
  <c r="G26" i="41"/>
  <c r="F26" i="41"/>
  <c r="L25" i="41"/>
  <c r="K25" i="41"/>
  <c r="J25" i="41"/>
  <c r="I25" i="41"/>
  <c r="H25" i="41"/>
  <c r="G25" i="41"/>
  <c r="F25" i="41"/>
  <c r="L24" i="41"/>
  <c r="K24" i="41"/>
  <c r="J24" i="41"/>
  <c r="I24" i="41"/>
  <c r="H24" i="41"/>
  <c r="G24" i="41"/>
  <c r="F24" i="41"/>
  <c r="L23" i="41"/>
  <c r="K23" i="41"/>
  <c r="J23" i="41"/>
  <c r="I23" i="41"/>
  <c r="H23" i="41"/>
  <c r="G23" i="41"/>
  <c r="F23" i="41"/>
  <c r="L22" i="41"/>
  <c r="N52" i="67" s="1"/>
  <c r="K22" i="41"/>
  <c r="M52" i="67" s="1"/>
  <c r="J22" i="41"/>
  <c r="L52" i="67" s="1"/>
  <c r="I22" i="41"/>
  <c r="K52" i="67" s="1"/>
  <c r="H22" i="41"/>
  <c r="J52" i="67" s="1"/>
  <c r="G22" i="41"/>
  <c r="F22" i="41"/>
  <c r="L21" i="41"/>
  <c r="K21" i="41"/>
  <c r="J21" i="41"/>
  <c r="I21" i="41"/>
  <c r="H21" i="41"/>
  <c r="G21" i="41"/>
  <c r="F21" i="41"/>
  <c r="L20" i="41"/>
  <c r="K20" i="41"/>
  <c r="J20" i="41"/>
  <c r="I20" i="41"/>
  <c r="H20" i="41"/>
  <c r="G20" i="41"/>
  <c r="F20" i="41"/>
  <c r="L19" i="41"/>
  <c r="K19" i="41"/>
  <c r="J19" i="41"/>
  <c r="I19" i="41"/>
  <c r="H19" i="41"/>
  <c r="G19" i="41"/>
  <c r="F19" i="41"/>
  <c r="L18" i="41"/>
  <c r="K18" i="41"/>
  <c r="J18" i="41"/>
  <c r="I18" i="41"/>
  <c r="H18" i="41"/>
  <c r="G18" i="41"/>
  <c r="F18" i="41"/>
  <c r="L17" i="41"/>
  <c r="N50" i="67" s="1"/>
  <c r="K17" i="41"/>
  <c r="M50" i="67" s="1"/>
  <c r="J17" i="41"/>
  <c r="L50" i="67" s="1"/>
  <c r="I17" i="41"/>
  <c r="K50" i="67" s="1"/>
  <c r="H17" i="41"/>
  <c r="J50" i="67" s="1"/>
  <c r="G17" i="41"/>
  <c r="F17" i="41"/>
  <c r="L16" i="41"/>
  <c r="N49" i="67" s="1"/>
  <c r="K16" i="41"/>
  <c r="M49" i="67" s="1"/>
  <c r="J16" i="41"/>
  <c r="L49" i="67" s="1"/>
  <c r="I16" i="41"/>
  <c r="K49" i="67" s="1"/>
  <c r="H16" i="41"/>
  <c r="J49" i="67" s="1"/>
  <c r="G16" i="41"/>
  <c r="F16" i="41"/>
  <c r="L15" i="41"/>
  <c r="K15" i="41"/>
  <c r="J15" i="41"/>
  <c r="I15" i="41"/>
  <c r="H15" i="41"/>
  <c r="G15" i="41"/>
  <c r="F15" i="41"/>
  <c r="L14" i="41"/>
  <c r="K14" i="41"/>
  <c r="J14" i="41"/>
  <c r="I14" i="41"/>
  <c r="H14" i="41"/>
  <c r="G14" i="41"/>
  <c r="F14" i="41"/>
  <c r="L13" i="41"/>
  <c r="K13" i="41"/>
  <c r="J13" i="41"/>
  <c r="I13" i="41"/>
  <c r="H13" i="41"/>
  <c r="G13" i="41"/>
  <c r="F13" i="41"/>
  <c r="L12" i="41"/>
  <c r="K12" i="41"/>
  <c r="J12" i="41"/>
  <c r="I12" i="41"/>
  <c r="H12" i="41"/>
  <c r="G12" i="41"/>
  <c r="F12" i="41"/>
  <c r="AH11" i="41"/>
  <c r="AG11" i="41"/>
  <c r="AF11" i="41"/>
  <c r="AE11" i="41"/>
  <c r="AD11" i="41"/>
  <c r="AC11" i="41"/>
  <c r="AB11" i="41"/>
  <c r="AA11" i="41"/>
  <c r="Z11" i="41"/>
  <c r="Y11" i="41"/>
  <c r="X11" i="41"/>
  <c r="W11" i="41"/>
  <c r="V11" i="41"/>
  <c r="U11" i="41"/>
  <c r="T11" i="41"/>
  <c r="S11" i="41"/>
  <c r="R11" i="41"/>
  <c r="Q11" i="41"/>
  <c r="P11" i="41"/>
  <c r="O11" i="41"/>
  <c r="N11" i="41"/>
  <c r="AR9" i="41"/>
  <c r="AQ9" i="41"/>
  <c r="AP9" i="41"/>
  <c r="AO9" i="41"/>
  <c r="AN9" i="41"/>
  <c r="AM9" i="41"/>
  <c r="AL9" i="41"/>
  <c r="N53" i="67" l="1"/>
  <c r="L54" i="67"/>
  <c r="J55" i="67"/>
  <c r="G151" i="41"/>
  <c r="K151" i="41"/>
  <c r="J53" i="67"/>
  <c r="N55" i="67"/>
  <c r="H151" i="41"/>
  <c r="L151" i="41"/>
  <c r="I150" i="41"/>
  <c r="I151" i="41"/>
  <c r="F151" i="41"/>
  <c r="M83" i="67"/>
  <c r="J73" i="41"/>
  <c r="J143" i="41" s="1"/>
  <c r="AB9" i="7" s="1"/>
  <c r="G150" i="41"/>
  <c r="K150" i="41"/>
  <c r="H150" i="41"/>
  <c r="L150" i="41"/>
  <c r="N80" i="67"/>
  <c r="F150" i="41"/>
  <c r="L84" i="67"/>
  <c r="J151" i="41"/>
  <c r="L81" i="67"/>
  <c r="J150" i="41"/>
  <c r="L38" i="67" s="1"/>
  <c r="J80" i="67"/>
  <c r="AC134" i="41"/>
  <c r="H57" i="41"/>
  <c r="J74" i="67" s="1"/>
  <c r="M78" i="67"/>
  <c r="J77" i="67"/>
  <c r="N77" i="67"/>
  <c r="M71" i="67"/>
  <c r="M53" i="67"/>
  <c r="K54" i="67"/>
  <c r="M55" i="67"/>
  <c r="L57" i="41"/>
  <c r="N74" i="67" s="1"/>
  <c r="M77" i="67"/>
  <c r="M58" i="67"/>
  <c r="L67" i="67"/>
  <c r="K72" i="67"/>
  <c r="M51" i="67"/>
  <c r="N134" i="41"/>
  <c r="R134" i="41"/>
  <c r="V134" i="41"/>
  <c r="Z134" i="41"/>
  <c r="AD134" i="41"/>
  <c r="AH134" i="41"/>
  <c r="L71" i="67"/>
  <c r="O65" i="67"/>
  <c r="J51" i="67"/>
  <c r="N51" i="67"/>
  <c r="O52" i="67"/>
  <c r="K53" i="67"/>
  <c r="M54" i="67"/>
  <c r="K55" i="67"/>
  <c r="J58" i="67"/>
  <c r="N58" i="67"/>
  <c r="M67" i="67"/>
  <c r="L72" i="67"/>
  <c r="K60" i="41"/>
  <c r="J78" i="67"/>
  <c r="N78" i="67"/>
  <c r="O76" i="67"/>
  <c r="K80" i="67"/>
  <c r="F73" i="41"/>
  <c r="F143" i="41" s="1"/>
  <c r="X9" i="7" s="1"/>
  <c r="M81" i="67"/>
  <c r="J83" i="67"/>
  <c r="N83" i="67"/>
  <c r="M84" i="67"/>
  <c r="M85" i="67" s="1"/>
  <c r="M48" i="67"/>
  <c r="O50" i="67"/>
  <c r="K51" i="67"/>
  <c r="L53" i="67"/>
  <c r="J54" i="67"/>
  <c r="N54" i="67"/>
  <c r="L55" i="67"/>
  <c r="O56" i="67"/>
  <c r="K58" i="67"/>
  <c r="F36" i="41"/>
  <c r="J36" i="41"/>
  <c r="L60" i="67"/>
  <c r="L66" i="67" s="1"/>
  <c r="G36" i="41"/>
  <c r="K36" i="41"/>
  <c r="M61" i="67"/>
  <c r="O61" i="67" s="1"/>
  <c r="M39" i="41"/>
  <c r="J62" i="67"/>
  <c r="J66" i="67" s="1"/>
  <c r="L36" i="41"/>
  <c r="N62" i="67"/>
  <c r="N66" i="67" s="1"/>
  <c r="I36" i="41"/>
  <c r="K63" i="67"/>
  <c r="O63" i="67" s="1"/>
  <c r="M43" i="41"/>
  <c r="J67" i="67"/>
  <c r="N67" i="67"/>
  <c r="M47" i="41"/>
  <c r="J71" i="67"/>
  <c r="O69" i="67"/>
  <c r="N71" i="67"/>
  <c r="M72" i="67"/>
  <c r="I57" i="41"/>
  <c r="K74" i="67" s="1"/>
  <c r="F57" i="41"/>
  <c r="F126" i="41" s="1"/>
  <c r="J57" i="41"/>
  <c r="L74" i="67" s="1"/>
  <c r="K78" i="67"/>
  <c r="G60" i="41"/>
  <c r="O156" i="41"/>
  <c r="Y18" i="7" s="1"/>
  <c r="S156" i="41"/>
  <c r="AC18" i="7" s="1"/>
  <c r="L80" i="67"/>
  <c r="J81" i="67"/>
  <c r="N81" i="67"/>
  <c r="N157" i="41"/>
  <c r="AE18" i="7" s="1"/>
  <c r="R157" i="41"/>
  <c r="AI18" i="7" s="1"/>
  <c r="K83" i="67"/>
  <c r="J84" i="67"/>
  <c r="N84" i="67"/>
  <c r="O75" i="67"/>
  <c r="J11" i="41"/>
  <c r="L48" i="67"/>
  <c r="J48" i="67"/>
  <c r="N48" i="67"/>
  <c r="O49" i="67"/>
  <c r="L51" i="67"/>
  <c r="L58" i="67"/>
  <c r="O64" i="67"/>
  <c r="K67" i="67"/>
  <c r="J72" i="67"/>
  <c r="N72" i="67"/>
  <c r="G57" i="41"/>
  <c r="K57" i="41"/>
  <c r="M74" i="67" s="1"/>
  <c r="L78" i="67"/>
  <c r="L79" i="67" s="1"/>
  <c r="K77" i="67"/>
  <c r="M80" i="67"/>
  <c r="K81" i="67"/>
  <c r="F99" i="41"/>
  <c r="F144" i="41" s="1"/>
  <c r="AE9" i="7" s="1"/>
  <c r="J99" i="41"/>
  <c r="J144" i="41" s="1"/>
  <c r="L83" i="67"/>
  <c r="K84" i="67"/>
  <c r="G59" i="49"/>
  <c r="AD43" i="7"/>
  <c r="G60" i="49" s="1"/>
  <c r="AD41" i="7"/>
  <c r="I48" i="41"/>
  <c r="K70" i="67"/>
  <c r="K48" i="67"/>
  <c r="Z157" i="41"/>
  <c r="AJ60" i="7"/>
  <c r="AH157" i="41"/>
  <c r="AK71" i="7"/>
  <c r="AA157" i="41"/>
  <c r="AK60" i="7"/>
  <c r="K99" i="41"/>
  <c r="K144" i="41" s="1"/>
  <c r="AJ9" i="7" s="1"/>
  <c r="L99" i="41"/>
  <c r="L144" i="41" s="1"/>
  <c r="AK9" i="7" s="1"/>
  <c r="M121" i="41"/>
  <c r="AE16" i="7"/>
  <c r="AE14" i="7" s="1"/>
  <c r="AI16" i="7"/>
  <c r="AI14" i="7" s="1"/>
  <c r="P157" i="41"/>
  <c r="AG18" i="7" s="1"/>
  <c r="T157" i="41"/>
  <c r="AK18" i="7" s="1"/>
  <c r="X157" i="41"/>
  <c r="AH60" i="7"/>
  <c r="AB157" i="41"/>
  <c r="AF157" i="41"/>
  <c r="AI71" i="7"/>
  <c r="AF16" i="7"/>
  <c r="AF14" i="7" s="1"/>
  <c r="AJ16" i="7"/>
  <c r="V157" i="41"/>
  <c r="AF60" i="7"/>
  <c r="AD157" i="41"/>
  <c r="AG71" i="7"/>
  <c r="AH16" i="7"/>
  <c r="AH14" i="7" s="1"/>
  <c r="W157" i="41"/>
  <c r="AG60" i="7"/>
  <c r="AE157" i="41"/>
  <c r="AH71" i="7"/>
  <c r="G99" i="41"/>
  <c r="G144" i="41" s="1"/>
  <c r="AF9" i="7" s="1"/>
  <c r="M102" i="41"/>
  <c r="I99" i="41"/>
  <c r="I144" i="41" s="1"/>
  <c r="AH9" i="7" s="1"/>
  <c r="M106" i="41"/>
  <c r="M110" i="41"/>
  <c r="M117" i="41"/>
  <c r="AE10" i="7"/>
  <c r="Q157" i="41"/>
  <c r="AH18" i="7" s="1"/>
  <c r="U157" i="41"/>
  <c r="Y157" i="41"/>
  <c r="AI60" i="7"/>
  <c r="AC157" i="41"/>
  <c r="AF71" i="7"/>
  <c r="AG157" i="41"/>
  <c r="AJ71" i="7"/>
  <c r="AG16" i="7"/>
  <c r="AK16" i="7"/>
  <c r="AC156" i="41"/>
  <c r="Y71" i="7"/>
  <c r="AB16" i="7"/>
  <c r="AB14" i="7" s="1"/>
  <c r="Z156" i="41"/>
  <c r="AC60" i="7"/>
  <c r="AH156" i="41"/>
  <c r="AD71" i="7"/>
  <c r="Y16" i="7"/>
  <c r="W156" i="41"/>
  <c r="Z60" i="7"/>
  <c r="AA156" i="41"/>
  <c r="AD60" i="7"/>
  <c r="AE156" i="41"/>
  <c r="AA71" i="7"/>
  <c r="G73" i="41"/>
  <c r="G143" i="41" s="1"/>
  <c r="Y9" i="7" s="1"/>
  <c r="K73" i="41"/>
  <c r="K143" i="41" s="1"/>
  <c r="AC9" i="7" s="1"/>
  <c r="M76" i="41"/>
  <c r="L73" i="41"/>
  <c r="L143" i="41" s="1"/>
  <c r="AD9" i="7" s="1"/>
  <c r="I73" i="41"/>
  <c r="I143" i="41" s="1"/>
  <c r="M80" i="41"/>
  <c r="M84" i="41"/>
  <c r="M88" i="41"/>
  <c r="M92" i="41"/>
  <c r="M96" i="41"/>
  <c r="Z16" i="7"/>
  <c r="Z14" i="7" s="1"/>
  <c r="AD16" i="7"/>
  <c r="AD14" i="7" s="1"/>
  <c r="Y156" i="41"/>
  <c r="AB60" i="7"/>
  <c r="AG156" i="41"/>
  <c r="AC71" i="7"/>
  <c r="V156" i="41"/>
  <c r="Y60" i="7"/>
  <c r="AD156" i="41"/>
  <c r="Z71" i="7"/>
  <c r="X14" i="7"/>
  <c r="AC16" i="7"/>
  <c r="AA16" i="7"/>
  <c r="Q134" i="41"/>
  <c r="U134" i="41"/>
  <c r="Y134" i="41"/>
  <c r="AG134" i="41"/>
  <c r="H60" i="41"/>
  <c r="H125" i="41" s="1"/>
  <c r="L60" i="41"/>
  <c r="M63" i="41"/>
  <c r="F60" i="41"/>
  <c r="F125" i="41" s="1"/>
  <c r="J60" i="41"/>
  <c r="M67" i="41"/>
  <c r="M71" i="41"/>
  <c r="F48" i="41"/>
  <c r="J48" i="41"/>
  <c r="G48" i="41"/>
  <c r="K48" i="41"/>
  <c r="M52" i="41"/>
  <c r="L48" i="41"/>
  <c r="M56" i="41"/>
  <c r="F11" i="41"/>
  <c r="G11" i="41"/>
  <c r="H11" i="41"/>
  <c r="M15" i="41"/>
  <c r="M19" i="41"/>
  <c r="M23" i="41"/>
  <c r="M27" i="41"/>
  <c r="M31" i="41"/>
  <c r="M35" i="41"/>
  <c r="K11" i="41"/>
  <c r="L11" i="41"/>
  <c r="M14" i="41"/>
  <c r="M18" i="41"/>
  <c r="M22" i="41"/>
  <c r="M26" i="41"/>
  <c r="M30" i="41"/>
  <c r="M34" i="41"/>
  <c r="M38" i="41"/>
  <c r="M42" i="41"/>
  <c r="M46" i="41"/>
  <c r="M51" i="41"/>
  <c r="M55" i="41"/>
  <c r="O134" i="41"/>
  <c r="S134" i="41"/>
  <c r="W134" i="41"/>
  <c r="AA134" i="41"/>
  <c r="AE134" i="41"/>
  <c r="U124" i="41"/>
  <c r="Y124" i="41"/>
  <c r="AC124" i="41"/>
  <c r="AG124" i="41"/>
  <c r="M62" i="41"/>
  <c r="M66" i="41"/>
  <c r="M70" i="41"/>
  <c r="P156" i="41"/>
  <c r="Z18" i="7" s="1"/>
  <c r="T156" i="41"/>
  <c r="AD18" i="7" s="1"/>
  <c r="X156" i="41"/>
  <c r="AB156" i="41"/>
  <c r="X19" i="7" s="1"/>
  <c r="AF156" i="41"/>
  <c r="M75" i="41"/>
  <c r="M79" i="41"/>
  <c r="M83" i="41"/>
  <c r="M87" i="41"/>
  <c r="M91" i="41"/>
  <c r="M95" i="41"/>
  <c r="M101" i="41"/>
  <c r="M105" i="41"/>
  <c r="M109" i="41"/>
  <c r="M113" i="41"/>
  <c r="M116" i="41"/>
  <c r="AF10" i="7"/>
  <c r="M120" i="41"/>
  <c r="M13" i="41"/>
  <c r="M17" i="41"/>
  <c r="M21" i="41"/>
  <c r="M25" i="41"/>
  <c r="M29" i="41"/>
  <c r="M33" i="41"/>
  <c r="H36" i="41"/>
  <c r="M37" i="41"/>
  <c r="M41" i="41"/>
  <c r="M45" i="41"/>
  <c r="M54" i="41"/>
  <c r="P134" i="41"/>
  <c r="T134" i="41"/>
  <c r="X134" i="41"/>
  <c r="AB134" i="41"/>
  <c r="AF134" i="41"/>
  <c r="M59" i="41"/>
  <c r="I60" i="41"/>
  <c r="M61" i="41"/>
  <c r="M65" i="41"/>
  <c r="M69" i="41"/>
  <c r="H73" i="41"/>
  <c r="H143" i="41" s="1"/>
  <c r="M74" i="41"/>
  <c r="M78" i="41"/>
  <c r="M82" i="41"/>
  <c r="M86" i="41"/>
  <c r="M90" i="41"/>
  <c r="M94" i="41"/>
  <c r="H99" i="41"/>
  <c r="H144" i="41" s="1"/>
  <c r="M100" i="41"/>
  <c r="M104" i="41"/>
  <c r="M108" i="41"/>
  <c r="M112" i="41"/>
  <c r="M115" i="41"/>
  <c r="N41" i="67"/>
  <c r="M123" i="41"/>
  <c r="M12" i="41"/>
  <c r="M16" i="41"/>
  <c r="M20" i="41"/>
  <c r="M24" i="41"/>
  <c r="M28" i="41"/>
  <c r="M32" i="41"/>
  <c r="M40" i="41"/>
  <c r="M44" i="41"/>
  <c r="H48" i="41"/>
  <c r="H126" i="41"/>
  <c r="M53" i="41"/>
  <c r="M58" i="41"/>
  <c r="M64" i="41"/>
  <c r="M68" i="41"/>
  <c r="M77" i="41"/>
  <c r="M81" i="41"/>
  <c r="M85" i="41"/>
  <c r="M89" i="41"/>
  <c r="N38" i="67"/>
  <c r="M97" i="41"/>
  <c r="M103" i="41"/>
  <c r="M107" i="41"/>
  <c r="M111" i="41"/>
  <c r="M114" i="41"/>
  <c r="M118" i="41"/>
  <c r="M122" i="41"/>
  <c r="P9" i="41"/>
  <c r="R9" i="41"/>
  <c r="Y9" i="41" s="1"/>
  <c r="T9" i="41"/>
  <c r="AA9" i="41" s="1"/>
  <c r="AH9" i="41" s="1"/>
  <c r="N9" i="41"/>
  <c r="AB9" i="41" s="1"/>
  <c r="Q9" i="41"/>
  <c r="I11" i="41"/>
  <c r="Q124" i="41"/>
  <c r="N124" i="41"/>
  <c r="R124" i="41"/>
  <c r="V124" i="41"/>
  <c r="Z124" i="41"/>
  <c r="AD124" i="41"/>
  <c r="AH124" i="41"/>
  <c r="O9" i="41"/>
  <c r="S9" i="41"/>
  <c r="O124" i="41"/>
  <c r="S124" i="41"/>
  <c r="W124" i="41"/>
  <c r="AA124" i="41"/>
  <c r="AE124" i="41"/>
  <c r="M49" i="41"/>
  <c r="M50" i="41"/>
  <c r="M119" i="41"/>
  <c r="P125" i="41"/>
  <c r="T125" i="41"/>
  <c r="X125" i="41"/>
  <c r="AB125" i="41"/>
  <c r="AF125" i="41"/>
  <c r="O126" i="41"/>
  <c r="S126" i="41"/>
  <c r="W126" i="41"/>
  <c r="AA126" i="41"/>
  <c r="AE126" i="41"/>
  <c r="Q125" i="41"/>
  <c r="U125" i="41"/>
  <c r="Y125" i="41"/>
  <c r="AC125" i="41"/>
  <c r="AG125" i="41"/>
  <c r="P126" i="41"/>
  <c r="T126" i="41"/>
  <c r="X126" i="41"/>
  <c r="AB126" i="41"/>
  <c r="AF126" i="41"/>
  <c r="N125" i="41"/>
  <c r="R125" i="41"/>
  <c r="V125" i="41"/>
  <c r="Z125" i="41"/>
  <c r="AD125" i="41"/>
  <c r="AH125" i="41"/>
  <c r="Q126" i="41"/>
  <c r="U126" i="41"/>
  <c r="Y126" i="41"/>
  <c r="AC126" i="41"/>
  <c r="AG126" i="41"/>
  <c r="M93" i="41"/>
  <c r="P124" i="41"/>
  <c r="T124" i="41"/>
  <c r="X124" i="41"/>
  <c r="AB124" i="41"/>
  <c r="AF124" i="41"/>
  <c r="O125" i="41"/>
  <c r="S125" i="41"/>
  <c r="W125" i="41"/>
  <c r="AA125" i="41"/>
  <c r="AE125" i="41"/>
  <c r="N126" i="41"/>
  <c r="R126" i="41"/>
  <c r="V126" i="41"/>
  <c r="Z126" i="41"/>
  <c r="AD126" i="41"/>
  <c r="AH126" i="41"/>
  <c r="E154" i="41"/>
  <c r="E148" i="41"/>
  <c r="E153" i="41"/>
  <c r="E147" i="41"/>
  <c r="E155" i="41"/>
  <c r="E149" i="41"/>
  <c r="O53" i="67" l="1"/>
  <c r="L82" i="67"/>
  <c r="N82" i="67"/>
  <c r="O55" i="67"/>
  <c r="L85" i="67"/>
  <c r="AF77" i="7"/>
  <c r="AF78" i="7"/>
  <c r="AJ77" i="7"/>
  <c r="AJ78" i="7" s="1"/>
  <c r="AI77" i="7"/>
  <c r="AI78" i="7" s="1"/>
  <c r="AG77" i="7"/>
  <c r="AG78" i="7" s="1"/>
  <c r="AK77" i="7"/>
  <c r="AK78" i="7" s="1"/>
  <c r="AH77" i="7"/>
  <c r="AH78" i="7" s="1"/>
  <c r="AD78" i="7"/>
  <c r="Y78" i="7"/>
  <c r="Z77" i="7"/>
  <c r="Z78" i="7" s="1"/>
  <c r="AB77" i="7"/>
  <c r="AB78" i="7" s="1"/>
  <c r="AD77" i="7"/>
  <c r="AA77" i="7"/>
  <c r="AA78" i="7" s="1"/>
  <c r="AC77" i="7"/>
  <c r="AC78" i="7" s="1"/>
  <c r="J82" i="67"/>
  <c r="AH66" i="7"/>
  <c r="AH67" i="7" s="1"/>
  <c r="AK66" i="7"/>
  <c r="AK67" i="7" s="1"/>
  <c r="AJ66" i="7"/>
  <c r="AJ67" i="7" s="1"/>
  <c r="AG66" i="7"/>
  <c r="AG67" i="7" s="1"/>
  <c r="AI66" i="7"/>
  <c r="AI67" i="7" s="1"/>
  <c r="AD66" i="7"/>
  <c r="AD67" i="7" s="1"/>
  <c r="Z66" i="7"/>
  <c r="Z67" i="7" s="1"/>
  <c r="AC66" i="7"/>
  <c r="AC67" i="7" s="1"/>
  <c r="AB66" i="7"/>
  <c r="AB67" i="7" s="1"/>
  <c r="AA66" i="7"/>
  <c r="AA67" i="7" s="1"/>
  <c r="G130" i="41"/>
  <c r="G147" i="41" s="1"/>
  <c r="J126" i="41"/>
  <c r="E13" i="47" s="1"/>
  <c r="O77" i="67"/>
  <c r="H134" i="41"/>
  <c r="I126" i="41"/>
  <c r="D29" i="47" s="1"/>
  <c r="M57" i="41"/>
  <c r="L73" i="67"/>
  <c r="K126" i="41"/>
  <c r="F29" i="47" s="1"/>
  <c r="L68" i="67"/>
  <c r="M79" i="67"/>
  <c r="K125" i="41"/>
  <c r="L125" i="41"/>
  <c r="G125" i="41"/>
  <c r="J134" i="41"/>
  <c r="Y19" i="7"/>
  <c r="Y17" i="7" s="1"/>
  <c r="AI19" i="7"/>
  <c r="AI17" i="7" s="1"/>
  <c r="AI13" i="7" s="1"/>
  <c r="M73" i="67"/>
  <c r="M57" i="67"/>
  <c r="M59" i="67" s="1"/>
  <c r="N79" i="67"/>
  <c r="O60" i="67"/>
  <c r="N68" i="67"/>
  <c r="K157" i="41"/>
  <c r="AJ11" i="7" s="1"/>
  <c r="F124" i="41"/>
  <c r="L126" i="41"/>
  <c r="K134" i="41"/>
  <c r="AA19" i="7"/>
  <c r="AA17" i="7" s="1"/>
  <c r="F134" i="41"/>
  <c r="AK19" i="7"/>
  <c r="AK22" i="7" s="1"/>
  <c r="K57" i="67"/>
  <c r="K59" i="67" s="1"/>
  <c r="J157" i="41"/>
  <c r="AI11" i="7" s="1"/>
  <c r="G134" i="41"/>
  <c r="O62" i="67"/>
  <c r="M87" i="67"/>
  <c r="J57" i="67"/>
  <c r="J59" i="67" s="1"/>
  <c r="L134" i="41"/>
  <c r="M66" i="67"/>
  <c r="M68" i="67" s="1"/>
  <c r="O72" i="67"/>
  <c r="O78" i="67"/>
  <c r="M82" i="67"/>
  <c r="L57" i="67"/>
  <c r="L59" i="67" s="1"/>
  <c r="K82" i="67"/>
  <c r="K66" i="67"/>
  <c r="K68" i="67" s="1"/>
  <c r="O74" i="67"/>
  <c r="J73" i="67"/>
  <c r="AC10" i="7"/>
  <c r="M38" i="67"/>
  <c r="AI10" i="7"/>
  <c r="L41" i="67"/>
  <c r="J87" i="67"/>
  <c r="O58" i="67"/>
  <c r="J125" i="41"/>
  <c r="G157" i="41"/>
  <c r="AF11" i="7" s="1"/>
  <c r="G131" i="41"/>
  <c r="AB19" i="7"/>
  <c r="AB17" i="7" s="1"/>
  <c r="AB13" i="7" s="1"/>
  <c r="AB21" i="7" s="1"/>
  <c r="AI9" i="7"/>
  <c r="O84" i="67"/>
  <c r="K87" i="67"/>
  <c r="O54" i="67"/>
  <c r="J85" i="67"/>
  <c r="O83" i="67"/>
  <c r="K79" i="67"/>
  <c r="O80" i="67"/>
  <c r="AG10" i="7"/>
  <c r="J41" i="67"/>
  <c r="J124" i="41"/>
  <c r="G126" i="41"/>
  <c r="K124" i="41"/>
  <c r="Y77" i="7"/>
  <c r="N57" i="67"/>
  <c r="J79" i="67"/>
  <c r="K85" i="67"/>
  <c r="O81" i="67"/>
  <c r="N73" i="67"/>
  <c r="O51" i="67"/>
  <c r="N85" i="67"/>
  <c r="AH10" i="7"/>
  <c r="K41" i="67"/>
  <c r="Z10" i="7"/>
  <c r="J38" i="67"/>
  <c r="I134" i="41"/>
  <c r="AJ10" i="7"/>
  <c r="M41" i="67"/>
  <c r="AA10" i="7"/>
  <c r="K38" i="67"/>
  <c r="L87" i="67"/>
  <c r="O67" i="67"/>
  <c r="N87" i="67"/>
  <c r="O48" i="67"/>
  <c r="G132" i="41"/>
  <c r="G149" i="41" s="1"/>
  <c r="O70" i="67"/>
  <c r="K71" i="67"/>
  <c r="J68" i="67"/>
  <c r="M144" i="41"/>
  <c r="AG9" i="7"/>
  <c r="L157" i="41"/>
  <c r="AK10" i="7"/>
  <c r="H157" i="41"/>
  <c r="AG19" i="7"/>
  <c r="AG17" i="7" s="1"/>
  <c r="AG14" i="7"/>
  <c r="AF19" i="7"/>
  <c r="AF17" i="7" s="1"/>
  <c r="AF13" i="7" s="1"/>
  <c r="AF21" i="7" s="1"/>
  <c r="AF66" i="7"/>
  <c r="AF67" i="7" s="1"/>
  <c r="AH19" i="7"/>
  <c r="AH17" i="7" s="1"/>
  <c r="AH13" i="7" s="1"/>
  <c r="AH21" i="7" s="1"/>
  <c r="AI22" i="7"/>
  <c r="AK14" i="7"/>
  <c r="AJ19" i="7"/>
  <c r="AJ17" i="7" s="1"/>
  <c r="I157" i="41"/>
  <c r="AJ14" i="7"/>
  <c r="AE19" i="7"/>
  <c r="AE17" i="7" s="1"/>
  <c r="AE13" i="7" s="1"/>
  <c r="AE21" i="7" s="1"/>
  <c r="F157" i="41"/>
  <c r="AE11" i="7" s="1"/>
  <c r="X22" i="7"/>
  <c r="X17" i="7"/>
  <c r="X13" i="7" s="1"/>
  <c r="X21" i="7" s="1"/>
  <c r="L156" i="41"/>
  <c r="AD10" i="7"/>
  <c r="AA14" i="7"/>
  <c r="G124" i="41"/>
  <c r="M143" i="41"/>
  <c r="Z9" i="7"/>
  <c r="Y66" i="7"/>
  <c r="Y67" i="7" s="1"/>
  <c r="J156" i="41"/>
  <c r="AB10" i="7"/>
  <c r="Z19" i="7"/>
  <c r="Z22" i="7" s="1"/>
  <c r="Y14" i="7"/>
  <c r="Y22" i="7"/>
  <c r="AC14" i="7"/>
  <c r="I156" i="41"/>
  <c r="AA9" i="7"/>
  <c r="AD19" i="7"/>
  <c r="AD17" i="7" s="1"/>
  <c r="AD13" i="7" s="1"/>
  <c r="AD21" i="7" s="1"/>
  <c r="H124" i="41"/>
  <c r="H156" i="41"/>
  <c r="G156" i="41"/>
  <c r="Y11" i="7" s="1"/>
  <c r="Y10" i="7"/>
  <c r="F156" i="41"/>
  <c r="X11" i="7" s="1"/>
  <c r="X10" i="7"/>
  <c r="K156" i="41"/>
  <c r="AC19" i="7"/>
  <c r="AC17" i="7" s="1"/>
  <c r="L124" i="41"/>
  <c r="I125" i="41"/>
  <c r="C29" i="47"/>
  <c r="C13" i="47"/>
  <c r="G13" i="47"/>
  <c r="AF9" i="41"/>
  <c r="U9" i="41"/>
  <c r="M60" i="41"/>
  <c r="M73" i="41"/>
  <c r="M36" i="41"/>
  <c r="M99" i="41"/>
  <c r="M11" i="41"/>
  <c r="I124" i="41"/>
  <c r="M150" i="41"/>
  <c r="M151" i="41"/>
  <c r="W9" i="41"/>
  <c r="AD9" i="41"/>
  <c r="AE9" i="41"/>
  <c r="X9" i="41"/>
  <c r="M48" i="41"/>
  <c r="Z9" i="41"/>
  <c r="AG9" i="41"/>
  <c r="V9" i="41"/>
  <c r="AC9" i="41"/>
  <c r="O82" i="67" l="1"/>
  <c r="M92" i="67"/>
  <c r="E29" i="47"/>
  <c r="AD22" i="7"/>
  <c r="L40" i="67"/>
  <c r="L39" i="67" s="1"/>
  <c r="L23" i="67" s="1"/>
  <c r="Y13" i="7"/>
  <c r="Y21" i="7" s="1"/>
  <c r="D13" i="47"/>
  <c r="O79" i="67"/>
  <c r="M134" i="41"/>
  <c r="L92" i="67"/>
  <c r="AA22" i="7"/>
  <c r="L86" i="67"/>
  <c r="L88" i="67" s="1"/>
  <c r="J86" i="67"/>
  <c r="J88" i="67" s="1"/>
  <c r="M126" i="41"/>
  <c r="F13" i="47"/>
  <c r="M125" i="41"/>
  <c r="M40" i="67"/>
  <c r="M39" i="67" s="1"/>
  <c r="M23" i="67" s="1"/>
  <c r="O57" i="67"/>
  <c r="AA13" i="7"/>
  <c r="AA21" i="7" s="1"/>
  <c r="AJ22" i="7"/>
  <c r="AF22" i="7"/>
  <c r="O68" i="67"/>
  <c r="M86" i="67"/>
  <c r="M88" i="67" s="1"/>
  <c r="G29" i="47"/>
  <c r="AB22" i="7"/>
  <c r="AK17" i="7"/>
  <c r="AK13" i="7" s="1"/>
  <c r="AK21" i="7" s="1"/>
  <c r="O66" i="67"/>
  <c r="AH11" i="7"/>
  <c r="K40" i="67"/>
  <c r="AC131" i="41"/>
  <c r="V131" i="41"/>
  <c r="O131" i="41"/>
  <c r="M157" i="41"/>
  <c r="Z11" i="7"/>
  <c r="J37" i="67"/>
  <c r="O38" i="67"/>
  <c r="Q22" i="67" s="1"/>
  <c r="N59" i="67"/>
  <c r="N92" i="67" s="1"/>
  <c r="N86" i="67"/>
  <c r="N88" i="67" s="1"/>
  <c r="O41" i="67"/>
  <c r="Q23" i="67" s="1"/>
  <c r="O87" i="67"/>
  <c r="AC11" i="7"/>
  <c r="M37" i="67"/>
  <c r="AA11" i="7"/>
  <c r="K37" i="67"/>
  <c r="AB11" i="7"/>
  <c r="L37" i="67"/>
  <c r="AD11" i="7"/>
  <c r="N37" i="67"/>
  <c r="AI21" i="7"/>
  <c r="AC135" i="41"/>
  <c r="O130" i="41"/>
  <c r="O147" i="41" s="1"/>
  <c r="O135" i="41"/>
  <c r="AC130" i="41"/>
  <c r="AC147" i="41" s="1"/>
  <c r="G135" i="41"/>
  <c r="V130" i="41"/>
  <c r="V147" i="41" s="1"/>
  <c r="O85" i="67"/>
  <c r="AC22" i="7"/>
  <c r="AJ13" i="7"/>
  <c r="AJ21" i="7" s="1"/>
  <c r="AG11" i="7"/>
  <c r="J40" i="67"/>
  <c r="AK11" i="7"/>
  <c r="N40" i="67"/>
  <c r="AC132" i="41"/>
  <c r="AC149" i="41" s="1"/>
  <c r="O132" i="41"/>
  <c r="O149" i="41" s="1"/>
  <c r="V132" i="41"/>
  <c r="V149" i="41" s="1"/>
  <c r="O71" i="67"/>
  <c r="K73" i="67"/>
  <c r="K86" i="67"/>
  <c r="K88" i="67" s="1"/>
  <c r="M124" i="41"/>
  <c r="J92" i="67"/>
  <c r="AE22" i="7"/>
  <c r="AH22" i="7"/>
  <c r="AG22" i="7"/>
  <c r="AG13" i="7"/>
  <c r="AG21" i="7" s="1"/>
  <c r="AC13" i="7"/>
  <c r="AC21" i="7" s="1"/>
  <c r="Z17" i="7"/>
  <c r="Z13" i="7" s="1"/>
  <c r="Z21" i="7" s="1"/>
  <c r="M156" i="41"/>
  <c r="K141" i="1"/>
  <c r="K137" i="1"/>
  <c r="K136" i="1"/>
  <c r="K140" i="1"/>
  <c r="N54" i="2"/>
  <c r="N50" i="2"/>
  <c r="N49" i="2"/>
  <c r="N53" i="2"/>
  <c r="G121" i="65"/>
  <c r="G120" i="65"/>
  <c r="G117" i="65"/>
  <c r="G116" i="65"/>
  <c r="H137" i="74"/>
  <c r="H136" i="74"/>
  <c r="H133" i="74"/>
  <c r="H132" i="74"/>
  <c r="G114" i="76"/>
  <c r="G113" i="76"/>
  <c r="G110" i="76"/>
  <c r="G109" i="76"/>
  <c r="K99" i="39"/>
  <c r="K98" i="39"/>
  <c r="K95" i="39"/>
  <c r="K94" i="39"/>
  <c r="F50" i="58"/>
  <c r="F46" i="58"/>
  <c r="F45" i="58"/>
  <c r="F49" i="58"/>
  <c r="Y28" i="53"/>
  <c r="Z28" i="53"/>
  <c r="AG28" i="53"/>
  <c r="AH28" i="53"/>
  <c r="AO28" i="53"/>
  <c r="AP28" i="53"/>
  <c r="AW28" i="53"/>
  <c r="AX28" i="53"/>
  <c r="AY28" i="53"/>
  <c r="AZ28" i="53"/>
  <c r="BA28" i="53"/>
  <c r="BB28" i="53"/>
  <c r="BC28" i="53"/>
  <c r="BD28" i="53"/>
  <c r="BE28" i="53"/>
  <c r="BF28" i="53"/>
  <c r="BG28" i="53"/>
  <c r="BH28" i="53"/>
  <c r="M14" i="67" l="1"/>
  <c r="L14" i="67"/>
  <c r="J14" i="67"/>
  <c r="J39" i="67"/>
  <c r="O40" i="67"/>
  <c r="P23" i="67" s="1"/>
  <c r="N13" i="67"/>
  <c r="N36" i="67"/>
  <c r="N22" i="67" s="1"/>
  <c r="K13" i="67"/>
  <c r="K36" i="67"/>
  <c r="K22" i="67" s="1"/>
  <c r="O59" i="67"/>
  <c r="J13" i="67"/>
  <c r="J36" i="67"/>
  <c r="O37" i="67"/>
  <c r="P22" i="67" s="1"/>
  <c r="K39" i="67"/>
  <c r="K23" i="67" s="1"/>
  <c r="K14" i="67"/>
  <c r="N14" i="67"/>
  <c r="N39" i="67"/>
  <c r="N23" i="67" s="1"/>
  <c r="L36" i="67"/>
  <c r="L22" i="67" s="1"/>
  <c r="L13" i="67"/>
  <c r="M36" i="67"/>
  <c r="M22" i="67" s="1"/>
  <c r="M13" i="67"/>
  <c r="O88" i="67"/>
  <c r="P57" i="67" s="1"/>
  <c r="O73" i="67"/>
  <c r="K92" i="67"/>
  <c r="O86" i="67"/>
  <c r="E28" i="22"/>
  <c r="E24" i="22"/>
  <c r="E23" i="22"/>
  <c r="E27" i="22"/>
  <c r="F30" i="21"/>
  <c r="F26" i="21"/>
  <c r="F25" i="21"/>
  <c r="F29" i="21"/>
  <c r="C85" i="35"/>
  <c r="AJ184" i="62" s="1"/>
  <c r="C81" i="35"/>
  <c r="AJ180" i="62" s="1"/>
  <c r="F38" i="20"/>
  <c r="F39" i="20"/>
  <c r="F34" i="20"/>
  <c r="F33" i="20"/>
  <c r="F86" i="49"/>
  <c r="F85" i="49"/>
  <c r="F81" i="49"/>
  <c r="F80" i="49"/>
  <c r="F65" i="17"/>
  <c r="F60" i="17"/>
  <c r="F59" i="17"/>
  <c r="F64" i="17"/>
  <c r="E55" i="48"/>
  <c r="E51" i="48"/>
  <c r="E50" i="48"/>
  <c r="E54" i="48"/>
  <c r="F28" i="16"/>
  <c r="F24" i="16"/>
  <c r="F23" i="16"/>
  <c r="F27" i="16"/>
  <c r="AB156" i="77"/>
  <c r="AB152" i="77"/>
  <c r="AB151" i="77"/>
  <c r="AB155" i="77"/>
  <c r="AR107" i="73"/>
  <c r="AR101" i="73"/>
  <c r="AR100" i="73"/>
  <c r="AR106" i="73"/>
  <c r="R117" i="53"/>
  <c r="R121" i="53"/>
  <c r="R116" i="53"/>
  <c r="R120" i="53"/>
  <c r="AK181" i="62"/>
  <c r="AK185" i="62"/>
  <c r="AK180" i="62"/>
  <c r="AK184" i="62"/>
  <c r="AL118" i="51"/>
  <c r="AL114" i="51"/>
  <c r="AL113" i="51"/>
  <c r="AL117" i="51"/>
  <c r="Q53" i="60"/>
  <c r="P65" i="67" l="1"/>
  <c r="P51" i="67"/>
  <c r="P84" i="67"/>
  <c r="P85" i="67"/>
  <c r="P68" i="67"/>
  <c r="P71" i="67"/>
  <c r="P78" i="67"/>
  <c r="P81" i="67"/>
  <c r="P58" i="67"/>
  <c r="P50" i="67"/>
  <c r="P61" i="67"/>
  <c r="P79" i="67"/>
  <c r="P64" i="67"/>
  <c r="P80" i="67"/>
  <c r="P63" i="67"/>
  <c r="P72" i="67"/>
  <c r="P67" i="67"/>
  <c r="P75" i="67"/>
  <c r="P52" i="67"/>
  <c r="J23" i="67"/>
  <c r="O23" i="67" s="1"/>
  <c r="O39" i="67"/>
  <c r="AK289" i="50"/>
  <c r="AO72" i="60"/>
  <c r="O13" i="67"/>
  <c r="O14" i="67"/>
  <c r="J22" i="67"/>
  <c r="O22" i="67" s="1"/>
  <c r="O36" i="67"/>
  <c r="AO76" i="60"/>
  <c r="AK293" i="50"/>
  <c r="P73" i="67"/>
  <c r="P59" i="67"/>
  <c r="P60" i="67"/>
  <c r="P82" i="67"/>
  <c r="P53" i="67"/>
  <c r="P88" i="67"/>
  <c r="P69" i="67"/>
  <c r="P70" i="67"/>
  <c r="P74" i="67"/>
  <c r="P77" i="67"/>
  <c r="P54" i="67"/>
  <c r="P86" i="67"/>
  <c r="P48" i="67"/>
  <c r="P56" i="67"/>
  <c r="P55" i="67"/>
  <c r="P83" i="67"/>
  <c r="P66" i="67"/>
  <c r="P49" i="67"/>
  <c r="P62" i="67"/>
  <c r="P76" i="67"/>
  <c r="P87" i="67"/>
  <c r="O92" i="67"/>
  <c r="D47" i="47"/>
  <c r="AH81" i="7"/>
  <c r="D27" i="22"/>
  <c r="AH84" i="7"/>
  <c r="D51" i="47"/>
  <c r="E29" i="21"/>
  <c r="E33" i="20"/>
  <c r="Q120" i="53"/>
  <c r="E38" i="20"/>
  <c r="D50" i="48"/>
  <c r="M49" i="2"/>
  <c r="G132" i="74"/>
  <c r="J136" i="1"/>
  <c r="E45" i="58"/>
  <c r="J94" i="39"/>
  <c r="F116" i="65"/>
  <c r="F109" i="76"/>
  <c r="J140" i="1"/>
  <c r="E49" i="58"/>
  <c r="J98" i="39"/>
  <c r="F120" i="65"/>
  <c r="F113" i="76"/>
  <c r="M53" i="2"/>
  <c r="G136" i="74"/>
  <c r="E25" i="21"/>
  <c r="D23" i="22"/>
  <c r="AQ106" i="73"/>
  <c r="D54" i="48"/>
  <c r="E27" i="16"/>
  <c r="E85" i="49"/>
  <c r="AK117" i="51"/>
  <c r="AA155" i="77"/>
  <c r="E64" i="17"/>
  <c r="AA151" i="77"/>
  <c r="E23" i="16"/>
  <c r="E80" i="49"/>
  <c r="Q116" i="53"/>
  <c r="AK113" i="51"/>
  <c r="E59" i="17"/>
  <c r="AQ100" i="73"/>
  <c r="D101" i="73"/>
  <c r="D100" i="73"/>
  <c r="AH105" i="73" l="1"/>
  <c r="AH104" i="73"/>
  <c r="AH103" i="73"/>
  <c r="AH102" i="73"/>
  <c r="AF105" i="73"/>
  <c r="AF104" i="73"/>
  <c r="AF103" i="73"/>
  <c r="AF102" i="73"/>
  <c r="AD105" i="73"/>
  <c r="AD104" i="73"/>
  <c r="AD103" i="73"/>
  <c r="AD102" i="73"/>
  <c r="AB105" i="73"/>
  <c r="AB104" i="73"/>
  <c r="AB103" i="73"/>
  <c r="AB102" i="73"/>
  <c r="Z105" i="73"/>
  <c r="Z104" i="73"/>
  <c r="Z103" i="73"/>
  <c r="Z102" i="73"/>
  <c r="AH101" i="73"/>
  <c r="AF101" i="73"/>
  <c r="AD101" i="73"/>
  <c r="AB101" i="73"/>
  <c r="Z101" i="73"/>
  <c r="AH100" i="73"/>
  <c r="AF100" i="73"/>
  <c r="AD100" i="73"/>
  <c r="AB100" i="73"/>
  <c r="Z100" i="73"/>
  <c r="W105" i="73"/>
  <c r="U105" i="73"/>
  <c r="S105" i="73"/>
  <c r="Q105" i="73"/>
  <c r="O105" i="73"/>
  <c r="W104" i="73"/>
  <c r="U104" i="73"/>
  <c r="S104" i="73"/>
  <c r="Q104" i="73"/>
  <c r="O104" i="73"/>
  <c r="W103" i="73"/>
  <c r="U103" i="73"/>
  <c r="S103" i="73"/>
  <c r="Q103" i="73"/>
  <c r="O103" i="73"/>
  <c r="W102" i="73"/>
  <c r="U102" i="73"/>
  <c r="S102" i="73"/>
  <c r="Q102" i="73"/>
  <c r="O102" i="73"/>
  <c r="W101" i="73"/>
  <c r="U101" i="73"/>
  <c r="S101" i="73"/>
  <c r="Q101" i="73"/>
  <c r="O101" i="73"/>
  <c r="W100" i="73"/>
  <c r="U100" i="73"/>
  <c r="S100" i="73"/>
  <c r="Q100" i="73"/>
  <c r="O100" i="73"/>
  <c r="L106" i="73"/>
  <c r="J106" i="73"/>
  <c r="H106" i="73"/>
  <c r="F106" i="73"/>
  <c r="L105" i="73"/>
  <c r="J105" i="73"/>
  <c r="H105" i="73"/>
  <c r="F105" i="73"/>
  <c r="L104" i="73"/>
  <c r="J104" i="73"/>
  <c r="H104" i="73"/>
  <c r="F104" i="73"/>
  <c r="L103" i="73"/>
  <c r="J103" i="73"/>
  <c r="H103" i="73"/>
  <c r="F103" i="73"/>
  <c r="L102" i="73"/>
  <c r="J102" i="73"/>
  <c r="H102" i="73"/>
  <c r="F102" i="73"/>
  <c r="L101" i="73"/>
  <c r="J101" i="73"/>
  <c r="H101" i="73"/>
  <c r="F101" i="73"/>
  <c r="D105" i="73"/>
  <c r="D104" i="73"/>
  <c r="D103" i="73"/>
  <c r="D102" i="73"/>
  <c r="AF137" i="77"/>
  <c r="Z137" i="77"/>
  <c r="T137" i="77"/>
  <c r="N137" i="77"/>
  <c r="H137" i="77"/>
  <c r="AF114" i="77"/>
  <c r="Z114" i="77"/>
  <c r="T114" i="77"/>
  <c r="N114" i="77"/>
  <c r="H114" i="77"/>
  <c r="AF90" i="77"/>
  <c r="Z90" i="77"/>
  <c r="T90" i="77"/>
  <c r="N90" i="77"/>
  <c r="H90" i="77"/>
  <c r="AF67" i="77"/>
  <c r="Z67" i="77"/>
  <c r="T67" i="77"/>
  <c r="N67" i="77"/>
  <c r="H67" i="77"/>
  <c r="AF43" i="77"/>
  <c r="Z43" i="77"/>
  <c r="T43" i="77"/>
  <c r="N43" i="77"/>
  <c r="H43" i="77"/>
  <c r="AF20" i="77"/>
  <c r="Z20" i="77"/>
  <c r="T20" i="77"/>
  <c r="N20" i="77"/>
  <c r="H20" i="77"/>
  <c r="BE87" i="73"/>
  <c r="BD87" i="73"/>
  <c r="BC87" i="73"/>
  <c r="BB87" i="73"/>
  <c r="BA87" i="73"/>
  <c r="AZ87" i="73"/>
  <c r="AY87" i="73"/>
  <c r="AX87" i="73"/>
  <c r="AW87" i="73"/>
  <c r="AV87" i="73"/>
  <c r="BE86" i="73"/>
  <c r="BD86" i="73"/>
  <c r="BC86" i="73"/>
  <c r="BB86" i="73"/>
  <c r="BA86" i="73"/>
  <c r="AZ86" i="73"/>
  <c r="AY86" i="73"/>
  <c r="AX86" i="73"/>
  <c r="AW86" i="73"/>
  <c r="AV86" i="73"/>
  <c r="BE85" i="73"/>
  <c r="BD85" i="73"/>
  <c r="BC85" i="73"/>
  <c r="BB85" i="73"/>
  <c r="BA85" i="73"/>
  <c r="AZ85" i="73"/>
  <c r="AY85" i="73"/>
  <c r="AX85" i="73"/>
  <c r="AW85" i="73"/>
  <c r="AV85" i="73"/>
  <c r="BE84" i="73"/>
  <c r="BD84" i="73"/>
  <c r="BC84" i="73"/>
  <c r="BB84" i="73"/>
  <c r="BA84" i="73"/>
  <c r="AZ84" i="73"/>
  <c r="AY84" i="73"/>
  <c r="AX84" i="73"/>
  <c r="AW84" i="73"/>
  <c r="AV84" i="73"/>
  <c r="BE82" i="73"/>
  <c r="BD82" i="73"/>
  <c r="BC82" i="73"/>
  <c r="BB82" i="73"/>
  <c r="BA82" i="73"/>
  <c r="AZ82" i="73"/>
  <c r="AY82" i="73"/>
  <c r="AX82" i="73"/>
  <c r="AW82" i="73"/>
  <c r="AV82" i="73"/>
  <c r="BE81" i="73"/>
  <c r="BD81" i="73"/>
  <c r="BC81" i="73"/>
  <c r="BB81" i="73"/>
  <c r="BA81" i="73"/>
  <c r="AZ81" i="73"/>
  <c r="AY81" i="73"/>
  <c r="AX81" i="73"/>
  <c r="AW81" i="73"/>
  <c r="AV81" i="73"/>
  <c r="BE80" i="73"/>
  <c r="BD80" i="73"/>
  <c r="BC80" i="73"/>
  <c r="BB80" i="73"/>
  <c r="BA80" i="73"/>
  <c r="AZ80" i="73"/>
  <c r="AY80" i="73"/>
  <c r="AX80" i="73"/>
  <c r="AW80" i="73"/>
  <c r="AV80" i="73"/>
  <c r="BE79" i="73"/>
  <c r="BD79" i="73"/>
  <c r="BC79" i="73"/>
  <c r="BB79" i="73"/>
  <c r="BA79" i="73"/>
  <c r="AZ79" i="73"/>
  <c r="AY79" i="73"/>
  <c r="AX79" i="73"/>
  <c r="AW79" i="73"/>
  <c r="AV79" i="73"/>
  <c r="BE78" i="73"/>
  <c r="BD78" i="73"/>
  <c r="BC78" i="73"/>
  <c r="BB78" i="73"/>
  <c r="BA78" i="73"/>
  <c r="AZ78" i="73"/>
  <c r="AY78" i="73"/>
  <c r="AX78" i="73"/>
  <c r="AW78" i="73"/>
  <c r="AV78" i="73"/>
  <c r="BE77" i="73"/>
  <c r="BD77" i="73"/>
  <c r="BC77" i="73"/>
  <c r="BB77" i="73"/>
  <c r="BA77" i="73"/>
  <c r="AZ77" i="73"/>
  <c r="AY77" i="73"/>
  <c r="AX77" i="73"/>
  <c r="AW77" i="73"/>
  <c r="AV77" i="73"/>
  <c r="BE75" i="73"/>
  <c r="BD75" i="73"/>
  <c r="BC75" i="73"/>
  <c r="BB75" i="73"/>
  <c r="BA75" i="73"/>
  <c r="AZ75" i="73"/>
  <c r="AY75" i="73"/>
  <c r="AX75" i="73"/>
  <c r="AW75" i="73"/>
  <c r="AV75" i="73"/>
  <c r="BE73" i="73"/>
  <c r="BD73" i="73"/>
  <c r="BC73" i="73"/>
  <c r="BB73" i="73"/>
  <c r="BA73" i="73"/>
  <c r="AZ73" i="73"/>
  <c r="AY73" i="73"/>
  <c r="AX73" i="73"/>
  <c r="AW73" i="73"/>
  <c r="AV73" i="73"/>
  <c r="BE71" i="73"/>
  <c r="BD71" i="73"/>
  <c r="BC71" i="73"/>
  <c r="BB71" i="73"/>
  <c r="BA71" i="73"/>
  <c r="AZ71" i="73"/>
  <c r="AY71" i="73"/>
  <c r="AX71" i="73"/>
  <c r="AW71" i="73"/>
  <c r="AV71" i="73"/>
  <c r="BE54" i="73"/>
  <c r="BD54" i="73"/>
  <c r="BC54" i="73"/>
  <c r="BB54" i="73"/>
  <c r="BA54" i="73"/>
  <c r="AZ54" i="73"/>
  <c r="AY54" i="73"/>
  <c r="AX54" i="73"/>
  <c r="AW54" i="73"/>
  <c r="AV54" i="73"/>
  <c r="BE53" i="73"/>
  <c r="BD53" i="73"/>
  <c r="BC53" i="73"/>
  <c r="BB53" i="73"/>
  <c r="BA53" i="73"/>
  <c r="AZ53" i="73"/>
  <c r="AY53" i="73"/>
  <c r="AX53" i="73"/>
  <c r="AW53" i="73"/>
  <c r="AV53" i="73"/>
  <c r="BE52" i="73"/>
  <c r="BD52" i="73"/>
  <c r="BC52" i="73"/>
  <c r="BB52" i="73"/>
  <c r="BA52" i="73"/>
  <c r="AZ52" i="73"/>
  <c r="AY52" i="73"/>
  <c r="AX52" i="73"/>
  <c r="AW52" i="73"/>
  <c r="AV52" i="73"/>
  <c r="BE47" i="73"/>
  <c r="BD47" i="73"/>
  <c r="BC47" i="73"/>
  <c r="BB47" i="73"/>
  <c r="BA47" i="73"/>
  <c r="AZ47" i="73"/>
  <c r="AY47" i="73"/>
  <c r="AX47" i="73"/>
  <c r="AW47" i="73"/>
  <c r="AV47" i="73"/>
  <c r="BE46" i="73"/>
  <c r="BD46" i="73"/>
  <c r="BC46" i="73"/>
  <c r="BB46" i="73"/>
  <c r="BA46" i="73"/>
  <c r="AZ46" i="73"/>
  <c r="AY46" i="73"/>
  <c r="AX46" i="73"/>
  <c r="AW46" i="73"/>
  <c r="AV46" i="73"/>
  <c r="BE45" i="73"/>
  <c r="BD45" i="73"/>
  <c r="BC45" i="73"/>
  <c r="BB45" i="73"/>
  <c r="BA45" i="73"/>
  <c r="AZ45" i="73"/>
  <c r="AY45" i="73"/>
  <c r="AX45" i="73"/>
  <c r="AW45" i="73"/>
  <c r="AV45" i="73"/>
  <c r="BE44" i="73"/>
  <c r="BD44" i="73"/>
  <c r="BC44" i="73"/>
  <c r="BB44" i="73"/>
  <c r="BA44" i="73"/>
  <c r="AZ44" i="73"/>
  <c r="AY44" i="73"/>
  <c r="AX44" i="73"/>
  <c r="AW44" i="73"/>
  <c r="AV44" i="73"/>
  <c r="BE43" i="73"/>
  <c r="BD43" i="73"/>
  <c r="BC43" i="73"/>
  <c r="BB43" i="73"/>
  <c r="BA43" i="73"/>
  <c r="AZ43" i="73"/>
  <c r="AY43" i="73"/>
  <c r="AX43" i="73"/>
  <c r="AW43" i="73"/>
  <c r="AV43" i="73"/>
  <c r="BE42" i="73"/>
  <c r="BD42" i="73"/>
  <c r="BC42" i="73"/>
  <c r="BB42" i="73"/>
  <c r="BA42" i="73"/>
  <c r="AZ42" i="73"/>
  <c r="AY42" i="73"/>
  <c r="AX42" i="73"/>
  <c r="AW42" i="73"/>
  <c r="AV42" i="73"/>
  <c r="BE41" i="73"/>
  <c r="BD41" i="73"/>
  <c r="BC41" i="73"/>
  <c r="BB41" i="73"/>
  <c r="BA41" i="73"/>
  <c r="AZ41" i="73"/>
  <c r="AY41" i="73"/>
  <c r="AX41" i="73"/>
  <c r="AW41" i="73"/>
  <c r="AV41" i="73"/>
  <c r="BE40" i="73"/>
  <c r="BD40" i="73"/>
  <c r="BC40" i="73"/>
  <c r="BB40" i="73"/>
  <c r="BA40" i="73"/>
  <c r="AZ40" i="73"/>
  <c r="AY40" i="73"/>
  <c r="AX40" i="73"/>
  <c r="AW40" i="73"/>
  <c r="AV40" i="73"/>
  <c r="BE39" i="73"/>
  <c r="BD39" i="73"/>
  <c r="BC39" i="73"/>
  <c r="BB39" i="73"/>
  <c r="BA39" i="73"/>
  <c r="AZ39" i="73"/>
  <c r="AY39" i="73"/>
  <c r="AX39" i="73"/>
  <c r="AW39" i="73"/>
  <c r="AV39" i="73"/>
  <c r="BE37" i="73"/>
  <c r="BD37" i="73"/>
  <c r="BC37" i="73"/>
  <c r="BB37" i="73"/>
  <c r="BA37" i="73"/>
  <c r="AZ37" i="73"/>
  <c r="AY37" i="73"/>
  <c r="AX37" i="73"/>
  <c r="AW37" i="73"/>
  <c r="AV37" i="73"/>
  <c r="BE36" i="73"/>
  <c r="BD36" i="73"/>
  <c r="BC36" i="73"/>
  <c r="BB36" i="73"/>
  <c r="BA36" i="73"/>
  <c r="AZ36" i="73"/>
  <c r="AY36" i="73"/>
  <c r="AX36" i="73"/>
  <c r="AW36" i="73"/>
  <c r="AV36" i="73"/>
  <c r="BE35" i="73"/>
  <c r="BD35" i="73"/>
  <c r="BC35" i="73"/>
  <c r="BB35" i="73"/>
  <c r="BA35" i="73"/>
  <c r="AZ35" i="73"/>
  <c r="AY35" i="73"/>
  <c r="AX35" i="73"/>
  <c r="AW35" i="73"/>
  <c r="AV35" i="73"/>
  <c r="BE34" i="73"/>
  <c r="BD34" i="73"/>
  <c r="BC34" i="73"/>
  <c r="BB34" i="73"/>
  <c r="BA34" i="73"/>
  <c r="AZ34" i="73"/>
  <c r="AY34" i="73"/>
  <c r="AX34" i="73"/>
  <c r="AW34" i="73"/>
  <c r="AV34" i="73"/>
  <c r="BE33" i="73"/>
  <c r="BD33" i="73"/>
  <c r="BC33" i="73"/>
  <c r="BB33" i="73"/>
  <c r="BA33" i="73"/>
  <c r="AZ33" i="73"/>
  <c r="AY33" i="73"/>
  <c r="AX33" i="73"/>
  <c r="AW33" i="73"/>
  <c r="AV33" i="73"/>
  <c r="BE32" i="73"/>
  <c r="BD32" i="73"/>
  <c r="BC32" i="73"/>
  <c r="BB32" i="73"/>
  <c r="BA32" i="73"/>
  <c r="AZ32" i="73"/>
  <c r="AY32" i="73"/>
  <c r="AX32" i="73"/>
  <c r="AW32" i="73"/>
  <c r="AV32" i="73"/>
  <c r="BE31" i="73"/>
  <c r="BD31" i="73"/>
  <c r="BC31" i="73"/>
  <c r="BB31" i="73"/>
  <c r="BA31" i="73"/>
  <c r="AZ31" i="73"/>
  <c r="AY31" i="73"/>
  <c r="AX31" i="73"/>
  <c r="AW31" i="73"/>
  <c r="AV31" i="73"/>
  <c r="BE30" i="73"/>
  <c r="BD30" i="73"/>
  <c r="BC30" i="73"/>
  <c r="BB30" i="73"/>
  <c r="BA30" i="73"/>
  <c r="AZ30" i="73"/>
  <c r="AY30" i="73"/>
  <c r="AX30" i="73"/>
  <c r="AW30" i="73"/>
  <c r="AV30" i="73"/>
  <c r="BE28" i="73"/>
  <c r="BD28" i="73"/>
  <c r="BC28" i="73"/>
  <c r="BB28" i="73"/>
  <c r="BA28" i="73"/>
  <c r="AZ28" i="73"/>
  <c r="AY28" i="73"/>
  <c r="AX28" i="73"/>
  <c r="AW28" i="73"/>
  <c r="AV28" i="73"/>
  <c r="BE27" i="73"/>
  <c r="BD27" i="73"/>
  <c r="BC27" i="73"/>
  <c r="BB27" i="73"/>
  <c r="BA27" i="73"/>
  <c r="AZ27" i="73"/>
  <c r="AY27" i="73"/>
  <c r="AX27" i="73"/>
  <c r="AW27" i="73"/>
  <c r="AV27" i="73"/>
  <c r="BE26" i="73"/>
  <c r="BD26" i="73"/>
  <c r="BC26" i="73"/>
  <c r="BB26" i="73"/>
  <c r="BA26" i="73"/>
  <c r="AZ26" i="73"/>
  <c r="AY26" i="73"/>
  <c r="AX26" i="73"/>
  <c r="AW26" i="73"/>
  <c r="AV26" i="73"/>
  <c r="BE23" i="73"/>
  <c r="BD23" i="73"/>
  <c r="BC23" i="73"/>
  <c r="BB23" i="73"/>
  <c r="BA23" i="73"/>
  <c r="AZ23" i="73"/>
  <c r="AY23" i="73"/>
  <c r="AX23" i="73"/>
  <c r="AW23" i="73"/>
  <c r="AV23" i="73"/>
  <c r="BE22" i="73"/>
  <c r="BD22" i="73"/>
  <c r="BC22" i="73"/>
  <c r="BB22" i="73"/>
  <c r="BA22" i="73"/>
  <c r="AZ22" i="73"/>
  <c r="AY22" i="73"/>
  <c r="AX22" i="73"/>
  <c r="AW22" i="73"/>
  <c r="AV22" i="73"/>
  <c r="BE20" i="73"/>
  <c r="BD20" i="73"/>
  <c r="BC20" i="73"/>
  <c r="BB20" i="73"/>
  <c r="BA20" i="73"/>
  <c r="AZ20" i="73"/>
  <c r="AY20" i="73"/>
  <c r="AX20" i="73"/>
  <c r="AW20" i="73"/>
  <c r="AV20" i="73"/>
  <c r="BE19" i="73"/>
  <c r="BD19" i="73"/>
  <c r="BC19" i="73"/>
  <c r="BB19" i="73"/>
  <c r="BA19" i="73"/>
  <c r="AZ19" i="73"/>
  <c r="AY19" i="73"/>
  <c r="AX19" i="73"/>
  <c r="AW19" i="73"/>
  <c r="AV19" i="73"/>
  <c r="BE16" i="73"/>
  <c r="BD16" i="73"/>
  <c r="BC16" i="73"/>
  <c r="BB16" i="73"/>
  <c r="BA16" i="73"/>
  <c r="AZ16" i="73"/>
  <c r="AY16" i="73"/>
  <c r="AX16" i="73"/>
  <c r="AW16" i="73"/>
  <c r="AV16" i="73"/>
  <c r="BE15" i="73"/>
  <c r="BD15" i="73"/>
  <c r="BC15" i="73"/>
  <c r="BB15" i="73"/>
  <c r="BA15" i="73"/>
  <c r="AZ15" i="73"/>
  <c r="AY15" i="73"/>
  <c r="AX15" i="73"/>
  <c r="AW15" i="73"/>
  <c r="AV15" i="73"/>
  <c r="BE14" i="73"/>
  <c r="BD14" i="73"/>
  <c r="BC14" i="73"/>
  <c r="BB14" i="73"/>
  <c r="BA14" i="73"/>
  <c r="AZ14" i="73"/>
  <c r="AY14" i="73"/>
  <c r="AX14" i="73"/>
  <c r="AW14" i="73"/>
  <c r="AV14" i="73"/>
  <c r="BE13" i="73"/>
  <c r="BD13" i="73"/>
  <c r="BC13" i="73"/>
  <c r="BB13" i="73"/>
  <c r="BA13" i="73"/>
  <c r="AZ13" i="73"/>
  <c r="AY13" i="73"/>
  <c r="AX13" i="73"/>
  <c r="AW13" i="73"/>
  <c r="AV13" i="73"/>
  <c r="AT87" i="73"/>
  <c r="AS87" i="73"/>
  <c r="AR87" i="73"/>
  <c r="AQ87" i="73"/>
  <c r="AP87" i="73"/>
  <c r="AO87" i="73"/>
  <c r="AN87" i="73"/>
  <c r="AM87" i="73"/>
  <c r="AL87" i="73"/>
  <c r="AK87" i="73"/>
  <c r="AT86" i="73"/>
  <c r="AS86" i="73"/>
  <c r="AR86" i="73"/>
  <c r="AQ86" i="73"/>
  <c r="AP86" i="73"/>
  <c r="AO86" i="73"/>
  <c r="AN86" i="73"/>
  <c r="AM86" i="73"/>
  <c r="AL86" i="73"/>
  <c r="AK86" i="73"/>
  <c r="AT85" i="73"/>
  <c r="AS85" i="73"/>
  <c r="AR85" i="73"/>
  <c r="AQ85" i="73"/>
  <c r="AP85" i="73"/>
  <c r="AO85" i="73"/>
  <c r="AN85" i="73"/>
  <c r="AM85" i="73"/>
  <c r="AL85" i="73"/>
  <c r="AK85" i="73"/>
  <c r="AT84" i="73"/>
  <c r="AS84" i="73"/>
  <c r="AR84" i="73"/>
  <c r="AQ84" i="73"/>
  <c r="AP84" i="73"/>
  <c r="AO84" i="73"/>
  <c r="AN84" i="73"/>
  <c r="AM84" i="73"/>
  <c r="AL84" i="73"/>
  <c r="AK84" i="73"/>
  <c r="AT82" i="73"/>
  <c r="AS82" i="73"/>
  <c r="AR82" i="73"/>
  <c r="AQ82" i="73"/>
  <c r="AP82" i="73"/>
  <c r="AO82" i="73"/>
  <c r="AN82" i="73"/>
  <c r="AM82" i="73"/>
  <c r="AL82" i="73"/>
  <c r="AK82" i="73"/>
  <c r="AT81" i="73"/>
  <c r="AS81" i="73"/>
  <c r="AR81" i="73"/>
  <c r="AQ81" i="73"/>
  <c r="AP81" i="73"/>
  <c r="AO81" i="73"/>
  <c r="AN81" i="73"/>
  <c r="AM81" i="73"/>
  <c r="AL81" i="73"/>
  <c r="AK81" i="73"/>
  <c r="AT80" i="73"/>
  <c r="AS80" i="73"/>
  <c r="AR80" i="73"/>
  <c r="AQ80" i="73"/>
  <c r="AP80" i="73"/>
  <c r="AO80" i="73"/>
  <c r="AN80" i="73"/>
  <c r="AM80" i="73"/>
  <c r="AL80" i="73"/>
  <c r="AK80" i="73"/>
  <c r="AT79" i="73"/>
  <c r="AS79" i="73"/>
  <c r="AR79" i="73"/>
  <c r="AQ79" i="73"/>
  <c r="AP79" i="73"/>
  <c r="AO79" i="73"/>
  <c r="AN79" i="73"/>
  <c r="AM79" i="73"/>
  <c r="AL79" i="73"/>
  <c r="AK79" i="73"/>
  <c r="AT78" i="73"/>
  <c r="AS78" i="73"/>
  <c r="AR78" i="73"/>
  <c r="AQ78" i="73"/>
  <c r="AP78" i="73"/>
  <c r="AO78" i="73"/>
  <c r="AN78" i="73"/>
  <c r="AM78" i="73"/>
  <c r="AL78" i="73"/>
  <c r="AK78" i="73"/>
  <c r="AT77" i="73"/>
  <c r="AS77" i="73"/>
  <c r="AR77" i="73"/>
  <c r="AQ77" i="73"/>
  <c r="AP77" i="73"/>
  <c r="AO77" i="73"/>
  <c r="AN77" i="73"/>
  <c r="AM77" i="73"/>
  <c r="AL77" i="73"/>
  <c r="AK77" i="73"/>
  <c r="AT75" i="73"/>
  <c r="AS75" i="73"/>
  <c r="AR75" i="73"/>
  <c r="AQ75" i="73"/>
  <c r="AP75" i="73"/>
  <c r="AO75" i="73"/>
  <c r="AN75" i="73"/>
  <c r="AM75" i="73"/>
  <c r="AL75" i="73"/>
  <c r="AK75" i="73"/>
  <c r="AT73" i="73"/>
  <c r="AS73" i="73"/>
  <c r="AR73" i="73"/>
  <c r="AQ73" i="73"/>
  <c r="AP73" i="73"/>
  <c r="AO73" i="73"/>
  <c r="AN73" i="73"/>
  <c r="AM73" i="73"/>
  <c r="AL73" i="73"/>
  <c r="AK73" i="73"/>
  <c r="AT71" i="73"/>
  <c r="AS71" i="73"/>
  <c r="AR71" i="73"/>
  <c r="AQ71" i="73"/>
  <c r="AP71" i="73"/>
  <c r="AO71" i="73"/>
  <c r="AN71" i="73"/>
  <c r="AM71" i="73"/>
  <c r="AL71" i="73"/>
  <c r="AK71" i="73"/>
  <c r="AT54" i="73"/>
  <c r="AS54" i="73"/>
  <c r="AR54" i="73"/>
  <c r="AQ54" i="73"/>
  <c r="AP54" i="73"/>
  <c r="AO54" i="73"/>
  <c r="AN54" i="73"/>
  <c r="AM54" i="73"/>
  <c r="AL54" i="73"/>
  <c r="AK54" i="73"/>
  <c r="AT53" i="73"/>
  <c r="AS53" i="73"/>
  <c r="AR53" i="73"/>
  <c r="AQ53" i="73"/>
  <c r="AP53" i="73"/>
  <c r="AO53" i="73"/>
  <c r="AN53" i="73"/>
  <c r="AM53" i="73"/>
  <c r="AL53" i="73"/>
  <c r="AK53" i="73"/>
  <c r="AT52" i="73"/>
  <c r="AS52" i="73"/>
  <c r="AR52" i="73"/>
  <c r="AQ52" i="73"/>
  <c r="AP52" i="73"/>
  <c r="AO52" i="73"/>
  <c r="AN52" i="73"/>
  <c r="AM52" i="73"/>
  <c r="AL52" i="73"/>
  <c r="AK52" i="73"/>
  <c r="AT47" i="73"/>
  <c r="AS47" i="73"/>
  <c r="AR47" i="73"/>
  <c r="AQ47" i="73"/>
  <c r="AP47" i="73"/>
  <c r="AO47" i="73"/>
  <c r="AN47" i="73"/>
  <c r="AM47" i="73"/>
  <c r="AL47" i="73"/>
  <c r="AK47" i="73"/>
  <c r="AT46" i="73"/>
  <c r="AS46" i="73"/>
  <c r="AR46" i="73"/>
  <c r="AQ46" i="73"/>
  <c r="AP46" i="73"/>
  <c r="AO46" i="73"/>
  <c r="AN46" i="73"/>
  <c r="AM46" i="73"/>
  <c r="AL46" i="73"/>
  <c r="AK46" i="73"/>
  <c r="AT45" i="73"/>
  <c r="AS45" i="73"/>
  <c r="AR45" i="73"/>
  <c r="AQ45" i="73"/>
  <c r="AP45" i="73"/>
  <c r="AO45" i="73"/>
  <c r="AN45" i="73"/>
  <c r="AM45" i="73"/>
  <c r="AL45" i="73"/>
  <c r="AK45" i="73"/>
  <c r="AT44" i="73"/>
  <c r="AS44" i="73"/>
  <c r="AR44" i="73"/>
  <c r="AQ44" i="73"/>
  <c r="AP44" i="73"/>
  <c r="AO44" i="73"/>
  <c r="AN44" i="73"/>
  <c r="AM44" i="73"/>
  <c r="AL44" i="73"/>
  <c r="AK44" i="73"/>
  <c r="AT43" i="73"/>
  <c r="AS43" i="73"/>
  <c r="AR43" i="73"/>
  <c r="AQ43" i="73"/>
  <c r="AP43" i="73"/>
  <c r="AO43" i="73"/>
  <c r="AN43" i="73"/>
  <c r="AM43" i="73"/>
  <c r="AL43" i="73"/>
  <c r="AK43" i="73"/>
  <c r="AT42" i="73"/>
  <c r="AS42" i="73"/>
  <c r="AR42" i="73"/>
  <c r="AQ42" i="73"/>
  <c r="AP42" i="73"/>
  <c r="AO42" i="73"/>
  <c r="AN42" i="73"/>
  <c r="AM42" i="73"/>
  <c r="AL42" i="73"/>
  <c r="AK42" i="73"/>
  <c r="AT41" i="73"/>
  <c r="AS41" i="73"/>
  <c r="AR41" i="73"/>
  <c r="AQ41" i="73"/>
  <c r="AP41" i="73"/>
  <c r="AO41" i="73"/>
  <c r="AN41" i="73"/>
  <c r="AM41" i="73"/>
  <c r="AL41" i="73"/>
  <c r="AK41" i="73"/>
  <c r="AT40" i="73"/>
  <c r="AS40" i="73"/>
  <c r="AR40" i="73"/>
  <c r="AQ40" i="73"/>
  <c r="AP40" i="73"/>
  <c r="AO40" i="73"/>
  <c r="AN40" i="73"/>
  <c r="AM40" i="73"/>
  <c r="AL40" i="73"/>
  <c r="AK40" i="73"/>
  <c r="AT39" i="73"/>
  <c r="AS39" i="73"/>
  <c r="AR39" i="73"/>
  <c r="AQ39" i="73"/>
  <c r="AP39" i="73"/>
  <c r="AO39" i="73"/>
  <c r="AN39" i="73"/>
  <c r="AM39" i="73"/>
  <c r="AL39" i="73"/>
  <c r="AK39" i="73"/>
  <c r="AT37" i="73"/>
  <c r="AS37" i="73"/>
  <c r="AR37" i="73"/>
  <c r="AQ37" i="73"/>
  <c r="AP37" i="73"/>
  <c r="AO37" i="73"/>
  <c r="AN37" i="73"/>
  <c r="AM37" i="73"/>
  <c r="AL37" i="73"/>
  <c r="AK37" i="73"/>
  <c r="AT36" i="73"/>
  <c r="AS36" i="73"/>
  <c r="AR36" i="73"/>
  <c r="AQ36" i="73"/>
  <c r="AP36" i="73"/>
  <c r="AO36" i="73"/>
  <c r="AN36" i="73"/>
  <c r="AM36" i="73"/>
  <c r="AL36" i="73"/>
  <c r="AK36" i="73"/>
  <c r="AT35" i="73"/>
  <c r="AS35" i="73"/>
  <c r="AR35" i="73"/>
  <c r="AQ35" i="73"/>
  <c r="AP35" i="73"/>
  <c r="AO35" i="73"/>
  <c r="AN35" i="73"/>
  <c r="AM35" i="73"/>
  <c r="AL35" i="73"/>
  <c r="AK35" i="73"/>
  <c r="AT34" i="73"/>
  <c r="AS34" i="73"/>
  <c r="AR34" i="73"/>
  <c r="AQ34" i="73"/>
  <c r="AP34" i="73"/>
  <c r="AO34" i="73"/>
  <c r="AN34" i="73"/>
  <c r="AM34" i="73"/>
  <c r="AL34" i="73"/>
  <c r="AK34" i="73"/>
  <c r="AT33" i="73"/>
  <c r="AS33" i="73"/>
  <c r="AR33" i="73"/>
  <c r="AQ33" i="73"/>
  <c r="AP33" i="73"/>
  <c r="AO33" i="73"/>
  <c r="AN33" i="73"/>
  <c r="AM33" i="73"/>
  <c r="AL33" i="73"/>
  <c r="AK33" i="73"/>
  <c r="AT32" i="73"/>
  <c r="AS32" i="73"/>
  <c r="AR32" i="73"/>
  <c r="AQ32" i="73"/>
  <c r="AP32" i="73"/>
  <c r="AO32" i="73"/>
  <c r="AN32" i="73"/>
  <c r="AM32" i="73"/>
  <c r="AL32" i="73"/>
  <c r="AK32" i="73"/>
  <c r="AT31" i="73"/>
  <c r="AS31" i="73"/>
  <c r="AR31" i="73"/>
  <c r="AQ31" i="73"/>
  <c r="AP31" i="73"/>
  <c r="AO31" i="73"/>
  <c r="AN31" i="73"/>
  <c r="AM31" i="73"/>
  <c r="AL31" i="73"/>
  <c r="AK31" i="73"/>
  <c r="AT30" i="73"/>
  <c r="AS30" i="73"/>
  <c r="AR30" i="73"/>
  <c r="AQ30" i="73"/>
  <c r="AP30" i="73"/>
  <c r="AO30" i="73"/>
  <c r="AN30" i="73"/>
  <c r="AM30" i="73"/>
  <c r="AL30" i="73"/>
  <c r="AK30" i="73"/>
  <c r="AT28" i="73"/>
  <c r="AS28" i="73"/>
  <c r="AR28" i="73"/>
  <c r="AQ28" i="73"/>
  <c r="AP28" i="73"/>
  <c r="AO28" i="73"/>
  <c r="AN28" i="73"/>
  <c r="AM28" i="73"/>
  <c r="AL28" i="73"/>
  <c r="AK28" i="73"/>
  <c r="AT27" i="73"/>
  <c r="AS27" i="73"/>
  <c r="AR27" i="73"/>
  <c r="AQ27" i="73"/>
  <c r="AP27" i="73"/>
  <c r="AO27" i="73"/>
  <c r="AN27" i="73"/>
  <c r="AM27" i="73"/>
  <c r="AL27" i="73"/>
  <c r="AK27" i="73"/>
  <c r="AT26" i="73"/>
  <c r="AS26" i="73"/>
  <c r="AR26" i="73"/>
  <c r="AQ26" i="73"/>
  <c r="AP26" i="73"/>
  <c r="AO26" i="73"/>
  <c r="AN26" i="73"/>
  <c r="AM26" i="73"/>
  <c r="AL26" i="73"/>
  <c r="AK26" i="73"/>
  <c r="AT23" i="73"/>
  <c r="AS23" i="73"/>
  <c r="AR23" i="73"/>
  <c r="AQ23" i="73"/>
  <c r="AP23" i="73"/>
  <c r="AO23" i="73"/>
  <c r="AN23" i="73"/>
  <c r="AM23" i="73"/>
  <c r="AL23" i="73"/>
  <c r="AK23" i="73"/>
  <c r="AT22" i="73"/>
  <c r="AS22" i="73"/>
  <c r="AR22" i="73"/>
  <c r="AQ22" i="73"/>
  <c r="AP22" i="73"/>
  <c r="AO22" i="73"/>
  <c r="AN22" i="73"/>
  <c r="AM22" i="73"/>
  <c r="AL22" i="73"/>
  <c r="AK22" i="73"/>
  <c r="AT20" i="73"/>
  <c r="AS20" i="73"/>
  <c r="AR20" i="73"/>
  <c r="AQ20" i="73"/>
  <c r="AP20" i="73"/>
  <c r="AO20" i="73"/>
  <c r="AN20" i="73"/>
  <c r="AM20" i="73"/>
  <c r="AL20" i="73"/>
  <c r="AK20" i="73"/>
  <c r="AT19" i="73"/>
  <c r="AS19" i="73"/>
  <c r="AR19" i="73"/>
  <c r="AQ19" i="73"/>
  <c r="AP19" i="73"/>
  <c r="AO19" i="73"/>
  <c r="AN19" i="73"/>
  <c r="AM19" i="73"/>
  <c r="AL19" i="73"/>
  <c r="AK19" i="73"/>
  <c r="AT16" i="73"/>
  <c r="AS16" i="73"/>
  <c r="AR16" i="73"/>
  <c r="AQ16" i="73"/>
  <c r="AP16" i="73"/>
  <c r="AO16" i="73"/>
  <c r="AN16" i="73"/>
  <c r="AM16" i="73"/>
  <c r="AL16" i="73"/>
  <c r="AK16" i="73"/>
  <c r="AT15" i="73"/>
  <c r="AS15" i="73"/>
  <c r="AR15" i="73"/>
  <c r="AQ15" i="73"/>
  <c r="AP15" i="73"/>
  <c r="AO15" i="73"/>
  <c r="AN15" i="73"/>
  <c r="AM15" i="73"/>
  <c r="AL15" i="73"/>
  <c r="AK15" i="73"/>
  <c r="AT14" i="73"/>
  <c r="AS14" i="73"/>
  <c r="AR14" i="73"/>
  <c r="AQ14" i="73"/>
  <c r="AP14" i="73"/>
  <c r="AO14" i="73"/>
  <c r="AN14" i="73"/>
  <c r="AM14" i="73"/>
  <c r="AL14" i="73"/>
  <c r="AK14" i="73"/>
  <c r="AT13" i="73"/>
  <c r="AS13" i="73"/>
  <c r="AR13" i="73"/>
  <c r="AQ13" i="73"/>
  <c r="AP13" i="73"/>
  <c r="AO13" i="73"/>
  <c r="AN13" i="73"/>
  <c r="AM13" i="73"/>
  <c r="AL13" i="73"/>
  <c r="AK13" i="73"/>
  <c r="AU87" i="73"/>
  <c r="AU86" i="73"/>
  <c r="AU85" i="73"/>
  <c r="AU84" i="73"/>
  <c r="AU82" i="73"/>
  <c r="AU81" i="73"/>
  <c r="AU80" i="73"/>
  <c r="AU79" i="73"/>
  <c r="AU78" i="73"/>
  <c r="AU77" i="73"/>
  <c r="AU75" i="73"/>
  <c r="AU73" i="73"/>
  <c r="AU71" i="73"/>
  <c r="AU54" i="73"/>
  <c r="AU53" i="73"/>
  <c r="AU52" i="73"/>
  <c r="AU47" i="73"/>
  <c r="AU46" i="73"/>
  <c r="AU45" i="73"/>
  <c r="AU44" i="73"/>
  <c r="AU43" i="73"/>
  <c r="AU42" i="73"/>
  <c r="AU41" i="73"/>
  <c r="AU40" i="73"/>
  <c r="AU39" i="73"/>
  <c r="AU37" i="73"/>
  <c r="AU36" i="73"/>
  <c r="AU35" i="73"/>
  <c r="AU34" i="73"/>
  <c r="AU33" i="73"/>
  <c r="AU32" i="73"/>
  <c r="AU31" i="73"/>
  <c r="AU30" i="73"/>
  <c r="AU28" i="73"/>
  <c r="AU27" i="73"/>
  <c r="AU26" i="73"/>
  <c r="AU23" i="73"/>
  <c r="AU22" i="73"/>
  <c r="AU20" i="73"/>
  <c r="AU19" i="73"/>
  <c r="AU16" i="73"/>
  <c r="AU15" i="73"/>
  <c r="AU14" i="73"/>
  <c r="AU13" i="73"/>
  <c r="AJ87" i="73"/>
  <c r="AJ86" i="73"/>
  <c r="AJ85" i="73"/>
  <c r="AJ84" i="73"/>
  <c r="AJ82" i="73"/>
  <c r="AJ81" i="73"/>
  <c r="AJ80" i="73"/>
  <c r="AJ79" i="73"/>
  <c r="AJ78" i="73"/>
  <c r="AJ77" i="73"/>
  <c r="AJ75" i="73"/>
  <c r="AJ73" i="73"/>
  <c r="AJ71" i="73"/>
  <c r="AJ54" i="73"/>
  <c r="AJ53" i="73"/>
  <c r="AJ52" i="73"/>
  <c r="AJ47" i="73"/>
  <c r="AJ46" i="73"/>
  <c r="AJ45" i="73"/>
  <c r="AJ44" i="73"/>
  <c r="AJ43" i="73"/>
  <c r="AJ42" i="73"/>
  <c r="AJ41" i="73"/>
  <c r="AJ40" i="73"/>
  <c r="AJ39" i="73"/>
  <c r="AJ37" i="73"/>
  <c r="AJ36" i="73"/>
  <c r="AJ35" i="73"/>
  <c r="AJ34" i="73"/>
  <c r="AJ33" i="73"/>
  <c r="AJ32" i="73"/>
  <c r="AJ31" i="73"/>
  <c r="AJ30" i="73"/>
  <c r="AJ28" i="73"/>
  <c r="AJ27" i="73"/>
  <c r="AJ26" i="73"/>
  <c r="AJ23" i="73"/>
  <c r="AJ22" i="73"/>
  <c r="AJ20" i="73"/>
  <c r="AJ19" i="73"/>
  <c r="AJ16" i="73"/>
  <c r="AJ15" i="73"/>
  <c r="AJ14" i="73"/>
  <c r="AJ13" i="73"/>
  <c r="AI92" i="73"/>
  <c r="AH92" i="73"/>
  <c r="AG92" i="73"/>
  <c r="AF92" i="73"/>
  <c r="AE92" i="73"/>
  <c r="AD92" i="73"/>
  <c r="AC92" i="73"/>
  <c r="AB92" i="73"/>
  <c r="AA92" i="73"/>
  <c r="Z92" i="73"/>
  <c r="AI87" i="73"/>
  <c r="AH87" i="73"/>
  <c r="AG87" i="73"/>
  <c r="AF87" i="73"/>
  <c r="AE87" i="73"/>
  <c r="AD87" i="73"/>
  <c r="AC87" i="73"/>
  <c r="AB87" i="73"/>
  <c r="AA87" i="73"/>
  <c r="Z87" i="73"/>
  <c r="AI86" i="73"/>
  <c r="AH86" i="73"/>
  <c r="AG86" i="73"/>
  <c r="AF86" i="73"/>
  <c r="AE86" i="73"/>
  <c r="AD86" i="73"/>
  <c r="AC86" i="73"/>
  <c r="AB86" i="73"/>
  <c r="AA86" i="73"/>
  <c r="Z86" i="73"/>
  <c r="AI85" i="73"/>
  <c r="AH85" i="73"/>
  <c r="AG85" i="73"/>
  <c r="AF85" i="73"/>
  <c r="AE85" i="73"/>
  <c r="AD85" i="73"/>
  <c r="AC85" i="73"/>
  <c r="AB85" i="73"/>
  <c r="AA85" i="73"/>
  <c r="Z85" i="73"/>
  <c r="AI84" i="73"/>
  <c r="AH84" i="73"/>
  <c r="AG84" i="73"/>
  <c r="AF84" i="73"/>
  <c r="AE84" i="73"/>
  <c r="AD84" i="73"/>
  <c r="AC84" i="73"/>
  <c r="AB84" i="73"/>
  <c r="AA84" i="73"/>
  <c r="Z84" i="73"/>
  <c r="AI82" i="73"/>
  <c r="AH82" i="73"/>
  <c r="AG82" i="73"/>
  <c r="AF82" i="73"/>
  <c r="AE82" i="73"/>
  <c r="AD82" i="73"/>
  <c r="AC82" i="73"/>
  <c r="AB82" i="73"/>
  <c r="AA82" i="73"/>
  <c r="Z82" i="73"/>
  <c r="AI81" i="73"/>
  <c r="AH81" i="73"/>
  <c r="AG81" i="73"/>
  <c r="AF81" i="73"/>
  <c r="AE81" i="73"/>
  <c r="AD81" i="73"/>
  <c r="AC81" i="73"/>
  <c r="AB81" i="73"/>
  <c r="AA81" i="73"/>
  <c r="Z81" i="73"/>
  <c r="AI80" i="73"/>
  <c r="AH80" i="73"/>
  <c r="AG80" i="73"/>
  <c r="AF80" i="73"/>
  <c r="AE80" i="73"/>
  <c r="AD80" i="73"/>
  <c r="AC80" i="73"/>
  <c r="AB80" i="73"/>
  <c r="AA80" i="73"/>
  <c r="Z80" i="73"/>
  <c r="AI79" i="73"/>
  <c r="AH79" i="73"/>
  <c r="AG79" i="73"/>
  <c r="AF79" i="73"/>
  <c r="AE79" i="73"/>
  <c r="AD79" i="73"/>
  <c r="AC79" i="73"/>
  <c r="AB79" i="73"/>
  <c r="AA79" i="73"/>
  <c r="Z79" i="73"/>
  <c r="AI78" i="73"/>
  <c r="AH78" i="73"/>
  <c r="AG78" i="73"/>
  <c r="AF78" i="73"/>
  <c r="AE78" i="73"/>
  <c r="AD78" i="73"/>
  <c r="AC78" i="73"/>
  <c r="AB78" i="73"/>
  <c r="AA78" i="73"/>
  <c r="Z78" i="73"/>
  <c r="AI77" i="73"/>
  <c r="AH77" i="73"/>
  <c r="AG77" i="73"/>
  <c r="AF77" i="73"/>
  <c r="AE77" i="73"/>
  <c r="AD77" i="73"/>
  <c r="AC77" i="73"/>
  <c r="AB77" i="73"/>
  <c r="AA77" i="73"/>
  <c r="Z77" i="73"/>
  <c r="AI75" i="73"/>
  <c r="AH75" i="73"/>
  <c r="AG75" i="73"/>
  <c r="AF75" i="73"/>
  <c r="AE75" i="73"/>
  <c r="AD75" i="73"/>
  <c r="AC75" i="73"/>
  <c r="AB75" i="73"/>
  <c r="AA75" i="73"/>
  <c r="Z75" i="73"/>
  <c r="AI74" i="73"/>
  <c r="AH74" i="73"/>
  <c r="AG74" i="73"/>
  <c r="AF74" i="73"/>
  <c r="AE74" i="73"/>
  <c r="AD74" i="73"/>
  <c r="AC74" i="73"/>
  <c r="AB74" i="73"/>
  <c r="AA74" i="73"/>
  <c r="Z74" i="73"/>
  <c r="AI72" i="73"/>
  <c r="AH72" i="73"/>
  <c r="AG72" i="73"/>
  <c r="AF72" i="73"/>
  <c r="AE72" i="73"/>
  <c r="AD72" i="73"/>
  <c r="AC72" i="73"/>
  <c r="AB72" i="73"/>
  <c r="AA72" i="73"/>
  <c r="Z72" i="73"/>
  <c r="AI71" i="73"/>
  <c r="AH71" i="73"/>
  <c r="AG71" i="73"/>
  <c r="AF71" i="73"/>
  <c r="AE71" i="73"/>
  <c r="AD71" i="73"/>
  <c r="AC71" i="73"/>
  <c r="AB71" i="73"/>
  <c r="AA71" i="73"/>
  <c r="Z71" i="73"/>
  <c r="AI54" i="73"/>
  <c r="AH54" i="73"/>
  <c r="AG54" i="73"/>
  <c r="AF54" i="73"/>
  <c r="AE54" i="73"/>
  <c r="AD54" i="73"/>
  <c r="AC54" i="73"/>
  <c r="AB54" i="73"/>
  <c r="AA54" i="73"/>
  <c r="Z54" i="73"/>
  <c r="AI53" i="73"/>
  <c r="AH53" i="73"/>
  <c r="AG53" i="73"/>
  <c r="AF53" i="73"/>
  <c r="AE53" i="73"/>
  <c r="AD53" i="73"/>
  <c r="AC53" i="73"/>
  <c r="AB53" i="73"/>
  <c r="AA53" i="73"/>
  <c r="Z53" i="73"/>
  <c r="AI52" i="73"/>
  <c r="AH52" i="73"/>
  <c r="AG52" i="73"/>
  <c r="AF52" i="73"/>
  <c r="AE52" i="73"/>
  <c r="AD52" i="73"/>
  <c r="AC52" i="73"/>
  <c r="AB52" i="73"/>
  <c r="AA52" i="73"/>
  <c r="Z52" i="73"/>
  <c r="AI47" i="73"/>
  <c r="AH47" i="73"/>
  <c r="AG47" i="73"/>
  <c r="AF47" i="73"/>
  <c r="AE47" i="73"/>
  <c r="AD47" i="73"/>
  <c r="AC47" i="73"/>
  <c r="AB47" i="73"/>
  <c r="AA47" i="73"/>
  <c r="Z47" i="73"/>
  <c r="AI46" i="73"/>
  <c r="AH46" i="73"/>
  <c r="AG46" i="73"/>
  <c r="AF46" i="73"/>
  <c r="AE46" i="73"/>
  <c r="AD46" i="73"/>
  <c r="AC46" i="73"/>
  <c r="AB46" i="73"/>
  <c r="AA46" i="73"/>
  <c r="Z46" i="73"/>
  <c r="AI45" i="73"/>
  <c r="AH45" i="73"/>
  <c r="AG45" i="73"/>
  <c r="AF45" i="73"/>
  <c r="AE45" i="73"/>
  <c r="AD45" i="73"/>
  <c r="AC45" i="73"/>
  <c r="AB45" i="73"/>
  <c r="AA45" i="73"/>
  <c r="Z45" i="73"/>
  <c r="AI44" i="73"/>
  <c r="AH44" i="73"/>
  <c r="AG44" i="73"/>
  <c r="AF44" i="73"/>
  <c r="AE44" i="73"/>
  <c r="AD44" i="73"/>
  <c r="AC44" i="73"/>
  <c r="AB44" i="73"/>
  <c r="AA44" i="73"/>
  <c r="Z44" i="73"/>
  <c r="AI43" i="73"/>
  <c r="AH43" i="73"/>
  <c r="AG43" i="73"/>
  <c r="AF43" i="73"/>
  <c r="AE43" i="73"/>
  <c r="AD43" i="73"/>
  <c r="AC43" i="73"/>
  <c r="AB43" i="73"/>
  <c r="AA43" i="73"/>
  <c r="Z43" i="73"/>
  <c r="AI42" i="73"/>
  <c r="AH42" i="73"/>
  <c r="AG42" i="73"/>
  <c r="AF42" i="73"/>
  <c r="AE42" i="73"/>
  <c r="AD42" i="73"/>
  <c r="AC42" i="73"/>
  <c r="AB42" i="73"/>
  <c r="AA42" i="73"/>
  <c r="Z42" i="73"/>
  <c r="AI41" i="73"/>
  <c r="AH41" i="73"/>
  <c r="AG41" i="73"/>
  <c r="AF41" i="73"/>
  <c r="AE41" i="73"/>
  <c r="AD41" i="73"/>
  <c r="AC41" i="73"/>
  <c r="AB41" i="73"/>
  <c r="AA41" i="73"/>
  <c r="Z41" i="73"/>
  <c r="AI40" i="73"/>
  <c r="AH40" i="73"/>
  <c r="AG40" i="73"/>
  <c r="AF40" i="73"/>
  <c r="AE40" i="73"/>
  <c r="AD40" i="73"/>
  <c r="AC40" i="73"/>
  <c r="AB40" i="73"/>
  <c r="AA40" i="73"/>
  <c r="Z40" i="73"/>
  <c r="AI39" i="73"/>
  <c r="AH39" i="73"/>
  <c r="AG39" i="73"/>
  <c r="AF39" i="73"/>
  <c r="AE39" i="73"/>
  <c r="AD39" i="73"/>
  <c r="AC39" i="73"/>
  <c r="AB39" i="73"/>
  <c r="AA39" i="73"/>
  <c r="Z39" i="73"/>
  <c r="AI37" i="73"/>
  <c r="AH37" i="73"/>
  <c r="AG37" i="73"/>
  <c r="AF37" i="73"/>
  <c r="AE37" i="73"/>
  <c r="AD37" i="73"/>
  <c r="AC37" i="73"/>
  <c r="AB37" i="73"/>
  <c r="AA37" i="73"/>
  <c r="Z37" i="73"/>
  <c r="AI36" i="73"/>
  <c r="AH36" i="73"/>
  <c r="AG36" i="73"/>
  <c r="AF36" i="73"/>
  <c r="AE36" i="73"/>
  <c r="AD36" i="73"/>
  <c r="AC36" i="73"/>
  <c r="AB36" i="73"/>
  <c r="AA36" i="73"/>
  <c r="Z36" i="73"/>
  <c r="AI35" i="73"/>
  <c r="AH35" i="73"/>
  <c r="AG35" i="73"/>
  <c r="AF35" i="73"/>
  <c r="AE35" i="73"/>
  <c r="AD35" i="73"/>
  <c r="AC35" i="73"/>
  <c r="AB35" i="73"/>
  <c r="AA35" i="73"/>
  <c r="Z35" i="73"/>
  <c r="AI34" i="73"/>
  <c r="AH34" i="73"/>
  <c r="AG34" i="73"/>
  <c r="AF34" i="73"/>
  <c r="AE34" i="73"/>
  <c r="AD34" i="73"/>
  <c r="AC34" i="73"/>
  <c r="AB34" i="73"/>
  <c r="AA34" i="73"/>
  <c r="Z34" i="73"/>
  <c r="AI33" i="73"/>
  <c r="AH33" i="73"/>
  <c r="AG33" i="73"/>
  <c r="AF33" i="73"/>
  <c r="AE33" i="73"/>
  <c r="AD33" i="73"/>
  <c r="AC33" i="73"/>
  <c r="AB33" i="73"/>
  <c r="AA33" i="73"/>
  <c r="Z33" i="73"/>
  <c r="AI32" i="73"/>
  <c r="AH32" i="73"/>
  <c r="AG32" i="73"/>
  <c r="AF32" i="73"/>
  <c r="AE32" i="73"/>
  <c r="AD32" i="73"/>
  <c r="AC32" i="73"/>
  <c r="AB32" i="73"/>
  <c r="AA32" i="73"/>
  <c r="Z32" i="73"/>
  <c r="AI31" i="73"/>
  <c r="AH31" i="73"/>
  <c r="AG31" i="73"/>
  <c r="AF31" i="73"/>
  <c r="AE31" i="73"/>
  <c r="AD31" i="73"/>
  <c r="AC31" i="73"/>
  <c r="AB31" i="73"/>
  <c r="AA31" i="73"/>
  <c r="Z31" i="73"/>
  <c r="AI30" i="73"/>
  <c r="AH30" i="73"/>
  <c r="AG30" i="73"/>
  <c r="AF30" i="73"/>
  <c r="AE30" i="73"/>
  <c r="AD30" i="73"/>
  <c r="AC30" i="73"/>
  <c r="AB30" i="73"/>
  <c r="AA30" i="73"/>
  <c r="Z30" i="73"/>
  <c r="AI28" i="73"/>
  <c r="AH28" i="73"/>
  <c r="AG28" i="73"/>
  <c r="AF28" i="73"/>
  <c r="AE28" i="73"/>
  <c r="AD28" i="73"/>
  <c r="AC28" i="73"/>
  <c r="AB28" i="73"/>
  <c r="AA28" i="73"/>
  <c r="Z28" i="73"/>
  <c r="AI27" i="73"/>
  <c r="AH27" i="73"/>
  <c r="AG27" i="73"/>
  <c r="AF27" i="73"/>
  <c r="AE27" i="73"/>
  <c r="AD27" i="73"/>
  <c r="AC27" i="73"/>
  <c r="AB27" i="73"/>
  <c r="AA27" i="73"/>
  <c r="Z27" i="73"/>
  <c r="AI26" i="73"/>
  <c r="AH26" i="73"/>
  <c r="AG26" i="73"/>
  <c r="AF26" i="73"/>
  <c r="AE26" i="73"/>
  <c r="AD26" i="73"/>
  <c r="AC26" i="73"/>
  <c r="AB26" i="73"/>
  <c r="AA26" i="73"/>
  <c r="Z26" i="73"/>
  <c r="AI23" i="73"/>
  <c r="AH23" i="73"/>
  <c r="AG23" i="73"/>
  <c r="AF23" i="73"/>
  <c r="AE23" i="73"/>
  <c r="AD23" i="73"/>
  <c r="AC23" i="73"/>
  <c r="AB23" i="73"/>
  <c r="AA23" i="73"/>
  <c r="Z23" i="73"/>
  <c r="AI22" i="73"/>
  <c r="AH22" i="73"/>
  <c r="AG22" i="73"/>
  <c r="AF22" i="73"/>
  <c r="AE22" i="73"/>
  <c r="AD22" i="73"/>
  <c r="AC22" i="73"/>
  <c r="AB22" i="73"/>
  <c r="AA22" i="73"/>
  <c r="Z22" i="73"/>
  <c r="AI20" i="73"/>
  <c r="AH20" i="73"/>
  <c r="AG20" i="73"/>
  <c r="AF20" i="73"/>
  <c r="AE20" i="73"/>
  <c r="AD20" i="73"/>
  <c r="AC20" i="73"/>
  <c r="AB20" i="73"/>
  <c r="AA20" i="73"/>
  <c r="Z20" i="73"/>
  <c r="AI19" i="73"/>
  <c r="AH19" i="73"/>
  <c r="AG19" i="73"/>
  <c r="AF19" i="73"/>
  <c r="AE19" i="73"/>
  <c r="AD19" i="73"/>
  <c r="AC19" i="73"/>
  <c r="AB19" i="73"/>
  <c r="AA19" i="73"/>
  <c r="Z19" i="73"/>
  <c r="AI16" i="73"/>
  <c r="AH16" i="73"/>
  <c r="AG16" i="73"/>
  <c r="AF16" i="73"/>
  <c r="AE16" i="73"/>
  <c r="AD16" i="73"/>
  <c r="AC16" i="73"/>
  <c r="AB16" i="73"/>
  <c r="AA16" i="73"/>
  <c r="Z16" i="73"/>
  <c r="AI15" i="73"/>
  <c r="AH15" i="73"/>
  <c r="AG15" i="73"/>
  <c r="AF15" i="73"/>
  <c r="AE15" i="73"/>
  <c r="AD15" i="73"/>
  <c r="AC15" i="73"/>
  <c r="AB15" i="73"/>
  <c r="AA15" i="73"/>
  <c r="Z15" i="73"/>
  <c r="AI14" i="73"/>
  <c r="AH14" i="73"/>
  <c r="AG14" i="73"/>
  <c r="AF14" i="73"/>
  <c r="AE14" i="73"/>
  <c r="AD14" i="73"/>
  <c r="AC14" i="73"/>
  <c r="AB14" i="73"/>
  <c r="AA14" i="73"/>
  <c r="Z14" i="73"/>
  <c r="AI13" i="73"/>
  <c r="AH13" i="73"/>
  <c r="AG13" i="73"/>
  <c r="AF13" i="73"/>
  <c r="AE13" i="73"/>
  <c r="AD13" i="73"/>
  <c r="AC13" i="73"/>
  <c r="AB13" i="73"/>
  <c r="AA13" i="73"/>
  <c r="Z13" i="73"/>
  <c r="Y92" i="73"/>
  <c r="Y87" i="73"/>
  <c r="Y86" i="73"/>
  <c r="Y85" i="73"/>
  <c r="Y84" i="73"/>
  <c r="Y82" i="73"/>
  <c r="Y81" i="73"/>
  <c r="Y80" i="73"/>
  <c r="Y79" i="73"/>
  <c r="Y78" i="73"/>
  <c r="Y77" i="73"/>
  <c r="Y75" i="73"/>
  <c r="Y74" i="73"/>
  <c r="Y72" i="73"/>
  <c r="Y71" i="73"/>
  <c r="Y54" i="73"/>
  <c r="Y53" i="73"/>
  <c r="Y52" i="73"/>
  <c r="Y47" i="73"/>
  <c r="Y46" i="73"/>
  <c r="Y45" i="73"/>
  <c r="Y44" i="73"/>
  <c r="Y43" i="73"/>
  <c r="Y42" i="73"/>
  <c r="Y41" i="73"/>
  <c r="Y40" i="73"/>
  <c r="Y39" i="73"/>
  <c r="Y37" i="73"/>
  <c r="Y36" i="73"/>
  <c r="Y35" i="73"/>
  <c r="Y34" i="73"/>
  <c r="Y33" i="73"/>
  <c r="Y32" i="73"/>
  <c r="Y31" i="73"/>
  <c r="Y30" i="73"/>
  <c r="Y28" i="73"/>
  <c r="Y27" i="73"/>
  <c r="Y26" i="73"/>
  <c r="Y23" i="73"/>
  <c r="Y22" i="73"/>
  <c r="Y20" i="73"/>
  <c r="Y19" i="73"/>
  <c r="Y16" i="73"/>
  <c r="Y15" i="73"/>
  <c r="Y14" i="73"/>
  <c r="Y13" i="73"/>
  <c r="X92" i="73"/>
  <c r="X87" i="73"/>
  <c r="X86" i="73"/>
  <c r="X85" i="73"/>
  <c r="X84" i="73"/>
  <c r="X82" i="73"/>
  <c r="X81" i="73"/>
  <c r="X80" i="73"/>
  <c r="X79" i="73"/>
  <c r="X78" i="73"/>
  <c r="X77" i="73"/>
  <c r="X75" i="73"/>
  <c r="X74" i="73"/>
  <c r="X72" i="73"/>
  <c r="X71" i="73"/>
  <c r="X54" i="73"/>
  <c r="X53" i="73"/>
  <c r="X52" i="73"/>
  <c r="X47" i="73"/>
  <c r="X46" i="73"/>
  <c r="X45" i="73"/>
  <c r="X44" i="73"/>
  <c r="X43" i="73"/>
  <c r="X42" i="73"/>
  <c r="X41" i="73"/>
  <c r="X40" i="73"/>
  <c r="X39" i="73"/>
  <c r="X37" i="73"/>
  <c r="X36" i="73"/>
  <c r="X35" i="73"/>
  <c r="X34" i="73"/>
  <c r="X33" i="73"/>
  <c r="X32" i="73"/>
  <c r="X31" i="73"/>
  <c r="X30" i="73"/>
  <c r="X28" i="73"/>
  <c r="X27" i="73"/>
  <c r="X26" i="73"/>
  <c r="X23" i="73"/>
  <c r="X22" i="73"/>
  <c r="X20" i="73"/>
  <c r="X19" i="73"/>
  <c r="X16" i="73"/>
  <c r="X15" i="73"/>
  <c r="X14" i="73"/>
  <c r="X13" i="73"/>
  <c r="V92" i="73"/>
  <c r="V87" i="73"/>
  <c r="V86" i="73"/>
  <c r="V85" i="73"/>
  <c r="V84" i="73"/>
  <c r="V82" i="73"/>
  <c r="V81" i="73"/>
  <c r="V80" i="73"/>
  <c r="V79" i="73"/>
  <c r="V78" i="73"/>
  <c r="V77" i="73"/>
  <c r="V75" i="73"/>
  <c r="V74" i="73"/>
  <c r="V72" i="73"/>
  <c r="V71" i="73"/>
  <c r="V54" i="73"/>
  <c r="V53" i="73"/>
  <c r="V52" i="73"/>
  <c r="V47" i="73"/>
  <c r="V46" i="73"/>
  <c r="V45" i="73"/>
  <c r="V44" i="73"/>
  <c r="V43" i="73"/>
  <c r="V42" i="73"/>
  <c r="V41" i="73"/>
  <c r="V40" i="73"/>
  <c r="V39" i="73"/>
  <c r="V37" i="73"/>
  <c r="V36" i="73"/>
  <c r="V35" i="73"/>
  <c r="V34" i="73"/>
  <c r="V33" i="73"/>
  <c r="V32" i="73"/>
  <c r="V31" i="73"/>
  <c r="V30" i="73"/>
  <c r="V28" i="73"/>
  <c r="V27" i="73"/>
  <c r="V26" i="73"/>
  <c r="V23" i="73"/>
  <c r="V22" i="73"/>
  <c r="V20" i="73"/>
  <c r="V19" i="73"/>
  <c r="V16" i="73"/>
  <c r="V15" i="73"/>
  <c r="V14" i="73"/>
  <c r="V13" i="73"/>
  <c r="T92" i="73"/>
  <c r="T87" i="73"/>
  <c r="T86" i="73"/>
  <c r="T85" i="73"/>
  <c r="T84" i="73"/>
  <c r="T82" i="73"/>
  <c r="T81" i="73"/>
  <c r="T80" i="73"/>
  <c r="T79" i="73"/>
  <c r="T78" i="73"/>
  <c r="T77" i="73"/>
  <c r="T75" i="73"/>
  <c r="T74" i="73"/>
  <c r="T72" i="73"/>
  <c r="T71" i="73"/>
  <c r="T54" i="73"/>
  <c r="T53" i="73"/>
  <c r="T52" i="73"/>
  <c r="T47" i="73"/>
  <c r="T46" i="73"/>
  <c r="T45" i="73"/>
  <c r="T44" i="73"/>
  <c r="T43" i="73"/>
  <c r="T42" i="73"/>
  <c r="T41" i="73"/>
  <c r="T40" i="73"/>
  <c r="T39" i="73"/>
  <c r="T37" i="73"/>
  <c r="T36" i="73"/>
  <c r="T35" i="73"/>
  <c r="T34" i="73"/>
  <c r="T33" i="73"/>
  <c r="T32" i="73"/>
  <c r="T31" i="73"/>
  <c r="T30" i="73"/>
  <c r="T28" i="73"/>
  <c r="T27" i="73"/>
  <c r="T26" i="73"/>
  <c r="T23" i="73"/>
  <c r="T22" i="73"/>
  <c r="T20" i="73"/>
  <c r="T19" i="73"/>
  <c r="T16" i="73"/>
  <c r="T15" i="73"/>
  <c r="T14" i="73"/>
  <c r="T13" i="73"/>
  <c r="R92" i="73"/>
  <c r="R87" i="73"/>
  <c r="R86" i="73"/>
  <c r="R85" i="73"/>
  <c r="R84" i="73"/>
  <c r="R82" i="73"/>
  <c r="R81" i="73"/>
  <c r="R80" i="73"/>
  <c r="R79" i="73"/>
  <c r="R78" i="73"/>
  <c r="R77" i="73"/>
  <c r="R75" i="73"/>
  <c r="R74" i="73"/>
  <c r="R72" i="73"/>
  <c r="R71" i="73"/>
  <c r="R54" i="73"/>
  <c r="R53" i="73"/>
  <c r="R52" i="73"/>
  <c r="R47" i="73"/>
  <c r="R46" i="73"/>
  <c r="R45" i="73"/>
  <c r="R44" i="73"/>
  <c r="R43" i="73"/>
  <c r="R42" i="73"/>
  <c r="R41" i="73"/>
  <c r="R40" i="73"/>
  <c r="R39" i="73"/>
  <c r="R37" i="73"/>
  <c r="R36" i="73"/>
  <c r="R35" i="73"/>
  <c r="R34" i="73"/>
  <c r="R33" i="73"/>
  <c r="R32" i="73"/>
  <c r="R31" i="73"/>
  <c r="R30" i="73"/>
  <c r="R28" i="73"/>
  <c r="R27" i="73"/>
  <c r="R26" i="73"/>
  <c r="R23" i="73"/>
  <c r="R22" i="73"/>
  <c r="R20" i="73"/>
  <c r="R19" i="73"/>
  <c r="R16" i="73"/>
  <c r="R15" i="73"/>
  <c r="R14" i="73"/>
  <c r="R13" i="73"/>
  <c r="P92" i="73"/>
  <c r="P87" i="73"/>
  <c r="P86" i="73"/>
  <c r="P85" i="73"/>
  <c r="P84" i="73"/>
  <c r="P82" i="73"/>
  <c r="P81" i="73"/>
  <c r="P80" i="73"/>
  <c r="P79" i="73"/>
  <c r="P78" i="73"/>
  <c r="P77" i="73"/>
  <c r="P75" i="73"/>
  <c r="P74" i="73"/>
  <c r="P72" i="73"/>
  <c r="P71" i="73"/>
  <c r="P54" i="73"/>
  <c r="P53" i="73"/>
  <c r="P52" i="73"/>
  <c r="P47" i="73"/>
  <c r="P46" i="73"/>
  <c r="P45" i="73"/>
  <c r="P44" i="73"/>
  <c r="P43" i="73"/>
  <c r="P42" i="73"/>
  <c r="P41" i="73"/>
  <c r="P40" i="73"/>
  <c r="P39" i="73"/>
  <c r="P37" i="73"/>
  <c r="P36" i="73"/>
  <c r="P35" i="73"/>
  <c r="P34" i="73"/>
  <c r="P33" i="73"/>
  <c r="P32" i="73"/>
  <c r="P31" i="73"/>
  <c r="P30" i="73"/>
  <c r="P28" i="73"/>
  <c r="P27" i="73"/>
  <c r="P26" i="73"/>
  <c r="P23" i="73"/>
  <c r="P22" i="73"/>
  <c r="P20" i="73"/>
  <c r="P19" i="73"/>
  <c r="P16" i="73"/>
  <c r="P15" i="73"/>
  <c r="P14" i="73"/>
  <c r="P13" i="73"/>
  <c r="W92" i="73"/>
  <c r="W87" i="73"/>
  <c r="W86" i="73"/>
  <c r="W85" i="73"/>
  <c r="W84" i="73"/>
  <c r="W82" i="73"/>
  <c r="W81" i="73"/>
  <c r="W80" i="73"/>
  <c r="W79" i="73"/>
  <c r="W78" i="73"/>
  <c r="W77" i="73"/>
  <c r="W75" i="73"/>
  <c r="W74" i="73"/>
  <c r="W72" i="73"/>
  <c r="W71" i="73"/>
  <c r="W54" i="73"/>
  <c r="W53" i="73"/>
  <c r="W52" i="73"/>
  <c r="W47" i="73"/>
  <c r="W46" i="73"/>
  <c r="W45" i="73"/>
  <c r="W44" i="73"/>
  <c r="W43" i="73"/>
  <c r="W42" i="73"/>
  <c r="W41" i="73"/>
  <c r="W40" i="73"/>
  <c r="W39" i="73"/>
  <c r="W37" i="73"/>
  <c r="W36" i="73"/>
  <c r="W35" i="73"/>
  <c r="W34" i="73"/>
  <c r="W33" i="73"/>
  <c r="W32" i="73"/>
  <c r="W31" i="73"/>
  <c r="W30" i="73"/>
  <c r="W28" i="73"/>
  <c r="W27" i="73"/>
  <c r="W26" i="73"/>
  <c r="W23" i="73"/>
  <c r="W22" i="73"/>
  <c r="W20" i="73"/>
  <c r="W19" i="73"/>
  <c r="W16" i="73"/>
  <c r="W15" i="73"/>
  <c r="W14" i="73"/>
  <c r="W13" i="73"/>
  <c r="U92" i="73"/>
  <c r="U87" i="73"/>
  <c r="U86" i="73"/>
  <c r="U85" i="73"/>
  <c r="U84" i="73"/>
  <c r="U82" i="73"/>
  <c r="U81" i="73"/>
  <c r="U80" i="73"/>
  <c r="U79" i="73"/>
  <c r="U78" i="73"/>
  <c r="U77" i="73"/>
  <c r="U75" i="73"/>
  <c r="U74" i="73"/>
  <c r="U72" i="73"/>
  <c r="U71" i="73"/>
  <c r="U54" i="73"/>
  <c r="U53" i="73"/>
  <c r="U52" i="73"/>
  <c r="U47" i="73"/>
  <c r="U46" i="73"/>
  <c r="U45" i="73"/>
  <c r="U44" i="73"/>
  <c r="U43" i="73"/>
  <c r="U42" i="73"/>
  <c r="U41" i="73"/>
  <c r="U40" i="73"/>
  <c r="U39" i="73"/>
  <c r="U37" i="73"/>
  <c r="U36" i="73"/>
  <c r="U35" i="73"/>
  <c r="U34" i="73"/>
  <c r="U33" i="73"/>
  <c r="U32" i="73"/>
  <c r="U31" i="73"/>
  <c r="U30" i="73"/>
  <c r="U28" i="73"/>
  <c r="U27" i="73"/>
  <c r="U26" i="73"/>
  <c r="U23" i="73"/>
  <c r="U22" i="73"/>
  <c r="U20" i="73"/>
  <c r="U19" i="73"/>
  <c r="U16" i="73"/>
  <c r="U15" i="73"/>
  <c r="U14" i="73"/>
  <c r="U13" i="73"/>
  <c r="S92" i="73"/>
  <c r="S87" i="73"/>
  <c r="S86" i="73"/>
  <c r="S85" i="73"/>
  <c r="S84" i="73"/>
  <c r="S82" i="73"/>
  <c r="S81" i="73"/>
  <c r="S80" i="73"/>
  <c r="S79" i="73"/>
  <c r="S78" i="73"/>
  <c r="S77" i="73"/>
  <c r="S75" i="73"/>
  <c r="S74" i="73"/>
  <c r="S72" i="73"/>
  <c r="S71" i="73"/>
  <c r="S54" i="73"/>
  <c r="S53" i="73"/>
  <c r="S52" i="73"/>
  <c r="S47" i="73"/>
  <c r="S46" i="73"/>
  <c r="S45" i="73"/>
  <c r="S44" i="73"/>
  <c r="S43" i="73"/>
  <c r="S42" i="73"/>
  <c r="S41" i="73"/>
  <c r="S40" i="73"/>
  <c r="S39" i="73"/>
  <c r="S37" i="73"/>
  <c r="S36" i="73"/>
  <c r="S35" i="73"/>
  <c r="S34" i="73"/>
  <c r="S33" i="73"/>
  <c r="S32" i="73"/>
  <c r="S31" i="73"/>
  <c r="S30" i="73"/>
  <c r="S28" i="73"/>
  <c r="S27" i="73"/>
  <c r="S26" i="73"/>
  <c r="S23" i="73"/>
  <c r="S22" i="73"/>
  <c r="S20" i="73"/>
  <c r="S19" i="73"/>
  <c r="S16" i="73"/>
  <c r="S15" i="73"/>
  <c r="S14" i="73"/>
  <c r="S13" i="73"/>
  <c r="Q92" i="73"/>
  <c r="Q87" i="73"/>
  <c r="Q86" i="73"/>
  <c r="Q85" i="73"/>
  <c r="Q84" i="73"/>
  <c r="Q82" i="73"/>
  <c r="Q81" i="73"/>
  <c r="Q80" i="73"/>
  <c r="Q79" i="73"/>
  <c r="Q78" i="73"/>
  <c r="Q77" i="73"/>
  <c r="Q75" i="73"/>
  <c r="Q74" i="73"/>
  <c r="Q72" i="73"/>
  <c r="Q71" i="73"/>
  <c r="Q54" i="73"/>
  <c r="Q53" i="73"/>
  <c r="Q52" i="73"/>
  <c r="Q47" i="73"/>
  <c r="Q46" i="73"/>
  <c r="Q45" i="73"/>
  <c r="Q44" i="73"/>
  <c r="Q43" i="73"/>
  <c r="Q42" i="73"/>
  <c r="Q41" i="73"/>
  <c r="Q40" i="73"/>
  <c r="Q39" i="73"/>
  <c r="Q37" i="73"/>
  <c r="Q36" i="73"/>
  <c r="Q35" i="73"/>
  <c r="Q34" i="73"/>
  <c r="Q33" i="73"/>
  <c r="Q32" i="73"/>
  <c r="Q31" i="73"/>
  <c r="Q30" i="73"/>
  <c r="Q28" i="73"/>
  <c r="Q27" i="73"/>
  <c r="Q26" i="73"/>
  <c r="Q23" i="73"/>
  <c r="Q22" i="73"/>
  <c r="Q20" i="73"/>
  <c r="Q19" i="73"/>
  <c r="Q16" i="73"/>
  <c r="Q15" i="73"/>
  <c r="Q14" i="73"/>
  <c r="Q13" i="73"/>
  <c r="O92" i="73"/>
  <c r="O87" i="73"/>
  <c r="O86" i="73"/>
  <c r="O85" i="73"/>
  <c r="O84" i="73"/>
  <c r="O82" i="73"/>
  <c r="O81" i="73"/>
  <c r="O80" i="73"/>
  <c r="O79" i="73"/>
  <c r="O78" i="73"/>
  <c r="O77" i="73"/>
  <c r="O75" i="73"/>
  <c r="O74" i="73"/>
  <c r="O72" i="73"/>
  <c r="O71" i="73"/>
  <c r="O54" i="73"/>
  <c r="O53" i="73"/>
  <c r="O52" i="73"/>
  <c r="O47" i="73"/>
  <c r="O46" i="73"/>
  <c r="O45" i="73"/>
  <c r="O44" i="73"/>
  <c r="O43" i="73"/>
  <c r="O42" i="73"/>
  <c r="O41" i="73"/>
  <c r="O40" i="73"/>
  <c r="O39" i="73"/>
  <c r="O37" i="73"/>
  <c r="O36" i="73"/>
  <c r="O35" i="73"/>
  <c r="O34" i="73"/>
  <c r="O33" i="73"/>
  <c r="O32" i="73"/>
  <c r="O31" i="73"/>
  <c r="O30" i="73"/>
  <c r="O28" i="73"/>
  <c r="O27" i="73"/>
  <c r="O26" i="73"/>
  <c r="O23" i="73"/>
  <c r="O22" i="73"/>
  <c r="O20" i="73"/>
  <c r="O19" i="73"/>
  <c r="O16" i="73"/>
  <c r="O15" i="73"/>
  <c r="O14" i="73"/>
  <c r="O13" i="73"/>
  <c r="N92" i="73"/>
  <c r="N87" i="73"/>
  <c r="N86" i="73"/>
  <c r="N85" i="73"/>
  <c r="N84" i="73"/>
  <c r="N82" i="73"/>
  <c r="N81" i="73"/>
  <c r="N80" i="73"/>
  <c r="N79" i="73"/>
  <c r="N78" i="73"/>
  <c r="N77" i="73"/>
  <c r="N75" i="73"/>
  <c r="N74" i="73"/>
  <c r="N72" i="73"/>
  <c r="N71" i="73"/>
  <c r="N54" i="73"/>
  <c r="N53" i="73"/>
  <c r="N52" i="73"/>
  <c r="N47" i="73"/>
  <c r="N46" i="73"/>
  <c r="N45" i="73"/>
  <c r="N44" i="73"/>
  <c r="N43" i="73"/>
  <c r="N42" i="73"/>
  <c r="N41" i="73"/>
  <c r="N40" i="73"/>
  <c r="N39" i="73"/>
  <c r="N37" i="73"/>
  <c r="N36" i="73"/>
  <c r="N35" i="73"/>
  <c r="N34" i="73"/>
  <c r="N33" i="73"/>
  <c r="N32" i="73"/>
  <c r="N31" i="73"/>
  <c r="N30" i="73"/>
  <c r="N28" i="73"/>
  <c r="N27" i="73"/>
  <c r="N26" i="73"/>
  <c r="N23" i="73"/>
  <c r="N22" i="73"/>
  <c r="N20" i="73"/>
  <c r="N19" i="73"/>
  <c r="N16" i="73"/>
  <c r="N15" i="73"/>
  <c r="N14" i="73"/>
  <c r="N13" i="73"/>
  <c r="M92" i="73"/>
  <c r="L92" i="73"/>
  <c r="K92" i="73"/>
  <c r="J92" i="73"/>
  <c r="I92" i="73"/>
  <c r="H92" i="73"/>
  <c r="G92" i="73"/>
  <c r="F92" i="73"/>
  <c r="E92" i="73"/>
  <c r="D92" i="73"/>
  <c r="M87" i="73"/>
  <c r="L87" i="73"/>
  <c r="K87" i="73"/>
  <c r="J87" i="73"/>
  <c r="I87" i="73"/>
  <c r="H87" i="73"/>
  <c r="G87" i="73"/>
  <c r="F87" i="73"/>
  <c r="E87" i="73"/>
  <c r="D87" i="73"/>
  <c r="M86" i="73"/>
  <c r="L86" i="73"/>
  <c r="K86" i="73"/>
  <c r="J86" i="73"/>
  <c r="I86" i="73"/>
  <c r="H86" i="73"/>
  <c r="G86" i="73"/>
  <c r="F86" i="73"/>
  <c r="E86" i="73"/>
  <c r="D86" i="73"/>
  <c r="M85" i="73"/>
  <c r="L85" i="73"/>
  <c r="K85" i="73"/>
  <c r="J85" i="73"/>
  <c r="I85" i="73"/>
  <c r="H85" i="73"/>
  <c r="G85" i="73"/>
  <c r="F85" i="73"/>
  <c r="E85" i="73"/>
  <c r="D85" i="73"/>
  <c r="M84" i="73"/>
  <c r="L84" i="73"/>
  <c r="K84" i="73"/>
  <c r="J84" i="73"/>
  <c r="I84" i="73"/>
  <c r="H84" i="73"/>
  <c r="G84" i="73"/>
  <c r="F84" i="73"/>
  <c r="E84" i="73"/>
  <c r="D84" i="73"/>
  <c r="M82" i="73"/>
  <c r="L82" i="73"/>
  <c r="K82" i="73"/>
  <c r="J82" i="73"/>
  <c r="I82" i="73"/>
  <c r="H82" i="73"/>
  <c r="G82" i="73"/>
  <c r="F82" i="73"/>
  <c r="E82" i="73"/>
  <c r="D82" i="73"/>
  <c r="M81" i="73"/>
  <c r="L81" i="73"/>
  <c r="K81" i="73"/>
  <c r="J81" i="73"/>
  <c r="I81" i="73"/>
  <c r="H81" i="73"/>
  <c r="G81" i="73"/>
  <c r="F81" i="73"/>
  <c r="E81" i="73"/>
  <c r="D81" i="73"/>
  <c r="M80" i="73"/>
  <c r="L80" i="73"/>
  <c r="K80" i="73"/>
  <c r="J80" i="73"/>
  <c r="I80" i="73"/>
  <c r="H80" i="73"/>
  <c r="G80" i="73"/>
  <c r="F80" i="73"/>
  <c r="E80" i="73"/>
  <c r="D80" i="73"/>
  <c r="M79" i="73"/>
  <c r="L79" i="73"/>
  <c r="K79" i="73"/>
  <c r="J79" i="73"/>
  <c r="I79" i="73"/>
  <c r="H79" i="73"/>
  <c r="G79" i="73"/>
  <c r="F79" i="73"/>
  <c r="E79" i="73"/>
  <c r="D79" i="73"/>
  <c r="M78" i="73"/>
  <c r="L78" i="73"/>
  <c r="K78" i="73"/>
  <c r="J78" i="73"/>
  <c r="I78" i="73"/>
  <c r="H78" i="73"/>
  <c r="G78" i="73"/>
  <c r="F78" i="73"/>
  <c r="E78" i="73"/>
  <c r="D78" i="73"/>
  <c r="M77" i="73"/>
  <c r="L77" i="73"/>
  <c r="K77" i="73"/>
  <c r="J77" i="73"/>
  <c r="I77" i="73"/>
  <c r="H77" i="73"/>
  <c r="G77" i="73"/>
  <c r="F77" i="73"/>
  <c r="E77" i="73"/>
  <c r="D77" i="73"/>
  <c r="M75" i="73"/>
  <c r="L75" i="73"/>
  <c r="K75" i="73"/>
  <c r="J75" i="73"/>
  <c r="I75" i="73"/>
  <c r="H75" i="73"/>
  <c r="G75" i="73"/>
  <c r="F75" i="73"/>
  <c r="E75" i="73"/>
  <c r="D75" i="73"/>
  <c r="M73" i="73"/>
  <c r="L73" i="73"/>
  <c r="K73" i="73"/>
  <c r="J73" i="73"/>
  <c r="I73" i="73"/>
  <c r="H73" i="73"/>
  <c r="G73" i="73"/>
  <c r="F73" i="73"/>
  <c r="E73" i="73"/>
  <c r="D73" i="73"/>
  <c r="M72" i="73"/>
  <c r="L72" i="73"/>
  <c r="K72" i="73"/>
  <c r="J72" i="73"/>
  <c r="I72" i="73"/>
  <c r="H72" i="73"/>
  <c r="G72" i="73"/>
  <c r="F72" i="73"/>
  <c r="E72" i="73"/>
  <c r="D72" i="73"/>
  <c r="M71" i="73"/>
  <c r="L71" i="73"/>
  <c r="K71" i="73"/>
  <c r="J71" i="73"/>
  <c r="I71" i="73"/>
  <c r="H71" i="73"/>
  <c r="G71" i="73"/>
  <c r="F71" i="73"/>
  <c r="E71" i="73"/>
  <c r="D71" i="73"/>
  <c r="M54" i="73"/>
  <c r="L54" i="73"/>
  <c r="K54" i="73"/>
  <c r="J54" i="73"/>
  <c r="I54" i="73"/>
  <c r="H54" i="73"/>
  <c r="G54" i="73"/>
  <c r="F54" i="73"/>
  <c r="E54" i="73"/>
  <c r="D54" i="73"/>
  <c r="M53" i="73"/>
  <c r="L53" i="73"/>
  <c r="K53" i="73"/>
  <c r="J53" i="73"/>
  <c r="I53" i="73"/>
  <c r="H53" i="73"/>
  <c r="G53" i="73"/>
  <c r="F53" i="73"/>
  <c r="E53" i="73"/>
  <c r="D53" i="73"/>
  <c r="M52" i="73"/>
  <c r="L52" i="73"/>
  <c r="K52" i="73"/>
  <c r="J52" i="73"/>
  <c r="I52" i="73"/>
  <c r="H52" i="73"/>
  <c r="G52" i="73"/>
  <c r="F52" i="73"/>
  <c r="E52" i="73"/>
  <c r="D52" i="73"/>
  <c r="M47" i="73"/>
  <c r="L47" i="73"/>
  <c r="K47" i="73"/>
  <c r="J47" i="73"/>
  <c r="I47" i="73"/>
  <c r="H47" i="73"/>
  <c r="G47" i="73"/>
  <c r="F47" i="73"/>
  <c r="E47" i="73"/>
  <c r="D47" i="73"/>
  <c r="M46" i="73"/>
  <c r="L46" i="73"/>
  <c r="K46" i="73"/>
  <c r="J46" i="73"/>
  <c r="I46" i="73"/>
  <c r="H46" i="73"/>
  <c r="G46" i="73"/>
  <c r="F46" i="73"/>
  <c r="E46" i="73"/>
  <c r="D46" i="73"/>
  <c r="M45" i="73"/>
  <c r="L45" i="73"/>
  <c r="K45" i="73"/>
  <c r="J45" i="73"/>
  <c r="I45" i="73"/>
  <c r="H45" i="73"/>
  <c r="G45" i="73"/>
  <c r="F45" i="73"/>
  <c r="E45" i="73"/>
  <c r="D45" i="73"/>
  <c r="M44" i="73"/>
  <c r="L44" i="73"/>
  <c r="K44" i="73"/>
  <c r="J44" i="73"/>
  <c r="I44" i="73"/>
  <c r="H44" i="73"/>
  <c r="G44" i="73"/>
  <c r="F44" i="73"/>
  <c r="E44" i="73"/>
  <c r="D44" i="73"/>
  <c r="M43" i="73"/>
  <c r="L43" i="73"/>
  <c r="K43" i="73"/>
  <c r="J43" i="73"/>
  <c r="I43" i="73"/>
  <c r="H43" i="73"/>
  <c r="G43" i="73"/>
  <c r="F43" i="73"/>
  <c r="E43" i="73"/>
  <c r="D43" i="73"/>
  <c r="M42" i="73"/>
  <c r="L42" i="73"/>
  <c r="K42" i="73"/>
  <c r="J42" i="73"/>
  <c r="I42" i="73"/>
  <c r="H42" i="73"/>
  <c r="G42" i="73"/>
  <c r="F42" i="73"/>
  <c r="E42" i="73"/>
  <c r="D42" i="73"/>
  <c r="M41" i="73"/>
  <c r="L41" i="73"/>
  <c r="K41" i="73"/>
  <c r="J41" i="73"/>
  <c r="I41" i="73"/>
  <c r="H41" i="73"/>
  <c r="G41" i="73"/>
  <c r="F41" i="73"/>
  <c r="E41" i="73"/>
  <c r="D41" i="73"/>
  <c r="M40" i="73"/>
  <c r="L40" i="73"/>
  <c r="K40" i="73"/>
  <c r="J40" i="73"/>
  <c r="I40" i="73"/>
  <c r="H40" i="73"/>
  <c r="G40" i="73"/>
  <c r="F40" i="73"/>
  <c r="E40" i="73"/>
  <c r="D40" i="73"/>
  <c r="M39" i="73"/>
  <c r="L39" i="73"/>
  <c r="K39" i="73"/>
  <c r="J39" i="73"/>
  <c r="I39" i="73"/>
  <c r="H39" i="73"/>
  <c r="G39" i="73"/>
  <c r="F39" i="73"/>
  <c r="E39" i="73"/>
  <c r="D39" i="73"/>
  <c r="M37" i="73"/>
  <c r="L37" i="73"/>
  <c r="K37" i="73"/>
  <c r="J37" i="73"/>
  <c r="I37" i="73"/>
  <c r="H37" i="73"/>
  <c r="G37" i="73"/>
  <c r="F37" i="73"/>
  <c r="E37" i="73"/>
  <c r="D37" i="73"/>
  <c r="M36" i="73"/>
  <c r="L36" i="73"/>
  <c r="K36" i="73"/>
  <c r="J36" i="73"/>
  <c r="I36" i="73"/>
  <c r="H36" i="73"/>
  <c r="G36" i="73"/>
  <c r="F36" i="73"/>
  <c r="E36" i="73"/>
  <c r="D36" i="73"/>
  <c r="M35" i="73"/>
  <c r="L35" i="73"/>
  <c r="K35" i="73"/>
  <c r="J35" i="73"/>
  <c r="I35" i="73"/>
  <c r="H35" i="73"/>
  <c r="G35" i="73"/>
  <c r="F35" i="73"/>
  <c r="E35" i="73"/>
  <c r="D35" i="73"/>
  <c r="M34" i="73"/>
  <c r="L34" i="73"/>
  <c r="K34" i="73"/>
  <c r="J34" i="73"/>
  <c r="I34" i="73"/>
  <c r="H34" i="73"/>
  <c r="G34" i="73"/>
  <c r="F34" i="73"/>
  <c r="E34" i="73"/>
  <c r="D34" i="73"/>
  <c r="M33" i="73"/>
  <c r="L33" i="73"/>
  <c r="K33" i="73"/>
  <c r="J33" i="73"/>
  <c r="I33" i="73"/>
  <c r="H33" i="73"/>
  <c r="G33" i="73"/>
  <c r="F33" i="73"/>
  <c r="E33" i="73"/>
  <c r="D33" i="73"/>
  <c r="M32" i="73"/>
  <c r="L32" i="73"/>
  <c r="K32" i="73"/>
  <c r="J32" i="73"/>
  <c r="I32" i="73"/>
  <c r="H32" i="73"/>
  <c r="G32" i="73"/>
  <c r="F32" i="73"/>
  <c r="E32" i="73"/>
  <c r="D32" i="73"/>
  <c r="M31" i="73"/>
  <c r="L31" i="73"/>
  <c r="K31" i="73"/>
  <c r="J31" i="73"/>
  <c r="I31" i="73"/>
  <c r="H31" i="73"/>
  <c r="G31" i="73"/>
  <c r="F31" i="73"/>
  <c r="E31" i="73"/>
  <c r="D31" i="73"/>
  <c r="M30" i="73"/>
  <c r="L30" i="73"/>
  <c r="K30" i="73"/>
  <c r="J30" i="73"/>
  <c r="I30" i="73"/>
  <c r="H30" i="73"/>
  <c r="G30" i="73"/>
  <c r="F30" i="73"/>
  <c r="E30" i="73"/>
  <c r="D30" i="73"/>
  <c r="R4" i="79" l="1"/>
  <c r="S4" i="79"/>
  <c r="Q4" i="79"/>
  <c r="X4" i="79" l="1"/>
  <c r="W4" i="79"/>
  <c r="H15" i="16" l="1"/>
  <c r="AO24" i="79"/>
  <c r="D109" i="74"/>
  <c r="E109" i="74"/>
  <c r="T60" i="39"/>
  <c r="S60" i="39"/>
  <c r="R60" i="39"/>
  <c r="Q60" i="39"/>
  <c r="P60" i="39"/>
  <c r="O60" i="39"/>
  <c r="T48" i="39"/>
  <c r="S48" i="39"/>
  <c r="R48" i="39"/>
  <c r="Q48" i="39"/>
  <c r="P48" i="39"/>
  <c r="O48" i="39"/>
  <c r="T36" i="39"/>
  <c r="S36" i="39"/>
  <c r="R36" i="39"/>
  <c r="Q36" i="39"/>
  <c r="P36" i="39"/>
  <c r="O36" i="39"/>
  <c r="T25" i="39"/>
  <c r="S25" i="39"/>
  <c r="R25" i="39"/>
  <c r="Q25" i="39"/>
  <c r="P25" i="39"/>
  <c r="O25" i="39"/>
  <c r="T13" i="39"/>
  <c r="S13" i="39"/>
  <c r="R13" i="39"/>
  <c r="Q13" i="39"/>
  <c r="P13" i="39"/>
  <c r="O13" i="39"/>
  <c r="I108" i="65"/>
  <c r="H108" i="65"/>
  <c r="G108" i="65"/>
  <c r="F108" i="65"/>
  <c r="E108" i="65"/>
  <c r="D108" i="65"/>
  <c r="I106" i="65"/>
  <c r="H106" i="65"/>
  <c r="G106" i="65"/>
  <c r="F106" i="65"/>
  <c r="E106" i="65"/>
  <c r="D106" i="65"/>
  <c r="I102" i="65"/>
  <c r="H102" i="65"/>
  <c r="G102" i="65"/>
  <c r="F102" i="65"/>
  <c r="E102" i="65"/>
  <c r="D102" i="65"/>
  <c r="I57" i="76"/>
  <c r="H57" i="76"/>
  <c r="H63" i="76" s="1"/>
  <c r="G57" i="76"/>
  <c r="G63" i="76" s="1"/>
  <c r="F57" i="76"/>
  <c r="F63" i="76" s="1"/>
  <c r="E57" i="76"/>
  <c r="E63" i="76" s="1"/>
  <c r="D57" i="76"/>
  <c r="I38" i="76"/>
  <c r="I44" i="76" s="1"/>
  <c r="H38" i="76"/>
  <c r="H44" i="76" s="1"/>
  <c r="G38" i="76"/>
  <c r="G44" i="76" s="1"/>
  <c r="F38" i="76"/>
  <c r="F44" i="76" s="1"/>
  <c r="E38" i="76"/>
  <c r="E44" i="76" s="1"/>
  <c r="D38" i="76"/>
  <c r="I19" i="76"/>
  <c r="H19" i="76"/>
  <c r="G19" i="76"/>
  <c r="F19" i="76"/>
  <c r="E19" i="76"/>
  <c r="D19" i="76"/>
  <c r="F109" i="74"/>
  <c r="G109" i="74"/>
  <c r="H109" i="74"/>
  <c r="I109" i="74"/>
  <c r="J109" i="74"/>
  <c r="K109" i="74"/>
  <c r="I15" i="16" l="1"/>
  <c r="AQ24" i="79" s="1"/>
  <c r="AP24" i="79"/>
  <c r="D63" i="76"/>
  <c r="I63" i="76"/>
  <c r="D25" i="76"/>
  <c r="D44" i="76"/>
  <c r="C92" i="73" l="1"/>
  <c r="C87" i="73"/>
  <c r="C86" i="73"/>
  <c r="C85" i="73"/>
  <c r="C84" i="73"/>
  <c r="C82" i="73"/>
  <c r="C81" i="73"/>
  <c r="C80" i="73"/>
  <c r="C79" i="73"/>
  <c r="C78" i="73"/>
  <c r="C77" i="73"/>
  <c r="C75" i="73"/>
  <c r="C73" i="73"/>
  <c r="C72" i="73"/>
  <c r="C71" i="73"/>
  <c r="C54" i="73"/>
  <c r="C53" i="73"/>
  <c r="C52" i="73"/>
  <c r="C47" i="73"/>
  <c r="C46" i="73"/>
  <c r="C45" i="73"/>
  <c r="C44" i="73"/>
  <c r="C43" i="73"/>
  <c r="C42" i="73"/>
  <c r="C41" i="73"/>
  <c r="C40" i="73"/>
  <c r="C39" i="73"/>
  <c r="C37" i="73"/>
  <c r="C36" i="73"/>
  <c r="C35" i="73"/>
  <c r="C34" i="73"/>
  <c r="C33" i="73"/>
  <c r="C32" i="73"/>
  <c r="C31" i="73"/>
  <c r="C30" i="73"/>
  <c r="C28" i="73"/>
  <c r="C27" i="73"/>
  <c r="C26" i="73"/>
  <c r="C23" i="73"/>
  <c r="C22" i="73"/>
  <c r="C20" i="73"/>
  <c r="C19" i="73"/>
  <c r="C16" i="73"/>
  <c r="C15" i="73"/>
  <c r="C14" i="73"/>
  <c r="C13" i="73"/>
  <c r="AU9" i="73"/>
  <c r="AJ9" i="73"/>
  <c r="Y9" i="73"/>
  <c r="N9" i="73"/>
  <c r="C9" i="73"/>
  <c r="L100" i="73"/>
  <c r="J100" i="73"/>
  <c r="H100" i="73"/>
  <c r="F100" i="73"/>
  <c r="AF148" i="77"/>
  <c r="Z148" i="77"/>
  <c r="T148" i="77"/>
  <c r="N148" i="77"/>
  <c r="H148" i="77"/>
  <c r="AF147" i="77"/>
  <c r="Z147" i="77"/>
  <c r="T147" i="77"/>
  <c r="N147" i="77"/>
  <c r="H147" i="77"/>
  <c r="AF146" i="77"/>
  <c r="Z146" i="77"/>
  <c r="T146" i="77"/>
  <c r="N146" i="77"/>
  <c r="H146" i="77"/>
  <c r="AF145" i="77"/>
  <c r="Z145" i="77"/>
  <c r="T145" i="77"/>
  <c r="N145" i="77"/>
  <c r="H145" i="77"/>
  <c r="AF144" i="77"/>
  <c r="Z144" i="77"/>
  <c r="T144" i="77"/>
  <c r="N144" i="77"/>
  <c r="H144" i="77"/>
  <c r="AF143" i="77"/>
  <c r="Z143" i="77"/>
  <c r="T143" i="77"/>
  <c r="N143" i="77"/>
  <c r="H143" i="77"/>
  <c r="AF142" i="77"/>
  <c r="Z142" i="77"/>
  <c r="T142" i="77"/>
  <c r="N142" i="77"/>
  <c r="H142" i="77"/>
  <c r="AF141" i="77"/>
  <c r="Z141" i="77"/>
  <c r="T141" i="77"/>
  <c r="N141" i="77"/>
  <c r="H141" i="77"/>
  <c r="AF140" i="77"/>
  <c r="Z140" i="77"/>
  <c r="T140" i="77"/>
  <c r="N140" i="77"/>
  <c r="H140" i="77"/>
  <c r="AF139" i="77"/>
  <c r="Z139" i="77"/>
  <c r="T139" i="77"/>
  <c r="N139" i="77"/>
  <c r="H139" i="77"/>
  <c r="AE138" i="77"/>
  <c r="Y172" i="67" s="1"/>
  <c r="AD138" i="77"/>
  <c r="X172" i="67" s="1"/>
  <c r="AC138" i="77"/>
  <c r="W172" i="67" s="1"/>
  <c r="AB138" i="77"/>
  <c r="V172" i="67" s="1"/>
  <c r="AA138" i="77"/>
  <c r="U172" i="67" s="1"/>
  <c r="Y138" i="77"/>
  <c r="Y171" i="67" s="1"/>
  <c r="X138" i="77"/>
  <c r="X171" i="67" s="1"/>
  <c r="W138" i="77"/>
  <c r="W171" i="67" s="1"/>
  <c r="V138" i="77"/>
  <c r="V171" i="67" s="1"/>
  <c r="U138" i="77"/>
  <c r="U171" i="67" s="1"/>
  <c r="S138" i="77"/>
  <c r="Y170" i="67" s="1"/>
  <c r="R138" i="77"/>
  <c r="X170" i="67" s="1"/>
  <c r="Q138" i="77"/>
  <c r="W170" i="67" s="1"/>
  <c r="P138" i="77"/>
  <c r="V170" i="67" s="1"/>
  <c r="O138" i="77"/>
  <c r="U170" i="67" s="1"/>
  <c r="M138" i="77"/>
  <c r="Y169" i="67" s="1"/>
  <c r="L138" i="77"/>
  <c r="X169" i="67" s="1"/>
  <c r="K138" i="77"/>
  <c r="W169" i="67" s="1"/>
  <c r="J138" i="77"/>
  <c r="V169" i="67" s="1"/>
  <c r="I138" i="77"/>
  <c r="U169" i="67" s="1"/>
  <c r="G138" i="77"/>
  <c r="Y168" i="67" s="1"/>
  <c r="F138" i="77"/>
  <c r="X168" i="67" s="1"/>
  <c r="E138" i="77"/>
  <c r="W168" i="67" s="1"/>
  <c r="D138" i="77"/>
  <c r="V168" i="67" s="1"/>
  <c r="C138" i="77"/>
  <c r="U168" i="67" s="1"/>
  <c r="AF125" i="77"/>
  <c r="Z125" i="77"/>
  <c r="T125" i="77"/>
  <c r="N125" i="77"/>
  <c r="H125" i="77"/>
  <c r="AF124" i="77"/>
  <c r="Z124" i="77"/>
  <c r="T124" i="77"/>
  <c r="N124" i="77"/>
  <c r="H124" i="77"/>
  <c r="AF123" i="77"/>
  <c r="Z123" i="77"/>
  <c r="T123" i="77"/>
  <c r="N123" i="77"/>
  <c r="H123" i="77"/>
  <c r="AF122" i="77"/>
  <c r="Z122" i="77"/>
  <c r="T122" i="77"/>
  <c r="N122" i="77"/>
  <c r="H122" i="77"/>
  <c r="AF121" i="77"/>
  <c r="Z121" i="77"/>
  <c r="T121" i="77"/>
  <c r="N121" i="77"/>
  <c r="H121" i="77"/>
  <c r="AF120" i="77"/>
  <c r="Z120" i="77"/>
  <c r="T120" i="77"/>
  <c r="N120" i="77"/>
  <c r="H120" i="77"/>
  <c r="AF119" i="77"/>
  <c r="Z119" i="77"/>
  <c r="T119" i="77"/>
  <c r="N119" i="77"/>
  <c r="H119" i="77"/>
  <c r="AF118" i="77"/>
  <c r="Z118" i="77"/>
  <c r="T118" i="77"/>
  <c r="N118" i="77"/>
  <c r="H118" i="77"/>
  <c r="AF117" i="77"/>
  <c r="Z117" i="77"/>
  <c r="T117" i="77"/>
  <c r="N117" i="77"/>
  <c r="H117" i="77"/>
  <c r="AF116" i="77"/>
  <c r="Z116" i="77"/>
  <c r="T116" i="77"/>
  <c r="N116" i="77"/>
  <c r="H116" i="77"/>
  <c r="AE115" i="77"/>
  <c r="Y167" i="67" s="1"/>
  <c r="AD115" i="77"/>
  <c r="X167" i="67" s="1"/>
  <c r="AC115" i="77"/>
  <c r="W167" i="67" s="1"/>
  <c r="AB115" i="77"/>
  <c r="V167" i="67" s="1"/>
  <c r="AA115" i="77"/>
  <c r="U167" i="67" s="1"/>
  <c r="Y115" i="77"/>
  <c r="Y166" i="67" s="1"/>
  <c r="X115" i="77"/>
  <c r="X166" i="67" s="1"/>
  <c r="W115" i="77"/>
  <c r="W166" i="67" s="1"/>
  <c r="V115" i="77"/>
  <c r="V166" i="67" s="1"/>
  <c r="U115" i="77"/>
  <c r="U166" i="67" s="1"/>
  <c r="S115" i="77"/>
  <c r="Y165" i="67" s="1"/>
  <c r="R115" i="77"/>
  <c r="X165" i="67" s="1"/>
  <c r="Q115" i="77"/>
  <c r="W165" i="67" s="1"/>
  <c r="P115" i="77"/>
  <c r="V165" i="67" s="1"/>
  <c r="O115" i="77"/>
  <c r="U165" i="67" s="1"/>
  <c r="M115" i="77"/>
  <c r="Y164" i="67" s="1"/>
  <c r="L115" i="77"/>
  <c r="X164" i="67" s="1"/>
  <c r="K115" i="77"/>
  <c r="W164" i="67" s="1"/>
  <c r="J115" i="77"/>
  <c r="V164" i="67" s="1"/>
  <c r="I115" i="77"/>
  <c r="U164" i="67" s="1"/>
  <c r="G115" i="77"/>
  <c r="Y163" i="67" s="1"/>
  <c r="F115" i="77"/>
  <c r="X163" i="67" s="1"/>
  <c r="E115" i="77"/>
  <c r="W163" i="67" s="1"/>
  <c r="D115" i="77"/>
  <c r="V163" i="67" s="1"/>
  <c r="C115" i="77"/>
  <c r="U163" i="67" s="1"/>
  <c r="AF101" i="77"/>
  <c r="Z101" i="77"/>
  <c r="T101" i="77"/>
  <c r="N101" i="77"/>
  <c r="H101" i="77"/>
  <c r="AF100" i="77"/>
  <c r="Z100" i="77"/>
  <c r="T100" i="77"/>
  <c r="N100" i="77"/>
  <c r="H100" i="77"/>
  <c r="AF99" i="77"/>
  <c r="Z99" i="77"/>
  <c r="T99" i="77"/>
  <c r="N99" i="77"/>
  <c r="H99" i="77"/>
  <c r="AF98" i="77"/>
  <c r="Z98" i="77"/>
  <c r="T98" i="77"/>
  <c r="N98" i="77"/>
  <c r="H98" i="77"/>
  <c r="AF97" i="77"/>
  <c r="Z97" i="77"/>
  <c r="T97" i="77"/>
  <c r="N97" i="77"/>
  <c r="H97" i="77"/>
  <c r="AF96" i="77"/>
  <c r="Z96" i="77"/>
  <c r="T96" i="77"/>
  <c r="N96" i="77"/>
  <c r="H96" i="77"/>
  <c r="AF95" i="77"/>
  <c r="Z95" i="77"/>
  <c r="T95" i="77"/>
  <c r="N95" i="77"/>
  <c r="H95" i="77"/>
  <c r="AF94" i="77"/>
  <c r="Z94" i="77"/>
  <c r="T94" i="77"/>
  <c r="N94" i="77"/>
  <c r="H94" i="77"/>
  <c r="AF93" i="77"/>
  <c r="Z93" i="77"/>
  <c r="T93" i="77"/>
  <c r="N93" i="77"/>
  <c r="H93" i="77"/>
  <c r="AF92" i="77"/>
  <c r="Z92" i="77"/>
  <c r="T92" i="77"/>
  <c r="N92" i="77"/>
  <c r="H92" i="77"/>
  <c r="AE91" i="77"/>
  <c r="Y159" i="67" s="1"/>
  <c r="AD91" i="77"/>
  <c r="X159" i="67" s="1"/>
  <c r="AC91" i="77"/>
  <c r="W159" i="67" s="1"/>
  <c r="AB91" i="77"/>
  <c r="V159" i="67" s="1"/>
  <c r="AA91" i="77"/>
  <c r="U159" i="67" s="1"/>
  <c r="Y91" i="77"/>
  <c r="Y158" i="67" s="1"/>
  <c r="X91" i="77"/>
  <c r="X158" i="67" s="1"/>
  <c r="W91" i="77"/>
  <c r="W158" i="67" s="1"/>
  <c r="V91" i="77"/>
  <c r="V158" i="67" s="1"/>
  <c r="U91" i="77"/>
  <c r="U158" i="67" s="1"/>
  <c r="S91" i="77"/>
  <c r="Y157" i="67" s="1"/>
  <c r="R91" i="77"/>
  <c r="X157" i="67" s="1"/>
  <c r="Q91" i="77"/>
  <c r="W157" i="67" s="1"/>
  <c r="P91" i="77"/>
  <c r="V157" i="67" s="1"/>
  <c r="O91" i="77"/>
  <c r="U157" i="67" s="1"/>
  <c r="M91" i="77"/>
  <c r="Y156" i="67" s="1"/>
  <c r="L91" i="77"/>
  <c r="X156" i="67" s="1"/>
  <c r="K91" i="77"/>
  <c r="W156" i="67" s="1"/>
  <c r="J91" i="77"/>
  <c r="V156" i="67" s="1"/>
  <c r="I91" i="77"/>
  <c r="U156" i="67" s="1"/>
  <c r="G91" i="77"/>
  <c r="Y155" i="67" s="1"/>
  <c r="F91" i="77"/>
  <c r="X155" i="67" s="1"/>
  <c r="E91" i="77"/>
  <c r="W155" i="67" s="1"/>
  <c r="D91" i="77"/>
  <c r="V155" i="67" s="1"/>
  <c r="C91" i="77"/>
  <c r="U155" i="67" s="1"/>
  <c r="AF78" i="77"/>
  <c r="Z78" i="77"/>
  <c r="T78" i="77"/>
  <c r="N78" i="77"/>
  <c r="H78" i="77"/>
  <c r="AF77" i="77"/>
  <c r="Z77" i="77"/>
  <c r="T77" i="77"/>
  <c r="N77" i="77"/>
  <c r="H77" i="77"/>
  <c r="AF76" i="77"/>
  <c r="Z76" i="77"/>
  <c r="T76" i="77"/>
  <c r="N76" i="77"/>
  <c r="H76" i="77"/>
  <c r="AF75" i="77"/>
  <c r="Z75" i="77"/>
  <c r="T75" i="77"/>
  <c r="N75" i="77"/>
  <c r="H75" i="77"/>
  <c r="AF74" i="77"/>
  <c r="Z74" i="77"/>
  <c r="T74" i="77"/>
  <c r="N74" i="77"/>
  <c r="H74" i="77"/>
  <c r="AF73" i="77"/>
  <c r="Z73" i="77"/>
  <c r="T73" i="77"/>
  <c r="N73" i="77"/>
  <c r="H73" i="77"/>
  <c r="AF72" i="77"/>
  <c r="Z72" i="77"/>
  <c r="T72" i="77"/>
  <c r="N72" i="77"/>
  <c r="H72" i="77"/>
  <c r="AF71" i="77"/>
  <c r="Z71" i="77"/>
  <c r="T71" i="77"/>
  <c r="N71" i="77"/>
  <c r="H71" i="77"/>
  <c r="AF70" i="77"/>
  <c r="Z70" i="77"/>
  <c r="T70" i="77"/>
  <c r="N70" i="77"/>
  <c r="H70" i="77"/>
  <c r="AF69" i="77"/>
  <c r="Z69" i="77"/>
  <c r="T69" i="77"/>
  <c r="N69" i="77"/>
  <c r="H69" i="77"/>
  <c r="AE68" i="77"/>
  <c r="Y154" i="67" s="1"/>
  <c r="AD68" i="77"/>
  <c r="X154" i="67" s="1"/>
  <c r="AC68" i="77"/>
  <c r="W154" i="67" s="1"/>
  <c r="AB68" i="77"/>
  <c r="V154" i="67" s="1"/>
  <c r="AA68" i="77"/>
  <c r="U154" i="67" s="1"/>
  <c r="Y68" i="77"/>
  <c r="Y153" i="67" s="1"/>
  <c r="X68" i="77"/>
  <c r="X153" i="67" s="1"/>
  <c r="W68" i="77"/>
  <c r="W153" i="67" s="1"/>
  <c r="V68" i="77"/>
  <c r="V153" i="67" s="1"/>
  <c r="U68" i="77"/>
  <c r="U153" i="67" s="1"/>
  <c r="S68" i="77"/>
  <c r="Y152" i="67" s="1"/>
  <c r="R68" i="77"/>
  <c r="X152" i="67" s="1"/>
  <c r="Q68" i="77"/>
  <c r="W152" i="67" s="1"/>
  <c r="P68" i="77"/>
  <c r="V152" i="67" s="1"/>
  <c r="O68" i="77"/>
  <c r="U152" i="67" s="1"/>
  <c r="M68" i="77"/>
  <c r="Y151" i="67" s="1"/>
  <c r="L68" i="77"/>
  <c r="X151" i="67" s="1"/>
  <c r="K68" i="77"/>
  <c r="W151" i="67" s="1"/>
  <c r="J68" i="77"/>
  <c r="V151" i="67" s="1"/>
  <c r="I68" i="77"/>
  <c r="U151" i="67" s="1"/>
  <c r="G68" i="77"/>
  <c r="Y150" i="67" s="1"/>
  <c r="F68" i="77"/>
  <c r="X150" i="67" s="1"/>
  <c r="E68" i="77"/>
  <c r="W150" i="67" s="1"/>
  <c r="D68" i="77"/>
  <c r="V150" i="67" s="1"/>
  <c r="C68" i="77"/>
  <c r="U150" i="67" s="1"/>
  <c r="AF54" i="77"/>
  <c r="Z54" i="77"/>
  <c r="T54" i="77"/>
  <c r="N54" i="77"/>
  <c r="H54" i="77"/>
  <c r="AF53" i="77"/>
  <c r="Z53" i="77"/>
  <c r="T53" i="77"/>
  <c r="N53" i="77"/>
  <c r="H53" i="77"/>
  <c r="AF52" i="77"/>
  <c r="Z52" i="77"/>
  <c r="T52" i="77"/>
  <c r="N52" i="77"/>
  <c r="H52" i="77"/>
  <c r="AF51" i="77"/>
  <c r="Z51" i="77"/>
  <c r="T51" i="77"/>
  <c r="N51" i="77"/>
  <c r="H51" i="77"/>
  <c r="AF50" i="77"/>
  <c r="Z50" i="77"/>
  <c r="T50" i="77"/>
  <c r="N50" i="77"/>
  <c r="H50" i="77"/>
  <c r="AF49" i="77"/>
  <c r="Z49" i="77"/>
  <c r="T49" i="77"/>
  <c r="N49" i="77"/>
  <c r="H49" i="77"/>
  <c r="AF48" i="77"/>
  <c r="Z48" i="77"/>
  <c r="T48" i="77"/>
  <c r="N48" i="77"/>
  <c r="H48" i="77"/>
  <c r="AF47" i="77"/>
  <c r="Z47" i="77"/>
  <c r="T47" i="77"/>
  <c r="N47" i="77"/>
  <c r="H47" i="77"/>
  <c r="AF46" i="77"/>
  <c r="Z46" i="77"/>
  <c r="T46" i="77"/>
  <c r="N46" i="77"/>
  <c r="H46" i="77"/>
  <c r="AF45" i="77"/>
  <c r="Z45" i="77"/>
  <c r="T45" i="77"/>
  <c r="N45" i="77"/>
  <c r="H45" i="77"/>
  <c r="AE44" i="77"/>
  <c r="Y146" i="67" s="1"/>
  <c r="AD44" i="77"/>
  <c r="X146" i="67" s="1"/>
  <c r="AC44" i="77"/>
  <c r="W146" i="67" s="1"/>
  <c r="AB44" i="77"/>
  <c r="V146" i="67" s="1"/>
  <c r="AA44" i="77"/>
  <c r="U146" i="67" s="1"/>
  <c r="Y44" i="77"/>
  <c r="Y145" i="67" s="1"/>
  <c r="X44" i="77"/>
  <c r="X145" i="67" s="1"/>
  <c r="W44" i="77"/>
  <c r="W145" i="67" s="1"/>
  <c r="V44" i="77"/>
  <c r="V145" i="67" s="1"/>
  <c r="U44" i="77"/>
  <c r="U145" i="67" s="1"/>
  <c r="S44" i="77"/>
  <c r="Y144" i="67" s="1"/>
  <c r="R44" i="77"/>
  <c r="X144" i="67" s="1"/>
  <c r="Q44" i="77"/>
  <c r="W144" i="67" s="1"/>
  <c r="P44" i="77"/>
  <c r="V144" i="67" s="1"/>
  <c r="O44" i="77"/>
  <c r="U144" i="67" s="1"/>
  <c r="M44" i="77"/>
  <c r="Y143" i="67" s="1"/>
  <c r="L44" i="77"/>
  <c r="X143" i="67" s="1"/>
  <c r="K44" i="77"/>
  <c r="W143" i="67" s="1"/>
  <c r="J44" i="77"/>
  <c r="V143" i="67" s="1"/>
  <c r="I44" i="77"/>
  <c r="U143" i="67" s="1"/>
  <c r="G44" i="77"/>
  <c r="Y142" i="67" s="1"/>
  <c r="F44" i="77"/>
  <c r="X142" i="67" s="1"/>
  <c r="E44" i="77"/>
  <c r="W142" i="67" s="1"/>
  <c r="D44" i="77"/>
  <c r="V142" i="67" s="1"/>
  <c r="C44" i="77"/>
  <c r="U142" i="67" s="1"/>
  <c r="C21" i="77"/>
  <c r="U137" i="67" s="1"/>
  <c r="AG61" i="60"/>
  <c r="AG60" i="60"/>
  <c r="AG59" i="60"/>
  <c r="AG58" i="60"/>
  <c r="AG57" i="60"/>
  <c r="AG56" i="60"/>
  <c r="AG55" i="60"/>
  <c r="AG54" i="60"/>
  <c r="AG53" i="60"/>
  <c r="AA61" i="60"/>
  <c r="AA60" i="60"/>
  <c r="AA59" i="60"/>
  <c r="AA58" i="60"/>
  <c r="AA57" i="60"/>
  <c r="AA56" i="60"/>
  <c r="AA55" i="60"/>
  <c r="AA54" i="60"/>
  <c r="AA53" i="60"/>
  <c r="U61" i="60"/>
  <c r="U60" i="60"/>
  <c r="U59" i="60"/>
  <c r="U58" i="60"/>
  <c r="U57" i="60"/>
  <c r="U56" i="60"/>
  <c r="U55" i="60"/>
  <c r="U54" i="60"/>
  <c r="U53" i="60"/>
  <c r="O61" i="60"/>
  <c r="O60" i="60"/>
  <c r="O59" i="60"/>
  <c r="O58" i="60"/>
  <c r="O57" i="60"/>
  <c r="O56" i="60"/>
  <c r="O55" i="60"/>
  <c r="O54" i="60"/>
  <c r="O53" i="60"/>
  <c r="I61" i="60"/>
  <c r="I60" i="60"/>
  <c r="I59" i="60"/>
  <c r="I58" i="60"/>
  <c r="I57" i="60"/>
  <c r="I56" i="60"/>
  <c r="I55" i="60"/>
  <c r="I54" i="60"/>
  <c r="I53" i="60"/>
  <c r="C57" i="60"/>
  <c r="C53" i="60"/>
  <c r="C61" i="60"/>
  <c r="C60" i="60"/>
  <c r="C59" i="60"/>
  <c r="C58" i="60"/>
  <c r="C56" i="60"/>
  <c r="C55" i="60"/>
  <c r="C54" i="60"/>
  <c r="D53" i="60"/>
  <c r="X160" i="67" l="1"/>
  <c r="V173" i="67"/>
  <c r="U160" i="67"/>
  <c r="Y160" i="67"/>
  <c r="W173" i="67"/>
  <c r="V160" i="67"/>
  <c r="X173" i="67"/>
  <c r="W160" i="67"/>
  <c r="U173" i="67"/>
  <c r="Y173" i="67"/>
  <c r="AF44" i="77"/>
  <c r="Q106" i="73"/>
  <c r="AF106" i="73"/>
  <c r="Z115" i="77"/>
  <c r="AF138" i="77"/>
  <c r="U106" i="73"/>
  <c r="Z91" i="77"/>
  <c r="AB106" i="73"/>
  <c r="O106" i="73"/>
  <c r="W106" i="73"/>
  <c r="Z68" i="77"/>
  <c r="H91" i="77"/>
  <c r="AD106" i="73"/>
  <c r="N115" i="77"/>
  <c r="T115" i="77"/>
  <c r="S106" i="73"/>
  <c r="Z106" i="73"/>
  <c r="AH106" i="73"/>
  <c r="T44" i="77"/>
  <c r="H44" i="77"/>
  <c r="H68" i="77"/>
  <c r="AF68" i="77"/>
  <c r="N91" i="77"/>
  <c r="N44" i="77"/>
  <c r="N68" i="77"/>
  <c r="T91" i="77"/>
  <c r="H115" i="77"/>
  <c r="AF115" i="77"/>
  <c r="H138" i="77"/>
  <c r="N138" i="77"/>
  <c r="T68" i="77"/>
  <c r="AF91" i="77"/>
  <c r="Z44" i="77"/>
  <c r="T138" i="77"/>
  <c r="Z138" i="77"/>
  <c r="G27" i="48"/>
  <c r="F27" i="48"/>
  <c r="E27" i="48"/>
  <c r="D27" i="48"/>
  <c r="C27" i="48"/>
  <c r="B27" i="48"/>
  <c r="G26" i="48"/>
  <c r="F26" i="48"/>
  <c r="E26" i="48"/>
  <c r="D26" i="48"/>
  <c r="C26" i="48"/>
  <c r="B26" i="48"/>
  <c r="G25" i="48"/>
  <c r="F25" i="48"/>
  <c r="E25" i="48"/>
  <c r="D25" i="48"/>
  <c r="C25" i="48"/>
  <c r="B25" i="48"/>
  <c r="G7" i="48"/>
  <c r="F7" i="48"/>
  <c r="E7" i="48"/>
  <c r="D7" i="48"/>
  <c r="C7" i="48"/>
  <c r="B7" i="48"/>
  <c r="G1" i="48"/>
  <c r="B31" i="48"/>
  <c r="AF136" i="77" l="1"/>
  <c r="Z136" i="77"/>
  <c r="T136" i="77"/>
  <c r="N136" i="77"/>
  <c r="H136" i="77"/>
  <c r="AF135" i="77"/>
  <c r="Z135" i="77"/>
  <c r="T135" i="77"/>
  <c r="N135" i="77"/>
  <c r="H135" i="77"/>
  <c r="AF134" i="77"/>
  <c r="Z134" i="77"/>
  <c r="T134" i="77"/>
  <c r="N134" i="77"/>
  <c r="H134" i="77"/>
  <c r="I126" i="77"/>
  <c r="O126" i="77" s="1"/>
  <c r="U126" i="77" s="1"/>
  <c r="AA126" i="77" s="1"/>
  <c r="AF89" i="77"/>
  <c r="Z89" i="77"/>
  <c r="T89" i="77"/>
  <c r="N89" i="77"/>
  <c r="H89" i="77"/>
  <c r="AF88" i="77"/>
  <c r="Z88" i="77"/>
  <c r="T88" i="77"/>
  <c r="N88" i="77"/>
  <c r="H88" i="77"/>
  <c r="AF87" i="77"/>
  <c r="Z87" i="77"/>
  <c r="T87" i="77"/>
  <c r="N87" i="77"/>
  <c r="H87" i="77"/>
  <c r="I79" i="77"/>
  <c r="O79" i="77" s="1"/>
  <c r="U79" i="77" s="1"/>
  <c r="AA79" i="77" s="1"/>
  <c r="AF42" i="77"/>
  <c r="Z42" i="77"/>
  <c r="T42" i="77"/>
  <c r="N42" i="77"/>
  <c r="H42" i="77"/>
  <c r="AF41" i="77"/>
  <c r="Z41" i="77"/>
  <c r="T41" i="77"/>
  <c r="N41" i="77"/>
  <c r="H41" i="77"/>
  <c r="AF40" i="77"/>
  <c r="Z40" i="77"/>
  <c r="T40" i="77"/>
  <c r="N40" i="77"/>
  <c r="H40" i="77"/>
  <c r="I32" i="77"/>
  <c r="O32" i="77" s="1"/>
  <c r="U32" i="77" s="1"/>
  <c r="AA32" i="77" s="1"/>
  <c r="I16" i="53"/>
  <c r="C11" i="60" l="1"/>
  <c r="C4" i="79" s="1"/>
  <c r="AJ11" i="60" l="1"/>
  <c r="AL11" i="60"/>
  <c r="AK11" i="60"/>
  <c r="AI11" i="60"/>
  <c r="AH11" i="60"/>
  <c r="AG11" i="60"/>
  <c r="AF11" i="60"/>
  <c r="N26" i="79" s="1"/>
  <c r="AE11" i="60"/>
  <c r="M26" i="79" s="1"/>
  <c r="AD11" i="60"/>
  <c r="L26" i="79" s="1"/>
  <c r="AC11" i="60"/>
  <c r="K26" i="79" s="1"/>
  <c r="AB11" i="60"/>
  <c r="J26" i="79" s="1"/>
  <c r="AA11" i="60"/>
  <c r="I26" i="79" s="1"/>
  <c r="Z11" i="60"/>
  <c r="H26" i="79" s="1"/>
  <c r="Y11" i="60"/>
  <c r="G26" i="79" s="1"/>
  <c r="X11" i="60"/>
  <c r="F26" i="79" s="1"/>
  <c r="W11" i="60"/>
  <c r="E26" i="79" s="1"/>
  <c r="V11" i="60"/>
  <c r="D26" i="79" s="1"/>
  <c r="U11" i="60"/>
  <c r="C26" i="79" s="1"/>
  <c r="T11" i="60"/>
  <c r="H15" i="79" s="1"/>
  <c r="S11" i="60"/>
  <c r="G15" i="79" s="1"/>
  <c r="R11" i="60"/>
  <c r="F15" i="79" s="1"/>
  <c r="Q11" i="60"/>
  <c r="E15" i="79" s="1"/>
  <c r="P11" i="60"/>
  <c r="D15" i="79" s="1"/>
  <c r="O11" i="60"/>
  <c r="C15" i="79" s="1"/>
  <c r="N11" i="60"/>
  <c r="N4" i="79" s="1"/>
  <c r="M11" i="60"/>
  <c r="M4" i="79" s="1"/>
  <c r="L11" i="60"/>
  <c r="L4" i="79" s="1"/>
  <c r="K11" i="60"/>
  <c r="K4" i="79" s="1"/>
  <c r="J11" i="60"/>
  <c r="J4" i="79" s="1"/>
  <c r="I11" i="60"/>
  <c r="I4" i="79" s="1"/>
  <c r="H11" i="60"/>
  <c r="H4" i="79" s="1"/>
  <c r="G11" i="60"/>
  <c r="G4" i="79" s="1"/>
  <c r="F11" i="60"/>
  <c r="F4" i="79" s="1"/>
  <c r="E11" i="60"/>
  <c r="E4" i="79" s="1"/>
  <c r="D11" i="60"/>
  <c r="D4" i="79" s="1"/>
  <c r="K37" i="79" l="1"/>
  <c r="I37" i="79"/>
  <c r="M37" i="79"/>
  <c r="C37" i="79"/>
  <c r="J37" i="79"/>
  <c r="N37" i="79"/>
  <c r="F37" i="79"/>
  <c r="L15" i="79"/>
  <c r="E37" i="79"/>
  <c r="K15" i="79"/>
  <c r="G37" i="79"/>
  <c r="M15" i="79"/>
  <c r="J15" i="79"/>
  <c r="D37" i="79"/>
  <c r="H37" i="79"/>
  <c r="N15" i="79"/>
  <c r="L37" i="79"/>
  <c r="I15" i="79"/>
  <c r="D96" i="65"/>
  <c r="E96" i="65"/>
  <c r="F96" i="65"/>
  <c r="G96" i="65"/>
  <c r="H96" i="65"/>
  <c r="I96" i="65"/>
  <c r="D97" i="65"/>
  <c r="E97" i="65"/>
  <c r="F97" i="65"/>
  <c r="G97" i="65"/>
  <c r="H97" i="65"/>
  <c r="I97" i="65"/>
  <c r="E7" i="58" l="1"/>
  <c r="E14" i="58"/>
  <c r="D79" i="78" s="1"/>
  <c r="E19" i="58"/>
  <c r="E27" i="58"/>
  <c r="E36" i="58"/>
  <c r="E38" i="58" l="1"/>
  <c r="D86" i="78" s="1"/>
  <c r="E39" i="58"/>
  <c r="E42" i="58" s="1"/>
  <c r="D85" i="78" s="1"/>
  <c r="D78" i="78"/>
  <c r="D80" i="78" s="1"/>
  <c r="E32" i="58"/>
  <c r="D81" i="78" s="1"/>
  <c r="E41" i="58"/>
  <c r="E40" i="58" l="1"/>
  <c r="D87" i="78"/>
  <c r="E37" i="58"/>
  <c r="U16" i="2"/>
  <c r="T16" i="2"/>
  <c r="Q16" i="2"/>
  <c r="R16" i="2" l="1"/>
  <c r="S16" i="2"/>
  <c r="H90" i="74"/>
  <c r="G90" i="74"/>
  <c r="G127" i="74" l="1"/>
  <c r="AV68" i="53"/>
  <c r="AU68" i="53"/>
  <c r="AT68" i="53"/>
  <c r="AS68" i="53"/>
  <c r="AR68" i="53"/>
  <c r="AQ68" i="53"/>
  <c r="AV67" i="53"/>
  <c r="AU67" i="53"/>
  <c r="AT67" i="53"/>
  <c r="AS67" i="53"/>
  <c r="AR67" i="53"/>
  <c r="AQ67" i="53"/>
  <c r="AV65" i="53"/>
  <c r="AU65" i="53"/>
  <c r="AT65" i="53"/>
  <c r="AS65" i="53"/>
  <c r="AR65" i="53"/>
  <c r="AQ65" i="53"/>
  <c r="AV64" i="53"/>
  <c r="AU64" i="53"/>
  <c r="AT64" i="53"/>
  <c r="AS64" i="53"/>
  <c r="AR64" i="53"/>
  <c r="AQ64" i="53"/>
  <c r="AV62" i="53"/>
  <c r="AU62" i="53"/>
  <c r="AT62" i="53"/>
  <c r="AS62" i="53"/>
  <c r="AR62" i="53"/>
  <c r="AV61" i="53"/>
  <c r="AU61" i="53"/>
  <c r="AT61" i="53"/>
  <c r="AS61" i="53"/>
  <c r="AR61" i="53"/>
  <c r="AQ61" i="53"/>
  <c r="AN62" i="53"/>
  <c r="AM62" i="53"/>
  <c r="AL62" i="53"/>
  <c r="AK62" i="53"/>
  <c r="AJ62" i="53"/>
  <c r="AI62" i="53"/>
  <c r="AU62" i="73" s="1"/>
  <c r="AF62" i="53"/>
  <c r="AE62" i="53"/>
  <c r="AD62" i="53"/>
  <c r="AC62" i="53"/>
  <c r="AB62" i="53"/>
  <c r="AA62" i="53"/>
  <c r="AJ62" i="73" s="1"/>
  <c r="X62" i="53"/>
  <c r="W62" i="53"/>
  <c r="V62" i="53"/>
  <c r="U62" i="53"/>
  <c r="T62" i="53"/>
  <c r="S62" i="53"/>
  <c r="Y62" i="73" s="1"/>
  <c r="P62" i="53"/>
  <c r="O62" i="53"/>
  <c r="N62" i="53"/>
  <c r="M62" i="53"/>
  <c r="L62" i="53"/>
  <c r="K62" i="53"/>
  <c r="N62" i="73" s="1"/>
  <c r="H62" i="53"/>
  <c r="G62" i="53"/>
  <c r="F62" i="53"/>
  <c r="E62" i="53"/>
  <c r="D62" i="53"/>
  <c r="C62" i="53"/>
  <c r="C62" i="73" s="1"/>
  <c r="C69" i="60"/>
  <c r="AU68" i="60"/>
  <c r="AU67" i="60"/>
  <c r="AU66" i="60"/>
  <c r="AU65" i="60"/>
  <c r="AU48" i="60"/>
  <c r="AU46" i="60"/>
  <c r="AU44" i="60"/>
  <c r="AU42" i="60"/>
  <c r="AU40" i="60"/>
  <c r="AU38" i="60"/>
  <c r="AU37" i="60"/>
  <c r="AU36" i="60"/>
  <c r="AU35" i="60"/>
  <c r="AU34" i="60"/>
  <c r="AU33" i="60"/>
  <c r="AU32" i="60"/>
  <c r="AU31" i="60"/>
  <c r="AU30" i="60"/>
  <c r="AU23" i="60"/>
  <c r="AU22" i="60"/>
  <c r="AU21" i="60"/>
  <c r="AU20" i="60"/>
  <c r="AU19" i="60"/>
  <c r="AU18" i="60"/>
  <c r="AU17" i="60"/>
  <c r="AU16" i="60"/>
  <c r="AU15" i="60"/>
  <c r="AU13" i="60"/>
  <c r="AU11" i="60"/>
  <c r="AT68" i="60"/>
  <c r="AT67" i="60"/>
  <c r="AT66" i="60"/>
  <c r="AT65" i="60"/>
  <c r="AT48" i="60"/>
  <c r="AT46" i="60"/>
  <c r="AT44" i="60"/>
  <c r="AT42" i="60"/>
  <c r="AT40" i="60"/>
  <c r="AT38" i="60"/>
  <c r="AT37" i="60"/>
  <c r="AT36" i="60"/>
  <c r="AT35" i="60"/>
  <c r="AT34" i="60"/>
  <c r="AT33" i="60"/>
  <c r="AT32" i="60"/>
  <c r="AT31" i="60"/>
  <c r="AT30" i="60"/>
  <c r="AT13" i="60"/>
  <c r="AT15" i="60"/>
  <c r="AT16" i="60"/>
  <c r="AT17" i="60"/>
  <c r="AT18" i="60"/>
  <c r="AT19" i="60"/>
  <c r="AT20" i="60"/>
  <c r="AT21" i="60"/>
  <c r="AT22" i="60"/>
  <c r="AT23" i="60"/>
  <c r="AT11" i="60"/>
  <c r="AF113" i="77"/>
  <c r="Z113" i="77"/>
  <c r="T113" i="77"/>
  <c r="N113" i="77"/>
  <c r="H113" i="77"/>
  <c r="AF112" i="77"/>
  <c r="Z112" i="77"/>
  <c r="T112" i="77"/>
  <c r="N112" i="77"/>
  <c r="H112" i="77"/>
  <c r="AF111" i="77"/>
  <c r="Z111" i="77"/>
  <c r="T111" i="77"/>
  <c r="N111" i="77"/>
  <c r="H111" i="77"/>
  <c r="I103" i="77"/>
  <c r="O103" i="77" s="1"/>
  <c r="U103" i="77" s="1"/>
  <c r="AA103" i="77" s="1"/>
  <c r="AF66" i="77"/>
  <c r="Z66" i="77"/>
  <c r="T66" i="77"/>
  <c r="N66" i="77"/>
  <c r="H66" i="77"/>
  <c r="AF65" i="77"/>
  <c r="Z65" i="77"/>
  <c r="T65" i="77"/>
  <c r="N65" i="77"/>
  <c r="H65" i="77"/>
  <c r="AF64" i="77"/>
  <c r="Z64" i="77"/>
  <c r="T64" i="77"/>
  <c r="N64" i="77"/>
  <c r="H64" i="77"/>
  <c r="I56" i="77"/>
  <c r="O56" i="77" s="1"/>
  <c r="U56" i="77" s="1"/>
  <c r="AA56" i="77" s="1"/>
  <c r="AF31" i="77"/>
  <c r="Z31" i="77"/>
  <c r="T31" i="77"/>
  <c r="N31" i="77"/>
  <c r="H31" i="77"/>
  <c r="AF30" i="77"/>
  <c r="Z30" i="77"/>
  <c r="T30" i="77"/>
  <c r="N30" i="77"/>
  <c r="H30" i="77"/>
  <c r="AF29" i="77"/>
  <c r="Z29" i="77"/>
  <c r="T29" i="77"/>
  <c r="N29" i="77"/>
  <c r="H29" i="77"/>
  <c r="AF28" i="77"/>
  <c r="Z28" i="77"/>
  <c r="T28" i="77"/>
  <c r="N28" i="77"/>
  <c r="H28" i="77"/>
  <c r="AF27" i="77"/>
  <c r="Z27" i="77"/>
  <c r="T27" i="77"/>
  <c r="N27" i="77"/>
  <c r="H27" i="77"/>
  <c r="AF26" i="77"/>
  <c r="Z26" i="77"/>
  <c r="T26" i="77"/>
  <c r="N26" i="77"/>
  <c r="H26" i="77"/>
  <c r="AF25" i="77"/>
  <c r="Z25" i="77"/>
  <c r="T25" i="77"/>
  <c r="N25" i="77"/>
  <c r="H25" i="77"/>
  <c r="AF24" i="77"/>
  <c r="Z24" i="77"/>
  <c r="T24" i="77"/>
  <c r="N24" i="77"/>
  <c r="H24" i="77"/>
  <c r="AF23" i="77"/>
  <c r="Z23" i="77"/>
  <c r="T23" i="77"/>
  <c r="N23" i="77"/>
  <c r="H23" i="77"/>
  <c r="AC21" i="77"/>
  <c r="W141" i="67" s="1"/>
  <c r="AF22" i="77"/>
  <c r="Y21" i="77"/>
  <c r="Y140" i="67" s="1"/>
  <c r="X21" i="77"/>
  <c r="X140" i="67" s="1"/>
  <c r="W21" i="77"/>
  <c r="W140" i="67" s="1"/>
  <c r="U21" i="77"/>
  <c r="U140" i="67" s="1"/>
  <c r="S21" i="77"/>
  <c r="Y139" i="67" s="1"/>
  <c r="R21" i="77"/>
  <c r="X139" i="67" s="1"/>
  <c r="Q21" i="77"/>
  <c r="W139" i="67" s="1"/>
  <c r="M21" i="77"/>
  <c r="Y138" i="67" s="1"/>
  <c r="I21" i="77"/>
  <c r="U138" i="67" s="1"/>
  <c r="E21" i="77"/>
  <c r="W137" i="67" s="1"/>
  <c r="H22" i="77"/>
  <c r="AE21" i="77"/>
  <c r="Y141" i="67" s="1"/>
  <c r="AD21" i="77"/>
  <c r="X141" i="67" s="1"/>
  <c r="AB21" i="77"/>
  <c r="V141" i="67" s="1"/>
  <c r="AA21" i="77"/>
  <c r="U141" i="67" s="1"/>
  <c r="V21" i="77"/>
  <c r="V140" i="67" s="1"/>
  <c r="P21" i="77"/>
  <c r="V139" i="67" s="1"/>
  <c r="O21" i="77"/>
  <c r="U139" i="67" s="1"/>
  <c r="L21" i="77"/>
  <c r="X138" i="67" s="1"/>
  <c r="K21" i="77"/>
  <c r="W138" i="67" s="1"/>
  <c r="J21" i="77"/>
  <c r="V138" i="67" s="1"/>
  <c r="G21" i="77"/>
  <c r="Y137" i="67" s="1"/>
  <c r="F21" i="77"/>
  <c r="X137" i="67" s="1"/>
  <c r="AF19" i="77"/>
  <c r="Z19" i="77"/>
  <c r="T19" i="77"/>
  <c r="N19" i="77"/>
  <c r="H19" i="77"/>
  <c r="AF18" i="77"/>
  <c r="Z18" i="77"/>
  <c r="T18" i="77"/>
  <c r="N18" i="77"/>
  <c r="H18" i="77"/>
  <c r="AF17" i="77"/>
  <c r="Z17" i="77"/>
  <c r="T17" i="77"/>
  <c r="N17" i="77"/>
  <c r="H17" i="77"/>
  <c r="I9" i="77"/>
  <c r="O9" i="77" s="1"/>
  <c r="U9" i="77" s="1"/>
  <c r="AA9" i="77" s="1"/>
  <c r="Y147" i="67" l="1"/>
  <c r="AT63" i="53"/>
  <c r="AQ63" i="53"/>
  <c r="AR63" i="53"/>
  <c r="AV63" i="53"/>
  <c r="AS63" i="53"/>
  <c r="X147" i="67"/>
  <c r="AU63" i="53"/>
  <c r="W147" i="67"/>
  <c r="U147" i="67"/>
  <c r="G62" i="73"/>
  <c r="F62" i="73"/>
  <c r="V62" i="73"/>
  <c r="U62" i="73"/>
  <c r="AY62" i="73"/>
  <c r="AX62" i="73"/>
  <c r="H62" i="73"/>
  <c r="I62" i="73"/>
  <c r="X62" i="73"/>
  <c r="W62" i="73"/>
  <c r="AL62" i="73"/>
  <c r="AK62" i="73"/>
  <c r="BA62" i="73"/>
  <c r="AZ62" i="73"/>
  <c r="K62" i="73"/>
  <c r="J62" i="73"/>
  <c r="AN62" i="73"/>
  <c r="AM62" i="73"/>
  <c r="BB62" i="73"/>
  <c r="BC62" i="73"/>
  <c r="M62" i="73"/>
  <c r="L62" i="73"/>
  <c r="AA62" i="73"/>
  <c r="Z62" i="73"/>
  <c r="AP62" i="73"/>
  <c r="AO62" i="73"/>
  <c r="BE62" i="73"/>
  <c r="BD62" i="73"/>
  <c r="AC62" i="73"/>
  <c r="AB62" i="73"/>
  <c r="AQ62" i="73"/>
  <c r="AR62" i="73"/>
  <c r="P62" i="73"/>
  <c r="O62" i="73"/>
  <c r="AE62" i="73"/>
  <c r="AD62" i="73"/>
  <c r="AT62" i="73"/>
  <c r="AS62" i="73"/>
  <c r="R62" i="73"/>
  <c r="Q62" i="73"/>
  <c r="AF62" i="73"/>
  <c r="AG62" i="73"/>
  <c r="E62" i="73"/>
  <c r="D62" i="73"/>
  <c r="T62" i="73"/>
  <c r="S62" i="73"/>
  <c r="AI62" i="73"/>
  <c r="AH62" i="73"/>
  <c r="AW62" i="73"/>
  <c r="AV62" i="73"/>
  <c r="D106" i="73"/>
  <c r="N21" i="77"/>
  <c r="D21" i="77"/>
  <c r="T22" i="77"/>
  <c r="Z21" i="77"/>
  <c r="AF21" i="77"/>
  <c r="Z22" i="77"/>
  <c r="T21" i="77"/>
  <c r="N22" i="77"/>
  <c r="H21" i="77" l="1"/>
  <c r="V137" i="67"/>
  <c r="V147" i="67" s="1"/>
  <c r="V16" i="2"/>
  <c r="S33" i="2"/>
  <c r="R33" i="2"/>
  <c r="R32" i="2"/>
  <c r="T32" i="2"/>
  <c r="R17" i="2"/>
  <c r="T17" i="2"/>
  <c r="R12" i="2"/>
  <c r="T12" i="2"/>
  <c r="E12" i="1"/>
  <c r="E11" i="1"/>
  <c r="E10" i="1"/>
  <c r="C4" i="78" s="1"/>
  <c r="E19" i="2" l="1"/>
  <c r="AB14" i="78" s="1"/>
  <c r="C6" i="78"/>
  <c r="E18" i="2"/>
  <c r="AB13" i="78" s="1"/>
  <c r="C5" i="78"/>
  <c r="E13" i="2"/>
  <c r="AB8" i="78" s="1"/>
  <c r="E9" i="2"/>
  <c r="AB4" i="78" s="1"/>
  <c r="S12" i="2"/>
  <c r="V17" i="2"/>
  <c r="U17" i="2"/>
  <c r="Q17" i="2"/>
  <c r="S32" i="2"/>
  <c r="Q33" i="2"/>
  <c r="V33" i="2"/>
  <c r="U33" i="2"/>
  <c r="V12" i="2"/>
  <c r="U12" i="2"/>
  <c r="Q12" i="2"/>
  <c r="S17" i="2"/>
  <c r="V32" i="2"/>
  <c r="U32" i="2"/>
  <c r="Q32" i="2"/>
  <c r="T33" i="2"/>
  <c r="L19" i="2"/>
  <c r="K19" i="2"/>
  <c r="L18" i="2"/>
  <c r="K18" i="2"/>
  <c r="L9" i="2"/>
  <c r="K9" i="2"/>
  <c r="I7" i="76" l="1"/>
  <c r="H7" i="76"/>
  <c r="G7" i="76"/>
  <c r="F7" i="76"/>
  <c r="E7" i="76"/>
  <c r="D7" i="76"/>
  <c r="E95" i="65" l="1"/>
  <c r="F95" i="65"/>
  <c r="G95" i="65"/>
  <c r="H95" i="65"/>
  <c r="I95" i="65"/>
  <c r="D95" i="65"/>
  <c r="E94" i="65"/>
  <c r="F94" i="65"/>
  <c r="G94" i="65"/>
  <c r="H94" i="65"/>
  <c r="I94" i="65"/>
  <c r="D94" i="65"/>
  <c r="B47" i="76"/>
  <c r="B28" i="76"/>
  <c r="B9" i="76"/>
  <c r="L11" i="2" l="1"/>
  <c r="K11" i="2"/>
  <c r="L10" i="2"/>
  <c r="K10" i="2"/>
  <c r="I105" i="76"/>
  <c r="I13" i="65" s="1"/>
  <c r="H105" i="76"/>
  <c r="H13" i="65" s="1"/>
  <c r="G105" i="76"/>
  <c r="G13" i="65" s="1"/>
  <c r="F105" i="76"/>
  <c r="F13" i="65" s="1"/>
  <c r="E105" i="76"/>
  <c r="E13" i="65" s="1"/>
  <c r="D105" i="76"/>
  <c r="D13" i="65" s="1"/>
  <c r="I103" i="76"/>
  <c r="I12" i="65" s="1"/>
  <c r="H103" i="76"/>
  <c r="H12" i="65" s="1"/>
  <c r="G103" i="76"/>
  <c r="G12" i="65" s="1"/>
  <c r="F103" i="76"/>
  <c r="F12" i="65" s="1"/>
  <c r="E103" i="76"/>
  <c r="E12" i="65" s="1"/>
  <c r="D103" i="76"/>
  <c r="D12" i="65" s="1"/>
  <c r="I101" i="76"/>
  <c r="H101" i="76"/>
  <c r="G101" i="76"/>
  <c r="F101" i="76"/>
  <c r="E101" i="76"/>
  <c r="D101" i="76"/>
  <c r="I98" i="76"/>
  <c r="H98" i="76"/>
  <c r="G98" i="76"/>
  <c r="F98" i="76"/>
  <c r="E98" i="76"/>
  <c r="D98" i="76"/>
  <c r="I94" i="76"/>
  <c r="H94" i="76"/>
  <c r="G94" i="76"/>
  <c r="F94" i="76"/>
  <c r="E94" i="76"/>
  <c r="D94" i="76"/>
  <c r="I91" i="76"/>
  <c r="H91" i="76"/>
  <c r="G91" i="76"/>
  <c r="F91" i="76"/>
  <c r="E91" i="76"/>
  <c r="D91" i="76"/>
  <c r="I87" i="76"/>
  <c r="H87" i="76"/>
  <c r="G87" i="76"/>
  <c r="F87" i="76"/>
  <c r="E87" i="76"/>
  <c r="D87" i="76"/>
  <c r="I84" i="76"/>
  <c r="H84" i="76"/>
  <c r="G84" i="76"/>
  <c r="F84" i="76"/>
  <c r="E84" i="76"/>
  <c r="D84" i="76"/>
  <c r="I80" i="76"/>
  <c r="H80" i="76"/>
  <c r="G80" i="76"/>
  <c r="F80" i="76"/>
  <c r="E80" i="76"/>
  <c r="D80" i="76"/>
  <c r="I77" i="76"/>
  <c r="H77" i="76"/>
  <c r="G77" i="76"/>
  <c r="F77" i="76"/>
  <c r="E77" i="76"/>
  <c r="D77" i="76"/>
  <c r="I73" i="76"/>
  <c r="I106" i="76" s="1"/>
  <c r="H73" i="76"/>
  <c r="G73" i="76"/>
  <c r="F73" i="76"/>
  <c r="E73" i="76"/>
  <c r="D73" i="76"/>
  <c r="D106" i="76" s="1"/>
  <c r="I70" i="76"/>
  <c r="I104" i="76" s="1"/>
  <c r="H70" i="76"/>
  <c r="H104" i="76" s="1"/>
  <c r="G70" i="76"/>
  <c r="G104" i="76" s="1"/>
  <c r="F70" i="76"/>
  <c r="F104" i="76" s="1"/>
  <c r="E70" i="76"/>
  <c r="D70" i="76"/>
  <c r="I48" i="76"/>
  <c r="H48" i="76"/>
  <c r="G48" i="76"/>
  <c r="G54" i="76" s="1"/>
  <c r="F48" i="76"/>
  <c r="E48" i="76"/>
  <c r="D48" i="76"/>
  <c r="I29" i="76"/>
  <c r="H29" i="76"/>
  <c r="G29" i="76"/>
  <c r="G35" i="76" s="1"/>
  <c r="F29" i="76"/>
  <c r="E29" i="76"/>
  <c r="D29" i="76"/>
  <c r="I10" i="76"/>
  <c r="H10" i="76"/>
  <c r="G10" i="76"/>
  <c r="G16" i="76" s="1"/>
  <c r="F10" i="76"/>
  <c r="F16" i="76" s="1"/>
  <c r="E10" i="76"/>
  <c r="D10" i="76"/>
  <c r="H106" i="76" l="1"/>
  <c r="H107" i="76" s="1"/>
  <c r="I107" i="76"/>
  <c r="F35" i="76"/>
  <c r="F54" i="76"/>
  <c r="D56" i="76"/>
  <c r="D62" i="76"/>
  <c r="D60" i="76"/>
  <c r="D58" i="76"/>
  <c r="D64" i="76"/>
  <c r="H62" i="76"/>
  <c r="H60" i="76"/>
  <c r="H56" i="76"/>
  <c r="H64" i="76"/>
  <c r="H58" i="76"/>
  <c r="E62" i="76"/>
  <c r="E60" i="76"/>
  <c r="E56" i="76"/>
  <c r="E64" i="76"/>
  <c r="E58" i="76"/>
  <c r="I62" i="76"/>
  <c r="I60" i="76"/>
  <c r="I56" i="76"/>
  <c r="I58" i="76"/>
  <c r="I64" i="76"/>
  <c r="D16" i="76"/>
  <c r="H16" i="76"/>
  <c r="D35" i="76"/>
  <c r="H35" i="76"/>
  <c r="F60" i="76"/>
  <c r="F56" i="76"/>
  <c r="F62" i="76"/>
  <c r="F58" i="76"/>
  <c r="F64" i="76"/>
  <c r="D54" i="76"/>
  <c r="H54" i="76"/>
  <c r="E16" i="76"/>
  <c r="I16" i="76"/>
  <c r="E35" i="76"/>
  <c r="I35" i="76"/>
  <c r="G60" i="76"/>
  <c r="G56" i="76"/>
  <c r="G62" i="76"/>
  <c r="G58" i="76"/>
  <c r="G64" i="76"/>
  <c r="E54" i="76"/>
  <c r="I54" i="76"/>
  <c r="G37" i="76"/>
  <c r="G41" i="76"/>
  <c r="G43" i="76"/>
  <c r="G45" i="76"/>
  <c r="G39" i="76"/>
  <c r="H37" i="76"/>
  <c r="H41" i="76"/>
  <c r="H43" i="76"/>
  <c r="H39" i="76"/>
  <c r="H45" i="76"/>
  <c r="I37" i="76"/>
  <c r="I41" i="76"/>
  <c r="I43" i="76"/>
  <c r="I39" i="76"/>
  <c r="I45" i="76"/>
  <c r="D18" i="76"/>
  <c r="D20" i="76"/>
  <c r="D26" i="76"/>
  <c r="E18" i="76"/>
  <c r="E20" i="76"/>
  <c r="F18" i="76"/>
  <c r="F20" i="76"/>
  <c r="G18" i="76"/>
  <c r="G20" i="76"/>
  <c r="H18" i="76"/>
  <c r="H20" i="76"/>
  <c r="D43" i="76"/>
  <c r="D37" i="76"/>
  <c r="D41" i="76"/>
  <c r="D39" i="76"/>
  <c r="D45" i="76"/>
  <c r="E43" i="76"/>
  <c r="E37" i="76"/>
  <c r="E41" i="76"/>
  <c r="E45" i="76"/>
  <c r="E39" i="76"/>
  <c r="E104" i="76"/>
  <c r="I18" i="76"/>
  <c r="I20" i="76"/>
  <c r="F37" i="76"/>
  <c r="F41" i="76"/>
  <c r="F43" i="76"/>
  <c r="F39" i="76"/>
  <c r="F45" i="76"/>
  <c r="D24" i="76"/>
  <c r="D22" i="76"/>
  <c r="E22" i="76"/>
  <c r="E24" i="76"/>
  <c r="F22" i="76"/>
  <c r="F24" i="76"/>
  <c r="G24" i="76"/>
  <c r="G22" i="76"/>
  <c r="E106" i="76"/>
  <c r="D104" i="76"/>
  <c r="D107" i="76" s="1"/>
  <c r="F106" i="76"/>
  <c r="F107" i="76" s="1"/>
  <c r="H22" i="76"/>
  <c r="H24" i="76"/>
  <c r="I24" i="76"/>
  <c r="I22" i="76"/>
  <c r="G106" i="76"/>
  <c r="G107" i="76" s="1"/>
  <c r="I65" i="76"/>
  <c r="C34" i="5"/>
  <c r="C35" i="5"/>
  <c r="D46" i="76"/>
  <c r="C33" i="5"/>
  <c r="D27" i="76"/>
  <c r="E46" i="76"/>
  <c r="I46" i="76"/>
  <c r="E107" i="76" l="1"/>
  <c r="E65" i="76"/>
  <c r="D65" i="76"/>
  <c r="E25" i="76"/>
  <c r="E26" i="76" s="1"/>
  <c r="I25" i="76"/>
  <c r="I26" i="76" s="1"/>
  <c r="G25" i="76"/>
  <c r="G26" i="76" s="1"/>
  <c r="H25" i="76"/>
  <c r="H26" i="76" s="1"/>
  <c r="F25" i="76"/>
  <c r="F26" i="76" s="1"/>
  <c r="F46" i="76"/>
  <c r="G46" i="76"/>
  <c r="H65" i="76"/>
  <c r="F65" i="76"/>
  <c r="G65" i="76"/>
  <c r="H46" i="76"/>
  <c r="F27" i="76" l="1"/>
  <c r="H27" i="76"/>
  <c r="E27" i="76"/>
  <c r="G27" i="76"/>
  <c r="I27" i="76"/>
  <c r="F43" i="74"/>
  <c r="G76" i="74"/>
  <c r="I43" i="74"/>
  <c r="J76" i="74"/>
  <c r="L9" i="74"/>
  <c r="D17" i="74"/>
  <c r="E17" i="74"/>
  <c r="F17" i="74"/>
  <c r="F14" i="1"/>
  <c r="F22" i="2" s="1"/>
  <c r="AC17" i="78" s="1"/>
  <c r="L18" i="74"/>
  <c r="L19" i="74"/>
  <c r="L20" i="74"/>
  <c r="L22" i="74"/>
  <c r="G22" i="74" s="1"/>
  <c r="G26" i="74" s="1"/>
  <c r="G36" i="74"/>
  <c r="L27" i="74"/>
  <c r="G27" i="74" s="1"/>
  <c r="G30" i="74" s="1"/>
  <c r="H36" i="74"/>
  <c r="K36" i="74"/>
  <c r="L31" i="74"/>
  <c r="G31" i="74" s="1"/>
  <c r="G34" i="74" s="1"/>
  <c r="I36" i="74"/>
  <c r="J36" i="74"/>
  <c r="D39" i="74"/>
  <c r="E39" i="74"/>
  <c r="F39" i="74"/>
  <c r="D20" i="65" s="1"/>
  <c r="D43" i="74"/>
  <c r="E43" i="74"/>
  <c r="L45" i="74"/>
  <c r="J11" i="1"/>
  <c r="G11" i="1"/>
  <c r="E5" i="78" s="1"/>
  <c r="H11" i="1"/>
  <c r="D53" i="74"/>
  <c r="E53" i="74"/>
  <c r="F53" i="74"/>
  <c r="G57" i="74"/>
  <c r="L54" i="74"/>
  <c r="L55" i="74"/>
  <c r="L56" i="74"/>
  <c r="L58" i="74"/>
  <c r="G58" i="74" s="1"/>
  <c r="G62" i="74" s="1"/>
  <c r="L63" i="74"/>
  <c r="G63" i="74" s="1"/>
  <c r="H117" i="74"/>
  <c r="I117" i="74"/>
  <c r="J117" i="74"/>
  <c r="K117" i="74"/>
  <c r="L67" i="74"/>
  <c r="G67" i="74" s="1"/>
  <c r="G70" i="74" s="1"/>
  <c r="G72" i="74"/>
  <c r="L71" i="74"/>
  <c r="H72" i="74"/>
  <c r="I72" i="74"/>
  <c r="J72" i="74"/>
  <c r="K72" i="74"/>
  <c r="D76" i="74"/>
  <c r="E76" i="74"/>
  <c r="F76" i="74"/>
  <c r="L78" i="74"/>
  <c r="D86" i="74"/>
  <c r="E86" i="74"/>
  <c r="F86" i="74"/>
  <c r="F16" i="1"/>
  <c r="L87" i="74"/>
  <c r="L89" i="74"/>
  <c r="L91" i="74"/>
  <c r="G91" i="74" s="1"/>
  <c r="G95" i="74" s="1"/>
  <c r="L96" i="74"/>
  <c r="G96" i="74" s="1"/>
  <c r="H118" i="74"/>
  <c r="I118" i="74"/>
  <c r="J118" i="74"/>
  <c r="K118" i="74"/>
  <c r="L100" i="74"/>
  <c r="G100" i="74" s="1"/>
  <c r="G103" i="74" s="1"/>
  <c r="G105" i="74"/>
  <c r="H105" i="74"/>
  <c r="I105" i="74"/>
  <c r="J105" i="74"/>
  <c r="K105" i="74"/>
  <c r="D107" i="74"/>
  <c r="E107" i="74"/>
  <c r="F107" i="74"/>
  <c r="G99" i="74" l="1"/>
  <c r="G118" i="74" s="1"/>
  <c r="G66" i="74"/>
  <c r="G117" i="74" s="1"/>
  <c r="L83" i="74"/>
  <c r="J18" i="2"/>
  <c r="H5" i="78"/>
  <c r="H18" i="2"/>
  <c r="F5" i="78"/>
  <c r="E56" i="65"/>
  <c r="G121" i="74"/>
  <c r="F56" i="65"/>
  <c r="E58" i="78" s="1"/>
  <c r="H121" i="74"/>
  <c r="H56" i="65"/>
  <c r="G58" i="78" s="1"/>
  <c r="J121" i="74"/>
  <c r="G56" i="65"/>
  <c r="F58" i="78" s="1"/>
  <c r="I121" i="74"/>
  <c r="I56" i="65"/>
  <c r="H58" i="78" s="1"/>
  <c r="K121" i="74"/>
  <c r="H51" i="65"/>
  <c r="J120" i="74"/>
  <c r="F51" i="65"/>
  <c r="H120" i="74"/>
  <c r="G51" i="65"/>
  <c r="I120" i="74"/>
  <c r="I51" i="65"/>
  <c r="K120" i="74"/>
  <c r="F15" i="1"/>
  <c r="G126" i="74"/>
  <c r="F11" i="1"/>
  <c r="D5" i="78" s="1"/>
  <c r="G18" i="2"/>
  <c r="E24" i="65"/>
  <c r="G119" i="74"/>
  <c r="G24" i="65"/>
  <c r="I119" i="74"/>
  <c r="I24" i="65"/>
  <c r="K119" i="74"/>
  <c r="F24" i="65"/>
  <c r="H119" i="74"/>
  <c r="H24" i="65"/>
  <c r="J119" i="74"/>
  <c r="E23" i="65"/>
  <c r="G116" i="74"/>
  <c r="H23" i="65"/>
  <c r="J116" i="74"/>
  <c r="G23" i="65"/>
  <c r="I116" i="74"/>
  <c r="E128" i="74"/>
  <c r="E129" i="74"/>
  <c r="D128" i="74"/>
  <c r="D129" i="74"/>
  <c r="F128" i="74"/>
  <c r="F129" i="74"/>
  <c r="E14" i="1"/>
  <c r="E22" i="2" s="1"/>
  <c r="F126" i="74"/>
  <c r="F127" i="74"/>
  <c r="D127" i="74"/>
  <c r="D126" i="74"/>
  <c r="E126" i="74"/>
  <c r="E127" i="74"/>
  <c r="F12" i="1"/>
  <c r="D6" i="78" s="1"/>
  <c r="F10" i="1"/>
  <c r="G125" i="74"/>
  <c r="G124" i="74"/>
  <c r="J43" i="74"/>
  <c r="H22" i="74"/>
  <c r="G16" i="1"/>
  <c r="G12" i="1"/>
  <c r="I76" i="74"/>
  <c r="K76" i="74"/>
  <c r="H58" i="74"/>
  <c r="I11" i="1"/>
  <c r="G5" i="78" s="1"/>
  <c r="G43" i="74"/>
  <c r="L104" i="74"/>
  <c r="E16" i="1"/>
  <c r="K43" i="74"/>
  <c r="L14" i="74"/>
  <c r="E15" i="1"/>
  <c r="L35" i="74"/>
  <c r="G112" i="74"/>
  <c r="H91" i="74"/>
  <c r="G104" i="74"/>
  <c r="G107" i="74" s="1"/>
  <c r="G114" i="74"/>
  <c r="H43" i="74"/>
  <c r="H76" i="74"/>
  <c r="G71" i="74"/>
  <c r="G74" i="74" s="1"/>
  <c r="G110" i="74"/>
  <c r="G35" i="74"/>
  <c r="G39" i="74" s="1"/>
  <c r="E20" i="65" s="1"/>
  <c r="L50" i="74"/>
  <c r="O74" i="39"/>
  <c r="H92" i="74" l="1"/>
  <c r="H95" i="74"/>
  <c r="H59" i="74"/>
  <c r="H62" i="74"/>
  <c r="G15" i="1"/>
  <c r="H57" i="74"/>
  <c r="H23" i="74"/>
  <c r="H26" i="74"/>
  <c r="AC9" i="79"/>
  <c r="F53" i="78"/>
  <c r="AD9" i="79"/>
  <c r="G53" i="78"/>
  <c r="AE13" i="78"/>
  <c r="S18" i="2"/>
  <c r="AD13" i="78"/>
  <c r="G19" i="2"/>
  <c r="E6" i="78"/>
  <c r="D4" i="78"/>
  <c r="J91" i="67"/>
  <c r="Q22" i="2"/>
  <c r="AB17" i="78"/>
  <c r="AE9" i="79"/>
  <c r="H53" i="78"/>
  <c r="AB9" i="79"/>
  <c r="E53" i="78"/>
  <c r="AG13" i="78"/>
  <c r="V18" i="2"/>
  <c r="E57" i="65"/>
  <c r="D58" i="78"/>
  <c r="E55" i="65"/>
  <c r="G115" i="74"/>
  <c r="E51" i="65"/>
  <c r="G120" i="74"/>
  <c r="G111" i="74"/>
  <c r="I18" i="2"/>
  <c r="F18" i="2"/>
  <c r="R18" i="2" s="1"/>
  <c r="I23" i="65"/>
  <c r="K116" i="74"/>
  <c r="F23" i="65"/>
  <c r="H116" i="74"/>
  <c r="E22" i="65"/>
  <c r="G113" i="74"/>
  <c r="G14" i="1"/>
  <c r="H126" i="74"/>
  <c r="H127" i="74"/>
  <c r="H10" i="1"/>
  <c r="I124" i="74"/>
  <c r="G10" i="1"/>
  <c r="H124" i="74"/>
  <c r="H125" i="74"/>
  <c r="F19" i="2"/>
  <c r="F13" i="2"/>
  <c r="AC8" i="78" s="1"/>
  <c r="F9" i="2"/>
  <c r="AC4" i="78" s="1"/>
  <c r="D57" i="65"/>
  <c r="E50" i="65"/>
  <c r="H71" i="74"/>
  <c r="H74" i="74" s="1"/>
  <c r="I58" i="74"/>
  <c r="I62" i="74" s="1"/>
  <c r="H12" i="1"/>
  <c r="F6" i="78" s="1"/>
  <c r="I91" i="74"/>
  <c r="H104" i="74"/>
  <c r="H107" i="74" s="1"/>
  <c r="H35" i="74"/>
  <c r="H39" i="74" s="1"/>
  <c r="F20" i="65" s="1"/>
  <c r="I22" i="74"/>
  <c r="I90" i="74"/>
  <c r="I13" i="39"/>
  <c r="J12" i="39"/>
  <c r="N5" i="78"/>
  <c r="C61" i="39"/>
  <c r="I92" i="74" l="1"/>
  <c r="I95" i="74"/>
  <c r="H15" i="1"/>
  <c r="I57" i="74"/>
  <c r="I15" i="1"/>
  <c r="J57" i="74"/>
  <c r="I23" i="74"/>
  <c r="I26" i="74"/>
  <c r="L15" i="78"/>
  <c r="C64" i="39"/>
  <c r="F4" i="78"/>
  <c r="L91" i="67"/>
  <c r="L93" i="67" s="1"/>
  <c r="AA13" i="79"/>
  <c r="AA12" i="79" s="1"/>
  <c r="D57" i="78"/>
  <c r="J93" i="67"/>
  <c r="E4" i="78"/>
  <c r="K91" i="67"/>
  <c r="K93" i="67" s="1"/>
  <c r="AC14" i="78"/>
  <c r="Q19" i="2"/>
  <c r="AC13" i="78"/>
  <c r="Q18" i="2"/>
  <c r="AA9" i="79"/>
  <c r="D53" i="78"/>
  <c r="I125" i="74"/>
  <c r="AF13" i="78"/>
  <c r="T18" i="2"/>
  <c r="U18" i="2"/>
  <c r="AD14" i="78"/>
  <c r="R19" i="2"/>
  <c r="AA8" i="79"/>
  <c r="D52" i="78"/>
  <c r="H19" i="2"/>
  <c r="I71" i="74"/>
  <c r="I74" i="74" s="1"/>
  <c r="I59" i="74"/>
  <c r="G22" i="2"/>
  <c r="I10" i="1"/>
  <c r="J124" i="74"/>
  <c r="G13" i="2"/>
  <c r="AD8" i="78" s="1"/>
  <c r="G9" i="2"/>
  <c r="H9" i="2"/>
  <c r="AE4" i="78" s="1"/>
  <c r="H13" i="2"/>
  <c r="AE8" i="78" s="1"/>
  <c r="H111" i="74"/>
  <c r="H114" i="74"/>
  <c r="H14" i="1"/>
  <c r="I127" i="74"/>
  <c r="I126" i="74"/>
  <c r="F55" i="65"/>
  <c r="H115" i="74"/>
  <c r="H112" i="74"/>
  <c r="F22" i="65"/>
  <c r="H113" i="74"/>
  <c r="H110" i="74"/>
  <c r="Q9" i="2"/>
  <c r="F50" i="65"/>
  <c r="J58" i="74"/>
  <c r="I12" i="1"/>
  <c r="G6" i="78" s="1"/>
  <c r="H16" i="1"/>
  <c r="J90" i="74"/>
  <c r="J91" i="74"/>
  <c r="I104" i="74"/>
  <c r="I107" i="74" s="1"/>
  <c r="J22" i="74"/>
  <c r="I35" i="74"/>
  <c r="I39" i="74" s="1"/>
  <c r="G20" i="65" s="1"/>
  <c r="AL61" i="60"/>
  <c r="AK61" i="60"/>
  <c r="AJ61" i="60"/>
  <c r="AI61" i="60"/>
  <c r="AH61" i="60"/>
  <c r="AL60" i="60"/>
  <c r="AK60" i="60"/>
  <c r="AJ60" i="60"/>
  <c r="AI60" i="60"/>
  <c r="AH60" i="60"/>
  <c r="AL59" i="60"/>
  <c r="AK59" i="60"/>
  <c r="AJ59" i="60"/>
  <c r="AI59" i="60"/>
  <c r="AH59" i="60"/>
  <c r="AL58" i="60"/>
  <c r="AK58" i="60"/>
  <c r="AJ58" i="60"/>
  <c r="AI58" i="60"/>
  <c r="AH58" i="60"/>
  <c r="AL57" i="60"/>
  <c r="AK57" i="60"/>
  <c r="AJ57" i="60"/>
  <c r="AI57" i="60"/>
  <c r="AH57" i="60"/>
  <c r="AL56" i="60"/>
  <c r="AK56" i="60"/>
  <c r="AJ56" i="60"/>
  <c r="AI56" i="60"/>
  <c r="AH56" i="60"/>
  <c r="AL55" i="60"/>
  <c r="AK55" i="60"/>
  <c r="AJ55" i="60"/>
  <c r="AI55" i="60"/>
  <c r="AH55" i="60"/>
  <c r="AL54" i="60"/>
  <c r="AK54" i="60"/>
  <c r="AJ54" i="60"/>
  <c r="AI54" i="60"/>
  <c r="AH54" i="60"/>
  <c r="AL53" i="60"/>
  <c r="AK53" i="60"/>
  <c r="AJ53" i="60"/>
  <c r="AI53" i="60"/>
  <c r="AH53" i="60"/>
  <c r="AR48" i="60"/>
  <c r="AQ48" i="60"/>
  <c r="AP48" i="60"/>
  <c r="AO48" i="60"/>
  <c r="AM48" i="60"/>
  <c r="AR46" i="60"/>
  <c r="AQ46" i="60"/>
  <c r="AP46" i="60"/>
  <c r="AO46" i="60"/>
  <c r="AN46" i="60"/>
  <c r="AM46" i="60"/>
  <c r="AR44" i="60"/>
  <c r="AQ44" i="60"/>
  <c r="AP44" i="60"/>
  <c r="AO44" i="60"/>
  <c r="AN44" i="60"/>
  <c r="AM44" i="60"/>
  <c r="AR42" i="60"/>
  <c r="AQ42" i="60"/>
  <c r="AP42" i="60"/>
  <c r="AO42" i="60"/>
  <c r="AN42" i="60"/>
  <c r="AM42" i="60"/>
  <c r="AR40" i="60"/>
  <c r="AQ40" i="60"/>
  <c r="AP40" i="60"/>
  <c r="AO40" i="60"/>
  <c r="AN40" i="60"/>
  <c r="AM40" i="60"/>
  <c r="AR38" i="60"/>
  <c r="AQ38" i="60"/>
  <c r="AP38" i="60"/>
  <c r="AO38" i="60"/>
  <c r="AN38" i="60"/>
  <c r="AM38" i="60"/>
  <c r="AR37" i="60"/>
  <c r="AQ37" i="60"/>
  <c r="AP37" i="60"/>
  <c r="AO37" i="60"/>
  <c r="AN37" i="60"/>
  <c r="AM37" i="60"/>
  <c r="AR36" i="60"/>
  <c r="AQ36" i="60"/>
  <c r="AP36" i="60"/>
  <c r="AO36" i="60"/>
  <c r="AN36" i="60"/>
  <c r="AM36" i="60"/>
  <c r="AR35" i="60"/>
  <c r="AQ35" i="60"/>
  <c r="AP35" i="60"/>
  <c r="AO35" i="60"/>
  <c r="AN35" i="60"/>
  <c r="AM35" i="60"/>
  <c r="AR34" i="60"/>
  <c r="AQ34" i="60"/>
  <c r="AP34" i="60"/>
  <c r="AO34" i="60"/>
  <c r="AN34" i="60"/>
  <c r="AM34" i="60"/>
  <c r="AR33" i="60"/>
  <c r="AQ33" i="60"/>
  <c r="AP33" i="60"/>
  <c r="AO33" i="60"/>
  <c r="AN33" i="60"/>
  <c r="AM33" i="60"/>
  <c r="AR32" i="60"/>
  <c r="AQ32" i="60"/>
  <c r="AP32" i="60"/>
  <c r="AO32" i="60"/>
  <c r="AN32" i="60"/>
  <c r="AM32" i="60"/>
  <c r="AR31" i="60"/>
  <c r="AQ31" i="60"/>
  <c r="AP31" i="60"/>
  <c r="AO31" i="60"/>
  <c r="AN31" i="60"/>
  <c r="AM31" i="60"/>
  <c r="AR30" i="60"/>
  <c r="AQ30" i="60"/>
  <c r="AP30" i="60"/>
  <c r="AO30" i="60"/>
  <c r="AN30" i="60"/>
  <c r="AM30" i="60"/>
  <c r="AR23" i="60"/>
  <c r="AQ23" i="60"/>
  <c r="AP23" i="60"/>
  <c r="AO23" i="60"/>
  <c r="AN23" i="60"/>
  <c r="AM23" i="60"/>
  <c r="AR22" i="60"/>
  <c r="AQ22" i="60"/>
  <c r="AP22" i="60"/>
  <c r="AO22" i="60"/>
  <c r="AN22" i="60"/>
  <c r="AM22" i="60"/>
  <c r="AR21" i="60"/>
  <c r="AQ21" i="60"/>
  <c r="AP21" i="60"/>
  <c r="AO21" i="60"/>
  <c r="AN21" i="60"/>
  <c r="AM21" i="60"/>
  <c r="AR20" i="60"/>
  <c r="AQ20" i="60"/>
  <c r="AP20" i="60"/>
  <c r="AO20" i="60"/>
  <c r="AN20" i="60"/>
  <c r="AM20" i="60"/>
  <c r="AR19" i="60"/>
  <c r="AQ19" i="60"/>
  <c r="AP19" i="60"/>
  <c r="AO19" i="60"/>
  <c r="AN19" i="60"/>
  <c r="AM19" i="60"/>
  <c r="AR18" i="60"/>
  <c r="AQ18" i="60"/>
  <c r="AP18" i="60"/>
  <c r="AO18" i="60"/>
  <c r="AN18" i="60"/>
  <c r="AM18" i="60"/>
  <c r="AR17" i="60"/>
  <c r="AQ17" i="60"/>
  <c r="AP17" i="60"/>
  <c r="AO17" i="60"/>
  <c r="AN17" i="60"/>
  <c r="AM17" i="60"/>
  <c r="AR16" i="60"/>
  <c r="AQ16" i="60"/>
  <c r="AP16" i="60"/>
  <c r="AO16" i="60"/>
  <c r="AN16" i="60"/>
  <c r="AM16" i="60"/>
  <c r="AR15" i="60"/>
  <c r="AQ15" i="60"/>
  <c r="AP15" i="60"/>
  <c r="AO15" i="60"/>
  <c r="AN15" i="60"/>
  <c r="AM15" i="60"/>
  <c r="AN13" i="60"/>
  <c r="AO13" i="60"/>
  <c r="AP13" i="60"/>
  <c r="AQ13" i="60"/>
  <c r="AR13" i="60"/>
  <c r="AS13" i="60" s="1"/>
  <c r="AR11" i="60"/>
  <c r="AQ11" i="60"/>
  <c r="AP11" i="60"/>
  <c r="AO11" i="60"/>
  <c r="AN11" i="60"/>
  <c r="AM11" i="60"/>
  <c r="AF61" i="60"/>
  <c r="AE61" i="60"/>
  <c r="AD61" i="60"/>
  <c r="AC61" i="60"/>
  <c r="AB61" i="60"/>
  <c r="AF60" i="60"/>
  <c r="AE60" i="60"/>
  <c r="AD60" i="60"/>
  <c r="AC60" i="60"/>
  <c r="AB60" i="60"/>
  <c r="AF59" i="60"/>
  <c r="AE59" i="60"/>
  <c r="AD59" i="60"/>
  <c r="AC59" i="60"/>
  <c r="AB59" i="60"/>
  <c r="AF58" i="60"/>
  <c r="AE58" i="60"/>
  <c r="AD58" i="60"/>
  <c r="AC58" i="60"/>
  <c r="AB58" i="60"/>
  <c r="AF57" i="60"/>
  <c r="AE57" i="60"/>
  <c r="AD57" i="60"/>
  <c r="AC57" i="60"/>
  <c r="AB57" i="60"/>
  <c r="AF56" i="60"/>
  <c r="AE56" i="60"/>
  <c r="AD56" i="60"/>
  <c r="AC56" i="60"/>
  <c r="AB56" i="60"/>
  <c r="AF55" i="60"/>
  <c r="AE55" i="60"/>
  <c r="AD55" i="60"/>
  <c r="AC55" i="60"/>
  <c r="AB55" i="60"/>
  <c r="AF54" i="60"/>
  <c r="AE54" i="60"/>
  <c r="AD54" i="60"/>
  <c r="AC54" i="60"/>
  <c r="AB54" i="60"/>
  <c r="AF53" i="60"/>
  <c r="AE53" i="60"/>
  <c r="AD53" i="60"/>
  <c r="AC53" i="60"/>
  <c r="AB53" i="60"/>
  <c r="Z61" i="60"/>
  <c r="Y61" i="60"/>
  <c r="X61" i="60"/>
  <c r="W61" i="60"/>
  <c r="V61" i="60"/>
  <c r="Z60" i="60"/>
  <c r="Y60" i="60"/>
  <c r="X60" i="60"/>
  <c r="W60" i="60"/>
  <c r="V60" i="60"/>
  <c r="Z59" i="60"/>
  <c r="Y59" i="60"/>
  <c r="X59" i="60"/>
  <c r="W59" i="60"/>
  <c r="V59" i="60"/>
  <c r="Z58" i="60"/>
  <c r="Y58" i="60"/>
  <c r="X58" i="60"/>
  <c r="W58" i="60"/>
  <c r="V58" i="60"/>
  <c r="Z57" i="60"/>
  <c r="Y57" i="60"/>
  <c r="X57" i="60"/>
  <c r="W57" i="60"/>
  <c r="V57" i="60"/>
  <c r="Z56" i="60"/>
  <c r="Y56" i="60"/>
  <c r="X56" i="60"/>
  <c r="W56" i="60"/>
  <c r="V56" i="60"/>
  <c r="Z55" i="60"/>
  <c r="Y55" i="60"/>
  <c r="X55" i="60"/>
  <c r="W55" i="60"/>
  <c r="V55" i="60"/>
  <c r="Z54" i="60"/>
  <c r="Y54" i="60"/>
  <c r="X54" i="60"/>
  <c r="W54" i="60"/>
  <c r="V54" i="60"/>
  <c r="Z53" i="60"/>
  <c r="Y53" i="60"/>
  <c r="X53" i="60"/>
  <c r="W53" i="60"/>
  <c r="V53" i="60"/>
  <c r="T61" i="60"/>
  <c r="S61" i="60"/>
  <c r="R61" i="60"/>
  <c r="Q61" i="60"/>
  <c r="P61" i="60"/>
  <c r="T60" i="60"/>
  <c r="S60" i="60"/>
  <c r="R60" i="60"/>
  <c r="Q60" i="60"/>
  <c r="P60" i="60"/>
  <c r="T59" i="60"/>
  <c r="S59" i="60"/>
  <c r="R59" i="60"/>
  <c r="Q59" i="60"/>
  <c r="P59" i="60"/>
  <c r="T58" i="60"/>
  <c r="S58" i="60"/>
  <c r="R58" i="60"/>
  <c r="Q58" i="60"/>
  <c r="P58" i="60"/>
  <c r="T57" i="60"/>
  <c r="S57" i="60"/>
  <c r="R57" i="60"/>
  <c r="Q57" i="60"/>
  <c r="P57" i="60"/>
  <c r="T56" i="60"/>
  <c r="S56" i="60"/>
  <c r="R56" i="60"/>
  <c r="Q56" i="60"/>
  <c r="P56" i="60"/>
  <c r="T55" i="60"/>
  <c r="S55" i="60"/>
  <c r="R55" i="60"/>
  <c r="Q55" i="60"/>
  <c r="P55" i="60"/>
  <c r="T54" i="60"/>
  <c r="S54" i="60"/>
  <c r="R54" i="60"/>
  <c r="Q54" i="60"/>
  <c r="P54" i="60"/>
  <c r="T53" i="60"/>
  <c r="S53" i="60"/>
  <c r="R53" i="60"/>
  <c r="P53" i="60"/>
  <c r="N61" i="60"/>
  <c r="AU61" i="60" s="1"/>
  <c r="M61" i="60"/>
  <c r="L61" i="60"/>
  <c r="K61" i="60"/>
  <c r="J61" i="60"/>
  <c r="N60" i="60"/>
  <c r="M60" i="60"/>
  <c r="L60" i="60"/>
  <c r="K60" i="60"/>
  <c r="J60" i="60"/>
  <c r="N59" i="60"/>
  <c r="AU59" i="60" s="1"/>
  <c r="M59" i="60"/>
  <c r="L59" i="60"/>
  <c r="K59" i="60"/>
  <c r="J59" i="60"/>
  <c r="N58" i="60"/>
  <c r="M58" i="60"/>
  <c r="L58" i="60"/>
  <c r="K58" i="60"/>
  <c r="J58" i="60"/>
  <c r="N57" i="60"/>
  <c r="AU57" i="60" s="1"/>
  <c r="M57" i="60"/>
  <c r="L57" i="60"/>
  <c r="K57" i="60"/>
  <c r="J57" i="60"/>
  <c r="N56" i="60"/>
  <c r="M56" i="60"/>
  <c r="L56" i="60"/>
  <c r="K56" i="60"/>
  <c r="J56" i="60"/>
  <c r="N55" i="60"/>
  <c r="AU55" i="60" s="1"/>
  <c r="M55" i="60"/>
  <c r="L55" i="60"/>
  <c r="K55" i="60"/>
  <c r="J55" i="60"/>
  <c r="N54" i="60"/>
  <c r="M54" i="60"/>
  <c r="L54" i="60"/>
  <c r="K54" i="60"/>
  <c r="J54" i="60"/>
  <c r="N53" i="60"/>
  <c r="AU53" i="60" s="1"/>
  <c r="M53" i="60"/>
  <c r="L53" i="60"/>
  <c r="K53" i="60"/>
  <c r="J53" i="60"/>
  <c r="D54" i="60"/>
  <c r="E54" i="60"/>
  <c r="F54" i="60"/>
  <c r="G54" i="60"/>
  <c r="H54" i="60"/>
  <c r="D55" i="60"/>
  <c r="E55" i="60"/>
  <c r="F55" i="60"/>
  <c r="G55" i="60"/>
  <c r="H55" i="60"/>
  <c r="D56" i="60"/>
  <c r="E56" i="60"/>
  <c r="F56" i="60"/>
  <c r="G56" i="60"/>
  <c r="H56" i="60"/>
  <c r="D57" i="60"/>
  <c r="E57" i="60"/>
  <c r="F57" i="60"/>
  <c r="G57" i="60"/>
  <c r="H57" i="60"/>
  <c r="D58" i="60"/>
  <c r="E58" i="60"/>
  <c r="F58" i="60"/>
  <c r="G58" i="60"/>
  <c r="H58" i="60"/>
  <c r="D59" i="60"/>
  <c r="E59" i="60"/>
  <c r="F59" i="60"/>
  <c r="G59" i="60"/>
  <c r="H59" i="60"/>
  <c r="D60" i="60"/>
  <c r="E60" i="60"/>
  <c r="F60" i="60"/>
  <c r="G60" i="60"/>
  <c r="H60" i="60"/>
  <c r="D61" i="60"/>
  <c r="E61" i="60"/>
  <c r="F61" i="60"/>
  <c r="G61" i="60"/>
  <c r="H61" i="60"/>
  <c r="H53" i="60"/>
  <c r="G53" i="60"/>
  <c r="F53" i="60"/>
  <c r="E53" i="60"/>
  <c r="AM66" i="60"/>
  <c r="AN66" i="60"/>
  <c r="AO66" i="60"/>
  <c r="AP66" i="60"/>
  <c r="AQ66" i="60"/>
  <c r="AR66" i="60"/>
  <c r="AM67" i="60"/>
  <c r="AN67" i="60"/>
  <c r="AO67" i="60"/>
  <c r="AP67" i="60"/>
  <c r="AQ67" i="60"/>
  <c r="AR67" i="60"/>
  <c r="AM68" i="60"/>
  <c r="AN68" i="60"/>
  <c r="AO68" i="60"/>
  <c r="AP68" i="60"/>
  <c r="AQ68" i="60"/>
  <c r="AR68" i="60"/>
  <c r="AM65"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J69" i="60"/>
  <c r="I69" i="60"/>
  <c r="H69" i="60"/>
  <c r="G69" i="60"/>
  <c r="F69" i="60"/>
  <c r="E69" i="60"/>
  <c r="D69" i="60"/>
  <c r="C97" i="73"/>
  <c r="BH87" i="53"/>
  <c r="BG87" i="53"/>
  <c r="BF87" i="53"/>
  <c r="BE87" i="53"/>
  <c r="BD87" i="53"/>
  <c r="BC87" i="53"/>
  <c r="BH86" i="53"/>
  <c r="BG86" i="53"/>
  <c r="BF86" i="53"/>
  <c r="BE86" i="53"/>
  <c r="BD86" i="53"/>
  <c r="BC86" i="53"/>
  <c r="BH85" i="53"/>
  <c r="BG85" i="53"/>
  <c r="BF85" i="53"/>
  <c r="BE85" i="53"/>
  <c r="BD85" i="53"/>
  <c r="BC85" i="53"/>
  <c r="BH84" i="53"/>
  <c r="BG84" i="53"/>
  <c r="BF84" i="53"/>
  <c r="BE84" i="53"/>
  <c r="BD84" i="53"/>
  <c r="BC84" i="53"/>
  <c r="BH82" i="53"/>
  <c r="BG82" i="53"/>
  <c r="BF82" i="53"/>
  <c r="BE82" i="53"/>
  <c r="BD82" i="53"/>
  <c r="BC82" i="53"/>
  <c r="BH81" i="53"/>
  <c r="BG81" i="53"/>
  <c r="BF81" i="53"/>
  <c r="BE81" i="53"/>
  <c r="BD81" i="53"/>
  <c r="BC81" i="53"/>
  <c r="BH80" i="53"/>
  <c r="BG80" i="53"/>
  <c r="BF80" i="53"/>
  <c r="BE80" i="53"/>
  <c r="BD80" i="53"/>
  <c r="BC80" i="53"/>
  <c r="BH79" i="53"/>
  <c r="BG79" i="53"/>
  <c r="BF79" i="53"/>
  <c r="BE79" i="53"/>
  <c r="BD79" i="53"/>
  <c r="BC79" i="53"/>
  <c r="BH78" i="53"/>
  <c r="BG78" i="53"/>
  <c r="BF78" i="53"/>
  <c r="BE78" i="53"/>
  <c r="BD78" i="53"/>
  <c r="BC78" i="53"/>
  <c r="BH77" i="53"/>
  <c r="BG77" i="53"/>
  <c r="BF77" i="53"/>
  <c r="BE77" i="53"/>
  <c r="BD77" i="53"/>
  <c r="BC77" i="53"/>
  <c r="BH75" i="53"/>
  <c r="BG75" i="53"/>
  <c r="BF75" i="53"/>
  <c r="BE75" i="53"/>
  <c r="BD75" i="53"/>
  <c r="BC75" i="53"/>
  <c r="BH73" i="53"/>
  <c r="BG73" i="53"/>
  <c r="BF73" i="53"/>
  <c r="BE73" i="53"/>
  <c r="BD73" i="53"/>
  <c r="BC73" i="53"/>
  <c r="BH71" i="53"/>
  <c r="BG71" i="53"/>
  <c r="BF71" i="53"/>
  <c r="BE71" i="53"/>
  <c r="BD71" i="53"/>
  <c r="BC71" i="53"/>
  <c r="BH62" i="53"/>
  <c r="BG62" i="53"/>
  <c r="BF62" i="53"/>
  <c r="BE62" i="53"/>
  <c r="BD62" i="53"/>
  <c r="BC62" i="53"/>
  <c r="BH54" i="53"/>
  <c r="BG54" i="53"/>
  <c r="BF54" i="53"/>
  <c r="BE54" i="53"/>
  <c r="BD54" i="53"/>
  <c r="BC54" i="53"/>
  <c r="BH53" i="53"/>
  <c r="BG53" i="53"/>
  <c r="BF53" i="53"/>
  <c r="BE53" i="53"/>
  <c r="BD53" i="53"/>
  <c r="BC53" i="53"/>
  <c r="BH52" i="53"/>
  <c r="BG52" i="53"/>
  <c r="BF52" i="53"/>
  <c r="BE52" i="53"/>
  <c r="BD52" i="53"/>
  <c r="BC52" i="53"/>
  <c r="BH47" i="53"/>
  <c r="BG47" i="53"/>
  <c r="BF47" i="53"/>
  <c r="BE47" i="53"/>
  <c r="BD47" i="53"/>
  <c r="BC47" i="53"/>
  <c r="BH46" i="53"/>
  <c r="BG46" i="53"/>
  <c r="BF46" i="53"/>
  <c r="BE46" i="53"/>
  <c r="BD46" i="53"/>
  <c r="BC46" i="53"/>
  <c r="BH45" i="53"/>
  <c r="BG45" i="53"/>
  <c r="BF45" i="53"/>
  <c r="BE45" i="53"/>
  <c r="BD45" i="53"/>
  <c r="BC45" i="53"/>
  <c r="BH44" i="53"/>
  <c r="BG44" i="53"/>
  <c r="BF44" i="53"/>
  <c r="BE44" i="53"/>
  <c r="BD44" i="53"/>
  <c r="BC44" i="53"/>
  <c r="BH43" i="53"/>
  <c r="BG43" i="53"/>
  <c r="BF43" i="53"/>
  <c r="BE43" i="53"/>
  <c r="BD43" i="53"/>
  <c r="BC43" i="53"/>
  <c r="BH42" i="53"/>
  <c r="BG42" i="53"/>
  <c r="BF42" i="53"/>
  <c r="BE42" i="53"/>
  <c r="BD42" i="53"/>
  <c r="BC42" i="53"/>
  <c r="BH41" i="53"/>
  <c r="BG41" i="53"/>
  <c r="BF41" i="53"/>
  <c r="BE41" i="53"/>
  <c r="BD41" i="53"/>
  <c r="BC41" i="53"/>
  <c r="BH40" i="53"/>
  <c r="BG40" i="53"/>
  <c r="BF40" i="53"/>
  <c r="BE40" i="53"/>
  <c r="BD40" i="53"/>
  <c r="BC40" i="53"/>
  <c r="BH39" i="53"/>
  <c r="BG39" i="53"/>
  <c r="BF39" i="53"/>
  <c r="BE39" i="53"/>
  <c r="BD39" i="53"/>
  <c r="BC39" i="53"/>
  <c r="BH37" i="53"/>
  <c r="BG37" i="53"/>
  <c r="BF37" i="53"/>
  <c r="BE37" i="53"/>
  <c r="BD37" i="53"/>
  <c r="BC37" i="53"/>
  <c r="BH36" i="53"/>
  <c r="BG36" i="53"/>
  <c r="BF36" i="53"/>
  <c r="BE36" i="53"/>
  <c r="BD36" i="53"/>
  <c r="BC36" i="53"/>
  <c r="BH35" i="53"/>
  <c r="BG35" i="53"/>
  <c r="BF35" i="53"/>
  <c r="BE35" i="53"/>
  <c r="BD35" i="53"/>
  <c r="BC35" i="53"/>
  <c r="BH34" i="53"/>
  <c r="BG34" i="53"/>
  <c r="BF34" i="53"/>
  <c r="BE34" i="53"/>
  <c r="BD34" i="53"/>
  <c r="BC34" i="53"/>
  <c r="BH33" i="53"/>
  <c r="BG33" i="53"/>
  <c r="BF33" i="53"/>
  <c r="BE33" i="53"/>
  <c r="BD33" i="53"/>
  <c r="BC33" i="53"/>
  <c r="BH32" i="53"/>
  <c r="BG32" i="53"/>
  <c r="BF32" i="53"/>
  <c r="BE32" i="53"/>
  <c r="BD32" i="53"/>
  <c r="BC32" i="53"/>
  <c r="BH31" i="53"/>
  <c r="BG31" i="53"/>
  <c r="BF31" i="53"/>
  <c r="BE31" i="53"/>
  <c r="BD31" i="53"/>
  <c r="BC31" i="53"/>
  <c r="BH30" i="53"/>
  <c r="BG30" i="53"/>
  <c r="BF30" i="53"/>
  <c r="BE30" i="53"/>
  <c r="BD30" i="53"/>
  <c r="BC30" i="53"/>
  <c r="BH27" i="53"/>
  <c r="BG27" i="53"/>
  <c r="BF27" i="53"/>
  <c r="BE27" i="53"/>
  <c r="BD27" i="53"/>
  <c r="BC27" i="53"/>
  <c r="BH26" i="53"/>
  <c r="BG26" i="53"/>
  <c r="BF26" i="53"/>
  <c r="BE26" i="53"/>
  <c r="BD26" i="53"/>
  <c r="BC26" i="53"/>
  <c r="BH23" i="53"/>
  <c r="BG23" i="53"/>
  <c r="BF23" i="53"/>
  <c r="BE23" i="53"/>
  <c r="BD23" i="53"/>
  <c r="BC23" i="53"/>
  <c r="BH22" i="53"/>
  <c r="BG22" i="53"/>
  <c r="BF22" i="53"/>
  <c r="BE22" i="53"/>
  <c r="BD22" i="53"/>
  <c r="BC22" i="53"/>
  <c r="BH20" i="53"/>
  <c r="BG20" i="53"/>
  <c r="BF20" i="53"/>
  <c r="BE20" i="53"/>
  <c r="BD20" i="53"/>
  <c r="BC20" i="53"/>
  <c r="BH19" i="53"/>
  <c r="BG19" i="53"/>
  <c r="BF19" i="53"/>
  <c r="BE19" i="53"/>
  <c r="BD19" i="53"/>
  <c r="BC19" i="53"/>
  <c r="BH16" i="53"/>
  <c r="BG16" i="53"/>
  <c r="BF16" i="53"/>
  <c r="BE16" i="53"/>
  <c r="BD16" i="53"/>
  <c r="BC16" i="53"/>
  <c r="BH15" i="53"/>
  <c r="BG15" i="53"/>
  <c r="BF15" i="53"/>
  <c r="BE15" i="53"/>
  <c r="BD15" i="53"/>
  <c r="BC15" i="53"/>
  <c r="BH14" i="53"/>
  <c r="BG14" i="53"/>
  <c r="BF14" i="53"/>
  <c r="BE14" i="53"/>
  <c r="BD14" i="53"/>
  <c r="BC14" i="53"/>
  <c r="BH13" i="53"/>
  <c r="BG13" i="53"/>
  <c r="BF13" i="53"/>
  <c r="BE13" i="53"/>
  <c r="BD13" i="53"/>
  <c r="BC13" i="53"/>
  <c r="BB87" i="53"/>
  <c r="BA87" i="53"/>
  <c r="AZ87" i="53"/>
  <c r="AY87" i="53"/>
  <c r="AX87" i="53"/>
  <c r="AW87" i="53"/>
  <c r="BB86" i="53"/>
  <c r="BA86" i="53"/>
  <c r="AZ86" i="53"/>
  <c r="AY86" i="53"/>
  <c r="AX86" i="53"/>
  <c r="AW86" i="53"/>
  <c r="BB85" i="53"/>
  <c r="BA85" i="53"/>
  <c r="AZ85" i="53"/>
  <c r="AY85" i="53"/>
  <c r="AX85" i="53"/>
  <c r="AW85" i="53"/>
  <c r="BB84" i="53"/>
  <c r="BA84" i="53"/>
  <c r="AZ84" i="53"/>
  <c r="AY84" i="53"/>
  <c r="AX84" i="53"/>
  <c r="AW84" i="53"/>
  <c r="BB82" i="53"/>
  <c r="BA82" i="53"/>
  <c r="AZ82" i="53"/>
  <c r="AY82" i="53"/>
  <c r="AX82" i="53"/>
  <c r="AW82" i="53"/>
  <c r="BB81" i="53"/>
  <c r="BA81" i="53"/>
  <c r="AZ81" i="53"/>
  <c r="AY81" i="53"/>
  <c r="AX81" i="53"/>
  <c r="AW81" i="53"/>
  <c r="BB80" i="53"/>
  <c r="BA80" i="53"/>
  <c r="AZ80" i="53"/>
  <c r="AY80" i="53"/>
  <c r="AX80" i="53"/>
  <c r="AW80" i="53"/>
  <c r="BB79" i="53"/>
  <c r="BA79" i="53"/>
  <c r="AZ79" i="53"/>
  <c r="AY79" i="53"/>
  <c r="AX79" i="53"/>
  <c r="AW79" i="53"/>
  <c r="BB78" i="53"/>
  <c r="BA78" i="53"/>
  <c r="AZ78" i="53"/>
  <c r="AY78" i="53"/>
  <c r="AX78" i="53"/>
  <c r="AW78" i="53"/>
  <c r="BB77" i="53"/>
  <c r="BA77" i="53"/>
  <c r="AZ77" i="53"/>
  <c r="AY77" i="53"/>
  <c r="AX77" i="53"/>
  <c r="AW77" i="53"/>
  <c r="BB75" i="53"/>
  <c r="BA75" i="53"/>
  <c r="AZ75" i="53"/>
  <c r="AY75" i="53"/>
  <c r="AX75" i="53"/>
  <c r="AW75" i="53"/>
  <c r="BB73" i="53"/>
  <c r="BA73" i="53"/>
  <c r="AZ73" i="53"/>
  <c r="AY73" i="53"/>
  <c r="AX73" i="53"/>
  <c r="BB71" i="53"/>
  <c r="BA71" i="53"/>
  <c r="AZ71" i="53"/>
  <c r="AY71" i="53"/>
  <c r="AX71" i="53"/>
  <c r="AW71" i="53"/>
  <c r="BB62" i="53"/>
  <c r="BA62" i="53"/>
  <c r="AZ62" i="53"/>
  <c r="AY62" i="53"/>
  <c r="AX62" i="53"/>
  <c r="AW62" i="53"/>
  <c r="BB54" i="53"/>
  <c r="BA54" i="53"/>
  <c r="AZ54" i="53"/>
  <c r="AY54" i="53"/>
  <c r="AX54" i="53"/>
  <c r="AW54" i="53"/>
  <c r="BB53" i="53"/>
  <c r="BA53" i="53"/>
  <c r="AZ53" i="53"/>
  <c r="AY53" i="53"/>
  <c r="AX53" i="53"/>
  <c r="AW53" i="53"/>
  <c r="BB52" i="53"/>
  <c r="BA52" i="53"/>
  <c r="AZ52" i="53"/>
  <c r="AY52" i="53"/>
  <c r="AX52" i="53"/>
  <c r="AW52" i="53"/>
  <c r="BB47" i="53"/>
  <c r="BA47" i="53"/>
  <c r="AZ47" i="53"/>
  <c r="AY47" i="53"/>
  <c r="AX47" i="53"/>
  <c r="AW47" i="53"/>
  <c r="BB46" i="53"/>
  <c r="BA46" i="53"/>
  <c r="AZ46" i="53"/>
  <c r="AY46" i="53"/>
  <c r="AX46" i="53"/>
  <c r="AW46" i="53"/>
  <c r="BB45" i="53"/>
  <c r="BA45" i="53"/>
  <c r="AZ45" i="53"/>
  <c r="AY45" i="53"/>
  <c r="AX45" i="53"/>
  <c r="AW45" i="53"/>
  <c r="BB44" i="53"/>
  <c r="BA44" i="53"/>
  <c r="AZ44" i="53"/>
  <c r="AY44" i="53"/>
  <c r="AX44" i="53"/>
  <c r="AW44" i="53"/>
  <c r="BB43" i="53"/>
  <c r="BA43" i="53"/>
  <c r="AZ43" i="53"/>
  <c r="AY43" i="53"/>
  <c r="AX43" i="53"/>
  <c r="AW43" i="53"/>
  <c r="BB42" i="53"/>
  <c r="BA42" i="53"/>
  <c r="AZ42" i="53"/>
  <c r="AY42" i="53"/>
  <c r="AX42" i="53"/>
  <c r="AW42" i="53"/>
  <c r="BB41" i="53"/>
  <c r="BA41" i="53"/>
  <c r="AZ41" i="53"/>
  <c r="AY41" i="53"/>
  <c r="AX41" i="53"/>
  <c r="AW41" i="53"/>
  <c r="BB40" i="53"/>
  <c r="BA40" i="53"/>
  <c r="AZ40" i="53"/>
  <c r="AY40" i="53"/>
  <c r="AX40" i="53"/>
  <c r="AW40" i="53"/>
  <c r="BB39" i="53"/>
  <c r="BA39" i="53"/>
  <c r="AZ39" i="53"/>
  <c r="AY39" i="53"/>
  <c r="AX39" i="53"/>
  <c r="AW39" i="53"/>
  <c r="BB37" i="53"/>
  <c r="BA37" i="53"/>
  <c r="AZ37" i="53"/>
  <c r="AY37" i="53"/>
  <c r="AX37" i="53"/>
  <c r="AW37" i="53"/>
  <c r="BB36" i="53"/>
  <c r="BA36" i="53"/>
  <c r="AZ36" i="53"/>
  <c r="AY36" i="53"/>
  <c r="AX36" i="53"/>
  <c r="AW36" i="53"/>
  <c r="BB35" i="53"/>
  <c r="BA35" i="53"/>
  <c r="AZ35" i="53"/>
  <c r="AY35" i="53"/>
  <c r="AX35" i="53"/>
  <c r="AW35" i="53"/>
  <c r="BB34" i="53"/>
  <c r="BA34" i="53"/>
  <c r="AZ34" i="53"/>
  <c r="AY34" i="53"/>
  <c r="AX34" i="53"/>
  <c r="AW34" i="53"/>
  <c r="BB33" i="53"/>
  <c r="BA33" i="53"/>
  <c r="AZ33" i="53"/>
  <c r="AY33" i="53"/>
  <c r="AX33" i="53"/>
  <c r="AW33" i="53"/>
  <c r="BB32" i="53"/>
  <c r="BA32" i="53"/>
  <c r="AZ32" i="53"/>
  <c r="AY32" i="53"/>
  <c r="AX32" i="53"/>
  <c r="AW32" i="53"/>
  <c r="BB31" i="53"/>
  <c r="BA31" i="53"/>
  <c r="AZ31" i="53"/>
  <c r="AY31" i="53"/>
  <c r="AX31" i="53"/>
  <c r="AW31" i="53"/>
  <c r="BB30" i="53"/>
  <c r="BA30" i="53"/>
  <c r="AZ30" i="53"/>
  <c r="AY30" i="53"/>
  <c r="AX30" i="53"/>
  <c r="AW30" i="53"/>
  <c r="BB27" i="53"/>
  <c r="BA27" i="53"/>
  <c r="AZ27" i="53"/>
  <c r="AY27" i="53"/>
  <c r="AX27" i="53"/>
  <c r="AW27" i="53"/>
  <c r="BB26" i="53"/>
  <c r="BA26" i="53"/>
  <c r="AZ26" i="53"/>
  <c r="AY26" i="53"/>
  <c r="AX26" i="53"/>
  <c r="AW26" i="53"/>
  <c r="BB23" i="53"/>
  <c r="BA23" i="53"/>
  <c r="AZ23" i="53"/>
  <c r="AY23" i="53"/>
  <c r="AX23" i="53"/>
  <c r="AW23" i="53"/>
  <c r="BB22" i="53"/>
  <c r="BA22" i="53"/>
  <c r="AZ22" i="53"/>
  <c r="AY22" i="53"/>
  <c r="AX22" i="53"/>
  <c r="AW22" i="53"/>
  <c r="BB20" i="53"/>
  <c r="BA20" i="53"/>
  <c r="AZ20" i="53"/>
  <c r="AY20" i="53"/>
  <c r="AX20" i="53"/>
  <c r="AW20" i="53"/>
  <c r="BB19" i="53"/>
  <c r="BA19" i="53"/>
  <c r="AZ19" i="53"/>
  <c r="AY19" i="53"/>
  <c r="AX19" i="53"/>
  <c r="AW19" i="53"/>
  <c r="BB16" i="53"/>
  <c r="BA16" i="53"/>
  <c r="AZ16" i="53"/>
  <c r="AY16" i="53"/>
  <c r="AX16" i="53"/>
  <c r="AW16" i="53"/>
  <c r="BB15" i="53"/>
  <c r="BA15" i="53"/>
  <c r="AZ15" i="53"/>
  <c r="AY15" i="53"/>
  <c r="AX15" i="53"/>
  <c r="AW15" i="53"/>
  <c r="BB14" i="53"/>
  <c r="BA14" i="53"/>
  <c r="AZ14" i="53"/>
  <c r="AY14" i="53"/>
  <c r="AX14" i="53"/>
  <c r="AW14" i="53"/>
  <c r="BB13" i="53"/>
  <c r="BA13" i="53"/>
  <c r="AZ13" i="53"/>
  <c r="AY13" i="53"/>
  <c r="AX13" i="53"/>
  <c r="AW13" i="53"/>
  <c r="BD83" i="53" l="1"/>
  <c r="BD76" i="53" s="1"/>
  <c r="AT58" i="60"/>
  <c r="AW38" i="53"/>
  <c r="AX38" i="53"/>
  <c r="BH83" i="53"/>
  <c r="BH76" i="53" s="1"/>
  <c r="J92" i="74"/>
  <c r="J95" i="74"/>
  <c r="J59" i="74"/>
  <c r="J62" i="74"/>
  <c r="J15" i="1"/>
  <c r="K57" i="74"/>
  <c r="AA7" i="79"/>
  <c r="J23" i="74"/>
  <c r="J26" i="74"/>
  <c r="BG12" i="53"/>
  <c r="BE38" i="53"/>
  <c r="BC38" i="53"/>
  <c r="BG38" i="53"/>
  <c r="BC70" i="53"/>
  <c r="BG70" i="53"/>
  <c r="BE83" i="53"/>
  <c r="BE76" i="53" s="1"/>
  <c r="BC83" i="53"/>
  <c r="BC76" i="53" s="1"/>
  <c r="BG83" i="53"/>
  <c r="BG76" i="53" s="1"/>
  <c r="AT53" i="60"/>
  <c r="AX83" i="53"/>
  <c r="AX76" i="53" s="1"/>
  <c r="BB83" i="53"/>
  <c r="BB76" i="53" s="1"/>
  <c r="BF38" i="53"/>
  <c r="BD38" i="53"/>
  <c r="BH38" i="53"/>
  <c r="BD70" i="53"/>
  <c r="BH70" i="53"/>
  <c r="BF83" i="53"/>
  <c r="BF76" i="53" s="1"/>
  <c r="AW51" i="53"/>
  <c r="AM55" i="60"/>
  <c r="AM59" i="60"/>
  <c r="AB13" i="79"/>
  <c r="AB12" i="79" s="1"/>
  <c r="E57" i="78"/>
  <c r="R9" i="2"/>
  <c r="AD4" i="78"/>
  <c r="R22" i="2"/>
  <c r="AD17" i="78"/>
  <c r="BA51" i="53"/>
  <c r="BF70" i="53"/>
  <c r="AB8" i="79"/>
  <c r="AB7" i="79" s="1"/>
  <c r="E52" i="78"/>
  <c r="AX51" i="53"/>
  <c r="BB51" i="53"/>
  <c r="G4" i="78"/>
  <c r="M91" i="67"/>
  <c r="M93" i="67" s="1"/>
  <c r="AE14" i="78"/>
  <c r="S19" i="2"/>
  <c r="E17" i="39"/>
  <c r="AB4" i="79"/>
  <c r="E35" i="78"/>
  <c r="S9" i="2"/>
  <c r="BF51" i="53"/>
  <c r="I19" i="2"/>
  <c r="J125" i="74"/>
  <c r="I14" i="1"/>
  <c r="I22" i="2" s="1"/>
  <c r="AF17" i="78" s="1"/>
  <c r="J127" i="74"/>
  <c r="J126" i="74"/>
  <c r="J10" i="1"/>
  <c r="K124" i="74"/>
  <c r="K125" i="74"/>
  <c r="I13" i="2"/>
  <c r="AF8" i="78" s="1"/>
  <c r="I9" i="2"/>
  <c r="AY70" i="53"/>
  <c r="BE70" i="53"/>
  <c r="AZ70" i="53"/>
  <c r="AW70" i="53"/>
  <c r="BA70" i="53"/>
  <c r="AX70" i="53"/>
  <c r="BB70" i="53"/>
  <c r="AY38" i="53"/>
  <c r="BA38" i="53"/>
  <c r="BB38" i="53"/>
  <c r="AY51" i="53"/>
  <c r="AZ51" i="53"/>
  <c r="AM53" i="60"/>
  <c r="I111" i="74"/>
  <c r="I114" i="74"/>
  <c r="H22" i="2"/>
  <c r="G55" i="65"/>
  <c r="I115" i="74"/>
  <c r="I112" i="74"/>
  <c r="G22" i="65"/>
  <c r="I110" i="74"/>
  <c r="I113" i="74"/>
  <c r="G50" i="65"/>
  <c r="AS23" i="60"/>
  <c r="AW12" i="53"/>
  <c r="BA12" i="53"/>
  <c r="BC12" i="53"/>
  <c r="AM54" i="60"/>
  <c r="AM58" i="60"/>
  <c r="AM60" i="60"/>
  <c r="BD12" i="53"/>
  <c r="AT59" i="60"/>
  <c r="AT55" i="60"/>
  <c r="AM56" i="60"/>
  <c r="AX12" i="53"/>
  <c r="BF25" i="53"/>
  <c r="AM57" i="60"/>
  <c r="AM61" i="60"/>
  <c r="AT54" i="60"/>
  <c r="K58" i="74"/>
  <c r="K62" i="74" s="1"/>
  <c r="J71" i="74"/>
  <c r="J74" i="74" s="1"/>
  <c r="BB12" i="53"/>
  <c r="AZ25" i="53"/>
  <c r="AZ38" i="53"/>
  <c r="AM14" i="60"/>
  <c r="AS11" i="60"/>
  <c r="AN58" i="60"/>
  <c r="J12" i="1"/>
  <c r="I16" i="1"/>
  <c r="AT61" i="60"/>
  <c r="AT57" i="60"/>
  <c r="AU56" i="60"/>
  <c r="AU60" i="60"/>
  <c r="AT60" i="60"/>
  <c r="AT56" i="60"/>
  <c r="AN53" i="60"/>
  <c r="AU54" i="60"/>
  <c r="AU58" i="60"/>
  <c r="J104" i="74"/>
  <c r="J107" i="74" s="1"/>
  <c r="K91" i="74"/>
  <c r="K22" i="74"/>
  <c r="J35" i="74"/>
  <c r="J39" i="74" s="1"/>
  <c r="H20" i="65" s="1"/>
  <c r="K90" i="74"/>
  <c r="AS66" i="60"/>
  <c r="AS67" i="60"/>
  <c r="AS68" i="60"/>
  <c r="AY25" i="53"/>
  <c r="AW25" i="53"/>
  <c r="BA25" i="53"/>
  <c r="AW83" i="53"/>
  <c r="AW76" i="53" s="1"/>
  <c r="BA83" i="53"/>
  <c r="BA76" i="53" s="1"/>
  <c r="AY83" i="53"/>
  <c r="AY76" i="53" s="1"/>
  <c r="BE25" i="53"/>
  <c r="BC25" i="53"/>
  <c r="BG25" i="53"/>
  <c r="AZ12" i="53"/>
  <c r="BD51" i="53"/>
  <c r="BH51" i="53"/>
  <c r="AX25" i="53"/>
  <c r="BB25" i="53"/>
  <c r="AZ83" i="53"/>
  <c r="AZ76" i="53" s="1"/>
  <c r="BH12" i="53"/>
  <c r="BD25" i="53"/>
  <c r="BH25" i="53"/>
  <c r="AY12" i="53"/>
  <c r="BE12" i="53"/>
  <c r="BE51" i="53"/>
  <c r="BC51" i="53"/>
  <c r="BG51" i="53"/>
  <c r="BF12" i="53"/>
  <c r="M28" i="73"/>
  <c r="L28" i="73"/>
  <c r="K28" i="73"/>
  <c r="J28" i="73"/>
  <c r="I28" i="73"/>
  <c r="H28" i="73"/>
  <c r="G28" i="73"/>
  <c r="F28" i="73"/>
  <c r="M27" i="73"/>
  <c r="L27" i="73"/>
  <c r="K27" i="73"/>
  <c r="J27" i="73"/>
  <c r="I27" i="73"/>
  <c r="H27" i="73"/>
  <c r="G27" i="73"/>
  <c r="F27" i="73"/>
  <c r="M26" i="73"/>
  <c r="L26" i="73"/>
  <c r="K26" i="73"/>
  <c r="J26" i="73"/>
  <c r="I26" i="73"/>
  <c r="H26" i="73"/>
  <c r="G26" i="73"/>
  <c r="F26" i="73"/>
  <c r="M23" i="73"/>
  <c r="L23" i="73"/>
  <c r="K23" i="73"/>
  <c r="J23" i="73"/>
  <c r="I23" i="73"/>
  <c r="H23" i="73"/>
  <c r="G23" i="73"/>
  <c r="F23" i="73"/>
  <c r="M22" i="73"/>
  <c r="L22" i="73"/>
  <c r="K22" i="73"/>
  <c r="J22" i="73"/>
  <c r="I22" i="73"/>
  <c r="H22" i="73"/>
  <c r="G22" i="73"/>
  <c r="F22" i="73"/>
  <c r="M20" i="73"/>
  <c r="L20" i="73"/>
  <c r="K20" i="73"/>
  <c r="J20" i="73"/>
  <c r="I20" i="73"/>
  <c r="H20" i="73"/>
  <c r="G20" i="73"/>
  <c r="F20" i="73"/>
  <c r="M19" i="73"/>
  <c r="L19" i="73"/>
  <c r="K19" i="73"/>
  <c r="J19" i="73"/>
  <c r="I19" i="73"/>
  <c r="H19" i="73"/>
  <c r="G19" i="73"/>
  <c r="F19" i="73"/>
  <c r="M16" i="73"/>
  <c r="L16" i="73"/>
  <c r="K16" i="73"/>
  <c r="J16" i="73"/>
  <c r="I16" i="73"/>
  <c r="H16" i="73"/>
  <c r="G16" i="73"/>
  <c r="F16" i="73"/>
  <c r="M15" i="73"/>
  <c r="L15" i="73"/>
  <c r="K15" i="73"/>
  <c r="J15" i="73"/>
  <c r="I15" i="73"/>
  <c r="H15" i="73"/>
  <c r="G15" i="73"/>
  <c r="F15" i="73"/>
  <c r="M14" i="73"/>
  <c r="L14" i="73"/>
  <c r="K14" i="73"/>
  <c r="J14" i="73"/>
  <c r="I14" i="73"/>
  <c r="H14" i="73"/>
  <c r="G14" i="73"/>
  <c r="F14" i="73"/>
  <c r="M13" i="73"/>
  <c r="L13" i="73"/>
  <c r="K13" i="73"/>
  <c r="J13" i="73"/>
  <c r="I13" i="73"/>
  <c r="H13" i="73"/>
  <c r="G13" i="73"/>
  <c r="F13" i="73"/>
  <c r="Z74" i="53"/>
  <c r="Y74" i="53"/>
  <c r="R74" i="53"/>
  <c r="Q74" i="53"/>
  <c r="E22" i="73"/>
  <c r="E28" i="73"/>
  <c r="D28" i="73"/>
  <c r="E27" i="73"/>
  <c r="D27" i="73"/>
  <c r="E26" i="73"/>
  <c r="D26" i="73"/>
  <c r="E23" i="73"/>
  <c r="D23" i="73"/>
  <c r="D22" i="73"/>
  <c r="E20" i="73"/>
  <c r="D20" i="73"/>
  <c r="E19" i="73"/>
  <c r="D19" i="73"/>
  <c r="E16" i="73"/>
  <c r="D16" i="73"/>
  <c r="E15" i="73"/>
  <c r="D15" i="73"/>
  <c r="E14" i="73"/>
  <c r="D14" i="73"/>
  <c r="E13" i="73"/>
  <c r="D13" i="73"/>
  <c r="AH9" i="73"/>
  <c r="AV9" i="73"/>
  <c r="AK9" i="73"/>
  <c r="Z9" i="73"/>
  <c r="BD9" i="73"/>
  <c r="BB9" i="73"/>
  <c r="AZ9" i="73"/>
  <c r="AX9" i="73"/>
  <c r="AS9" i="73"/>
  <c r="AQ9" i="73"/>
  <c r="AO9" i="73"/>
  <c r="AM9" i="73"/>
  <c r="AG9" i="73"/>
  <c r="AF9" i="73"/>
  <c r="AD9" i="73"/>
  <c r="AB9" i="73"/>
  <c r="Q9" i="73"/>
  <c r="S9" i="73"/>
  <c r="U9" i="73"/>
  <c r="W9" i="73"/>
  <c r="O9" i="73"/>
  <c r="D9" i="73"/>
  <c r="AP87" i="53"/>
  <c r="AO87" i="53"/>
  <c r="AP86" i="53"/>
  <c r="AO86" i="53"/>
  <c r="AP85" i="53"/>
  <c r="AO85" i="53"/>
  <c r="AP84" i="53"/>
  <c r="AO84" i="53"/>
  <c r="AP82" i="53"/>
  <c r="AO82" i="53"/>
  <c r="AP81" i="53"/>
  <c r="AO81" i="53"/>
  <c r="AP80" i="53"/>
  <c r="AO80" i="53"/>
  <c r="AP79" i="53"/>
  <c r="AO79" i="53"/>
  <c r="AP78" i="53"/>
  <c r="AO78" i="53"/>
  <c r="AP77" i="53"/>
  <c r="AO77" i="53"/>
  <c r="AP75" i="53"/>
  <c r="AO75" i="53"/>
  <c r="AP73" i="53"/>
  <c r="AO73" i="53"/>
  <c r="AP71" i="53"/>
  <c r="AO71" i="53"/>
  <c r="AP62" i="53"/>
  <c r="AO62" i="53"/>
  <c r="AP54" i="53"/>
  <c r="AO54" i="53"/>
  <c r="AP53" i="53"/>
  <c r="AO53" i="53"/>
  <c r="AP52" i="53"/>
  <c r="AO52" i="53"/>
  <c r="AP47" i="53"/>
  <c r="AO47" i="53"/>
  <c r="AP46" i="53"/>
  <c r="AO46" i="53"/>
  <c r="AP45" i="53"/>
  <c r="AO45" i="53"/>
  <c r="AP44" i="53"/>
  <c r="AO44" i="53"/>
  <c r="AP43" i="53"/>
  <c r="AO43" i="53"/>
  <c r="AP42" i="53"/>
  <c r="AO42" i="53"/>
  <c r="AP41" i="53"/>
  <c r="AO41" i="53"/>
  <c r="AP40" i="53"/>
  <c r="AO40" i="53"/>
  <c r="AP39" i="53"/>
  <c r="AO39" i="53"/>
  <c r="AP37" i="53"/>
  <c r="AO37" i="53"/>
  <c r="AP36" i="53"/>
  <c r="AO36" i="53"/>
  <c r="AP35" i="53"/>
  <c r="AO35" i="53"/>
  <c r="AP34" i="53"/>
  <c r="AO34" i="53"/>
  <c r="AP33" i="53"/>
  <c r="AO33" i="53"/>
  <c r="AP32" i="53"/>
  <c r="AO32" i="53"/>
  <c r="AP31" i="53"/>
  <c r="AO31" i="53"/>
  <c r="AP30" i="53"/>
  <c r="AO30" i="53"/>
  <c r="AP27" i="53"/>
  <c r="AO27" i="53"/>
  <c r="AP26" i="53"/>
  <c r="AO26" i="53"/>
  <c r="AP23" i="53"/>
  <c r="AO23" i="53"/>
  <c r="AP22" i="53"/>
  <c r="AO22" i="53"/>
  <c r="AP20" i="53"/>
  <c r="AO20" i="53"/>
  <c r="AP19" i="53"/>
  <c r="AO19" i="53"/>
  <c r="AP16" i="53"/>
  <c r="AO16" i="53"/>
  <c r="AP15" i="53"/>
  <c r="AO15" i="53"/>
  <c r="AP14" i="53"/>
  <c r="AO14" i="53"/>
  <c r="AP13" i="53"/>
  <c r="AO13" i="53"/>
  <c r="AH87" i="53"/>
  <c r="AG87" i="53"/>
  <c r="AH86" i="53"/>
  <c r="AG86" i="53"/>
  <c r="AH85" i="53"/>
  <c r="AG85" i="53"/>
  <c r="AH84" i="53"/>
  <c r="AG84" i="53"/>
  <c r="AH82" i="53"/>
  <c r="AG82" i="53"/>
  <c r="AH81" i="53"/>
  <c r="AG81" i="53"/>
  <c r="AH80" i="53"/>
  <c r="AG80" i="53"/>
  <c r="AH79" i="53"/>
  <c r="AG79" i="53"/>
  <c r="AH78" i="53"/>
  <c r="AG78" i="53"/>
  <c r="AH77" i="53"/>
  <c r="AG77" i="53"/>
  <c r="AH75" i="53"/>
  <c r="AG75" i="53"/>
  <c r="AH73" i="53"/>
  <c r="AG73" i="53"/>
  <c r="AH71" i="53"/>
  <c r="AG71" i="53"/>
  <c r="AH62" i="53"/>
  <c r="AG62" i="53"/>
  <c r="AH54" i="53"/>
  <c r="AG54" i="53"/>
  <c r="AH53" i="53"/>
  <c r="AG53" i="53"/>
  <c r="AH52" i="53"/>
  <c r="AG52" i="53"/>
  <c r="AH47" i="53"/>
  <c r="AG47" i="53"/>
  <c r="AH46" i="53"/>
  <c r="AG46" i="53"/>
  <c r="AH45" i="53"/>
  <c r="AG45" i="53"/>
  <c r="AH44" i="53"/>
  <c r="AG44" i="53"/>
  <c r="AH43" i="53"/>
  <c r="AG43" i="53"/>
  <c r="AH42" i="53"/>
  <c r="AG42" i="53"/>
  <c r="AH41" i="53"/>
  <c r="AG41" i="53"/>
  <c r="AH40" i="53"/>
  <c r="AG40" i="53"/>
  <c r="AH39" i="53"/>
  <c r="AG39" i="53"/>
  <c r="AH37" i="53"/>
  <c r="AG37" i="53"/>
  <c r="AH36" i="53"/>
  <c r="AG36" i="53"/>
  <c r="AH35" i="53"/>
  <c r="AG35" i="53"/>
  <c r="AH34" i="53"/>
  <c r="AG34" i="53"/>
  <c r="AH33" i="53"/>
  <c r="AG33" i="53"/>
  <c r="AH32" i="53"/>
  <c r="AG32" i="53"/>
  <c r="AH31" i="53"/>
  <c r="AG31" i="53"/>
  <c r="AH30" i="53"/>
  <c r="AG30" i="53"/>
  <c r="AH27" i="53"/>
  <c r="AG27" i="53"/>
  <c r="AH26" i="53"/>
  <c r="AG26" i="53"/>
  <c r="AH23" i="53"/>
  <c r="AG23" i="53"/>
  <c r="AH22" i="53"/>
  <c r="AG22" i="53"/>
  <c r="AH20" i="53"/>
  <c r="AG20" i="53"/>
  <c r="AH19" i="53"/>
  <c r="AG19" i="53"/>
  <c r="AH16" i="53"/>
  <c r="AG16" i="53"/>
  <c r="AH15" i="53"/>
  <c r="AG15" i="53"/>
  <c r="AH14" i="53"/>
  <c r="AG14" i="53"/>
  <c r="AH13" i="53"/>
  <c r="AG13" i="53"/>
  <c r="Z92" i="53"/>
  <c r="Y92" i="53"/>
  <c r="Z87" i="53"/>
  <c r="Y87" i="53"/>
  <c r="Z86" i="53"/>
  <c r="Y86" i="53"/>
  <c r="Z85" i="53"/>
  <c r="Y85" i="53"/>
  <c r="Z84" i="53"/>
  <c r="Y84" i="53"/>
  <c r="Z82" i="53"/>
  <c r="Y82" i="53"/>
  <c r="Z81" i="53"/>
  <c r="Y81" i="53"/>
  <c r="Z80" i="53"/>
  <c r="Y80" i="53"/>
  <c r="Z79" i="53"/>
  <c r="Y79" i="53"/>
  <c r="Z78" i="53"/>
  <c r="Y78" i="53"/>
  <c r="Z77" i="53"/>
  <c r="Y77" i="53"/>
  <c r="Z75" i="53"/>
  <c r="Y75" i="53"/>
  <c r="Z72" i="53"/>
  <c r="Y72" i="53"/>
  <c r="Z71" i="53"/>
  <c r="Y71" i="53"/>
  <c r="Z62" i="53"/>
  <c r="Y62" i="53"/>
  <c r="Z54" i="53"/>
  <c r="Y54" i="53"/>
  <c r="Z53" i="53"/>
  <c r="Y53" i="53"/>
  <c r="Z52" i="53"/>
  <c r="Y52" i="53"/>
  <c r="Z47" i="53"/>
  <c r="Y47" i="53"/>
  <c r="Z46" i="53"/>
  <c r="Y46" i="53"/>
  <c r="Z45" i="53"/>
  <c r="Y45" i="53"/>
  <c r="Z44" i="53"/>
  <c r="Y44" i="53"/>
  <c r="Z43" i="53"/>
  <c r="Y43" i="53"/>
  <c r="Z42" i="53"/>
  <c r="Y42" i="53"/>
  <c r="Z41" i="53"/>
  <c r="Y41" i="53"/>
  <c r="Z40" i="53"/>
  <c r="Y40" i="53"/>
  <c r="Z39" i="53"/>
  <c r="Y39" i="53"/>
  <c r="Z37" i="53"/>
  <c r="Y37" i="53"/>
  <c r="Z36" i="53"/>
  <c r="Y36" i="53"/>
  <c r="Z35" i="53"/>
  <c r="Y35" i="53"/>
  <c r="Z34" i="53"/>
  <c r="Y34" i="53"/>
  <c r="Z33" i="53"/>
  <c r="Y33" i="53"/>
  <c r="Z32" i="53"/>
  <c r="Y32" i="53"/>
  <c r="Z30" i="53"/>
  <c r="Y30" i="53"/>
  <c r="Z27" i="53"/>
  <c r="Y27" i="53"/>
  <c r="Z26" i="53"/>
  <c r="Y26" i="53"/>
  <c r="Z23" i="53"/>
  <c r="Y23" i="53"/>
  <c r="Z22" i="53"/>
  <c r="Y22" i="53"/>
  <c r="Z20" i="53"/>
  <c r="Y20" i="53"/>
  <c r="Z19" i="53"/>
  <c r="Y19" i="53"/>
  <c r="Z16" i="53"/>
  <c r="Y16" i="53"/>
  <c r="Z15" i="53"/>
  <c r="Y15" i="53"/>
  <c r="Z14" i="53"/>
  <c r="Y14" i="53"/>
  <c r="Z13" i="53"/>
  <c r="Y13" i="53"/>
  <c r="R92" i="53"/>
  <c r="Q92" i="53"/>
  <c r="R87" i="53"/>
  <c r="Q87" i="53"/>
  <c r="R86" i="53"/>
  <c r="Q86" i="53"/>
  <c r="R85" i="53"/>
  <c r="Q85" i="53"/>
  <c r="R84" i="53"/>
  <c r="Q84" i="53"/>
  <c r="R82" i="53"/>
  <c r="Q82" i="53"/>
  <c r="R81" i="53"/>
  <c r="Q81" i="53"/>
  <c r="R80" i="53"/>
  <c r="Q80" i="53"/>
  <c r="R79" i="53"/>
  <c r="Q79" i="53"/>
  <c r="R78" i="53"/>
  <c r="Q78" i="53"/>
  <c r="R77" i="53"/>
  <c r="Q77" i="53"/>
  <c r="R75" i="53"/>
  <c r="Q75" i="53"/>
  <c r="R72" i="53"/>
  <c r="Q72" i="53"/>
  <c r="R71" i="53"/>
  <c r="Q71" i="53"/>
  <c r="R62" i="53"/>
  <c r="Q62" i="53"/>
  <c r="R54" i="53"/>
  <c r="Q54" i="53"/>
  <c r="R53" i="53"/>
  <c r="Q53" i="53"/>
  <c r="R52" i="53"/>
  <c r="Q52" i="53"/>
  <c r="R47" i="53"/>
  <c r="Q47" i="53"/>
  <c r="R46" i="53"/>
  <c r="Q46" i="53"/>
  <c r="R45" i="53"/>
  <c r="Q45" i="53"/>
  <c r="R44" i="53"/>
  <c r="Q44" i="53"/>
  <c r="R43" i="53"/>
  <c r="Q43" i="53"/>
  <c r="R42" i="53"/>
  <c r="Q42" i="53"/>
  <c r="R41" i="53"/>
  <c r="Q41" i="53"/>
  <c r="R40" i="53"/>
  <c r="Q40" i="53"/>
  <c r="R39" i="53"/>
  <c r="Q39" i="53"/>
  <c r="R37" i="53"/>
  <c r="Q37" i="53"/>
  <c r="R36" i="53"/>
  <c r="Q36" i="53"/>
  <c r="R35" i="53"/>
  <c r="Q35" i="53"/>
  <c r="R34" i="53"/>
  <c r="Q34" i="53"/>
  <c r="R33" i="53"/>
  <c r="Q33" i="53"/>
  <c r="R32" i="53"/>
  <c r="Q32" i="53"/>
  <c r="R30" i="53"/>
  <c r="Q30" i="53"/>
  <c r="R28" i="53"/>
  <c r="Q28" i="53"/>
  <c r="R27" i="53"/>
  <c r="Q27" i="53"/>
  <c r="R26" i="53"/>
  <c r="Q26" i="53"/>
  <c r="R23" i="53"/>
  <c r="Q23" i="53"/>
  <c r="R22" i="53"/>
  <c r="Q22" i="53"/>
  <c r="R20" i="53"/>
  <c r="Q20" i="53"/>
  <c r="R19" i="53"/>
  <c r="Q19" i="53"/>
  <c r="R16" i="53"/>
  <c r="Q16" i="53"/>
  <c r="R15" i="53"/>
  <c r="Q15" i="53"/>
  <c r="R14" i="53"/>
  <c r="Q14" i="53"/>
  <c r="R13" i="53"/>
  <c r="Q13" i="53"/>
  <c r="J92" i="53"/>
  <c r="J87" i="53"/>
  <c r="J86" i="53"/>
  <c r="J85" i="53"/>
  <c r="J84" i="53"/>
  <c r="J82" i="53"/>
  <c r="J81" i="53"/>
  <c r="J80" i="53"/>
  <c r="J79" i="53"/>
  <c r="J78" i="53"/>
  <c r="J77" i="53"/>
  <c r="J75" i="53"/>
  <c r="J73" i="53"/>
  <c r="J72" i="53"/>
  <c r="J71" i="53"/>
  <c r="J62" i="53"/>
  <c r="J54" i="53"/>
  <c r="J53" i="53"/>
  <c r="J52" i="53"/>
  <c r="J47" i="53"/>
  <c r="J46" i="53"/>
  <c r="J45" i="53"/>
  <c r="J44" i="53"/>
  <c r="J43" i="53"/>
  <c r="J42" i="53"/>
  <c r="J41" i="53"/>
  <c r="J40" i="53"/>
  <c r="J39" i="53"/>
  <c r="J37" i="53"/>
  <c r="J36" i="53"/>
  <c r="J35" i="53"/>
  <c r="J34" i="53"/>
  <c r="J33" i="53"/>
  <c r="J32" i="53"/>
  <c r="J31" i="53"/>
  <c r="J30" i="53"/>
  <c r="J28" i="53"/>
  <c r="J27" i="53"/>
  <c r="J26" i="53"/>
  <c r="J23" i="53"/>
  <c r="J22" i="53"/>
  <c r="J20" i="53"/>
  <c r="J19" i="53"/>
  <c r="J16" i="53"/>
  <c r="J15" i="53"/>
  <c r="J14" i="53"/>
  <c r="J13" i="53"/>
  <c r="I92" i="53"/>
  <c r="I87" i="53"/>
  <c r="I86" i="53"/>
  <c r="I85" i="53"/>
  <c r="I84" i="53"/>
  <c r="I82" i="53"/>
  <c r="I81" i="53"/>
  <c r="I80" i="53"/>
  <c r="I79" i="53"/>
  <c r="I78" i="53"/>
  <c r="I77" i="53"/>
  <c r="I75" i="53"/>
  <c r="I73" i="53"/>
  <c r="I72" i="53"/>
  <c r="I71" i="53"/>
  <c r="I62" i="53"/>
  <c r="I54" i="53"/>
  <c r="I53" i="53"/>
  <c r="I52" i="53"/>
  <c r="I47" i="53"/>
  <c r="I46" i="53"/>
  <c r="I45" i="53"/>
  <c r="I44" i="53"/>
  <c r="I43" i="53"/>
  <c r="I42" i="53"/>
  <c r="I41" i="53"/>
  <c r="I40" i="53"/>
  <c r="I39" i="53"/>
  <c r="I37" i="53"/>
  <c r="I36" i="53"/>
  <c r="I35" i="53"/>
  <c r="I34" i="53"/>
  <c r="I33" i="53"/>
  <c r="I32" i="53"/>
  <c r="I31" i="53"/>
  <c r="I30" i="53"/>
  <c r="I28" i="53"/>
  <c r="I27" i="53"/>
  <c r="I26" i="53"/>
  <c r="I23" i="53"/>
  <c r="I22" i="53"/>
  <c r="I20" i="53"/>
  <c r="I19" i="53"/>
  <c r="I15" i="53"/>
  <c r="I14" i="53"/>
  <c r="I13" i="53"/>
  <c r="C104" i="53"/>
  <c r="K105" i="53"/>
  <c r="L105" i="53"/>
  <c r="M105" i="53"/>
  <c r="N105" i="53"/>
  <c r="O105" i="53"/>
  <c r="P105" i="53"/>
  <c r="S108" i="53"/>
  <c r="T108" i="53"/>
  <c r="U108" i="53"/>
  <c r="V108" i="53"/>
  <c r="W108" i="53"/>
  <c r="X108" i="53"/>
  <c r="K92" i="74" l="1"/>
  <c r="K95" i="74"/>
  <c r="K23" i="74"/>
  <c r="K26" i="74"/>
  <c r="AC4" i="79"/>
  <c r="F35" i="78"/>
  <c r="T22" i="2"/>
  <c r="AE17" i="78"/>
  <c r="T9" i="2"/>
  <c r="AF4" i="78"/>
  <c r="N91" i="67"/>
  <c r="H4" i="78"/>
  <c r="AC8" i="79"/>
  <c r="AC7" i="79" s="1"/>
  <c r="F52" i="78"/>
  <c r="AF14" i="78"/>
  <c r="T19" i="2"/>
  <c r="J19" i="2"/>
  <c r="H6" i="78"/>
  <c r="AC13" i="79"/>
  <c r="AC12" i="79" s="1"/>
  <c r="F57" i="78"/>
  <c r="K71" i="74"/>
  <c r="K74" i="74" s="1"/>
  <c r="K59" i="74"/>
  <c r="J14" i="1"/>
  <c r="J22" i="2" s="1"/>
  <c r="AG17" i="78" s="1"/>
  <c r="K127" i="74"/>
  <c r="K126" i="74"/>
  <c r="J13" i="2"/>
  <c r="AG8" i="78" s="1"/>
  <c r="J9" i="2"/>
  <c r="J114" i="74"/>
  <c r="J111" i="74"/>
  <c r="S22" i="2"/>
  <c r="H55" i="65"/>
  <c r="J112" i="74"/>
  <c r="J115" i="74"/>
  <c r="H22" i="65"/>
  <c r="J113" i="74"/>
  <c r="J110" i="74"/>
  <c r="H50" i="65"/>
  <c r="J16" i="1"/>
  <c r="K35" i="74"/>
  <c r="K39" i="74" s="1"/>
  <c r="I20" i="65" s="1"/>
  <c r="K104" i="74"/>
  <c r="K107" i="74" s="1"/>
  <c r="B27" i="73"/>
  <c r="B28" i="73"/>
  <c r="B26" i="73"/>
  <c r="B53" i="73"/>
  <c r="B54" i="73"/>
  <c r="B52" i="73"/>
  <c r="B85" i="73"/>
  <c r="B86" i="73"/>
  <c r="B87" i="73"/>
  <c r="B84" i="73"/>
  <c r="L9" i="73"/>
  <c r="J9" i="73"/>
  <c r="H9" i="73"/>
  <c r="F9" i="73"/>
  <c r="AD13" i="79" l="1"/>
  <c r="AD12" i="79" s="1"/>
  <c r="G57" i="78"/>
  <c r="U9" i="2"/>
  <c r="AG4" i="78"/>
  <c r="N93" i="67"/>
  <c r="O91" i="67"/>
  <c r="O93" i="67" s="1"/>
  <c r="AD4" i="79"/>
  <c r="G35" i="78"/>
  <c r="AD8" i="79"/>
  <c r="AD7" i="79" s="1"/>
  <c r="G52" i="78"/>
  <c r="AG14" i="78"/>
  <c r="U19" i="2"/>
  <c r="V19" i="2"/>
  <c r="V9" i="2"/>
  <c r="K114" i="74"/>
  <c r="K111" i="74"/>
  <c r="I55" i="65"/>
  <c r="K112" i="74"/>
  <c r="K115" i="74"/>
  <c r="I22" i="65"/>
  <c r="K113" i="74"/>
  <c r="K110" i="74"/>
  <c r="V22" i="2"/>
  <c r="U22" i="2"/>
  <c r="I50" i="65"/>
  <c r="AE4" i="79" l="1"/>
  <c r="H35" i="78"/>
  <c r="AE8" i="79"/>
  <c r="AE7" i="79" s="1"/>
  <c r="H52" i="78"/>
  <c r="AE13" i="79"/>
  <c r="AE12" i="79" s="1"/>
  <c r="H57" i="78"/>
  <c r="J60" i="39"/>
  <c r="K60" i="39"/>
  <c r="L60" i="39"/>
  <c r="M60" i="39"/>
  <c r="N60" i="39"/>
  <c r="I60" i="39"/>
  <c r="I61" i="39" s="1"/>
  <c r="R15" i="78" s="1"/>
  <c r="O59" i="39"/>
  <c r="O58" i="39"/>
  <c r="O57" i="39"/>
  <c r="J48" i="39"/>
  <c r="K48" i="39"/>
  <c r="L48" i="39"/>
  <c r="M48" i="39"/>
  <c r="N48" i="39"/>
  <c r="I48" i="39"/>
  <c r="O47" i="39"/>
  <c r="O46" i="39"/>
  <c r="O45" i="39"/>
  <c r="J36" i="39"/>
  <c r="K36" i="39"/>
  <c r="L36" i="39"/>
  <c r="M36" i="39"/>
  <c r="N36" i="39"/>
  <c r="I36" i="39"/>
  <c r="O35" i="39"/>
  <c r="O33" i="39"/>
  <c r="J13" i="39"/>
  <c r="K13" i="39"/>
  <c r="L13" i="39"/>
  <c r="M13" i="39"/>
  <c r="N13" i="39"/>
  <c r="J25" i="39"/>
  <c r="K25" i="39"/>
  <c r="L25" i="39"/>
  <c r="M25" i="39"/>
  <c r="N25" i="39"/>
  <c r="I25" i="39"/>
  <c r="O24" i="39"/>
  <c r="O23" i="39"/>
  <c r="O22" i="39"/>
  <c r="O12" i="39"/>
  <c r="O11" i="39"/>
  <c r="I72" i="39" l="1"/>
  <c r="D82" i="39"/>
  <c r="E82" i="39"/>
  <c r="F82" i="39"/>
  <c r="G82" i="39"/>
  <c r="H82" i="39"/>
  <c r="C82" i="39"/>
  <c r="AV90" i="53" l="1"/>
  <c r="AU90" i="53"/>
  <c r="AT90" i="53"/>
  <c r="AS90" i="53"/>
  <c r="AR90" i="53"/>
  <c r="AQ90" i="53"/>
  <c r="AQ17" i="53" l="1"/>
  <c r="G35" i="48" l="1"/>
  <c r="F35" i="48"/>
  <c r="E35" i="48"/>
  <c r="D35" i="48"/>
  <c r="C35" i="48"/>
  <c r="B35" i="48"/>
  <c r="B34" i="48" s="1"/>
  <c r="Y24" i="73" l="1"/>
  <c r="AN64" i="53"/>
  <c r="AM64" i="53"/>
  <c r="AL64" i="53"/>
  <c r="AK64" i="53"/>
  <c r="AJ64" i="53"/>
  <c r="AF64" i="53"/>
  <c r="AE64" i="53"/>
  <c r="AD64" i="53"/>
  <c r="AC64" i="53"/>
  <c r="AB64" i="53"/>
  <c r="AA64" i="53"/>
  <c r="X64" i="53"/>
  <c r="W64" i="53"/>
  <c r="V64" i="53"/>
  <c r="U64" i="53"/>
  <c r="T64" i="53"/>
  <c r="S64" i="53"/>
  <c r="O64" i="53"/>
  <c r="N64" i="53"/>
  <c r="M64" i="53"/>
  <c r="L64" i="53"/>
  <c r="K64" i="53"/>
  <c r="H64" i="53"/>
  <c r="Y64" i="73" l="1"/>
  <c r="AJ64" i="73"/>
  <c r="N64" i="73"/>
  <c r="AI64" i="53"/>
  <c r="AV64" i="73" s="1"/>
  <c r="AG64" i="73"/>
  <c r="AF64" i="73"/>
  <c r="AA64" i="73"/>
  <c r="Z64" i="73"/>
  <c r="AT64" i="73"/>
  <c r="AS64" i="73"/>
  <c r="Q64" i="73"/>
  <c r="R64" i="73"/>
  <c r="AC64" i="73"/>
  <c r="AB64" i="73"/>
  <c r="AN64" i="73"/>
  <c r="AM64" i="73"/>
  <c r="AG24" i="73"/>
  <c r="AF24" i="73"/>
  <c r="U64" i="73"/>
  <c r="V64" i="73"/>
  <c r="AQ64" i="73"/>
  <c r="AR64" i="73"/>
  <c r="AC24" i="73"/>
  <c r="AB24" i="73"/>
  <c r="P64" i="73"/>
  <c r="O64" i="73"/>
  <c r="AH64" i="73"/>
  <c r="AI64" i="73"/>
  <c r="AL64" i="73"/>
  <c r="AK64" i="73"/>
  <c r="AD24" i="73"/>
  <c r="AE24" i="73"/>
  <c r="T64" i="73"/>
  <c r="S64" i="73"/>
  <c r="AD64" i="73"/>
  <c r="AE64" i="73"/>
  <c r="AP64" i="73"/>
  <c r="AO64" i="73"/>
  <c r="AA24" i="73"/>
  <c r="Z24" i="73"/>
  <c r="AH24" i="73"/>
  <c r="AI24" i="73"/>
  <c r="AM39" i="60"/>
  <c r="AO43" i="60"/>
  <c r="E64" i="53"/>
  <c r="AM43" i="60"/>
  <c r="C64" i="53"/>
  <c r="AQ43" i="60"/>
  <c r="G64" i="53"/>
  <c r="AP39" i="60"/>
  <c r="AN43" i="60"/>
  <c r="D64" i="53"/>
  <c r="AU43" i="60"/>
  <c r="P64" i="53"/>
  <c r="AQ39" i="60"/>
  <c r="AT39" i="60"/>
  <c r="AP43" i="60"/>
  <c r="F64" i="53"/>
  <c r="AR43" i="60"/>
  <c r="AT43" i="60"/>
  <c r="AU39" i="60"/>
  <c r="AO39" i="60"/>
  <c r="AN39" i="60"/>
  <c r="AR39" i="60"/>
  <c r="BH64" i="53"/>
  <c r="Y64" i="53"/>
  <c r="Z64" i="53"/>
  <c r="AH64" i="53"/>
  <c r="AG64" i="53"/>
  <c r="Y24" i="53"/>
  <c r="Z24" i="53"/>
  <c r="AS42" i="60"/>
  <c r="AS46" i="60"/>
  <c r="AU64" i="73" l="1"/>
  <c r="C64" i="73"/>
  <c r="BD64" i="73"/>
  <c r="AZ64" i="73"/>
  <c r="AY64" i="73"/>
  <c r="BC64" i="73"/>
  <c r="AP64" i="53"/>
  <c r="AW64" i="73"/>
  <c r="AX64" i="73"/>
  <c r="BE64" i="73"/>
  <c r="AO64" i="53"/>
  <c r="BA64" i="73"/>
  <c r="BB64" i="73"/>
  <c r="BF64" i="53"/>
  <c r="I64" i="73"/>
  <c r="H64" i="73"/>
  <c r="R64" i="53"/>
  <c r="X64" i="73"/>
  <c r="W64" i="73"/>
  <c r="L64" i="73"/>
  <c r="BD64" i="53"/>
  <c r="E64" i="73"/>
  <c r="D64" i="73"/>
  <c r="BG64" i="53"/>
  <c r="K64" i="73"/>
  <c r="J64" i="73"/>
  <c r="BE64" i="53"/>
  <c r="G64" i="73"/>
  <c r="F64" i="73"/>
  <c r="M64" i="73"/>
  <c r="J64" i="53"/>
  <c r="BB64" i="53"/>
  <c r="AW64" i="53"/>
  <c r="AX64" i="53"/>
  <c r="BC64" i="53"/>
  <c r="AY64" i="53"/>
  <c r="I64" i="53"/>
  <c r="Q64" i="53"/>
  <c r="BA64" i="53"/>
  <c r="AZ64" i="53"/>
  <c r="AS43" i="60"/>
  <c r="AH213" i="50" l="1"/>
  <c r="AI213" i="50" s="1"/>
  <c r="AJ213" i="50" s="1"/>
  <c r="AK213" i="50" s="1"/>
  <c r="AL213" i="50" s="1"/>
  <c r="AM213" i="50" s="1"/>
  <c r="AA213" i="50"/>
  <c r="AB213" i="50" s="1"/>
  <c r="AC213" i="50" s="1"/>
  <c r="AD213" i="50" s="1"/>
  <c r="AE213" i="50" s="1"/>
  <c r="AF213" i="50" s="1"/>
  <c r="T213" i="50"/>
  <c r="U213" i="50" s="1"/>
  <c r="V213" i="50" s="1"/>
  <c r="W213" i="50" s="1"/>
  <c r="X213" i="50" s="1"/>
  <c r="Y213" i="50" s="1"/>
  <c r="M213" i="50"/>
  <c r="N213" i="50" s="1"/>
  <c r="O213" i="50" s="1"/>
  <c r="P213" i="50" s="1"/>
  <c r="Q213" i="50" s="1"/>
  <c r="R213" i="50" s="1"/>
  <c r="F213" i="50"/>
  <c r="G213" i="50" s="1"/>
  <c r="H213" i="50" s="1"/>
  <c r="I213" i="50" s="1"/>
  <c r="J213" i="50" s="1"/>
  <c r="K213" i="50" s="1"/>
  <c r="AH212" i="50"/>
  <c r="AI212" i="50" s="1"/>
  <c r="AJ212" i="50" s="1"/>
  <c r="AK212" i="50" s="1"/>
  <c r="AL212" i="50" s="1"/>
  <c r="AM212" i="50" s="1"/>
  <c r="AA212" i="50"/>
  <c r="AB212" i="50" s="1"/>
  <c r="AC212" i="50" s="1"/>
  <c r="AD212" i="50" s="1"/>
  <c r="AE212" i="50" s="1"/>
  <c r="AF212" i="50" s="1"/>
  <c r="T212" i="50"/>
  <c r="U212" i="50" s="1"/>
  <c r="V212" i="50" s="1"/>
  <c r="W212" i="50" s="1"/>
  <c r="X212" i="50" s="1"/>
  <c r="Y212" i="50" s="1"/>
  <c r="M212" i="50"/>
  <c r="N212" i="50" s="1"/>
  <c r="O212" i="50" s="1"/>
  <c r="P212" i="50" s="1"/>
  <c r="Q212" i="50" s="1"/>
  <c r="R212" i="50" s="1"/>
  <c r="AH211" i="50"/>
  <c r="AI211" i="50" s="1"/>
  <c r="AJ211" i="50" s="1"/>
  <c r="AK211" i="50" s="1"/>
  <c r="AL211" i="50" s="1"/>
  <c r="AM211" i="50" s="1"/>
  <c r="AA211" i="50"/>
  <c r="AB211" i="50" s="1"/>
  <c r="AC211" i="50" s="1"/>
  <c r="AD211" i="50" s="1"/>
  <c r="AE211" i="50" s="1"/>
  <c r="AF211" i="50" s="1"/>
  <c r="T211" i="50"/>
  <c r="U211" i="50" s="1"/>
  <c r="V211" i="50" s="1"/>
  <c r="W211" i="50" s="1"/>
  <c r="X211" i="50" s="1"/>
  <c r="Y211" i="50" s="1"/>
  <c r="M211" i="50"/>
  <c r="N211" i="50" s="1"/>
  <c r="O211" i="50" s="1"/>
  <c r="P211" i="50" s="1"/>
  <c r="Q211" i="50" s="1"/>
  <c r="R211" i="50" s="1"/>
  <c r="AH210" i="50"/>
  <c r="AI210" i="50" s="1"/>
  <c r="AJ210" i="50" s="1"/>
  <c r="AK210" i="50" s="1"/>
  <c r="AL210" i="50" s="1"/>
  <c r="AM210" i="50" s="1"/>
  <c r="AA210" i="50"/>
  <c r="AB210" i="50" s="1"/>
  <c r="AC210" i="50" s="1"/>
  <c r="AD210" i="50" s="1"/>
  <c r="AE210" i="50" s="1"/>
  <c r="AF210" i="50" s="1"/>
  <c r="M210" i="50"/>
  <c r="N210" i="50" s="1"/>
  <c r="O210" i="50" s="1"/>
  <c r="P210" i="50" s="1"/>
  <c r="Q210" i="50" s="1"/>
  <c r="R210" i="50" s="1"/>
  <c r="F210" i="50"/>
  <c r="G210" i="50" s="1"/>
  <c r="H210" i="50" s="1"/>
  <c r="I210" i="50" s="1"/>
  <c r="J210" i="50" s="1"/>
  <c r="K210" i="50" s="1"/>
  <c r="AH209" i="50"/>
  <c r="AI209" i="50" s="1"/>
  <c r="AJ209" i="50" s="1"/>
  <c r="AK209" i="50" s="1"/>
  <c r="AL209" i="50" s="1"/>
  <c r="AM209" i="50" s="1"/>
  <c r="AA209" i="50"/>
  <c r="AB209" i="50" s="1"/>
  <c r="AC209" i="50" s="1"/>
  <c r="AD209" i="50" s="1"/>
  <c r="AE209" i="50" s="1"/>
  <c r="AF209" i="50" s="1"/>
  <c r="T209" i="50"/>
  <c r="U209" i="50" s="1"/>
  <c r="V209" i="50" s="1"/>
  <c r="W209" i="50" s="1"/>
  <c r="X209" i="50" s="1"/>
  <c r="Y209" i="50" s="1"/>
  <c r="F209" i="50"/>
  <c r="G209" i="50" s="1"/>
  <c r="H209" i="50" s="1"/>
  <c r="I209" i="50" s="1"/>
  <c r="J209" i="50" s="1"/>
  <c r="K209" i="50" s="1"/>
  <c r="AH208" i="50"/>
  <c r="AI208" i="50" s="1"/>
  <c r="AJ208" i="50" s="1"/>
  <c r="AK208" i="50" s="1"/>
  <c r="AL208" i="50" s="1"/>
  <c r="AM208" i="50" s="1"/>
  <c r="AA208" i="50"/>
  <c r="AB208" i="50" s="1"/>
  <c r="AC208" i="50" s="1"/>
  <c r="AD208" i="50" s="1"/>
  <c r="AE208" i="50" s="1"/>
  <c r="AF208" i="50" s="1"/>
  <c r="T208" i="50"/>
  <c r="U208" i="50" s="1"/>
  <c r="V208" i="50" s="1"/>
  <c r="W208" i="50" s="1"/>
  <c r="X208" i="50" s="1"/>
  <c r="Y208" i="50" s="1"/>
  <c r="M208" i="50"/>
  <c r="N208" i="50" s="1"/>
  <c r="O208" i="50" s="1"/>
  <c r="P208" i="50" s="1"/>
  <c r="Q208" i="50" s="1"/>
  <c r="R208" i="50" s="1"/>
  <c r="AH207" i="50"/>
  <c r="AI207" i="50" s="1"/>
  <c r="AJ207" i="50" s="1"/>
  <c r="AK207" i="50" s="1"/>
  <c r="AL207" i="50" s="1"/>
  <c r="AM207" i="50" s="1"/>
  <c r="AA207" i="50"/>
  <c r="AB207" i="50" s="1"/>
  <c r="AC207" i="50" s="1"/>
  <c r="AD207" i="50" s="1"/>
  <c r="AE207" i="50" s="1"/>
  <c r="AF207" i="50" s="1"/>
  <c r="T207" i="50"/>
  <c r="U207" i="50" s="1"/>
  <c r="V207" i="50" s="1"/>
  <c r="W207" i="50" s="1"/>
  <c r="X207" i="50" s="1"/>
  <c r="Y207" i="50" s="1"/>
  <c r="M207" i="50"/>
  <c r="N207" i="50" s="1"/>
  <c r="O207" i="50" s="1"/>
  <c r="P207" i="50" s="1"/>
  <c r="Q207" i="50" s="1"/>
  <c r="R207" i="50" s="1"/>
  <c r="AH206" i="50"/>
  <c r="AI206" i="50" s="1"/>
  <c r="AJ206" i="50" s="1"/>
  <c r="AK206" i="50" s="1"/>
  <c r="AL206" i="50" s="1"/>
  <c r="AM206" i="50" s="1"/>
  <c r="AA206" i="50"/>
  <c r="AB206" i="50" s="1"/>
  <c r="AC206" i="50" s="1"/>
  <c r="AD206" i="50" s="1"/>
  <c r="AE206" i="50" s="1"/>
  <c r="AF206" i="50" s="1"/>
  <c r="T206" i="50"/>
  <c r="U206" i="50" s="1"/>
  <c r="V206" i="50" s="1"/>
  <c r="W206" i="50" s="1"/>
  <c r="X206" i="50" s="1"/>
  <c r="Y206" i="50" s="1"/>
  <c r="M206" i="50"/>
  <c r="N206" i="50" s="1"/>
  <c r="O206" i="50" s="1"/>
  <c r="P206" i="50" s="1"/>
  <c r="Q206" i="50" s="1"/>
  <c r="R206" i="50" s="1"/>
  <c r="F206" i="50"/>
  <c r="G206" i="50" s="1"/>
  <c r="H206" i="50" s="1"/>
  <c r="I206" i="50" s="1"/>
  <c r="J206" i="50" s="1"/>
  <c r="K206" i="50" s="1"/>
  <c r="AH205" i="50"/>
  <c r="AI205" i="50" s="1"/>
  <c r="AJ205" i="50" s="1"/>
  <c r="AK205" i="50" s="1"/>
  <c r="AL205" i="50" s="1"/>
  <c r="AM205" i="50" s="1"/>
  <c r="AA205" i="50"/>
  <c r="AB205" i="50" s="1"/>
  <c r="AC205" i="50" s="1"/>
  <c r="AD205" i="50" s="1"/>
  <c r="AE205" i="50" s="1"/>
  <c r="AF205" i="50" s="1"/>
  <c r="T205" i="50"/>
  <c r="U205" i="50" s="1"/>
  <c r="V205" i="50" s="1"/>
  <c r="W205" i="50" s="1"/>
  <c r="X205" i="50" s="1"/>
  <c r="Y205" i="50" s="1"/>
  <c r="M205" i="50"/>
  <c r="N205" i="50" s="1"/>
  <c r="O205" i="50" s="1"/>
  <c r="P205" i="50" s="1"/>
  <c r="Q205" i="50" s="1"/>
  <c r="R205" i="50" s="1"/>
  <c r="AH204" i="50"/>
  <c r="AI204" i="50" s="1"/>
  <c r="AJ204" i="50" s="1"/>
  <c r="AK204" i="50" s="1"/>
  <c r="AL204" i="50" s="1"/>
  <c r="AM204" i="50" s="1"/>
  <c r="AA204" i="50"/>
  <c r="AB204" i="50" s="1"/>
  <c r="AC204" i="50" s="1"/>
  <c r="AD204" i="50" s="1"/>
  <c r="AE204" i="50" s="1"/>
  <c r="AF204" i="50" s="1"/>
  <c r="T204" i="50"/>
  <c r="U204" i="50" s="1"/>
  <c r="V204" i="50" s="1"/>
  <c r="W204" i="50" s="1"/>
  <c r="X204" i="50" s="1"/>
  <c r="Y204" i="50" s="1"/>
  <c r="M204" i="50"/>
  <c r="N204" i="50" s="1"/>
  <c r="O204" i="50" s="1"/>
  <c r="P204" i="50" s="1"/>
  <c r="Q204" i="50" s="1"/>
  <c r="R204" i="50" s="1"/>
  <c r="F204" i="50"/>
  <c r="G204" i="50" s="1"/>
  <c r="H204" i="50" s="1"/>
  <c r="I204" i="50" s="1"/>
  <c r="J204" i="50" s="1"/>
  <c r="K204" i="50" s="1"/>
  <c r="AH203" i="50"/>
  <c r="AI203" i="50" s="1"/>
  <c r="AJ203" i="50" s="1"/>
  <c r="AK203" i="50" s="1"/>
  <c r="AL203" i="50" s="1"/>
  <c r="AM203" i="50" s="1"/>
  <c r="AA203" i="50"/>
  <c r="AB203" i="50" s="1"/>
  <c r="AC203" i="50" s="1"/>
  <c r="AD203" i="50" s="1"/>
  <c r="AE203" i="50" s="1"/>
  <c r="AF203" i="50" s="1"/>
  <c r="T203" i="50"/>
  <c r="U203" i="50" s="1"/>
  <c r="V203" i="50" s="1"/>
  <c r="W203" i="50" s="1"/>
  <c r="X203" i="50" s="1"/>
  <c r="Y203" i="50" s="1"/>
  <c r="M203" i="50"/>
  <c r="N203" i="50" s="1"/>
  <c r="O203" i="50" s="1"/>
  <c r="P203" i="50" s="1"/>
  <c r="Q203" i="50" s="1"/>
  <c r="R203" i="50" s="1"/>
  <c r="AH202" i="50"/>
  <c r="AI202" i="50" s="1"/>
  <c r="AJ202" i="50" s="1"/>
  <c r="AK202" i="50" s="1"/>
  <c r="AL202" i="50" s="1"/>
  <c r="AM202" i="50" s="1"/>
  <c r="AA202" i="50"/>
  <c r="AB202" i="50" s="1"/>
  <c r="AC202" i="50" s="1"/>
  <c r="AD202" i="50" s="1"/>
  <c r="AE202" i="50" s="1"/>
  <c r="AF202" i="50" s="1"/>
  <c r="T202" i="50"/>
  <c r="U202" i="50" s="1"/>
  <c r="V202" i="50" s="1"/>
  <c r="W202" i="50" s="1"/>
  <c r="X202" i="50" s="1"/>
  <c r="Y202" i="50" s="1"/>
  <c r="M202" i="50"/>
  <c r="N202" i="50" s="1"/>
  <c r="O202" i="50" s="1"/>
  <c r="P202" i="50" s="1"/>
  <c r="Q202" i="50" s="1"/>
  <c r="R202" i="50" s="1"/>
  <c r="AH201" i="50"/>
  <c r="AI201" i="50" s="1"/>
  <c r="AJ201" i="50" s="1"/>
  <c r="AK201" i="50" s="1"/>
  <c r="AL201" i="50" s="1"/>
  <c r="AM201" i="50" s="1"/>
  <c r="AA201" i="50"/>
  <c r="AB201" i="50" s="1"/>
  <c r="AC201" i="50" s="1"/>
  <c r="AD201" i="50" s="1"/>
  <c r="AE201" i="50" s="1"/>
  <c r="AF201" i="50" s="1"/>
  <c r="T201" i="50"/>
  <c r="U201" i="50" s="1"/>
  <c r="V201" i="50" s="1"/>
  <c r="W201" i="50" s="1"/>
  <c r="X201" i="50" s="1"/>
  <c r="Y201" i="50" s="1"/>
  <c r="M201" i="50"/>
  <c r="N201" i="50" s="1"/>
  <c r="O201" i="50" s="1"/>
  <c r="P201" i="50" s="1"/>
  <c r="Q201" i="50" s="1"/>
  <c r="R201" i="50" s="1"/>
  <c r="AH200" i="50"/>
  <c r="AI200" i="50" s="1"/>
  <c r="AJ200" i="50" s="1"/>
  <c r="AK200" i="50" s="1"/>
  <c r="AL200" i="50" s="1"/>
  <c r="AM200" i="50" s="1"/>
  <c r="AA200" i="50"/>
  <c r="AB200" i="50" s="1"/>
  <c r="AC200" i="50" s="1"/>
  <c r="AD200" i="50" s="1"/>
  <c r="AE200" i="50" s="1"/>
  <c r="AF200" i="50" s="1"/>
  <c r="T200" i="50"/>
  <c r="U200" i="50" s="1"/>
  <c r="V200" i="50" s="1"/>
  <c r="W200" i="50" s="1"/>
  <c r="X200" i="50" s="1"/>
  <c r="Y200" i="50" s="1"/>
  <c r="M200" i="50"/>
  <c r="N200" i="50" s="1"/>
  <c r="O200" i="50" s="1"/>
  <c r="P200" i="50" s="1"/>
  <c r="Q200" i="50" s="1"/>
  <c r="R200" i="50" s="1"/>
  <c r="F200" i="50"/>
  <c r="G200" i="50" s="1"/>
  <c r="H200" i="50" s="1"/>
  <c r="I200" i="50" s="1"/>
  <c r="J200" i="50" s="1"/>
  <c r="K200" i="50" s="1"/>
  <c r="AH199" i="50"/>
  <c r="AI199" i="50" s="1"/>
  <c r="AJ199" i="50" s="1"/>
  <c r="AK199" i="50" s="1"/>
  <c r="AL199" i="50" s="1"/>
  <c r="AM199" i="50" s="1"/>
  <c r="AA199" i="50"/>
  <c r="AB199" i="50" s="1"/>
  <c r="AC199" i="50" s="1"/>
  <c r="AD199" i="50" s="1"/>
  <c r="AE199" i="50" s="1"/>
  <c r="AF199" i="50" s="1"/>
  <c r="T199" i="50"/>
  <c r="U199" i="50" s="1"/>
  <c r="V199" i="50" s="1"/>
  <c r="W199" i="50" s="1"/>
  <c r="X199" i="50" s="1"/>
  <c r="Y199" i="50" s="1"/>
  <c r="M199" i="50"/>
  <c r="N199" i="50" s="1"/>
  <c r="O199" i="50" s="1"/>
  <c r="P199" i="50" s="1"/>
  <c r="Q199" i="50" s="1"/>
  <c r="R199" i="50" s="1"/>
  <c r="AH198" i="50"/>
  <c r="AI198" i="50" s="1"/>
  <c r="AJ198" i="50" s="1"/>
  <c r="AK198" i="50" s="1"/>
  <c r="AL198" i="50" s="1"/>
  <c r="AM198" i="50" s="1"/>
  <c r="AA198" i="50"/>
  <c r="AB198" i="50" s="1"/>
  <c r="AC198" i="50" s="1"/>
  <c r="AD198" i="50" s="1"/>
  <c r="AE198" i="50" s="1"/>
  <c r="AF198" i="50" s="1"/>
  <c r="T198" i="50"/>
  <c r="U198" i="50" s="1"/>
  <c r="V198" i="50" s="1"/>
  <c r="W198" i="50" s="1"/>
  <c r="X198" i="50" s="1"/>
  <c r="Y198" i="50" s="1"/>
  <c r="M198" i="50"/>
  <c r="N198" i="50" s="1"/>
  <c r="O198" i="50" s="1"/>
  <c r="P198" i="50" s="1"/>
  <c r="Q198" i="50" s="1"/>
  <c r="R198" i="50" s="1"/>
  <c r="AH197" i="50"/>
  <c r="AI197" i="50" s="1"/>
  <c r="AJ197" i="50" s="1"/>
  <c r="AK197" i="50" s="1"/>
  <c r="AL197" i="50" s="1"/>
  <c r="AM197" i="50" s="1"/>
  <c r="AA197" i="50"/>
  <c r="AB197" i="50" s="1"/>
  <c r="AC197" i="50" s="1"/>
  <c r="AD197" i="50" s="1"/>
  <c r="AE197" i="50" s="1"/>
  <c r="AF197" i="50" s="1"/>
  <c r="T197" i="50"/>
  <c r="U197" i="50" s="1"/>
  <c r="V197" i="50" s="1"/>
  <c r="W197" i="50" s="1"/>
  <c r="X197" i="50" s="1"/>
  <c r="Y197" i="50" s="1"/>
  <c r="M197" i="50"/>
  <c r="N197" i="50" s="1"/>
  <c r="O197" i="50" s="1"/>
  <c r="P197" i="50" s="1"/>
  <c r="Q197" i="50" s="1"/>
  <c r="R197" i="50" s="1"/>
  <c r="AH196" i="50"/>
  <c r="AI196" i="50" s="1"/>
  <c r="AJ196" i="50" s="1"/>
  <c r="AK196" i="50" s="1"/>
  <c r="AL196" i="50" s="1"/>
  <c r="AM196" i="50" s="1"/>
  <c r="AA196" i="50"/>
  <c r="AB196" i="50" s="1"/>
  <c r="AC196" i="50" s="1"/>
  <c r="AD196" i="50" s="1"/>
  <c r="AE196" i="50" s="1"/>
  <c r="AF196" i="50" s="1"/>
  <c r="T196" i="50"/>
  <c r="U196" i="50" s="1"/>
  <c r="V196" i="50" s="1"/>
  <c r="W196" i="50" s="1"/>
  <c r="X196" i="50" s="1"/>
  <c r="Y196" i="50" s="1"/>
  <c r="M196" i="50"/>
  <c r="N196" i="50" s="1"/>
  <c r="O196" i="50" s="1"/>
  <c r="P196" i="50" s="1"/>
  <c r="Q196" i="50" s="1"/>
  <c r="R196" i="50" s="1"/>
  <c r="F196" i="50"/>
  <c r="G196" i="50" s="1"/>
  <c r="H196" i="50" s="1"/>
  <c r="I196" i="50" s="1"/>
  <c r="J196" i="50" s="1"/>
  <c r="K196" i="50" s="1"/>
  <c r="AH195" i="50"/>
  <c r="AI195" i="50" s="1"/>
  <c r="AJ195" i="50" s="1"/>
  <c r="AK195" i="50" s="1"/>
  <c r="AL195" i="50" s="1"/>
  <c r="AM195" i="50" s="1"/>
  <c r="AA195" i="50"/>
  <c r="AB195" i="50" s="1"/>
  <c r="AC195" i="50" s="1"/>
  <c r="AD195" i="50" s="1"/>
  <c r="AE195" i="50" s="1"/>
  <c r="AF195" i="50" s="1"/>
  <c r="T195" i="50"/>
  <c r="U195" i="50" s="1"/>
  <c r="V195" i="50" s="1"/>
  <c r="W195" i="50" s="1"/>
  <c r="X195" i="50" s="1"/>
  <c r="Y195" i="50" s="1"/>
  <c r="M195" i="50"/>
  <c r="N195" i="50" s="1"/>
  <c r="O195" i="50" s="1"/>
  <c r="P195" i="50" s="1"/>
  <c r="Q195" i="50" s="1"/>
  <c r="R195" i="50" s="1"/>
  <c r="F195" i="50"/>
  <c r="G195" i="50" s="1"/>
  <c r="H195" i="50" s="1"/>
  <c r="I195" i="50" s="1"/>
  <c r="J195" i="50" s="1"/>
  <c r="K195" i="50" s="1"/>
  <c r="AH194" i="50"/>
  <c r="AI194" i="50" s="1"/>
  <c r="AJ194" i="50" s="1"/>
  <c r="AK194" i="50" s="1"/>
  <c r="AL194" i="50" s="1"/>
  <c r="AM194" i="50" s="1"/>
  <c r="AA194" i="50"/>
  <c r="AB194" i="50" s="1"/>
  <c r="AC194" i="50" s="1"/>
  <c r="AD194" i="50" s="1"/>
  <c r="AE194" i="50" s="1"/>
  <c r="AF194" i="50" s="1"/>
  <c r="T194" i="50"/>
  <c r="U194" i="50" s="1"/>
  <c r="V194" i="50" s="1"/>
  <c r="W194" i="50" s="1"/>
  <c r="X194" i="50" s="1"/>
  <c r="Y194" i="50" s="1"/>
  <c r="M194" i="50"/>
  <c r="N194" i="50" s="1"/>
  <c r="O194" i="50" s="1"/>
  <c r="P194" i="50" s="1"/>
  <c r="Q194" i="50" s="1"/>
  <c r="R194" i="50" s="1"/>
  <c r="AH193" i="50"/>
  <c r="AI193" i="50" s="1"/>
  <c r="AJ193" i="50" s="1"/>
  <c r="AK193" i="50" s="1"/>
  <c r="AL193" i="50" s="1"/>
  <c r="AM193" i="50" s="1"/>
  <c r="AA193" i="50"/>
  <c r="AB193" i="50" s="1"/>
  <c r="AC193" i="50" s="1"/>
  <c r="AD193" i="50" s="1"/>
  <c r="AE193" i="50" s="1"/>
  <c r="AF193" i="50" s="1"/>
  <c r="T193" i="50"/>
  <c r="U193" i="50" s="1"/>
  <c r="V193" i="50" s="1"/>
  <c r="W193" i="50" s="1"/>
  <c r="X193" i="50" s="1"/>
  <c r="Y193" i="50" s="1"/>
  <c r="M193" i="50"/>
  <c r="N193" i="50" s="1"/>
  <c r="O193" i="50" s="1"/>
  <c r="P193" i="50" s="1"/>
  <c r="Q193" i="50" s="1"/>
  <c r="R193" i="50" s="1"/>
  <c r="AN108" i="51"/>
  <c r="AN107" i="51"/>
  <c r="AN106" i="51"/>
  <c r="AN105" i="51"/>
  <c r="AN104" i="51"/>
  <c r="AN103" i="51"/>
  <c r="AN102" i="51"/>
  <c r="AN101" i="51"/>
  <c r="AN100" i="51"/>
  <c r="AN99" i="51" s="1"/>
  <c r="AN98" i="51"/>
  <c r="AN97" i="51"/>
  <c r="AN96" i="51"/>
  <c r="AN95" i="51"/>
  <c r="AN93" i="51"/>
  <c r="AN92" i="51"/>
  <c r="AN91" i="51"/>
  <c r="AN90" i="51"/>
  <c r="AN89" i="51"/>
  <c r="AN88" i="51"/>
  <c r="AN87" i="51"/>
  <c r="AN86" i="51"/>
  <c r="AN85" i="51"/>
  <c r="AN84" i="51"/>
  <c r="AN82" i="51"/>
  <c r="AN81" i="51"/>
  <c r="AN80" i="51" s="1"/>
  <c r="AN78" i="51"/>
  <c r="AN77" i="51"/>
  <c r="AN76" i="51"/>
  <c r="AN75" i="51"/>
  <c r="AN74" i="51" s="1"/>
  <c r="AN73" i="51"/>
  <c r="AN72" i="51"/>
  <c r="AN70" i="51"/>
  <c r="AN69" i="51"/>
  <c r="AN68" i="51"/>
  <c r="AN66" i="51"/>
  <c r="AN65" i="51"/>
  <c r="AN63" i="51"/>
  <c r="AN62" i="51"/>
  <c r="AN59" i="51"/>
  <c r="AN58" i="51"/>
  <c r="AN57" i="51"/>
  <c r="AN56" i="51"/>
  <c r="AN55" i="51"/>
  <c r="AN54" i="51"/>
  <c r="AN53" i="51"/>
  <c r="AN52" i="51"/>
  <c r="AN51" i="51"/>
  <c r="AN49" i="51"/>
  <c r="AN48" i="51"/>
  <c r="AN47" i="51"/>
  <c r="AN46" i="51"/>
  <c r="AN44" i="51"/>
  <c r="AN43" i="51"/>
  <c r="AN42" i="51"/>
  <c r="AN41" i="51"/>
  <c r="AN40" i="51"/>
  <c r="AN39" i="51"/>
  <c r="AN38" i="51"/>
  <c r="AN37" i="51"/>
  <c r="AN36" i="51"/>
  <c r="AN35" i="51"/>
  <c r="AN33" i="51"/>
  <c r="AN32" i="51"/>
  <c r="AN29" i="51"/>
  <c r="AN28" i="51"/>
  <c r="AN27" i="51"/>
  <c r="AN26" i="51"/>
  <c r="AN24" i="51"/>
  <c r="AN23" i="51"/>
  <c r="AN21" i="51"/>
  <c r="AN20" i="51"/>
  <c r="AN19" i="51"/>
  <c r="AN17" i="51"/>
  <c r="AN16" i="51"/>
  <c r="AN14" i="51"/>
  <c r="AN13" i="51"/>
  <c r="AG108" i="51"/>
  <c r="AG107" i="51"/>
  <c r="AG106" i="51"/>
  <c r="AG105" i="51"/>
  <c r="AG104" i="51"/>
  <c r="AG103" i="51"/>
  <c r="AG102" i="51"/>
  <c r="AG101" i="51"/>
  <c r="AG100" i="51"/>
  <c r="AG98" i="51"/>
  <c r="AG97" i="51"/>
  <c r="AG96" i="51"/>
  <c r="AG95" i="51"/>
  <c r="AG93" i="51"/>
  <c r="AG92" i="51"/>
  <c r="AG91" i="51"/>
  <c r="AG90" i="51"/>
  <c r="AG89" i="51"/>
  <c r="AG88" i="51"/>
  <c r="AG87" i="51"/>
  <c r="AG86" i="51"/>
  <c r="AG85" i="51"/>
  <c r="AG84" i="51"/>
  <c r="AG82" i="51"/>
  <c r="AG81" i="51"/>
  <c r="AG80" i="51" s="1"/>
  <c r="AG78" i="51"/>
  <c r="AG77" i="51"/>
  <c r="AG76" i="51"/>
  <c r="AG75" i="51"/>
  <c r="AG73" i="51"/>
  <c r="AG72" i="51"/>
  <c r="AG70" i="51"/>
  <c r="AG69" i="51"/>
  <c r="AG68" i="51"/>
  <c r="AG66" i="51"/>
  <c r="AG64" i="51" s="1"/>
  <c r="AG65" i="51"/>
  <c r="AG63" i="51"/>
  <c r="AG62" i="51"/>
  <c r="AG59" i="51"/>
  <c r="AG58" i="51"/>
  <c r="AG57" i="51"/>
  <c r="AG56" i="51"/>
  <c r="AG55" i="51"/>
  <c r="AG54" i="51"/>
  <c r="AG53" i="51"/>
  <c r="AG52" i="51"/>
  <c r="AG51" i="51"/>
  <c r="AG49" i="51"/>
  <c r="AG48" i="51"/>
  <c r="AG47" i="51"/>
  <c r="AG46" i="51"/>
  <c r="AG44" i="51"/>
  <c r="AG43" i="51"/>
  <c r="AG42" i="51"/>
  <c r="AG41" i="51"/>
  <c r="AG40" i="51"/>
  <c r="AG39" i="51"/>
  <c r="AG38" i="51"/>
  <c r="AG37" i="51"/>
  <c r="AG36" i="51"/>
  <c r="AG35" i="51"/>
  <c r="AG33" i="51"/>
  <c r="AG32" i="51"/>
  <c r="AG29" i="51"/>
  <c r="AG28" i="51"/>
  <c r="AG27" i="51"/>
  <c r="AG26" i="51"/>
  <c r="AG24" i="51"/>
  <c r="AG23" i="51"/>
  <c r="AG21" i="51"/>
  <c r="AG20" i="51"/>
  <c r="AG19" i="51"/>
  <c r="AG17" i="51"/>
  <c r="AG16" i="51"/>
  <c r="AG14" i="51"/>
  <c r="AG13" i="51"/>
  <c r="Z108" i="51"/>
  <c r="Z107" i="51"/>
  <c r="Z106" i="51"/>
  <c r="Z105" i="51"/>
  <c r="Z104" i="51"/>
  <c r="Z103" i="51"/>
  <c r="Z102" i="51"/>
  <c r="Z101" i="51"/>
  <c r="Z100" i="51"/>
  <c r="Z98" i="51"/>
  <c r="Z97" i="51"/>
  <c r="Z96" i="51"/>
  <c r="Z95" i="51"/>
  <c r="Z93" i="51"/>
  <c r="Z92" i="51"/>
  <c r="Z91" i="51"/>
  <c r="Z90" i="51"/>
  <c r="Z89" i="51"/>
  <c r="Z88" i="51"/>
  <c r="Z87" i="51"/>
  <c r="Z86" i="51"/>
  <c r="Z85" i="51"/>
  <c r="Z84" i="51"/>
  <c r="Z82" i="51"/>
  <c r="Z81" i="51"/>
  <c r="Z80" i="51" s="1"/>
  <c r="Z78" i="51"/>
  <c r="Z77" i="51"/>
  <c r="Z76" i="51"/>
  <c r="Z75" i="51"/>
  <c r="Z73" i="51"/>
  <c r="Z72" i="51"/>
  <c r="Z70" i="51"/>
  <c r="Z69" i="51"/>
  <c r="Z68" i="51"/>
  <c r="Z66" i="51"/>
  <c r="Z65" i="51"/>
  <c r="Z63" i="51"/>
  <c r="Z62" i="51"/>
  <c r="Z59" i="51"/>
  <c r="Z58" i="51"/>
  <c r="Z57" i="51"/>
  <c r="Z56" i="51"/>
  <c r="Z55" i="51"/>
  <c r="Z54" i="51"/>
  <c r="Z53" i="51"/>
  <c r="Z52" i="51"/>
  <c r="Z51" i="51"/>
  <c r="Z49" i="51"/>
  <c r="Z48" i="51"/>
  <c r="Z47" i="51"/>
  <c r="Z46" i="51"/>
  <c r="Z44" i="51"/>
  <c r="Z43" i="51"/>
  <c r="Z42" i="51"/>
  <c r="Z41" i="51"/>
  <c r="Z40" i="51"/>
  <c r="Z39" i="51"/>
  <c r="Z38" i="51"/>
  <c r="Z37" i="51"/>
  <c r="Z36" i="51"/>
  <c r="Z35" i="51"/>
  <c r="Z33" i="51"/>
  <c r="Z32" i="51"/>
  <c r="Z29" i="51"/>
  <c r="Z28" i="51"/>
  <c r="Z27" i="51"/>
  <c r="Z26" i="51"/>
  <c r="Z24" i="51"/>
  <c r="Z23" i="51"/>
  <c r="Z21" i="51"/>
  <c r="Z20" i="51"/>
  <c r="Z19" i="51"/>
  <c r="Z17" i="51"/>
  <c r="Z16" i="51"/>
  <c r="Z14" i="51"/>
  <c r="Z13" i="51"/>
  <c r="S108" i="51"/>
  <c r="S107" i="51"/>
  <c r="S106" i="51"/>
  <c r="S105" i="51"/>
  <c r="S104" i="51"/>
  <c r="S103" i="51"/>
  <c r="S102" i="51"/>
  <c r="S101" i="51"/>
  <c r="S100" i="51"/>
  <c r="S98" i="51"/>
  <c r="S97" i="51"/>
  <c r="S96" i="51"/>
  <c r="S95" i="51"/>
  <c r="S93" i="51"/>
  <c r="S92" i="51"/>
  <c r="S91" i="51"/>
  <c r="S90" i="51"/>
  <c r="S89" i="51"/>
  <c r="S88" i="51"/>
  <c r="S87" i="51"/>
  <c r="S86" i="51"/>
  <c r="S85" i="51"/>
  <c r="S84" i="51"/>
  <c r="S82" i="51"/>
  <c r="S81" i="51"/>
  <c r="S78" i="51"/>
  <c r="S77" i="51"/>
  <c r="S76" i="51"/>
  <c r="S75" i="51"/>
  <c r="S74" i="51" s="1"/>
  <c r="S73" i="51"/>
  <c r="S72" i="51"/>
  <c r="S70" i="51"/>
  <c r="S69" i="51"/>
  <c r="S68" i="51"/>
  <c r="S66" i="51"/>
  <c r="S64" i="51" s="1"/>
  <c r="S65" i="51"/>
  <c r="S63" i="51"/>
  <c r="S62" i="51"/>
  <c r="S59" i="51"/>
  <c r="S58" i="51"/>
  <c r="S57" i="51"/>
  <c r="S56" i="51"/>
  <c r="S55" i="51"/>
  <c r="S54" i="51"/>
  <c r="S53" i="51"/>
  <c r="S52" i="51"/>
  <c r="S51" i="51"/>
  <c r="S49" i="51"/>
  <c r="S48" i="51"/>
  <c r="S47" i="51"/>
  <c r="S46" i="51"/>
  <c r="S44" i="51"/>
  <c r="S43" i="51"/>
  <c r="S42" i="51"/>
  <c r="S41" i="51"/>
  <c r="S40" i="51"/>
  <c r="S39" i="51"/>
  <c r="S38" i="51"/>
  <c r="S37" i="51"/>
  <c r="S36" i="51"/>
  <c r="S35" i="51"/>
  <c r="S33" i="51"/>
  <c r="S32" i="51"/>
  <c r="S29" i="51"/>
  <c r="S28" i="51"/>
  <c r="S27" i="51"/>
  <c r="S26" i="51"/>
  <c r="S24" i="51"/>
  <c r="S23" i="51"/>
  <c r="S21" i="51"/>
  <c r="S20" i="51"/>
  <c r="S19" i="51"/>
  <c r="S17" i="51"/>
  <c r="S16" i="51"/>
  <c r="S14" i="51"/>
  <c r="S13" i="51"/>
  <c r="L108" i="51"/>
  <c r="L107" i="51"/>
  <c r="L106" i="51"/>
  <c r="L105" i="51"/>
  <c r="L104" i="51"/>
  <c r="L103" i="51"/>
  <c r="L102" i="51"/>
  <c r="L101" i="51"/>
  <c r="L100" i="51"/>
  <c r="L98" i="51"/>
  <c r="L97" i="51"/>
  <c r="L96" i="51"/>
  <c r="L95" i="51"/>
  <c r="L93" i="51"/>
  <c r="L92" i="51"/>
  <c r="L91" i="51"/>
  <c r="L90" i="51"/>
  <c r="L89" i="51"/>
  <c r="L88" i="51"/>
  <c r="L87" i="51"/>
  <c r="L86" i="51"/>
  <c r="L85" i="51"/>
  <c r="L84" i="51"/>
  <c r="L82" i="51"/>
  <c r="L81" i="51"/>
  <c r="L80" i="51" s="1"/>
  <c r="L78" i="51"/>
  <c r="L77" i="51"/>
  <c r="L76" i="51"/>
  <c r="L75" i="51"/>
  <c r="L74" i="51" s="1"/>
  <c r="L73" i="51"/>
  <c r="L72" i="51"/>
  <c r="L70" i="51"/>
  <c r="L69" i="51"/>
  <c r="L68" i="51"/>
  <c r="L66" i="51"/>
  <c r="L65" i="51"/>
  <c r="L63" i="51"/>
  <c r="L62" i="51"/>
  <c r="L59" i="51"/>
  <c r="L58" i="51"/>
  <c r="L57" i="51"/>
  <c r="L56" i="51"/>
  <c r="L55" i="51"/>
  <c r="L54" i="51"/>
  <c r="L53" i="51"/>
  <c r="L52" i="51"/>
  <c r="L51" i="51"/>
  <c r="L49" i="51"/>
  <c r="L48" i="51"/>
  <c r="L47" i="51"/>
  <c r="L46" i="51"/>
  <c r="L44" i="51"/>
  <c r="L43" i="51"/>
  <c r="L42" i="51"/>
  <c r="L41" i="51"/>
  <c r="L40" i="51"/>
  <c r="L39" i="51"/>
  <c r="L38" i="51"/>
  <c r="L37" i="51"/>
  <c r="L36" i="51"/>
  <c r="L35" i="51"/>
  <c r="L33" i="51"/>
  <c r="L32" i="51"/>
  <c r="L29" i="51"/>
  <c r="L28" i="51"/>
  <c r="L27" i="51"/>
  <c r="L26" i="51"/>
  <c r="L24" i="51"/>
  <c r="L23" i="51"/>
  <c r="L21" i="51"/>
  <c r="L20" i="51"/>
  <c r="L19" i="51"/>
  <c r="L17" i="51"/>
  <c r="L16" i="51"/>
  <c r="L14" i="51"/>
  <c r="L13" i="51"/>
  <c r="E108" i="51"/>
  <c r="E107" i="51"/>
  <c r="E106" i="51"/>
  <c r="E105" i="51"/>
  <c r="E104" i="51"/>
  <c r="E103" i="51"/>
  <c r="E102" i="51"/>
  <c r="E101" i="51"/>
  <c r="E100" i="51"/>
  <c r="E98" i="51"/>
  <c r="E97" i="51"/>
  <c r="E96" i="51"/>
  <c r="E95" i="51"/>
  <c r="E93" i="51"/>
  <c r="E92" i="51"/>
  <c r="E91" i="51"/>
  <c r="E90" i="51"/>
  <c r="E89" i="51"/>
  <c r="E88" i="51"/>
  <c r="E87" i="51"/>
  <c r="E86" i="51"/>
  <c r="E85" i="51"/>
  <c r="E84" i="51"/>
  <c r="E82" i="51"/>
  <c r="E81" i="51"/>
  <c r="E80" i="51" s="1"/>
  <c r="E78" i="51"/>
  <c r="E77" i="51"/>
  <c r="E76" i="51"/>
  <c r="E75" i="51"/>
  <c r="E73" i="51"/>
  <c r="E72" i="51"/>
  <c r="E70" i="51"/>
  <c r="E69" i="51"/>
  <c r="E68" i="51"/>
  <c r="E66" i="51"/>
  <c r="E65" i="51"/>
  <c r="E63" i="51"/>
  <c r="E62" i="51"/>
  <c r="E59" i="51"/>
  <c r="E58" i="51"/>
  <c r="E57" i="51"/>
  <c r="E56" i="51"/>
  <c r="E55" i="51"/>
  <c r="E54" i="51"/>
  <c r="E53" i="51"/>
  <c r="E51" i="51"/>
  <c r="E49" i="51"/>
  <c r="E48" i="51"/>
  <c r="E47" i="51"/>
  <c r="E46" i="51"/>
  <c r="E44" i="51"/>
  <c r="E43" i="51"/>
  <c r="E42" i="51"/>
  <c r="E41" i="51"/>
  <c r="E40" i="51"/>
  <c r="E39" i="51"/>
  <c r="E38" i="51"/>
  <c r="E37" i="51"/>
  <c r="E36" i="51"/>
  <c r="E35" i="51"/>
  <c r="E33" i="51"/>
  <c r="E32" i="51"/>
  <c r="E28" i="51"/>
  <c r="E27" i="51"/>
  <c r="E26" i="51"/>
  <c r="E25" i="51" s="1"/>
  <c r="E24" i="51"/>
  <c r="E23" i="51"/>
  <c r="E19" i="51"/>
  <c r="E17" i="51"/>
  <c r="E16" i="51"/>
  <c r="E14" i="51"/>
  <c r="E13" i="51"/>
  <c r="AH82" i="50"/>
  <c r="AH79" i="50"/>
  <c r="AD58" i="50"/>
  <c r="AD57" i="50"/>
  <c r="AD54" i="50"/>
  <c r="AC58" i="50"/>
  <c r="AC57" i="50"/>
  <c r="AC54" i="50"/>
  <c r="AB58" i="50"/>
  <c r="AB57" i="50"/>
  <c r="AB54" i="50"/>
  <c r="AA58" i="50"/>
  <c r="AA57" i="50"/>
  <c r="AA82" i="50" s="1"/>
  <c r="AA54" i="50"/>
  <c r="AA79" i="50" s="1"/>
  <c r="AE58" i="50"/>
  <c r="AE57" i="50"/>
  <c r="AE54" i="50"/>
  <c r="AF58" i="50"/>
  <c r="AF57" i="50"/>
  <c r="AF54" i="50"/>
  <c r="AT59" i="51"/>
  <c r="AS59" i="51"/>
  <c r="AR59" i="51"/>
  <c r="AQ59" i="51"/>
  <c r="AP59" i="51"/>
  <c r="AO59" i="51"/>
  <c r="AM59" i="51"/>
  <c r="AL59" i="51"/>
  <c r="AK59" i="51"/>
  <c r="AJ59" i="51"/>
  <c r="AI59" i="51"/>
  <c r="AH59" i="51"/>
  <c r="AH34" i="50" s="1"/>
  <c r="AF59" i="51"/>
  <c r="AE59" i="51"/>
  <c r="AD59" i="51"/>
  <c r="AC59" i="51"/>
  <c r="AB59" i="51"/>
  <c r="AA59" i="51"/>
  <c r="AA34" i="50" s="1"/>
  <c r="Y59" i="51"/>
  <c r="X59" i="51"/>
  <c r="W59" i="51"/>
  <c r="V59" i="51"/>
  <c r="U59" i="51"/>
  <c r="T59" i="51"/>
  <c r="R59" i="51"/>
  <c r="Q59" i="51"/>
  <c r="P59" i="51"/>
  <c r="O59" i="51"/>
  <c r="N59" i="51"/>
  <c r="M59" i="51"/>
  <c r="K59" i="51"/>
  <c r="J59" i="51"/>
  <c r="I59" i="51"/>
  <c r="H59" i="51"/>
  <c r="G59" i="51"/>
  <c r="F59" i="51"/>
  <c r="Y58" i="51"/>
  <c r="X58" i="51"/>
  <c r="W58" i="51"/>
  <c r="V58" i="51"/>
  <c r="U58" i="51"/>
  <c r="T58" i="51"/>
  <c r="AT57" i="51"/>
  <c r="AS57" i="51"/>
  <c r="AR57" i="51"/>
  <c r="AQ57" i="51"/>
  <c r="AP57" i="51"/>
  <c r="AO57" i="51"/>
  <c r="AM57" i="51"/>
  <c r="AL57" i="51"/>
  <c r="AK57" i="51"/>
  <c r="AJ57" i="51"/>
  <c r="AI57" i="51"/>
  <c r="AH57" i="51"/>
  <c r="AH31" i="50" s="1"/>
  <c r="AF57" i="51"/>
  <c r="AE57" i="51"/>
  <c r="AD57" i="51"/>
  <c r="AC57" i="51"/>
  <c r="AB57" i="51"/>
  <c r="AA57" i="51"/>
  <c r="AA31" i="50" s="1"/>
  <c r="Y57" i="51"/>
  <c r="X57" i="51"/>
  <c r="W57" i="51"/>
  <c r="V57" i="51"/>
  <c r="U57" i="51"/>
  <c r="T57" i="51"/>
  <c r="R57" i="51"/>
  <c r="Q57" i="51"/>
  <c r="P57" i="51"/>
  <c r="O57" i="51"/>
  <c r="N57" i="51"/>
  <c r="M57" i="51"/>
  <c r="K57" i="51"/>
  <c r="J57" i="51"/>
  <c r="I57" i="51"/>
  <c r="H57" i="51"/>
  <c r="G57" i="51"/>
  <c r="F57" i="51"/>
  <c r="AM56" i="51"/>
  <c r="AL56" i="51"/>
  <c r="AK56" i="51"/>
  <c r="AJ56" i="51"/>
  <c r="AI56" i="51"/>
  <c r="AH56" i="51"/>
  <c r="AH30" i="50" s="1"/>
  <c r="AF56" i="51"/>
  <c r="AE56" i="51"/>
  <c r="AD56" i="51"/>
  <c r="AC56" i="51"/>
  <c r="AB56" i="51"/>
  <c r="AA56" i="51"/>
  <c r="AA30" i="50" s="1"/>
  <c r="Y56" i="51"/>
  <c r="X56" i="51"/>
  <c r="W56" i="51"/>
  <c r="V56" i="51"/>
  <c r="U56" i="51"/>
  <c r="T56" i="51"/>
  <c r="R56" i="51"/>
  <c r="Q56" i="51"/>
  <c r="P56" i="51"/>
  <c r="O56" i="51"/>
  <c r="N56" i="51"/>
  <c r="M56" i="51"/>
  <c r="K56" i="51"/>
  <c r="J56" i="51"/>
  <c r="I56" i="51"/>
  <c r="H56" i="51"/>
  <c r="G56" i="51"/>
  <c r="F56" i="51"/>
  <c r="AT55" i="51"/>
  <c r="AS55" i="51"/>
  <c r="AR55" i="51"/>
  <c r="AQ55" i="51"/>
  <c r="AP55" i="51"/>
  <c r="AO55" i="51"/>
  <c r="AM55" i="51"/>
  <c r="AL55" i="51"/>
  <c r="AK55" i="51"/>
  <c r="AJ55" i="51"/>
  <c r="AI55" i="51"/>
  <c r="AH55" i="51"/>
  <c r="AH28" i="50" s="1"/>
  <c r="AF55" i="51"/>
  <c r="AE55" i="51"/>
  <c r="AD55" i="51"/>
  <c r="AC55" i="51"/>
  <c r="AB55" i="51"/>
  <c r="AA55" i="51"/>
  <c r="AA28" i="50" s="1"/>
  <c r="Y55" i="51"/>
  <c r="X55" i="51"/>
  <c r="W55" i="51"/>
  <c r="V55" i="51"/>
  <c r="U55" i="51"/>
  <c r="T55" i="51"/>
  <c r="R55" i="51"/>
  <c r="Q55" i="51"/>
  <c r="P55" i="51"/>
  <c r="O55" i="51"/>
  <c r="N55" i="51"/>
  <c r="M55" i="51"/>
  <c r="K55" i="51"/>
  <c r="J55" i="51"/>
  <c r="I55" i="51"/>
  <c r="H55" i="51"/>
  <c r="G55" i="51"/>
  <c r="F55" i="51"/>
  <c r="AM54" i="51"/>
  <c r="AL54" i="51"/>
  <c r="AK54" i="51"/>
  <c r="AJ54" i="51"/>
  <c r="AI54" i="51"/>
  <c r="AH54" i="51"/>
  <c r="AH24" i="50" s="1"/>
  <c r="AF54" i="51"/>
  <c r="AE54" i="51"/>
  <c r="AD54" i="51"/>
  <c r="AC54" i="51"/>
  <c r="AB54" i="51"/>
  <c r="AA54" i="51"/>
  <c r="AA24" i="50" s="1"/>
  <c r="Y54" i="51"/>
  <c r="X54" i="51"/>
  <c r="W54" i="51"/>
  <c r="V54" i="51"/>
  <c r="U54" i="51"/>
  <c r="T54" i="51"/>
  <c r="R54" i="51"/>
  <c r="Q54" i="51"/>
  <c r="P54" i="51"/>
  <c r="O54" i="51"/>
  <c r="N54" i="51"/>
  <c r="M54" i="51"/>
  <c r="K54" i="51"/>
  <c r="J54" i="51"/>
  <c r="I54" i="51"/>
  <c r="H54" i="51"/>
  <c r="G54" i="51"/>
  <c r="F54" i="51"/>
  <c r="AT53" i="51"/>
  <c r="AS53" i="51"/>
  <c r="AR53" i="51"/>
  <c r="AQ53" i="51"/>
  <c r="AP53" i="51"/>
  <c r="AO53" i="51"/>
  <c r="AM53" i="51"/>
  <c r="AL53" i="51"/>
  <c r="AK53" i="51"/>
  <c r="AJ53" i="51"/>
  <c r="AI53" i="51"/>
  <c r="AH53" i="51"/>
  <c r="AH27" i="50" s="1"/>
  <c r="AF53" i="51"/>
  <c r="AE53" i="51"/>
  <c r="AD53" i="51"/>
  <c r="AC53" i="51"/>
  <c r="AB53" i="51"/>
  <c r="AA53" i="51"/>
  <c r="AA27" i="50" s="1"/>
  <c r="Y53" i="51"/>
  <c r="X53" i="51"/>
  <c r="W53" i="51"/>
  <c r="V53" i="51"/>
  <c r="U53" i="51"/>
  <c r="T53" i="51"/>
  <c r="R53" i="51"/>
  <c r="Q53" i="51"/>
  <c r="P53" i="51"/>
  <c r="O53" i="51"/>
  <c r="N53" i="51"/>
  <c r="M53" i="51"/>
  <c r="K53" i="51"/>
  <c r="J53" i="51"/>
  <c r="I53" i="51"/>
  <c r="H53" i="51"/>
  <c r="G53" i="51"/>
  <c r="F53" i="51"/>
  <c r="AT52" i="51"/>
  <c r="AS52" i="51"/>
  <c r="AR52" i="51"/>
  <c r="AQ52" i="51"/>
  <c r="AP52" i="51"/>
  <c r="AO52" i="51"/>
  <c r="AM52" i="51"/>
  <c r="AL52" i="51"/>
  <c r="AK52" i="51"/>
  <c r="AJ52" i="51"/>
  <c r="AI52" i="51"/>
  <c r="AH52" i="51"/>
  <c r="AH26" i="50" s="1"/>
  <c r="AF52" i="51"/>
  <c r="AE52" i="51"/>
  <c r="AD52" i="51"/>
  <c r="AC52" i="51"/>
  <c r="AB52" i="51"/>
  <c r="AA52" i="51"/>
  <c r="AA26" i="50" s="1"/>
  <c r="Y52" i="51"/>
  <c r="X52" i="51"/>
  <c r="W52" i="51"/>
  <c r="V52" i="51"/>
  <c r="U52" i="51"/>
  <c r="T52" i="51"/>
  <c r="R52" i="51"/>
  <c r="Q52" i="51"/>
  <c r="P52" i="51"/>
  <c r="O52" i="51"/>
  <c r="N52" i="51"/>
  <c r="M52" i="51"/>
  <c r="K52" i="51"/>
  <c r="J52" i="51"/>
  <c r="I52" i="51"/>
  <c r="H52" i="51"/>
  <c r="G52" i="51"/>
  <c r="F52" i="51"/>
  <c r="AM51" i="51"/>
  <c r="AL51" i="51"/>
  <c r="AK51" i="51"/>
  <c r="AJ51" i="51"/>
  <c r="AI51" i="51"/>
  <c r="AH51" i="51"/>
  <c r="AH25" i="50" s="1"/>
  <c r="AF51" i="51"/>
  <c r="AE51" i="51"/>
  <c r="AD51" i="51"/>
  <c r="AC51" i="51"/>
  <c r="AB51" i="51"/>
  <c r="AA51" i="51"/>
  <c r="AA25" i="50" s="1"/>
  <c r="Y51" i="51"/>
  <c r="X51" i="51"/>
  <c r="W51" i="51"/>
  <c r="V51" i="51"/>
  <c r="U51" i="51"/>
  <c r="T51" i="51"/>
  <c r="R51" i="51"/>
  <c r="Q51" i="51"/>
  <c r="P51" i="51"/>
  <c r="O51" i="51"/>
  <c r="N51" i="51"/>
  <c r="M51" i="51"/>
  <c r="K51" i="51"/>
  <c r="J51" i="51"/>
  <c r="I51" i="51"/>
  <c r="H51" i="51"/>
  <c r="G51" i="51"/>
  <c r="F51" i="51"/>
  <c r="AT49" i="51"/>
  <c r="AS49" i="51"/>
  <c r="AR49" i="51"/>
  <c r="AQ49" i="51"/>
  <c r="AP49" i="51"/>
  <c r="AO49" i="51"/>
  <c r="AM49" i="51"/>
  <c r="AL49" i="51"/>
  <c r="AK49" i="51"/>
  <c r="AJ49" i="51"/>
  <c r="AI49" i="51"/>
  <c r="AH49" i="51"/>
  <c r="AH23" i="50" s="1"/>
  <c r="AF49" i="51"/>
  <c r="AE49" i="51"/>
  <c r="AD49" i="51"/>
  <c r="AC49" i="51"/>
  <c r="AB49" i="51"/>
  <c r="AA49" i="51"/>
  <c r="AA23" i="50" s="1"/>
  <c r="Y49" i="51"/>
  <c r="X49" i="51"/>
  <c r="W49" i="51"/>
  <c r="V49" i="51"/>
  <c r="U49" i="51"/>
  <c r="T49" i="51"/>
  <c r="R49" i="51"/>
  <c r="Q49" i="51"/>
  <c r="P49" i="51"/>
  <c r="O49" i="51"/>
  <c r="N49" i="51"/>
  <c r="M49" i="51"/>
  <c r="K49" i="51"/>
  <c r="J49" i="51"/>
  <c r="I49" i="51"/>
  <c r="H49" i="51"/>
  <c r="G49" i="51"/>
  <c r="F49" i="51"/>
  <c r="AT44" i="51"/>
  <c r="AS44" i="51"/>
  <c r="AR44" i="51"/>
  <c r="AQ44" i="51"/>
  <c r="AP44" i="51"/>
  <c r="AO44" i="51"/>
  <c r="AM44" i="51"/>
  <c r="AL44" i="51"/>
  <c r="AK44" i="51"/>
  <c r="AJ44" i="51"/>
  <c r="AI44" i="51"/>
  <c r="AH44" i="51"/>
  <c r="AH129" i="50" s="1"/>
  <c r="AF44" i="51"/>
  <c r="AE44" i="51"/>
  <c r="AD44" i="51"/>
  <c r="AC44" i="51"/>
  <c r="AB44" i="51"/>
  <c r="AA44" i="51"/>
  <c r="AA129" i="50" s="1"/>
  <c r="Y44" i="51"/>
  <c r="X44" i="51"/>
  <c r="W44" i="51"/>
  <c r="V44" i="51"/>
  <c r="U44" i="51"/>
  <c r="T44" i="51"/>
  <c r="R44" i="51"/>
  <c r="Q44" i="51"/>
  <c r="P44" i="51"/>
  <c r="O44" i="51"/>
  <c r="N44" i="51"/>
  <c r="M44" i="51"/>
  <c r="K44" i="51"/>
  <c r="J44" i="51"/>
  <c r="I44" i="51"/>
  <c r="H44" i="51"/>
  <c r="G44" i="51"/>
  <c r="F44" i="51"/>
  <c r="AT43" i="51"/>
  <c r="AS43" i="51"/>
  <c r="AR43" i="51"/>
  <c r="AQ43" i="51"/>
  <c r="AP43" i="51"/>
  <c r="AO43" i="51"/>
  <c r="AM43" i="51"/>
  <c r="AL43" i="51"/>
  <c r="AK43" i="51"/>
  <c r="AJ43" i="51"/>
  <c r="AI43" i="51"/>
  <c r="AH43" i="51"/>
  <c r="AH18" i="50" s="1"/>
  <c r="AF43" i="51"/>
  <c r="AE43" i="51"/>
  <c r="AD43" i="51"/>
  <c r="AC43" i="51"/>
  <c r="AB43" i="51"/>
  <c r="AA43" i="51"/>
  <c r="AA18" i="50" s="1"/>
  <c r="Y43" i="51"/>
  <c r="X43" i="51"/>
  <c r="W43" i="51"/>
  <c r="V43" i="51"/>
  <c r="U43" i="51"/>
  <c r="T43" i="51"/>
  <c r="R43" i="51"/>
  <c r="Q43" i="51"/>
  <c r="P43" i="51"/>
  <c r="O43" i="51"/>
  <c r="N43" i="51"/>
  <c r="M43" i="51"/>
  <c r="K43" i="51"/>
  <c r="J43" i="51"/>
  <c r="I43" i="51"/>
  <c r="H43" i="51"/>
  <c r="G43" i="51"/>
  <c r="F43" i="51"/>
  <c r="AT42" i="51"/>
  <c r="AS42" i="51"/>
  <c r="AR42" i="51"/>
  <c r="AQ42" i="51"/>
  <c r="AP42" i="51"/>
  <c r="AO42" i="51"/>
  <c r="AM42" i="51"/>
  <c r="AL42" i="51"/>
  <c r="AK42" i="51"/>
  <c r="AJ42" i="51"/>
  <c r="AI42" i="51"/>
  <c r="AH42" i="51"/>
  <c r="AH128" i="50" s="1"/>
  <c r="AF42" i="51"/>
  <c r="AE42" i="51"/>
  <c r="AD42" i="51"/>
  <c r="AC42" i="51"/>
  <c r="AB42" i="51"/>
  <c r="AA42" i="51"/>
  <c r="AA128" i="50" s="1"/>
  <c r="Y42" i="51"/>
  <c r="X42" i="51"/>
  <c r="W42" i="51"/>
  <c r="V42" i="51"/>
  <c r="U42" i="51"/>
  <c r="T42" i="51"/>
  <c r="R42" i="51"/>
  <c r="Q42" i="51"/>
  <c r="P42" i="51"/>
  <c r="O42" i="51"/>
  <c r="N42" i="51"/>
  <c r="M42" i="51"/>
  <c r="K42" i="51"/>
  <c r="J42" i="51"/>
  <c r="I42" i="51"/>
  <c r="H42" i="51"/>
  <c r="G42" i="51"/>
  <c r="F42" i="51"/>
  <c r="AT41" i="51"/>
  <c r="AS41" i="51"/>
  <c r="AR41" i="51"/>
  <c r="AQ41" i="51"/>
  <c r="AP41" i="51"/>
  <c r="AO41" i="51"/>
  <c r="AT40" i="51"/>
  <c r="AS40" i="51"/>
  <c r="AR40" i="51"/>
  <c r="AQ40" i="51"/>
  <c r="AP40" i="51"/>
  <c r="AO40" i="51"/>
  <c r="AM40" i="51"/>
  <c r="AL40" i="51"/>
  <c r="AK40" i="51"/>
  <c r="AJ40" i="51"/>
  <c r="AI40" i="51"/>
  <c r="AH40" i="51"/>
  <c r="AH126" i="50" s="1"/>
  <c r="AF40" i="51"/>
  <c r="AE40" i="51"/>
  <c r="AD40" i="51"/>
  <c r="AC40" i="51"/>
  <c r="AB40" i="51"/>
  <c r="AA40" i="51"/>
  <c r="AA126" i="50" s="1"/>
  <c r="Y40" i="51"/>
  <c r="X40" i="51"/>
  <c r="W40" i="51"/>
  <c r="V40" i="51"/>
  <c r="U40" i="51"/>
  <c r="T40" i="51"/>
  <c r="K40" i="51"/>
  <c r="J40" i="51"/>
  <c r="I40" i="51"/>
  <c r="H40" i="51"/>
  <c r="G40" i="51"/>
  <c r="F40" i="51"/>
  <c r="AT39" i="51"/>
  <c r="AS39" i="51"/>
  <c r="AR39" i="51"/>
  <c r="AQ39" i="51"/>
  <c r="AP39" i="51"/>
  <c r="AO39" i="51"/>
  <c r="Y39" i="51"/>
  <c r="X39" i="51"/>
  <c r="W39" i="51"/>
  <c r="V39" i="51"/>
  <c r="U39" i="51"/>
  <c r="T39" i="51"/>
  <c r="R39" i="51"/>
  <c r="Q39" i="51"/>
  <c r="P39" i="51"/>
  <c r="O39" i="51"/>
  <c r="N39" i="51"/>
  <c r="M39" i="51"/>
  <c r="AT38" i="51"/>
  <c r="AS38" i="51"/>
  <c r="AR38" i="51"/>
  <c r="AQ38" i="51"/>
  <c r="AP38" i="51"/>
  <c r="AO38" i="51"/>
  <c r="Y38" i="51"/>
  <c r="X38" i="51"/>
  <c r="W38" i="51"/>
  <c r="V38" i="51"/>
  <c r="U38" i="51"/>
  <c r="T38" i="51"/>
  <c r="R38" i="51"/>
  <c r="Q38" i="51"/>
  <c r="P38" i="51"/>
  <c r="O38" i="51"/>
  <c r="N38" i="51"/>
  <c r="M38" i="51"/>
  <c r="AT37" i="51"/>
  <c r="AS37" i="51"/>
  <c r="AR37" i="51"/>
  <c r="AQ37" i="51"/>
  <c r="AP37" i="51"/>
  <c r="AO37" i="51"/>
  <c r="AM37" i="51"/>
  <c r="AL37" i="51"/>
  <c r="AK37" i="51"/>
  <c r="AJ37" i="51"/>
  <c r="AI37" i="51"/>
  <c r="AH37" i="51"/>
  <c r="AH123" i="50" s="1"/>
  <c r="AF37" i="51"/>
  <c r="AE37" i="51"/>
  <c r="AD37" i="51"/>
  <c r="AC37" i="51"/>
  <c r="AB37" i="51"/>
  <c r="AA37" i="51"/>
  <c r="AA123" i="50" s="1"/>
  <c r="Y37" i="51"/>
  <c r="X37" i="51"/>
  <c r="W37" i="51"/>
  <c r="V37" i="51"/>
  <c r="U37" i="51"/>
  <c r="T37" i="51"/>
  <c r="R37" i="51"/>
  <c r="Q37" i="51"/>
  <c r="P37" i="51"/>
  <c r="O37" i="51"/>
  <c r="N37" i="51"/>
  <c r="M37" i="51"/>
  <c r="K37" i="51"/>
  <c r="J37" i="51"/>
  <c r="I37" i="51"/>
  <c r="H37" i="51"/>
  <c r="G37" i="51"/>
  <c r="F37" i="51"/>
  <c r="AT36" i="51"/>
  <c r="AS36" i="51"/>
  <c r="AR36" i="51"/>
  <c r="AQ36" i="51"/>
  <c r="AP36" i="51"/>
  <c r="AO36" i="51"/>
  <c r="Y36" i="51"/>
  <c r="X36" i="51"/>
  <c r="W36" i="51"/>
  <c r="V36" i="51"/>
  <c r="U36" i="51"/>
  <c r="T36" i="51"/>
  <c r="R36" i="51"/>
  <c r="Q36" i="51"/>
  <c r="P36" i="51"/>
  <c r="O36" i="51"/>
  <c r="N36" i="51"/>
  <c r="M36" i="51"/>
  <c r="AT35" i="51"/>
  <c r="AS35" i="51"/>
  <c r="AR35" i="51"/>
  <c r="AQ35" i="51"/>
  <c r="AP35" i="51"/>
  <c r="AO35" i="51"/>
  <c r="Y35" i="51"/>
  <c r="X35" i="51"/>
  <c r="W35" i="51"/>
  <c r="V35" i="51"/>
  <c r="U35" i="51"/>
  <c r="T35" i="51"/>
  <c r="R35" i="51"/>
  <c r="Q35" i="51"/>
  <c r="P35" i="51"/>
  <c r="O35" i="51"/>
  <c r="N35" i="51"/>
  <c r="M35" i="51"/>
  <c r="AT33" i="51"/>
  <c r="AS33" i="51"/>
  <c r="AR33" i="51"/>
  <c r="AQ33" i="51"/>
  <c r="AP33" i="51"/>
  <c r="AO33" i="51"/>
  <c r="AM33" i="51"/>
  <c r="AL33" i="51"/>
  <c r="AK33" i="51"/>
  <c r="AJ33" i="51"/>
  <c r="AI33" i="51"/>
  <c r="AH33" i="51"/>
  <c r="AH120" i="50" s="1"/>
  <c r="AF33" i="51"/>
  <c r="AE33" i="51"/>
  <c r="AD33" i="51"/>
  <c r="AC33" i="51"/>
  <c r="AB33" i="51"/>
  <c r="AA33" i="51"/>
  <c r="AA120" i="50" s="1"/>
  <c r="Y33" i="51"/>
  <c r="X33" i="51"/>
  <c r="W33" i="51"/>
  <c r="V33" i="51"/>
  <c r="U33" i="51"/>
  <c r="T33" i="51"/>
  <c r="R33" i="51"/>
  <c r="Q33" i="51"/>
  <c r="P33" i="51"/>
  <c r="O33" i="51"/>
  <c r="N33" i="51"/>
  <c r="M33" i="51"/>
  <c r="K33" i="51"/>
  <c r="J33" i="51"/>
  <c r="I33" i="51"/>
  <c r="H33" i="51"/>
  <c r="G33" i="51"/>
  <c r="F33" i="51"/>
  <c r="AT32" i="51"/>
  <c r="AT31" i="51" s="1"/>
  <c r="AS32" i="51"/>
  <c r="AS31" i="51" s="1"/>
  <c r="AR32" i="51"/>
  <c r="AR31" i="51" s="1"/>
  <c r="AQ32" i="51"/>
  <c r="AQ31" i="51" s="1"/>
  <c r="AP32" i="51"/>
  <c r="AP31" i="51" s="1"/>
  <c r="AO32" i="51"/>
  <c r="AM32" i="51"/>
  <c r="AM31" i="51" s="1"/>
  <c r="AL32" i="51"/>
  <c r="AL31" i="51" s="1"/>
  <c r="AK32" i="51"/>
  <c r="AK31" i="51" s="1"/>
  <c r="AJ32" i="51"/>
  <c r="AJ31" i="51" s="1"/>
  <c r="AI32" i="51"/>
  <c r="AI31" i="51" s="1"/>
  <c r="AH32" i="51"/>
  <c r="AH119" i="50" s="1"/>
  <c r="AF32" i="51"/>
  <c r="AF31" i="51" s="1"/>
  <c r="AE32" i="51"/>
  <c r="AE31" i="51" s="1"/>
  <c r="AD32" i="51"/>
  <c r="AC32" i="51"/>
  <c r="AC31" i="51" s="1"/>
  <c r="AB32" i="51"/>
  <c r="AA32" i="51"/>
  <c r="AA119" i="50" s="1"/>
  <c r="Y32" i="51"/>
  <c r="X32" i="51"/>
  <c r="X31" i="51" s="1"/>
  <c r="W32" i="51"/>
  <c r="W31" i="51" s="1"/>
  <c r="V32" i="51"/>
  <c r="V31" i="51" s="1"/>
  <c r="U32" i="51"/>
  <c r="U31" i="51" s="1"/>
  <c r="T32" i="51"/>
  <c r="T31" i="51" s="1"/>
  <c r="R32" i="51"/>
  <c r="R31" i="51" s="1"/>
  <c r="Q32" i="51"/>
  <c r="P32" i="51"/>
  <c r="P31" i="51" s="1"/>
  <c r="O32" i="51"/>
  <c r="O31" i="51" s="1"/>
  <c r="N32" i="51"/>
  <c r="N31" i="51" s="1"/>
  <c r="M32" i="51"/>
  <c r="K32" i="51"/>
  <c r="K31" i="51" s="1"/>
  <c r="J32" i="51"/>
  <c r="J31" i="51" s="1"/>
  <c r="I32" i="51"/>
  <c r="I31" i="51" s="1"/>
  <c r="H32" i="51"/>
  <c r="G32" i="51"/>
  <c r="F32" i="51"/>
  <c r="AT28" i="51"/>
  <c r="AS28" i="51"/>
  <c r="AR28" i="51"/>
  <c r="AQ28" i="51"/>
  <c r="AP28" i="51"/>
  <c r="AO28" i="51"/>
  <c r="AT27" i="51"/>
  <c r="AS27" i="51"/>
  <c r="AR27" i="51"/>
  <c r="AQ27" i="51"/>
  <c r="AP27" i="51"/>
  <c r="AO27" i="51"/>
  <c r="Y27" i="51"/>
  <c r="X27" i="51"/>
  <c r="W27" i="51"/>
  <c r="V27" i="51"/>
  <c r="U27" i="51"/>
  <c r="T27" i="51"/>
  <c r="R27" i="51"/>
  <c r="Q27" i="51"/>
  <c r="P27" i="51"/>
  <c r="O27" i="51"/>
  <c r="N27" i="51"/>
  <c r="M27" i="51"/>
  <c r="Y26" i="51"/>
  <c r="X26" i="51"/>
  <c r="W26" i="51"/>
  <c r="V26" i="51"/>
  <c r="U26" i="51"/>
  <c r="T26" i="51"/>
  <c r="R26" i="51"/>
  <c r="Q26" i="51"/>
  <c r="P26" i="51"/>
  <c r="O26" i="51"/>
  <c r="N26" i="51"/>
  <c r="M26" i="51"/>
  <c r="AT24" i="51"/>
  <c r="AS24" i="51"/>
  <c r="AR24" i="51"/>
  <c r="AQ24" i="51"/>
  <c r="AP24" i="51"/>
  <c r="AO24" i="51"/>
  <c r="AM24" i="51"/>
  <c r="AL24" i="51"/>
  <c r="AK24" i="51"/>
  <c r="AJ24" i="51"/>
  <c r="AI24" i="51"/>
  <c r="AH24" i="51"/>
  <c r="AH115" i="50" s="1"/>
  <c r="AF24" i="51"/>
  <c r="AE24" i="51"/>
  <c r="AD24" i="51"/>
  <c r="AC24" i="51"/>
  <c r="AB24" i="51"/>
  <c r="AA24" i="51"/>
  <c r="AA115" i="50" s="1"/>
  <c r="Y24" i="51"/>
  <c r="X24" i="51"/>
  <c r="W24" i="51"/>
  <c r="V24" i="51"/>
  <c r="U24" i="51"/>
  <c r="T24" i="51"/>
  <c r="R24" i="51"/>
  <c r="Q24" i="51"/>
  <c r="P24" i="51"/>
  <c r="O24" i="51"/>
  <c r="N24" i="51"/>
  <c r="M24" i="51"/>
  <c r="K24" i="51"/>
  <c r="J24" i="51"/>
  <c r="I24" i="51"/>
  <c r="H24" i="51"/>
  <c r="G24" i="51"/>
  <c r="F24" i="51"/>
  <c r="AT23" i="51"/>
  <c r="AT22" i="51" s="1"/>
  <c r="AS23" i="51"/>
  <c r="AS22" i="51" s="1"/>
  <c r="AR23" i="51"/>
  <c r="AR22" i="51" s="1"/>
  <c r="AQ23" i="51"/>
  <c r="AQ22" i="51" s="1"/>
  <c r="AP23" i="51"/>
  <c r="AP22" i="51" s="1"/>
  <c r="AO23" i="51"/>
  <c r="Y23" i="51"/>
  <c r="Y22" i="51" s="1"/>
  <c r="X23" i="51"/>
  <c r="X22" i="51" s="1"/>
  <c r="W23" i="51"/>
  <c r="W22" i="51" s="1"/>
  <c r="V23" i="51"/>
  <c r="U23" i="51"/>
  <c r="U22" i="51" s="1"/>
  <c r="T23" i="51"/>
  <c r="R23" i="51"/>
  <c r="Q23" i="51"/>
  <c r="P23" i="51"/>
  <c r="O23" i="51"/>
  <c r="N23" i="51"/>
  <c r="N22" i="51" s="1"/>
  <c r="M23" i="51"/>
  <c r="M22" i="51" s="1"/>
  <c r="AT20" i="51"/>
  <c r="AS20" i="51"/>
  <c r="AR20" i="51"/>
  <c r="AQ20" i="51"/>
  <c r="AP20" i="51"/>
  <c r="AO20" i="51"/>
  <c r="R20" i="51"/>
  <c r="Q20" i="51"/>
  <c r="P20" i="51"/>
  <c r="O20" i="51"/>
  <c r="N20" i="51"/>
  <c r="M20" i="51"/>
  <c r="AT19" i="51"/>
  <c r="AS19" i="51"/>
  <c r="AR19" i="51"/>
  <c r="AQ19" i="51"/>
  <c r="AP19" i="51"/>
  <c r="AO19" i="51"/>
  <c r="AM19" i="51"/>
  <c r="AL19" i="51"/>
  <c r="AK19" i="51"/>
  <c r="AJ19" i="51"/>
  <c r="AI19" i="51"/>
  <c r="AH19" i="51"/>
  <c r="AH14" i="50" s="1"/>
  <c r="AF19" i="51"/>
  <c r="AE19" i="51"/>
  <c r="AD19" i="51"/>
  <c r="AC19" i="51"/>
  <c r="AB19" i="51"/>
  <c r="AA19" i="51"/>
  <c r="AA14" i="50" s="1"/>
  <c r="Y19" i="51"/>
  <c r="X19" i="51"/>
  <c r="W19" i="51"/>
  <c r="V19" i="51"/>
  <c r="U19" i="51"/>
  <c r="T19" i="51"/>
  <c r="R19" i="51"/>
  <c r="Q19" i="51"/>
  <c r="P19" i="51"/>
  <c r="O19" i="51"/>
  <c r="N19" i="51"/>
  <c r="M19" i="51"/>
  <c r="K19" i="51"/>
  <c r="J19" i="51"/>
  <c r="I19" i="51"/>
  <c r="H19" i="51"/>
  <c r="G19" i="51"/>
  <c r="F19" i="51"/>
  <c r="AT17" i="51"/>
  <c r="AS17" i="51"/>
  <c r="AR17" i="51"/>
  <c r="AQ17" i="51"/>
  <c r="AP17" i="51"/>
  <c r="AO17" i="51"/>
  <c r="Y17" i="51"/>
  <c r="X17" i="51"/>
  <c r="W17" i="51"/>
  <c r="V17" i="51"/>
  <c r="U17" i="51"/>
  <c r="T17" i="51"/>
  <c r="R17" i="51"/>
  <c r="Q17" i="51"/>
  <c r="P17" i="51"/>
  <c r="O17" i="51"/>
  <c r="N17" i="51"/>
  <c r="M17" i="51"/>
  <c r="AM16" i="51"/>
  <c r="AL16" i="51"/>
  <c r="AK16" i="51"/>
  <c r="AJ16" i="51"/>
  <c r="AI16" i="51"/>
  <c r="AH16" i="51"/>
  <c r="AH12" i="50" s="1"/>
  <c r="AF16" i="51"/>
  <c r="AE16" i="51"/>
  <c r="AD16" i="51"/>
  <c r="AC16" i="51"/>
  <c r="AB16" i="51"/>
  <c r="AA16" i="51"/>
  <c r="AA12" i="50" s="1"/>
  <c r="Y16" i="51"/>
  <c r="Y15" i="51" s="1"/>
  <c r="X16" i="51"/>
  <c r="X15" i="51" s="1"/>
  <c r="W16" i="51"/>
  <c r="W15" i="51" s="1"/>
  <c r="V16" i="51"/>
  <c r="V15" i="51" s="1"/>
  <c r="U16" i="51"/>
  <c r="U15" i="51" s="1"/>
  <c r="T16" i="51"/>
  <c r="T15" i="51" s="1"/>
  <c r="R16" i="51"/>
  <c r="R15" i="51" s="1"/>
  <c r="Q16" i="51"/>
  <c r="Q15" i="51" s="1"/>
  <c r="P16" i="51"/>
  <c r="P15" i="51" s="1"/>
  <c r="O16" i="51"/>
  <c r="N16" i="51"/>
  <c r="N15" i="51" s="1"/>
  <c r="M16" i="51"/>
  <c r="K16" i="51"/>
  <c r="J16" i="51"/>
  <c r="I16" i="51"/>
  <c r="H16" i="51"/>
  <c r="G16" i="51"/>
  <c r="F16" i="51"/>
  <c r="AT14" i="51"/>
  <c r="AS14" i="51"/>
  <c r="AR14" i="51"/>
  <c r="AQ14" i="51"/>
  <c r="AP14" i="51"/>
  <c r="AO14" i="51"/>
  <c r="AM14" i="51"/>
  <c r="AL14" i="51"/>
  <c r="AK14" i="51"/>
  <c r="AJ14" i="51"/>
  <c r="AI14" i="51"/>
  <c r="AH14" i="51"/>
  <c r="AH112" i="50" s="1"/>
  <c r="AF14" i="51"/>
  <c r="AE14" i="51"/>
  <c r="AD14" i="51"/>
  <c r="AC14" i="51"/>
  <c r="AB14" i="51"/>
  <c r="AA14" i="51"/>
  <c r="AA112" i="50" s="1"/>
  <c r="Y14" i="51"/>
  <c r="X14" i="51"/>
  <c r="W14" i="51"/>
  <c r="V14" i="51"/>
  <c r="U14" i="51"/>
  <c r="T14" i="51"/>
  <c r="R14" i="51"/>
  <c r="Q14" i="51"/>
  <c r="P14" i="51"/>
  <c r="O14" i="51"/>
  <c r="N14" i="51"/>
  <c r="M14" i="51"/>
  <c r="K14" i="51"/>
  <c r="J14" i="51"/>
  <c r="I14" i="51"/>
  <c r="H14" i="51"/>
  <c r="G14" i="51"/>
  <c r="F14" i="51"/>
  <c r="AT13" i="51"/>
  <c r="AS13" i="51"/>
  <c r="AR13" i="51"/>
  <c r="AQ13" i="51"/>
  <c r="AP13" i="51"/>
  <c r="AP12" i="51" s="1"/>
  <c r="AO13" i="51"/>
  <c r="AO12" i="51" s="1"/>
  <c r="AM13" i="51"/>
  <c r="AM12" i="51" s="1"/>
  <c r="AL13" i="51"/>
  <c r="AK13" i="51"/>
  <c r="AK12" i="51" s="1"/>
  <c r="AJ13" i="51"/>
  <c r="AJ12" i="51" s="1"/>
  <c r="AI13" i="51"/>
  <c r="AI12" i="51" s="1"/>
  <c r="AH13" i="51"/>
  <c r="AF13" i="51"/>
  <c r="AF12" i="51" s="1"/>
  <c r="AE13" i="51"/>
  <c r="AE12" i="51" s="1"/>
  <c r="AD13" i="51"/>
  <c r="AC13" i="51"/>
  <c r="AB13" i="51"/>
  <c r="AB12" i="51" s="1"/>
  <c r="AA13" i="51"/>
  <c r="AA11" i="50" s="1"/>
  <c r="Y13" i="51"/>
  <c r="Y12" i="51" s="1"/>
  <c r="X13" i="51"/>
  <c r="W13" i="51"/>
  <c r="W12" i="51" s="1"/>
  <c r="V13" i="51"/>
  <c r="U13" i="51"/>
  <c r="U12" i="51" s="1"/>
  <c r="T13" i="51"/>
  <c r="R13" i="51"/>
  <c r="R12" i="51" s="1"/>
  <c r="Q13" i="51"/>
  <c r="P13" i="51"/>
  <c r="P12" i="51" s="1"/>
  <c r="O13" i="51"/>
  <c r="N13" i="51"/>
  <c r="M13" i="51"/>
  <c r="M12" i="51" s="1"/>
  <c r="K13" i="51"/>
  <c r="J13" i="51"/>
  <c r="I13" i="51"/>
  <c r="H13" i="51"/>
  <c r="G13" i="51"/>
  <c r="F13" i="51"/>
  <c r="F12" i="51" s="1"/>
  <c r="K8" i="50"/>
  <c r="R8" i="50" s="1"/>
  <c r="Y8" i="50" s="1"/>
  <c r="AF8" i="50" s="1"/>
  <c r="AM8" i="50" s="1"/>
  <c r="J8" i="50"/>
  <c r="Q8" i="50" s="1"/>
  <c r="X8" i="50" s="1"/>
  <c r="AE8" i="50" s="1"/>
  <c r="AL8" i="50" s="1"/>
  <c r="I8" i="50"/>
  <c r="P8" i="50" s="1"/>
  <c r="W8" i="50" s="1"/>
  <c r="AD8" i="50" s="1"/>
  <c r="AK8" i="50" s="1"/>
  <c r="H8" i="50"/>
  <c r="O8" i="50" s="1"/>
  <c r="V8" i="50" s="1"/>
  <c r="AC8" i="50" s="1"/>
  <c r="AJ8" i="50" s="1"/>
  <c r="G8" i="50"/>
  <c r="N8" i="50" s="1"/>
  <c r="U8" i="50" s="1"/>
  <c r="AB8" i="50" s="1"/>
  <c r="AI8" i="50" s="1"/>
  <c r="F8" i="50"/>
  <c r="M8" i="50" s="1"/>
  <c r="T8" i="50" s="1"/>
  <c r="AA8" i="50" s="1"/>
  <c r="AH8" i="50" s="1"/>
  <c r="E8" i="50"/>
  <c r="L8" i="50" s="1"/>
  <c r="S8" i="50" s="1"/>
  <c r="Z8" i="50" s="1"/>
  <c r="AG8" i="50" s="1"/>
  <c r="K10" i="51"/>
  <c r="R10" i="51" s="1"/>
  <c r="Y10" i="51" s="1"/>
  <c r="J10" i="51"/>
  <c r="Q10" i="51" s="1"/>
  <c r="X10" i="51" s="1"/>
  <c r="I10" i="51"/>
  <c r="P10" i="51" s="1"/>
  <c r="W10" i="51" s="1"/>
  <c r="AR10" i="51" s="1"/>
  <c r="H10" i="51"/>
  <c r="O10" i="51" s="1"/>
  <c r="V10" i="51" s="1"/>
  <c r="AC10" i="51" s="1"/>
  <c r="AJ10" i="51" s="1"/>
  <c r="G10" i="51"/>
  <c r="N10" i="51" s="1"/>
  <c r="U10" i="51" s="1"/>
  <c r="F10" i="51"/>
  <c r="M10" i="51" s="1"/>
  <c r="T10" i="51" s="1"/>
  <c r="E10" i="51"/>
  <c r="L10" i="51" s="1"/>
  <c r="S10" i="51" s="1"/>
  <c r="K9" i="62"/>
  <c r="R9" i="62" s="1"/>
  <c r="Y9" i="62" s="1"/>
  <c r="J9" i="62"/>
  <c r="Q9" i="62" s="1"/>
  <c r="X9" i="62" s="1"/>
  <c r="I9" i="62"/>
  <c r="P9" i="62" s="1"/>
  <c r="W9" i="62" s="1"/>
  <c r="H9" i="62"/>
  <c r="G9" i="62"/>
  <c r="N9" i="62" s="1"/>
  <c r="U9" i="62" s="1"/>
  <c r="F9" i="62"/>
  <c r="M9" i="62" s="1"/>
  <c r="T9" i="62" s="1"/>
  <c r="E9" i="62"/>
  <c r="L9" i="62" s="1"/>
  <c r="S9" i="62" s="1"/>
  <c r="AG279" i="50"/>
  <c r="Z279" i="50"/>
  <c r="S279" i="50"/>
  <c r="L279" i="50"/>
  <c r="E279" i="50"/>
  <c r="AG278" i="50"/>
  <c r="Z278" i="50"/>
  <c r="S278" i="50"/>
  <c r="L278" i="50"/>
  <c r="AG277" i="50"/>
  <c r="Z277" i="50"/>
  <c r="S277" i="50"/>
  <c r="L277" i="50"/>
  <c r="AG276" i="50"/>
  <c r="Z276" i="50"/>
  <c r="L276" i="50"/>
  <c r="E276" i="50"/>
  <c r="AG275" i="50"/>
  <c r="Z275" i="50"/>
  <c r="S275" i="50"/>
  <c r="E275" i="50"/>
  <c r="AG274" i="50"/>
  <c r="Z274" i="50"/>
  <c r="S274" i="50"/>
  <c r="L274" i="50"/>
  <c r="AG273" i="50"/>
  <c r="Z273" i="50"/>
  <c r="S273" i="50"/>
  <c r="L273" i="50"/>
  <c r="AG272" i="50"/>
  <c r="Z272" i="50"/>
  <c r="S272" i="50"/>
  <c r="L272" i="50"/>
  <c r="E272" i="50"/>
  <c r="AG271" i="50"/>
  <c r="Z271" i="50"/>
  <c r="S271" i="50"/>
  <c r="L271" i="50"/>
  <c r="AG270" i="50"/>
  <c r="Z270" i="50"/>
  <c r="S270" i="50"/>
  <c r="L270" i="50"/>
  <c r="E270" i="50"/>
  <c r="AG269" i="50"/>
  <c r="Z269" i="50"/>
  <c r="S269" i="50"/>
  <c r="L269" i="50"/>
  <c r="AG268" i="50"/>
  <c r="Z268" i="50"/>
  <c r="S268" i="50"/>
  <c r="L268" i="50"/>
  <c r="AG267" i="50"/>
  <c r="Z267" i="50"/>
  <c r="S267" i="50"/>
  <c r="L267" i="50"/>
  <c r="AG266" i="50"/>
  <c r="Z266" i="50"/>
  <c r="S266" i="50"/>
  <c r="L266" i="50"/>
  <c r="E266" i="50"/>
  <c r="AG265" i="50"/>
  <c r="Z265" i="50"/>
  <c r="S265" i="50"/>
  <c r="L265" i="50"/>
  <c r="AG264" i="50"/>
  <c r="Z264" i="50"/>
  <c r="S264" i="50"/>
  <c r="L264" i="50"/>
  <c r="AG263" i="50"/>
  <c r="Z263" i="50"/>
  <c r="S263" i="50"/>
  <c r="L263" i="50"/>
  <c r="AG262" i="50"/>
  <c r="Z262" i="50"/>
  <c r="S262" i="50"/>
  <c r="L262" i="50"/>
  <c r="E262" i="50"/>
  <c r="AG261" i="50"/>
  <c r="Z261" i="50"/>
  <c r="S261" i="50"/>
  <c r="L261" i="50"/>
  <c r="E261" i="50"/>
  <c r="AG260" i="50"/>
  <c r="Z260" i="50"/>
  <c r="S260" i="50"/>
  <c r="L260" i="50"/>
  <c r="AG259" i="50"/>
  <c r="Z259" i="50"/>
  <c r="S259" i="50"/>
  <c r="L259" i="50"/>
  <c r="L236" i="50"/>
  <c r="B36" i="67" s="1"/>
  <c r="AG236" i="50"/>
  <c r="B96" i="67" s="1"/>
  <c r="Z236" i="50"/>
  <c r="B72" i="67" s="1"/>
  <c r="S236" i="50"/>
  <c r="B54" i="67" s="1"/>
  <c r="AG214" i="50"/>
  <c r="Z214" i="50"/>
  <c r="S214" i="50"/>
  <c r="T210" i="50"/>
  <c r="U210" i="50" s="1"/>
  <c r="V210" i="50" s="1"/>
  <c r="W210" i="50" s="1"/>
  <c r="X210" i="50" s="1"/>
  <c r="Y210" i="50" s="1"/>
  <c r="M209" i="50"/>
  <c r="N209" i="50" s="1"/>
  <c r="O209" i="50" s="1"/>
  <c r="P209" i="50" s="1"/>
  <c r="Q209" i="50" s="1"/>
  <c r="R209" i="50" s="1"/>
  <c r="F198" i="50"/>
  <c r="G198" i="50" s="1"/>
  <c r="H198" i="50" s="1"/>
  <c r="I198" i="50" s="1"/>
  <c r="J198" i="50" s="1"/>
  <c r="K198" i="50" s="1"/>
  <c r="F197" i="50"/>
  <c r="G197" i="50" s="1"/>
  <c r="H197" i="50" s="1"/>
  <c r="I197" i="50" s="1"/>
  <c r="J197" i="50" s="1"/>
  <c r="K197" i="50" s="1"/>
  <c r="F193" i="50"/>
  <c r="G193" i="50" s="1"/>
  <c r="H193" i="50" s="1"/>
  <c r="I193" i="50" s="1"/>
  <c r="J193" i="50" s="1"/>
  <c r="K193" i="50" s="1"/>
  <c r="AG192" i="50"/>
  <c r="B94" i="67" s="1"/>
  <c r="B127" i="67" s="1"/>
  <c r="Z192" i="50"/>
  <c r="B70" i="67" s="1"/>
  <c r="B125" i="67" s="1"/>
  <c r="AG190" i="50"/>
  <c r="Z190" i="50"/>
  <c r="S190" i="50"/>
  <c r="L190" i="50"/>
  <c r="E190" i="50"/>
  <c r="AG189" i="50"/>
  <c r="Z189" i="50"/>
  <c r="S189" i="50"/>
  <c r="L189" i="50"/>
  <c r="E189" i="50"/>
  <c r="AG188" i="50"/>
  <c r="Z188" i="50"/>
  <c r="S188" i="50"/>
  <c r="L188" i="50"/>
  <c r="E188" i="50"/>
  <c r="AG187" i="50"/>
  <c r="Z187" i="50"/>
  <c r="S187" i="50"/>
  <c r="L187" i="50"/>
  <c r="E187" i="50"/>
  <c r="AG186" i="50"/>
  <c r="Z186" i="50"/>
  <c r="S186" i="50"/>
  <c r="L186" i="50"/>
  <c r="E186" i="50"/>
  <c r="AG185" i="50"/>
  <c r="Z185" i="50"/>
  <c r="S185" i="50"/>
  <c r="L185" i="50"/>
  <c r="E185" i="50"/>
  <c r="AG184" i="50"/>
  <c r="Z184" i="50"/>
  <c r="S184" i="50"/>
  <c r="L184" i="50"/>
  <c r="E184" i="50"/>
  <c r="AG183" i="50"/>
  <c r="Z183" i="50"/>
  <c r="S183" i="50"/>
  <c r="L183" i="50"/>
  <c r="E183" i="50"/>
  <c r="AG182" i="50"/>
  <c r="Z182" i="50"/>
  <c r="S182" i="50"/>
  <c r="L182" i="50"/>
  <c r="E182" i="50"/>
  <c r="AG181" i="50"/>
  <c r="Z181" i="50"/>
  <c r="S181" i="50"/>
  <c r="L181" i="50"/>
  <c r="E181" i="50"/>
  <c r="AG180" i="50"/>
  <c r="Z180" i="50"/>
  <c r="S180" i="50"/>
  <c r="L180" i="50"/>
  <c r="E180" i="50"/>
  <c r="AG179" i="50"/>
  <c r="Z179" i="50"/>
  <c r="S179" i="50"/>
  <c r="L179" i="50"/>
  <c r="E179" i="50"/>
  <c r="AG178" i="50"/>
  <c r="Z178" i="50"/>
  <c r="S178" i="50"/>
  <c r="L178" i="50"/>
  <c r="E178" i="50"/>
  <c r="AG177" i="50"/>
  <c r="Z177" i="50"/>
  <c r="S177" i="50"/>
  <c r="L177" i="50"/>
  <c r="E177" i="50"/>
  <c r="AG176" i="50"/>
  <c r="Z176" i="50"/>
  <c r="S176" i="50"/>
  <c r="L176" i="50"/>
  <c r="E176" i="50"/>
  <c r="AG175" i="50"/>
  <c r="Z175" i="50"/>
  <c r="S175" i="50"/>
  <c r="L175" i="50"/>
  <c r="E175" i="50"/>
  <c r="AG174" i="50"/>
  <c r="Z174" i="50"/>
  <c r="S174" i="50"/>
  <c r="L174" i="50"/>
  <c r="E174" i="50"/>
  <c r="AG173" i="50"/>
  <c r="Z173" i="50"/>
  <c r="S173" i="50"/>
  <c r="L173" i="50"/>
  <c r="E173" i="50"/>
  <c r="AG172" i="50"/>
  <c r="Z172" i="50"/>
  <c r="S172" i="50"/>
  <c r="L172" i="50"/>
  <c r="E172" i="50"/>
  <c r="AG151" i="50"/>
  <c r="B91" i="67" s="1"/>
  <c r="Z151" i="50"/>
  <c r="B67" i="67" s="1"/>
  <c r="S151" i="50"/>
  <c r="B49" i="67" s="1"/>
  <c r="L151" i="50"/>
  <c r="B31" i="67" s="1"/>
  <c r="E151" i="50"/>
  <c r="B13" i="67" s="1"/>
  <c r="AG131" i="50"/>
  <c r="Z131" i="50"/>
  <c r="S131" i="50"/>
  <c r="L131" i="50"/>
  <c r="E131" i="50"/>
  <c r="AG111" i="50"/>
  <c r="B89" i="67" s="1"/>
  <c r="Z111" i="50"/>
  <c r="B65" i="67" s="1"/>
  <c r="S111" i="50"/>
  <c r="B47" i="67" s="1"/>
  <c r="L111" i="50"/>
  <c r="B29" i="67" s="1"/>
  <c r="E111" i="50"/>
  <c r="B11" i="67" s="1"/>
  <c r="AG109" i="50"/>
  <c r="Z109" i="50"/>
  <c r="S109" i="50"/>
  <c r="L109" i="50"/>
  <c r="E109" i="50"/>
  <c r="AG108" i="50"/>
  <c r="Z108" i="50"/>
  <c r="S108" i="50"/>
  <c r="L108" i="50"/>
  <c r="E108" i="50"/>
  <c r="AG107" i="50"/>
  <c r="Z107" i="50"/>
  <c r="S107" i="50"/>
  <c r="L107" i="50"/>
  <c r="E107" i="50"/>
  <c r="AG106" i="50"/>
  <c r="Z106" i="50"/>
  <c r="S106" i="50"/>
  <c r="L106" i="50"/>
  <c r="E106" i="50"/>
  <c r="AG105" i="50"/>
  <c r="Z105" i="50"/>
  <c r="S105" i="50"/>
  <c r="L105" i="50"/>
  <c r="E105" i="50"/>
  <c r="AG104" i="50"/>
  <c r="Z104" i="50"/>
  <c r="E104" i="50"/>
  <c r="AG103" i="50"/>
  <c r="Z103" i="50"/>
  <c r="E103" i="50"/>
  <c r="AG102" i="50"/>
  <c r="Z102" i="50"/>
  <c r="E102" i="50"/>
  <c r="AG101" i="50"/>
  <c r="Z101" i="50"/>
  <c r="S101" i="50"/>
  <c r="L101" i="50"/>
  <c r="E101" i="50"/>
  <c r="AG100" i="50"/>
  <c r="Z100" i="50"/>
  <c r="S100" i="50"/>
  <c r="L100" i="50"/>
  <c r="E100" i="50"/>
  <c r="AG99" i="50"/>
  <c r="Z99" i="50"/>
  <c r="S99" i="50"/>
  <c r="L99" i="50"/>
  <c r="E99" i="50"/>
  <c r="AG98" i="50"/>
  <c r="Z98" i="50"/>
  <c r="S98" i="50"/>
  <c r="L98" i="50"/>
  <c r="E98" i="50"/>
  <c r="AG97" i="50"/>
  <c r="Z97" i="50"/>
  <c r="S97" i="50"/>
  <c r="L97" i="50"/>
  <c r="E97" i="50"/>
  <c r="AG96" i="50"/>
  <c r="Z96" i="50"/>
  <c r="S96" i="50"/>
  <c r="L96" i="50"/>
  <c r="E96" i="50"/>
  <c r="AG95" i="50"/>
  <c r="Z95" i="50"/>
  <c r="S95" i="50"/>
  <c r="L95" i="50"/>
  <c r="AG93" i="50"/>
  <c r="Z93" i="50"/>
  <c r="S93" i="50"/>
  <c r="L93" i="50"/>
  <c r="AG92" i="50"/>
  <c r="Z92" i="50"/>
  <c r="S92" i="50"/>
  <c r="L92" i="50"/>
  <c r="AG91" i="50"/>
  <c r="Z91" i="50"/>
  <c r="S91" i="50"/>
  <c r="L91" i="50"/>
  <c r="E91" i="50"/>
  <c r="AG90" i="50"/>
  <c r="Z90" i="50"/>
  <c r="S90" i="50"/>
  <c r="L90" i="50"/>
  <c r="AG89" i="50"/>
  <c r="Z89" i="50"/>
  <c r="L89" i="50"/>
  <c r="AG87" i="50"/>
  <c r="Z87" i="50"/>
  <c r="S87" i="50"/>
  <c r="L87" i="50"/>
  <c r="E87" i="50"/>
  <c r="AG86" i="50"/>
  <c r="Z86" i="50"/>
  <c r="S86" i="50"/>
  <c r="L86" i="50"/>
  <c r="E86" i="50"/>
  <c r="S104" i="50"/>
  <c r="S103" i="50"/>
  <c r="L103" i="50"/>
  <c r="S102" i="50"/>
  <c r="L102" i="50"/>
  <c r="E95" i="50"/>
  <c r="AG69" i="50"/>
  <c r="Z69" i="50"/>
  <c r="S69" i="50"/>
  <c r="L69" i="50"/>
  <c r="S89" i="50"/>
  <c r="AG63" i="50"/>
  <c r="Z63" i="50"/>
  <c r="L63" i="50"/>
  <c r="E63" i="50"/>
  <c r="AH83" i="50"/>
  <c r="AA83" i="50"/>
  <c r="AG44" i="50"/>
  <c r="Z44" i="50"/>
  <c r="S44" i="50"/>
  <c r="L44" i="50"/>
  <c r="E44" i="50"/>
  <c r="AG38" i="50"/>
  <c r="Z38" i="50"/>
  <c r="S38" i="50"/>
  <c r="L38" i="50"/>
  <c r="AG19" i="50"/>
  <c r="Z19" i="50"/>
  <c r="S19" i="50"/>
  <c r="L19" i="50"/>
  <c r="E19" i="50"/>
  <c r="E90" i="50"/>
  <c r="AG13" i="50"/>
  <c r="Z13" i="50"/>
  <c r="S13" i="50"/>
  <c r="L13" i="50"/>
  <c r="S80" i="51"/>
  <c r="AN64" i="51"/>
  <c r="Z64" i="51"/>
  <c r="E12" i="51"/>
  <c r="E7" i="51"/>
  <c r="AH175" i="62"/>
  <c r="AH235" i="50" s="1"/>
  <c r="AH257" i="50" s="1"/>
  <c r="AA175" i="62"/>
  <c r="T175" i="62"/>
  <c r="T235" i="50" s="1"/>
  <c r="T257" i="50" s="1"/>
  <c r="M175" i="62"/>
  <c r="F175" i="62"/>
  <c r="F235" i="50" s="1"/>
  <c r="F257" i="50" s="1"/>
  <c r="AH174" i="62"/>
  <c r="AA174" i="62"/>
  <c r="AA234" i="50" s="1"/>
  <c r="AA256" i="50" s="1"/>
  <c r="T174" i="62"/>
  <c r="M174" i="62"/>
  <c r="M234" i="50" s="1"/>
  <c r="M256" i="50" s="1"/>
  <c r="F174" i="62"/>
  <c r="G174" i="62" s="1"/>
  <c r="H174" i="62" s="1"/>
  <c r="I174" i="62" s="1"/>
  <c r="J174" i="62" s="1"/>
  <c r="K174" i="62" s="1"/>
  <c r="AH173" i="62"/>
  <c r="AH233" i="50" s="1"/>
  <c r="AH255" i="50" s="1"/>
  <c r="AA173" i="62"/>
  <c r="T173" i="62"/>
  <c r="M173" i="62"/>
  <c r="F173" i="62"/>
  <c r="G173" i="62" s="1"/>
  <c r="H173" i="62" s="1"/>
  <c r="I173" i="62" s="1"/>
  <c r="J173" i="62" s="1"/>
  <c r="K173" i="62" s="1"/>
  <c r="AH172" i="62"/>
  <c r="AA172" i="62"/>
  <c r="AA232" i="50" s="1"/>
  <c r="AA254" i="50" s="1"/>
  <c r="T172" i="62"/>
  <c r="M172" i="62"/>
  <c r="F172" i="62"/>
  <c r="AH171" i="62"/>
  <c r="AH231" i="50" s="1"/>
  <c r="AH253" i="50" s="1"/>
  <c r="AA171" i="62"/>
  <c r="T171" i="62"/>
  <c r="T231" i="50" s="1"/>
  <c r="T253" i="50" s="1"/>
  <c r="M171" i="62"/>
  <c r="N171" i="62" s="1"/>
  <c r="O171" i="62" s="1"/>
  <c r="P171" i="62" s="1"/>
  <c r="Q171" i="62" s="1"/>
  <c r="R171" i="62" s="1"/>
  <c r="F171" i="62"/>
  <c r="F231" i="50" s="1"/>
  <c r="F253" i="50" s="1"/>
  <c r="F275" i="50" s="1"/>
  <c r="AH170" i="62"/>
  <c r="AA170" i="62"/>
  <c r="T170" i="62"/>
  <c r="M170" i="62"/>
  <c r="F170" i="62"/>
  <c r="G170" i="62" s="1"/>
  <c r="H170" i="62" s="1"/>
  <c r="I170" i="62" s="1"/>
  <c r="J170" i="62" s="1"/>
  <c r="K170" i="62" s="1"/>
  <c r="AH169" i="62"/>
  <c r="AH229" i="50" s="1"/>
  <c r="AH251" i="50" s="1"/>
  <c r="AA169" i="62"/>
  <c r="T169" i="62"/>
  <c r="T229" i="50" s="1"/>
  <c r="T251" i="50" s="1"/>
  <c r="M169" i="62"/>
  <c r="F169" i="62"/>
  <c r="G169" i="62" s="1"/>
  <c r="H169" i="62" s="1"/>
  <c r="I169" i="62" s="1"/>
  <c r="J169" i="62" s="1"/>
  <c r="K169" i="62" s="1"/>
  <c r="AH168" i="62"/>
  <c r="AA168" i="62"/>
  <c r="T168" i="62"/>
  <c r="M168" i="62"/>
  <c r="F168" i="62"/>
  <c r="AH167" i="62"/>
  <c r="AH227" i="50" s="1"/>
  <c r="AH249" i="50" s="1"/>
  <c r="AA167" i="62"/>
  <c r="T167" i="62"/>
  <c r="M167" i="62"/>
  <c r="F167" i="62"/>
  <c r="G167" i="62" s="1"/>
  <c r="H167" i="62" s="1"/>
  <c r="I167" i="62" s="1"/>
  <c r="J167" i="62" s="1"/>
  <c r="K167" i="62" s="1"/>
  <c r="AH166" i="62"/>
  <c r="AA166" i="62"/>
  <c r="AA226" i="50" s="1"/>
  <c r="AA248" i="50" s="1"/>
  <c r="T166" i="62"/>
  <c r="M166" i="62"/>
  <c r="M226" i="50" s="1"/>
  <c r="M248" i="50" s="1"/>
  <c r="F166" i="62"/>
  <c r="AH165" i="62"/>
  <c r="AA165" i="62"/>
  <c r="T165" i="62"/>
  <c r="M165" i="62"/>
  <c r="F165" i="62"/>
  <c r="G165" i="62" s="1"/>
  <c r="H165" i="62" s="1"/>
  <c r="I165" i="62" s="1"/>
  <c r="J165" i="62" s="1"/>
  <c r="AH164" i="62"/>
  <c r="AA164" i="62"/>
  <c r="AA224" i="50" s="1"/>
  <c r="AA246" i="50" s="1"/>
  <c r="AA268" i="50" s="1"/>
  <c r="T164" i="62"/>
  <c r="M164" i="62"/>
  <c r="M224" i="50" s="1"/>
  <c r="M246" i="50" s="1"/>
  <c r="F164" i="62"/>
  <c r="AH163" i="62"/>
  <c r="AH223" i="50" s="1"/>
  <c r="AH245" i="50" s="1"/>
  <c r="AA163" i="62"/>
  <c r="T163" i="62"/>
  <c r="T223" i="50" s="1"/>
  <c r="T245" i="50" s="1"/>
  <c r="M163" i="62"/>
  <c r="F163" i="62"/>
  <c r="G163" i="62" s="1"/>
  <c r="AH162" i="62"/>
  <c r="AA162" i="62"/>
  <c r="AA222" i="50" s="1"/>
  <c r="AA244" i="50" s="1"/>
  <c r="T162" i="62"/>
  <c r="M162" i="62"/>
  <c r="M222" i="50" s="1"/>
  <c r="M244" i="50" s="1"/>
  <c r="F162" i="62"/>
  <c r="AH161" i="62"/>
  <c r="AA161" i="62"/>
  <c r="T161" i="62"/>
  <c r="M161" i="62"/>
  <c r="F161" i="62"/>
  <c r="G161" i="62" s="1"/>
  <c r="H161" i="62" s="1"/>
  <c r="I161" i="62" s="1"/>
  <c r="J161" i="62" s="1"/>
  <c r="K161" i="62" s="1"/>
  <c r="AH160" i="62"/>
  <c r="AA160" i="62"/>
  <c r="T160" i="62"/>
  <c r="M160" i="62"/>
  <c r="F160" i="62"/>
  <c r="G160" i="62" s="1"/>
  <c r="H160" i="62" s="1"/>
  <c r="I160" i="62" s="1"/>
  <c r="J160" i="62" s="1"/>
  <c r="K160" i="62" s="1"/>
  <c r="AH159" i="62"/>
  <c r="AH219" i="50" s="1"/>
  <c r="AH241" i="50" s="1"/>
  <c r="AA159" i="62"/>
  <c r="T159" i="62"/>
  <c r="M159" i="62"/>
  <c r="F159" i="62"/>
  <c r="G159" i="62" s="1"/>
  <c r="H159" i="62" s="1"/>
  <c r="I159" i="62" s="1"/>
  <c r="J159" i="62" s="1"/>
  <c r="K159" i="62" s="1"/>
  <c r="AH158" i="62"/>
  <c r="AA158" i="62"/>
  <c r="T158" i="62"/>
  <c r="M158" i="62"/>
  <c r="M218" i="50" s="1"/>
  <c r="M240" i="50" s="1"/>
  <c r="F158" i="62"/>
  <c r="AH157" i="62"/>
  <c r="AH217" i="50" s="1"/>
  <c r="AH239" i="50" s="1"/>
  <c r="AA157" i="62"/>
  <c r="AA217" i="50" s="1"/>
  <c r="AA239" i="50" s="1"/>
  <c r="T157" i="62"/>
  <c r="M157" i="62"/>
  <c r="F157" i="62"/>
  <c r="AH156" i="62"/>
  <c r="AA156" i="62"/>
  <c r="T156" i="62"/>
  <c r="T216" i="50" s="1"/>
  <c r="T238" i="50" s="1"/>
  <c r="M156" i="62"/>
  <c r="M216" i="50" s="1"/>
  <c r="M238" i="50" s="1"/>
  <c r="F156" i="62"/>
  <c r="G156" i="62" s="1"/>
  <c r="H156" i="62" s="1"/>
  <c r="I156" i="62" s="1"/>
  <c r="J156" i="62" s="1"/>
  <c r="K156" i="62" s="1"/>
  <c r="AH155" i="62"/>
  <c r="AA155" i="62"/>
  <c r="T155" i="62"/>
  <c r="T215" i="50" s="1"/>
  <c r="M155" i="62"/>
  <c r="F155" i="62"/>
  <c r="F215" i="50" s="1"/>
  <c r="AT154" i="62"/>
  <c r="AS154" i="62"/>
  <c r="AR154" i="62"/>
  <c r="AQ154" i="62"/>
  <c r="AP154" i="62"/>
  <c r="AO154" i="62"/>
  <c r="AN154" i="62"/>
  <c r="AG154" i="62"/>
  <c r="Z154" i="62"/>
  <c r="S154" i="62"/>
  <c r="L154" i="62"/>
  <c r="E154" i="62"/>
  <c r="K132" i="62"/>
  <c r="Y132" i="62"/>
  <c r="I132" i="62"/>
  <c r="AT132" i="62"/>
  <c r="AS132" i="62"/>
  <c r="AR132" i="62"/>
  <c r="AQ132" i="62"/>
  <c r="AP132" i="62"/>
  <c r="AO132" i="62"/>
  <c r="AN132" i="62"/>
  <c r="AM132" i="62"/>
  <c r="AL132" i="62"/>
  <c r="AK132" i="62"/>
  <c r="AJ132" i="62"/>
  <c r="AI132" i="62"/>
  <c r="AH132" i="62"/>
  <c r="AG132" i="62"/>
  <c r="AF132" i="62"/>
  <c r="AE132" i="62"/>
  <c r="AD132" i="62"/>
  <c r="AC132" i="62"/>
  <c r="AB132" i="62"/>
  <c r="AA132" i="62"/>
  <c r="Z132" i="62"/>
  <c r="X132" i="62"/>
  <c r="W132" i="62"/>
  <c r="V132" i="62"/>
  <c r="U132" i="62"/>
  <c r="T132" i="62"/>
  <c r="S132" i="62"/>
  <c r="R132" i="62"/>
  <c r="Q132" i="62"/>
  <c r="P132" i="62"/>
  <c r="O132" i="62"/>
  <c r="N132" i="62"/>
  <c r="M132" i="62"/>
  <c r="L132" i="62"/>
  <c r="J132" i="62"/>
  <c r="H132" i="62"/>
  <c r="G132" i="62"/>
  <c r="F132" i="62"/>
  <c r="E132" i="62"/>
  <c r="AT110" i="62"/>
  <c r="AS110" i="62"/>
  <c r="AR110" i="62"/>
  <c r="AQ110" i="62"/>
  <c r="AP110" i="62"/>
  <c r="AO110" i="62"/>
  <c r="AN110" i="62"/>
  <c r="AM110" i="62"/>
  <c r="G128" i="67" s="1"/>
  <c r="AL110" i="62"/>
  <c r="F128" i="67" s="1"/>
  <c r="AK110" i="62"/>
  <c r="E128" i="67" s="1"/>
  <c r="AJ110" i="62"/>
  <c r="D128" i="67" s="1"/>
  <c r="AI110" i="62"/>
  <c r="C128" i="67" s="1"/>
  <c r="AH110" i="62"/>
  <c r="AG110" i="62"/>
  <c r="AF110" i="62"/>
  <c r="G126" i="67" s="1"/>
  <c r="AE110" i="62"/>
  <c r="F126" i="67" s="1"/>
  <c r="AD110" i="62"/>
  <c r="E126" i="67" s="1"/>
  <c r="AC110" i="62"/>
  <c r="D126" i="67" s="1"/>
  <c r="AB110" i="62"/>
  <c r="C126" i="67" s="1"/>
  <c r="AA110" i="62"/>
  <c r="Z110" i="62"/>
  <c r="Y110" i="62"/>
  <c r="G124" i="67" s="1"/>
  <c r="X110" i="62"/>
  <c r="F124" i="67" s="1"/>
  <c r="W110" i="62"/>
  <c r="E124" i="67" s="1"/>
  <c r="V110" i="62"/>
  <c r="D124" i="67" s="1"/>
  <c r="U110" i="62"/>
  <c r="C124" i="67" s="1"/>
  <c r="T110" i="62"/>
  <c r="S110" i="62"/>
  <c r="R110" i="62"/>
  <c r="G122" i="67" s="1"/>
  <c r="Q110" i="62"/>
  <c r="F122" i="67" s="1"/>
  <c r="P110" i="62"/>
  <c r="E122" i="67" s="1"/>
  <c r="O110" i="62"/>
  <c r="D122" i="67" s="1"/>
  <c r="N110" i="62"/>
  <c r="C122" i="67" s="1"/>
  <c r="M110" i="62"/>
  <c r="L110" i="62"/>
  <c r="K110" i="62"/>
  <c r="G120" i="67" s="1"/>
  <c r="J110" i="62"/>
  <c r="F120" i="67" s="1"/>
  <c r="I110" i="62"/>
  <c r="E120" i="67" s="1"/>
  <c r="H110" i="62"/>
  <c r="D120" i="67" s="1"/>
  <c r="G110" i="62"/>
  <c r="C120" i="67" s="1"/>
  <c r="F110" i="62"/>
  <c r="E110" i="62"/>
  <c r="AH108" i="62"/>
  <c r="AI108" i="62" s="1"/>
  <c r="AJ108" i="62" s="1"/>
  <c r="AK108" i="62" s="1"/>
  <c r="AL108" i="62" s="1"/>
  <c r="AM108" i="62" s="1"/>
  <c r="AA108" i="62"/>
  <c r="AB108" i="62" s="1"/>
  <c r="AC108" i="62" s="1"/>
  <c r="AD108" i="62" s="1"/>
  <c r="AE108" i="62" s="1"/>
  <c r="AF108" i="62" s="1"/>
  <c r="T108" i="62"/>
  <c r="U108" i="62" s="1"/>
  <c r="V108" i="62" s="1"/>
  <c r="W108" i="62" s="1"/>
  <c r="X108" i="62" s="1"/>
  <c r="Y108" i="62" s="1"/>
  <c r="M108" i="62"/>
  <c r="N108" i="62" s="1"/>
  <c r="O108" i="62" s="1"/>
  <c r="P108" i="62" s="1"/>
  <c r="Q108" i="62" s="1"/>
  <c r="R108" i="62" s="1"/>
  <c r="F108" i="62"/>
  <c r="G108" i="62" s="1"/>
  <c r="H108" i="62" s="1"/>
  <c r="I108" i="62" s="1"/>
  <c r="J108" i="62" s="1"/>
  <c r="K108" i="62" s="1"/>
  <c r="AH107" i="62"/>
  <c r="AI107" i="62" s="1"/>
  <c r="AJ107" i="62" s="1"/>
  <c r="AK107" i="62" s="1"/>
  <c r="AL107" i="62" s="1"/>
  <c r="AM107" i="62" s="1"/>
  <c r="AA107" i="62"/>
  <c r="AB107" i="62" s="1"/>
  <c r="AC107" i="62" s="1"/>
  <c r="AD107" i="62" s="1"/>
  <c r="AE107" i="62" s="1"/>
  <c r="AF107" i="62" s="1"/>
  <c r="T107" i="62"/>
  <c r="U107" i="62" s="1"/>
  <c r="V107" i="62" s="1"/>
  <c r="W107" i="62" s="1"/>
  <c r="X107" i="62" s="1"/>
  <c r="Y107" i="62" s="1"/>
  <c r="M107" i="62"/>
  <c r="N107" i="62" s="1"/>
  <c r="O107" i="62" s="1"/>
  <c r="P107" i="62" s="1"/>
  <c r="Q107" i="62" s="1"/>
  <c r="R107" i="62" s="1"/>
  <c r="F107" i="62"/>
  <c r="G107" i="62" s="1"/>
  <c r="H107" i="62" s="1"/>
  <c r="I107" i="62" s="1"/>
  <c r="J107" i="62" s="1"/>
  <c r="K107" i="62" s="1"/>
  <c r="AH106" i="62"/>
  <c r="AI106" i="62" s="1"/>
  <c r="AJ106" i="62" s="1"/>
  <c r="AK106" i="62" s="1"/>
  <c r="AL106" i="62" s="1"/>
  <c r="AM106" i="62" s="1"/>
  <c r="AA106" i="62"/>
  <c r="AB106" i="62" s="1"/>
  <c r="AC106" i="62" s="1"/>
  <c r="AD106" i="62" s="1"/>
  <c r="AE106" i="62" s="1"/>
  <c r="AF106" i="62" s="1"/>
  <c r="T106" i="62"/>
  <c r="U106" i="62" s="1"/>
  <c r="V106" i="62" s="1"/>
  <c r="W106" i="62" s="1"/>
  <c r="X106" i="62" s="1"/>
  <c r="Y106" i="62" s="1"/>
  <c r="M106" i="62"/>
  <c r="N106" i="62" s="1"/>
  <c r="O106" i="62" s="1"/>
  <c r="P106" i="62" s="1"/>
  <c r="Q106" i="62" s="1"/>
  <c r="R106" i="62" s="1"/>
  <c r="F106" i="62"/>
  <c r="G106" i="62" s="1"/>
  <c r="H106" i="62" s="1"/>
  <c r="I106" i="62" s="1"/>
  <c r="J106" i="62" s="1"/>
  <c r="K106" i="62" s="1"/>
  <c r="AH105" i="62"/>
  <c r="AI105" i="62" s="1"/>
  <c r="AJ105" i="62" s="1"/>
  <c r="AK105" i="62" s="1"/>
  <c r="AL105" i="62" s="1"/>
  <c r="AM105" i="62" s="1"/>
  <c r="AA105" i="62"/>
  <c r="AB105" i="62" s="1"/>
  <c r="AC105" i="62" s="1"/>
  <c r="AD105" i="62" s="1"/>
  <c r="AE105" i="62" s="1"/>
  <c r="AF105" i="62" s="1"/>
  <c r="T105" i="62"/>
  <c r="U105" i="62" s="1"/>
  <c r="V105" i="62" s="1"/>
  <c r="W105" i="62" s="1"/>
  <c r="X105" i="62" s="1"/>
  <c r="Y105" i="62" s="1"/>
  <c r="M105" i="62"/>
  <c r="N105" i="62" s="1"/>
  <c r="O105" i="62" s="1"/>
  <c r="P105" i="62" s="1"/>
  <c r="Q105" i="62" s="1"/>
  <c r="R105" i="62" s="1"/>
  <c r="F105" i="62"/>
  <c r="G105" i="62" s="1"/>
  <c r="H105" i="62" s="1"/>
  <c r="I105" i="62" s="1"/>
  <c r="J105" i="62" s="1"/>
  <c r="K105" i="62" s="1"/>
  <c r="AH104" i="62"/>
  <c r="AI104" i="62" s="1"/>
  <c r="AJ104" i="62" s="1"/>
  <c r="AK104" i="62" s="1"/>
  <c r="AL104" i="62" s="1"/>
  <c r="AM104" i="62" s="1"/>
  <c r="AA104" i="62"/>
  <c r="AB104" i="62" s="1"/>
  <c r="AC104" i="62" s="1"/>
  <c r="AD104" i="62" s="1"/>
  <c r="AE104" i="62" s="1"/>
  <c r="AF104" i="62" s="1"/>
  <c r="T104" i="62"/>
  <c r="U104" i="62" s="1"/>
  <c r="V104" i="62" s="1"/>
  <c r="W104" i="62" s="1"/>
  <c r="X104" i="62" s="1"/>
  <c r="Y104" i="62" s="1"/>
  <c r="M104" i="62"/>
  <c r="N104" i="62" s="1"/>
  <c r="O104" i="62" s="1"/>
  <c r="P104" i="62" s="1"/>
  <c r="Q104" i="62" s="1"/>
  <c r="R104" i="62" s="1"/>
  <c r="F104" i="62"/>
  <c r="G104" i="62" s="1"/>
  <c r="H104" i="62" s="1"/>
  <c r="I104" i="62" s="1"/>
  <c r="J104" i="62" s="1"/>
  <c r="K104" i="62" s="1"/>
  <c r="AH103" i="62"/>
  <c r="AI103" i="62" s="1"/>
  <c r="AJ103" i="62" s="1"/>
  <c r="AK103" i="62" s="1"/>
  <c r="AL103" i="62" s="1"/>
  <c r="AM103" i="62" s="1"/>
  <c r="AA103" i="62"/>
  <c r="AB103" i="62" s="1"/>
  <c r="AC103" i="62" s="1"/>
  <c r="AD103" i="62" s="1"/>
  <c r="AE103" i="62" s="1"/>
  <c r="AF103" i="62" s="1"/>
  <c r="T103" i="62"/>
  <c r="U103" i="62" s="1"/>
  <c r="V103" i="62" s="1"/>
  <c r="W103" i="62" s="1"/>
  <c r="X103" i="62" s="1"/>
  <c r="Y103" i="62" s="1"/>
  <c r="M103" i="62"/>
  <c r="N103" i="62" s="1"/>
  <c r="O103" i="62" s="1"/>
  <c r="P103" i="62" s="1"/>
  <c r="Q103" i="62" s="1"/>
  <c r="R103" i="62" s="1"/>
  <c r="F103" i="62"/>
  <c r="AH102" i="62"/>
  <c r="AA102" i="62"/>
  <c r="AB102" i="62" s="1"/>
  <c r="AC102" i="62" s="1"/>
  <c r="AD102" i="62" s="1"/>
  <c r="AE102" i="62" s="1"/>
  <c r="AF102" i="62" s="1"/>
  <c r="T102" i="62"/>
  <c r="U102" i="62" s="1"/>
  <c r="V102" i="62" s="1"/>
  <c r="W102" i="62" s="1"/>
  <c r="X102" i="62" s="1"/>
  <c r="Y102" i="62" s="1"/>
  <c r="M102" i="62"/>
  <c r="N102" i="62" s="1"/>
  <c r="O102" i="62" s="1"/>
  <c r="P102" i="62" s="1"/>
  <c r="Q102" i="62" s="1"/>
  <c r="R102" i="62" s="1"/>
  <c r="F102" i="62"/>
  <c r="G102" i="62" s="1"/>
  <c r="H102" i="62" s="1"/>
  <c r="I102" i="62" s="1"/>
  <c r="J102" i="62" s="1"/>
  <c r="K102" i="62" s="1"/>
  <c r="AH101" i="62"/>
  <c r="AI101" i="62" s="1"/>
  <c r="AJ101" i="62" s="1"/>
  <c r="AK101" i="62" s="1"/>
  <c r="AL101" i="62" s="1"/>
  <c r="AM101" i="62" s="1"/>
  <c r="AA101" i="62"/>
  <c r="T101" i="62"/>
  <c r="U101" i="62" s="1"/>
  <c r="V101" i="62" s="1"/>
  <c r="W101" i="62" s="1"/>
  <c r="X101" i="62" s="1"/>
  <c r="Y101" i="62" s="1"/>
  <c r="M101" i="62"/>
  <c r="AH100" i="62"/>
  <c r="AI100" i="62" s="1"/>
  <c r="AA100" i="62"/>
  <c r="AB100" i="62" s="1"/>
  <c r="AC100" i="62" s="1"/>
  <c r="T100" i="62"/>
  <c r="M100" i="62"/>
  <c r="N100" i="62" s="1"/>
  <c r="O100" i="62" s="1"/>
  <c r="P100" i="62" s="1"/>
  <c r="F100" i="62"/>
  <c r="G100" i="62" s="1"/>
  <c r="AN99" i="62"/>
  <c r="AG99" i="62"/>
  <c r="Z99" i="62"/>
  <c r="S99" i="62"/>
  <c r="L99" i="62"/>
  <c r="E99" i="62"/>
  <c r="AH98" i="62"/>
  <c r="AI98" i="62" s="1"/>
  <c r="AJ98" i="62" s="1"/>
  <c r="AK98" i="62" s="1"/>
  <c r="AL98" i="62" s="1"/>
  <c r="AM98" i="62" s="1"/>
  <c r="AA98" i="62"/>
  <c r="AB98" i="62" s="1"/>
  <c r="AC98" i="62" s="1"/>
  <c r="AD98" i="62" s="1"/>
  <c r="AE98" i="62" s="1"/>
  <c r="AF98" i="62" s="1"/>
  <c r="T98" i="62"/>
  <c r="U98" i="62" s="1"/>
  <c r="V98" i="62" s="1"/>
  <c r="W98" i="62" s="1"/>
  <c r="X98" i="62" s="1"/>
  <c r="Y98" i="62" s="1"/>
  <c r="M98" i="62"/>
  <c r="N98" i="62" s="1"/>
  <c r="O98" i="62" s="1"/>
  <c r="P98" i="62" s="1"/>
  <c r="Q98" i="62" s="1"/>
  <c r="R98" i="62" s="1"/>
  <c r="F98" i="62"/>
  <c r="G98" i="62" s="1"/>
  <c r="H98" i="62" s="1"/>
  <c r="I98" i="62" s="1"/>
  <c r="J98" i="62" s="1"/>
  <c r="K98" i="62" s="1"/>
  <c r="AH97" i="62"/>
  <c r="AA97" i="62"/>
  <c r="AB97" i="62" s="1"/>
  <c r="AC97" i="62" s="1"/>
  <c r="AD97" i="62" s="1"/>
  <c r="AE97" i="62" s="1"/>
  <c r="AF97" i="62" s="1"/>
  <c r="T97" i="62"/>
  <c r="U97" i="62" s="1"/>
  <c r="V97" i="62" s="1"/>
  <c r="W97" i="62" s="1"/>
  <c r="X97" i="62" s="1"/>
  <c r="Y97" i="62" s="1"/>
  <c r="M97" i="62"/>
  <c r="N97" i="62" s="1"/>
  <c r="O97" i="62" s="1"/>
  <c r="P97" i="62" s="1"/>
  <c r="Q97" i="62" s="1"/>
  <c r="R97" i="62" s="1"/>
  <c r="F97" i="62"/>
  <c r="G97" i="62" s="1"/>
  <c r="H97" i="62" s="1"/>
  <c r="I97" i="62" s="1"/>
  <c r="J97" i="62" s="1"/>
  <c r="K97" i="62" s="1"/>
  <c r="AH96" i="62"/>
  <c r="AI96" i="62" s="1"/>
  <c r="AJ96" i="62" s="1"/>
  <c r="AK96" i="62" s="1"/>
  <c r="AL96" i="62" s="1"/>
  <c r="AM96" i="62" s="1"/>
  <c r="AA96" i="62"/>
  <c r="T96" i="62"/>
  <c r="U96" i="62" s="1"/>
  <c r="V96" i="62" s="1"/>
  <c r="W96" i="62" s="1"/>
  <c r="X96" i="62" s="1"/>
  <c r="Y96" i="62" s="1"/>
  <c r="M96" i="62"/>
  <c r="N96" i="62" s="1"/>
  <c r="F96" i="62"/>
  <c r="AH95" i="62"/>
  <c r="AI95" i="62" s="1"/>
  <c r="AA95" i="62"/>
  <c r="AB95" i="62" s="1"/>
  <c r="AC95" i="62" s="1"/>
  <c r="AD95" i="62" s="1"/>
  <c r="T95" i="62"/>
  <c r="M95" i="62"/>
  <c r="N95" i="62" s="1"/>
  <c r="O95" i="62" s="1"/>
  <c r="P95" i="62" s="1"/>
  <c r="F95" i="62"/>
  <c r="G95" i="62" s="1"/>
  <c r="AN94" i="62"/>
  <c r="AG94" i="62"/>
  <c r="Z94" i="62"/>
  <c r="S94" i="62"/>
  <c r="L94" i="62"/>
  <c r="E94" i="62"/>
  <c r="AH93" i="62"/>
  <c r="AI93" i="62" s="1"/>
  <c r="AJ93" i="62" s="1"/>
  <c r="AK93" i="62" s="1"/>
  <c r="AL93" i="62" s="1"/>
  <c r="AM93" i="62" s="1"/>
  <c r="AA93" i="62"/>
  <c r="AB93" i="62" s="1"/>
  <c r="AC93" i="62" s="1"/>
  <c r="AD93" i="62" s="1"/>
  <c r="AE93" i="62" s="1"/>
  <c r="AF93" i="62" s="1"/>
  <c r="T93" i="62"/>
  <c r="U93" i="62" s="1"/>
  <c r="V93" i="62" s="1"/>
  <c r="W93" i="62" s="1"/>
  <c r="X93" i="62" s="1"/>
  <c r="Y93" i="62" s="1"/>
  <c r="M93" i="62"/>
  <c r="N93" i="62" s="1"/>
  <c r="O93" i="62" s="1"/>
  <c r="P93" i="62" s="1"/>
  <c r="Q93" i="62" s="1"/>
  <c r="R93" i="62" s="1"/>
  <c r="F93" i="62"/>
  <c r="G93" i="62" s="1"/>
  <c r="H93" i="62" s="1"/>
  <c r="I93" i="62" s="1"/>
  <c r="J93" i="62" s="1"/>
  <c r="K93" i="62" s="1"/>
  <c r="AH92" i="62"/>
  <c r="AI92" i="62" s="1"/>
  <c r="AJ92" i="62" s="1"/>
  <c r="AK92" i="62" s="1"/>
  <c r="AL92" i="62" s="1"/>
  <c r="AM92" i="62" s="1"/>
  <c r="AA92" i="62"/>
  <c r="AB92" i="62" s="1"/>
  <c r="AC92" i="62" s="1"/>
  <c r="AD92" i="62" s="1"/>
  <c r="AE92" i="62" s="1"/>
  <c r="AF92" i="62" s="1"/>
  <c r="T92" i="62"/>
  <c r="U92" i="62" s="1"/>
  <c r="V92" i="62" s="1"/>
  <c r="W92" i="62" s="1"/>
  <c r="X92" i="62" s="1"/>
  <c r="Y92" i="62" s="1"/>
  <c r="M92" i="62"/>
  <c r="N92" i="62" s="1"/>
  <c r="O92" i="62" s="1"/>
  <c r="P92" i="62" s="1"/>
  <c r="Q92" i="62" s="1"/>
  <c r="R92" i="62" s="1"/>
  <c r="F92" i="62"/>
  <c r="G92" i="62" s="1"/>
  <c r="H92" i="62" s="1"/>
  <c r="I92" i="62" s="1"/>
  <c r="J92" i="62" s="1"/>
  <c r="K92" i="62" s="1"/>
  <c r="AH91" i="62"/>
  <c r="AI91" i="62" s="1"/>
  <c r="AJ91" i="62" s="1"/>
  <c r="AK91" i="62" s="1"/>
  <c r="AL91" i="62" s="1"/>
  <c r="AM91" i="62" s="1"/>
  <c r="AA91" i="62"/>
  <c r="AB91" i="62" s="1"/>
  <c r="AC91" i="62" s="1"/>
  <c r="AD91" i="62" s="1"/>
  <c r="AE91" i="62" s="1"/>
  <c r="AF91" i="62" s="1"/>
  <c r="T91" i="62"/>
  <c r="U91" i="62" s="1"/>
  <c r="V91" i="62" s="1"/>
  <c r="W91" i="62" s="1"/>
  <c r="X91" i="62" s="1"/>
  <c r="Y91" i="62" s="1"/>
  <c r="M91" i="62"/>
  <c r="N91" i="62" s="1"/>
  <c r="O91" i="62" s="1"/>
  <c r="P91" i="62" s="1"/>
  <c r="Q91" i="62" s="1"/>
  <c r="R91" i="62" s="1"/>
  <c r="F91" i="62"/>
  <c r="G91" i="62" s="1"/>
  <c r="H91" i="62" s="1"/>
  <c r="I91" i="62" s="1"/>
  <c r="J91" i="62" s="1"/>
  <c r="K91" i="62" s="1"/>
  <c r="AH90" i="62"/>
  <c r="AI90" i="62" s="1"/>
  <c r="AJ90" i="62" s="1"/>
  <c r="AK90" i="62" s="1"/>
  <c r="AL90" i="62" s="1"/>
  <c r="AM90" i="62" s="1"/>
  <c r="AA90" i="62"/>
  <c r="AB90" i="62" s="1"/>
  <c r="AC90" i="62" s="1"/>
  <c r="AD90" i="62" s="1"/>
  <c r="AE90" i="62" s="1"/>
  <c r="AF90" i="62" s="1"/>
  <c r="T90" i="62"/>
  <c r="U90" i="62" s="1"/>
  <c r="V90" i="62" s="1"/>
  <c r="W90" i="62" s="1"/>
  <c r="X90" i="62" s="1"/>
  <c r="Y90" i="62" s="1"/>
  <c r="M90" i="62"/>
  <c r="N90" i="62" s="1"/>
  <c r="O90" i="62" s="1"/>
  <c r="P90" i="62" s="1"/>
  <c r="Q90" i="62" s="1"/>
  <c r="R90" i="62" s="1"/>
  <c r="F90" i="62"/>
  <c r="G90" i="62" s="1"/>
  <c r="H90" i="62" s="1"/>
  <c r="I90" i="62" s="1"/>
  <c r="J90" i="62" s="1"/>
  <c r="K90" i="62" s="1"/>
  <c r="AH89" i="62"/>
  <c r="AI89" i="62" s="1"/>
  <c r="AJ89" i="62" s="1"/>
  <c r="AK89" i="62" s="1"/>
  <c r="AL89" i="62" s="1"/>
  <c r="AM89" i="62" s="1"/>
  <c r="AA89" i="62"/>
  <c r="AB89" i="62" s="1"/>
  <c r="AC89" i="62" s="1"/>
  <c r="AD89" i="62" s="1"/>
  <c r="AE89" i="62" s="1"/>
  <c r="AF89" i="62" s="1"/>
  <c r="T89" i="62"/>
  <c r="U89" i="62" s="1"/>
  <c r="V89" i="62" s="1"/>
  <c r="W89" i="62" s="1"/>
  <c r="X89" i="62" s="1"/>
  <c r="Y89" i="62" s="1"/>
  <c r="M89" i="62"/>
  <c r="N89" i="62" s="1"/>
  <c r="O89" i="62" s="1"/>
  <c r="P89" i="62" s="1"/>
  <c r="Q89" i="62" s="1"/>
  <c r="R89" i="62" s="1"/>
  <c r="F89" i="62"/>
  <c r="G89" i="62" s="1"/>
  <c r="H89" i="62" s="1"/>
  <c r="I89" i="62" s="1"/>
  <c r="J89" i="62" s="1"/>
  <c r="K89" i="62" s="1"/>
  <c r="AH88" i="62"/>
  <c r="AI88" i="62" s="1"/>
  <c r="AJ88" i="62" s="1"/>
  <c r="AK88" i="62" s="1"/>
  <c r="AL88" i="62" s="1"/>
  <c r="AM88" i="62" s="1"/>
  <c r="AA88" i="62"/>
  <c r="AB88" i="62" s="1"/>
  <c r="AC88" i="62" s="1"/>
  <c r="AD88" i="62" s="1"/>
  <c r="AE88" i="62" s="1"/>
  <c r="AF88" i="62" s="1"/>
  <c r="T88" i="62"/>
  <c r="U88" i="62" s="1"/>
  <c r="V88" i="62" s="1"/>
  <c r="W88" i="62" s="1"/>
  <c r="X88" i="62" s="1"/>
  <c r="Y88" i="62" s="1"/>
  <c r="M88" i="62"/>
  <c r="N88" i="62" s="1"/>
  <c r="O88" i="62" s="1"/>
  <c r="P88" i="62" s="1"/>
  <c r="Q88" i="62" s="1"/>
  <c r="R88" i="62" s="1"/>
  <c r="F88" i="62"/>
  <c r="G88" i="62" s="1"/>
  <c r="H88" i="62" s="1"/>
  <c r="I88" i="62" s="1"/>
  <c r="J88" i="62" s="1"/>
  <c r="K88" i="62" s="1"/>
  <c r="AH87" i="62"/>
  <c r="AI87" i="62" s="1"/>
  <c r="AJ87" i="62" s="1"/>
  <c r="AK87" i="62" s="1"/>
  <c r="AL87" i="62" s="1"/>
  <c r="AM87" i="62" s="1"/>
  <c r="AA87" i="62"/>
  <c r="AB87" i="62" s="1"/>
  <c r="AC87" i="62" s="1"/>
  <c r="AD87" i="62" s="1"/>
  <c r="AE87" i="62" s="1"/>
  <c r="AF87" i="62" s="1"/>
  <c r="T87" i="62"/>
  <c r="U87" i="62" s="1"/>
  <c r="V87" i="62" s="1"/>
  <c r="W87" i="62" s="1"/>
  <c r="X87" i="62" s="1"/>
  <c r="Y87" i="62" s="1"/>
  <c r="M87" i="62"/>
  <c r="N87" i="62" s="1"/>
  <c r="O87" i="62" s="1"/>
  <c r="P87" i="62" s="1"/>
  <c r="Q87" i="62" s="1"/>
  <c r="R87" i="62" s="1"/>
  <c r="F87" i="62"/>
  <c r="G87" i="62" s="1"/>
  <c r="H87" i="62" s="1"/>
  <c r="I87" i="62" s="1"/>
  <c r="J87" i="62" s="1"/>
  <c r="K87" i="62" s="1"/>
  <c r="AH86" i="62"/>
  <c r="AA86" i="62"/>
  <c r="AB86" i="62" s="1"/>
  <c r="AC86" i="62" s="1"/>
  <c r="AD86" i="62" s="1"/>
  <c r="AE86" i="62" s="1"/>
  <c r="AF86" i="62" s="1"/>
  <c r="T86" i="62"/>
  <c r="U86" i="62" s="1"/>
  <c r="V86" i="62" s="1"/>
  <c r="W86" i="62" s="1"/>
  <c r="X86" i="62" s="1"/>
  <c r="Y86" i="62" s="1"/>
  <c r="M86" i="62"/>
  <c r="N86" i="62" s="1"/>
  <c r="O86" i="62" s="1"/>
  <c r="P86" i="62" s="1"/>
  <c r="Q86" i="62" s="1"/>
  <c r="R86" i="62" s="1"/>
  <c r="F86" i="62"/>
  <c r="G86" i="62" s="1"/>
  <c r="H86" i="62" s="1"/>
  <c r="I86" i="62" s="1"/>
  <c r="J86" i="62" s="1"/>
  <c r="K86" i="62" s="1"/>
  <c r="AH85" i="62"/>
  <c r="AI85" i="62" s="1"/>
  <c r="AJ85" i="62" s="1"/>
  <c r="AK85" i="62" s="1"/>
  <c r="AL85" i="62" s="1"/>
  <c r="AM85" i="62" s="1"/>
  <c r="AA85" i="62"/>
  <c r="AB85" i="62" s="1"/>
  <c r="AC85" i="62" s="1"/>
  <c r="AD85" i="62" s="1"/>
  <c r="AE85" i="62" s="1"/>
  <c r="AF85" i="62" s="1"/>
  <c r="T85" i="62"/>
  <c r="U85" i="62" s="1"/>
  <c r="V85" i="62" s="1"/>
  <c r="W85" i="62" s="1"/>
  <c r="X85" i="62" s="1"/>
  <c r="Y85" i="62" s="1"/>
  <c r="M85" i="62"/>
  <c r="N85" i="62" s="1"/>
  <c r="O85" i="62" s="1"/>
  <c r="P85" i="62" s="1"/>
  <c r="Q85" i="62" s="1"/>
  <c r="R85" i="62" s="1"/>
  <c r="F85" i="62"/>
  <c r="G85" i="62" s="1"/>
  <c r="H85" i="62" s="1"/>
  <c r="I85" i="62" s="1"/>
  <c r="J85" i="62" s="1"/>
  <c r="K85" i="62" s="1"/>
  <c r="AH84" i="62"/>
  <c r="AI84" i="62" s="1"/>
  <c r="AJ84" i="62" s="1"/>
  <c r="AA84" i="62"/>
  <c r="AB84" i="62" s="1"/>
  <c r="AC84" i="62" s="1"/>
  <c r="T84" i="62"/>
  <c r="U84" i="62" s="1"/>
  <c r="M84" i="62"/>
  <c r="F84" i="62"/>
  <c r="G84" i="62" s="1"/>
  <c r="H84" i="62" s="1"/>
  <c r="AN83" i="62"/>
  <c r="AG83" i="62"/>
  <c r="Z83" i="62"/>
  <c r="S83" i="62"/>
  <c r="L83" i="62"/>
  <c r="E83" i="62"/>
  <c r="AH82" i="62"/>
  <c r="AI82" i="62" s="1"/>
  <c r="AJ82" i="62" s="1"/>
  <c r="AK82" i="62" s="1"/>
  <c r="AL82" i="62" s="1"/>
  <c r="AM82" i="62" s="1"/>
  <c r="AA82" i="62"/>
  <c r="T82" i="62"/>
  <c r="M82" i="62"/>
  <c r="N82" i="62" s="1"/>
  <c r="O82" i="62" s="1"/>
  <c r="P82" i="62" s="1"/>
  <c r="Q82" i="62" s="1"/>
  <c r="R82" i="62" s="1"/>
  <c r="F82" i="62"/>
  <c r="G82" i="62" s="1"/>
  <c r="H82" i="62" s="1"/>
  <c r="I82" i="62" s="1"/>
  <c r="J82" i="62" s="1"/>
  <c r="K82" i="62" s="1"/>
  <c r="AH81" i="62"/>
  <c r="AA81" i="62"/>
  <c r="AB81" i="62" s="1"/>
  <c r="T81" i="62"/>
  <c r="U81" i="62" s="1"/>
  <c r="V81" i="62" s="1"/>
  <c r="M81" i="62"/>
  <c r="N81" i="62" s="1"/>
  <c r="F81" i="62"/>
  <c r="AN80" i="62"/>
  <c r="AG80" i="62"/>
  <c r="Z80" i="62"/>
  <c r="S80" i="62"/>
  <c r="L80" i="62"/>
  <c r="E80" i="62"/>
  <c r="AH78" i="62"/>
  <c r="AI78" i="62" s="1"/>
  <c r="AJ78" i="62" s="1"/>
  <c r="AK78" i="62" s="1"/>
  <c r="AL78" i="62" s="1"/>
  <c r="AM78" i="62" s="1"/>
  <c r="AA78" i="62"/>
  <c r="AB78" i="62" s="1"/>
  <c r="AC78" i="62" s="1"/>
  <c r="AD78" i="62" s="1"/>
  <c r="AE78" i="62" s="1"/>
  <c r="AF78" i="62" s="1"/>
  <c r="T78" i="62"/>
  <c r="U78" i="62" s="1"/>
  <c r="V78" i="62" s="1"/>
  <c r="W78" i="62" s="1"/>
  <c r="X78" i="62" s="1"/>
  <c r="Y78" i="62" s="1"/>
  <c r="M78" i="62"/>
  <c r="N78" i="62" s="1"/>
  <c r="O78" i="62" s="1"/>
  <c r="P78" i="62" s="1"/>
  <c r="Q78" i="62" s="1"/>
  <c r="R78" i="62" s="1"/>
  <c r="AH77" i="62"/>
  <c r="AI77" i="62" s="1"/>
  <c r="AJ77" i="62" s="1"/>
  <c r="AK77" i="62" s="1"/>
  <c r="AL77" i="62" s="1"/>
  <c r="AM77" i="62" s="1"/>
  <c r="AA77" i="62"/>
  <c r="AB77" i="62" s="1"/>
  <c r="AC77" i="62" s="1"/>
  <c r="AD77" i="62" s="1"/>
  <c r="AE77" i="62" s="1"/>
  <c r="AF77" i="62" s="1"/>
  <c r="T77" i="62"/>
  <c r="U77" i="62" s="1"/>
  <c r="V77" i="62" s="1"/>
  <c r="W77" i="62" s="1"/>
  <c r="X77" i="62" s="1"/>
  <c r="Y77" i="62" s="1"/>
  <c r="M77" i="62"/>
  <c r="N77" i="62" s="1"/>
  <c r="O77" i="62" s="1"/>
  <c r="P77" i="62" s="1"/>
  <c r="Q77" i="62" s="1"/>
  <c r="R77" i="62" s="1"/>
  <c r="F77" i="62"/>
  <c r="G77" i="62" s="1"/>
  <c r="H77" i="62" s="1"/>
  <c r="I77" i="62" s="1"/>
  <c r="J77" i="62" s="1"/>
  <c r="K77" i="62" s="1"/>
  <c r="AH76" i="62"/>
  <c r="AI76" i="62" s="1"/>
  <c r="AJ76" i="62" s="1"/>
  <c r="AK76" i="62" s="1"/>
  <c r="AL76" i="62" s="1"/>
  <c r="AM76" i="62" s="1"/>
  <c r="AA76" i="62"/>
  <c r="AB76" i="62" s="1"/>
  <c r="AC76" i="62" s="1"/>
  <c r="AD76" i="62" s="1"/>
  <c r="AE76" i="62" s="1"/>
  <c r="AF76" i="62" s="1"/>
  <c r="T76" i="62"/>
  <c r="U76" i="62" s="1"/>
  <c r="V76" i="62" s="1"/>
  <c r="W76" i="62" s="1"/>
  <c r="X76" i="62" s="1"/>
  <c r="Y76" i="62" s="1"/>
  <c r="M76" i="62"/>
  <c r="N76" i="62" s="1"/>
  <c r="O76" i="62" s="1"/>
  <c r="P76" i="62" s="1"/>
  <c r="Q76" i="62" s="1"/>
  <c r="R76" i="62" s="1"/>
  <c r="F76" i="62"/>
  <c r="G76" i="62" s="1"/>
  <c r="H76" i="62" s="1"/>
  <c r="I76" i="62" s="1"/>
  <c r="J76" i="62" s="1"/>
  <c r="K76" i="62" s="1"/>
  <c r="AH75" i="62"/>
  <c r="AA75" i="62"/>
  <c r="AB75" i="62" s="1"/>
  <c r="T75" i="62"/>
  <c r="U75" i="62" s="1"/>
  <c r="M75" i="62"/>
  <c r="F75" i="62"/>
  <c r="AN74" i="62"/>
  <c r="AG74" i="62"/>
  <c r="Z74" i="62"/>
  <c r="S74" i="62"/>
  <c r="L74" i="62"/>
  <c r="E74" i="62"/>
  <c r="AH73" i="62"/>
  <c r="AI73" i="62" s="1"/>
  <c r="AJ73" i="62" s="1"/>
  <c r="AK73" i="62" s="1"/>
  <c r="AL73" i="62" s="1"/>
  <c r="AM73" i="62" s="1"/>
  <c r="AA73" i="62"/>
  <c r="AB73" i="62" s="1"/>
  <c r="AC73" i="62" s="1"/>
  <c r="AD73" i="62" s="1"/>
  <c r="AE73" i="62" s="1"/>
  <c r="AF73" i="62" s="1"/>
  <c r="T73" i="62"/>
  <c r="U73" i="62" s="1"/>
  <c r="V73" i="62" s="1"/>
  <c r="W73" i="62" s="1"/>
  <c r="X73" i="62" s="1"/>
  <c r="Y73" i="62" s="1"/>
  <c r="M73" i="62"/>
  <c r="N73" i="62" s="1"/>
  <c r="O73" i="62" s="1"/>
  <c r="P73" i="62" s="1"/>
  <c r="Q73" i="62" s="1"/>
  <c r="R73" i="62" s="1"/>
  <c r="F73" i="62"/>
  <c r="G73" i="62" s="1"/>
  <c r="H73" i="62" s="1"/>
  <c r="I73" i="62" s="1"/>
  <c r="J73" i="62" s="1"/>
  <c r="K73" i="62" s="1"/>
  <c r="AH72" i="62"/>
  <c r="AI72" i="62" s="1"/>
  <c r="AA72" i="62"/>
  <c r="AB72" i="62" s="1"/>
  <c r="T72" i="62"/>
  <c r="U72" i="62" s="1"/>
  <c r="M72" i="62"/>
  <c r="F72" i="62"/>
  <c r="G72" i="62" s="1"/>
  <c r="H72" i="62" s="1"/>
  <c r="AN71" i="62"/>
  <c r="AG71" i="62"/>
  <c r="Z71" i="62"/>
  <c r="S71" i="62"/>
  <c r="S67" i="62" s="1"/>
  <c r="L71" i="62"/>
  <c r="E71" i="62"/>
  <c r="AH70" i="62"/>
  <c r="AI70" i="62" s="1"/>
  <c r="AJ70" i="62" s="1"/>
  <c r="AK70" i="62" s="1"/>
  <c r="AL70" i="62" s="1"/>
  <c r="AM70" i="62" s="1"/>
  <c r="AA70" i="62"/>
  <c r="AB70" i="62" s="1"/>
  <c r="AC70" i="62" s="1"/>
  <c r="AD70" i="62" s="1"/>
  <c r="AE70" i="62" s="1"/>
  <c r="AF70" i="62" s="1"/>
  <c r="T70" i="62"/>
  <c r="U70" i="62" s="1"/>
  <c r="V70" i="62" s="1"/>
  <c r="W70" i="62" s="1"/>
  <c r="X70" i="62" s="1"/>
  <c r="Y70" i="62" s="1"/>
  <c r="M70" i="62"/>
  <c r="N70" i="62" s="1"/>
  <c r="O70" i="62" s="1"/>
  <c r="P70" i="62" s="1"/>
  <c r="Q70" i="62" s="1"/>
  <c r="R70" i="62" s="1"/>
  <c r="AH69" i="62"/>
  <c r="AI69" i="62" s="1"/>
  <c r="AJ69" i="62" s="1"/>
  <c r="AK69" i="62" s="1"/>
  <c r="AL69" i="62" s="1"/>
  <c r="AM69" i="62" s="1"/>
  <c r="AA69" i="62"/>
  <c r="AB69" i="62" s="1"/>
  <c r="AC69" i="62" s="1"/>
  <c r="AD69" i="62" s="1"/>
  <c r="AE69" i="62" s="1"/>
  <c r="AF69" i="62" s="1"/>
  <c r="T69" i="62"/>
  <c r="U69" i="62" s="1"/>
  <c r="V69" i="62" s="1"/>
  <c r="W69" i="62" s="1"/>
  <c r="X69" i="62" s="1"/>
  <c r="Y69" i="62" s="1"/>
  <c r="M69" i="62"/>
  <c r="N69" i="62" s="1"/>
  <c r="O69" i="62" s="1"/>
  <c r="P69" i="62" s="1"/>
  <c r="Q69" i="62" s="1"/>
  <c r="R69" i="62" s="1"/>
  <c r="AH68" i="62"/>
  <c r="AI68" i="62" s="1"/>
  <c r="AJ68" i="62" s="1"/>
  <c r="AK68" i="62" s="1"/>
  <c r="AL68" i="62" s="1"/>
  <c r="AM68" i="62" s="1"/>
  <c r="AA68" i="62"/>
  <c r="AB68" i="62" s="1"/>
  <c r="AC68" i="62" s="1"/>
  <c r="AD68" i="62" s="1"/>
  <c r="AE68" i="62" s="1"/>
  <c r="AF68" i="62" s="1"/>
  <c r="T68" i="62"/>
  <c r="U68" i="62" s="1"/>
  <c r="V68" i="62" s="1"/>
  <c r="W68" i="62" s="1"/>
  <c r="X68" i="62" s="1"/>
  <c r="Y68" i="62" s="1"/>
  <c r="M68" i="62"/>
  <c r="N68" i="62" s="1"/>
  <c r="O68" i="62" s="1"/>
  <c r="P68" i="62" s="1"/>
  <c r="Q68" i="62" s="1"/>
  <c r="R68" i="62" s="1"/>
  <c r="F68" i="62"/>
  <c r="G68" i="62" s="1"/>
  <c r="H68" i="62" s="1"/>
  <c r="I68" i="62" s="1"/>
  <c r="J68" i="62" s="1"/>
  <c r="K68" i="62" s="1"/>
  <c r="E67" i="62"/>
  <c r="AH66" i="62"/>
  <c r="AI66" i="62" s="1"/>
  <c r="AJ66" i="62" s="1"/>
  <c r="AK66" i="62" s="1"/>
  <c r="AL66" i="62" s="1"/>
  <c r="AM66" i="62" s="1"/>
  <c r="AA66" i="62"/>
  <c r="T66" i="62"/>
  <c r="U66" i="62" s="1"/>
  <c r="V66" i="62" s="1"/>
  <c r="W66" i="62" s="1"/>
  <c r="X66" i="62" s="1"/>
  <c r="Y66" i="62" s="1"/>
  <c r="M66" i="62"/>
  <c r="N66" i="62" s="1"/>
  <c r="O66" i="62" s="1"/>
  <c r="P66" i="62" s="1"/>
  <c r="Q66" i="62" s="1"/>
  <c r="R66" i="62" s="1"/>
  <c r="F66" i="62"/>
  <c r="G66" i="62" s="1"/>
  <c r="H66" i="62" s="1"/>
  <c r="I66" i="62" s="1"/>
  <c r="J66" i="62" s="1"/>
  <c r="K66" i="62" s="1"/>
  <c r="AH65" i="62"/>
  <c r="AI65" i="62" s="1"/>
  <c r="AA65" i="62"/>
  <c r="AB65" i="62" s="1"/>
  <c r="AC65" i="62" s="1"/>
  <c r="T65" i="62"/>
  <c r="U65" i="62" s="1"/>
  <c r="M65" i="62"/>
  <c r="F65" i="62"/>
  <c r="G65" i="62" s="1"/>
  <c r="AN64" i="62"/>
  <c r="AG64" i="62"/>
  <c r="Z64" i="62"/>
  <c r="S64" i="62"/>
  <c r="L64" i="62"/>
  <c r="E64" i="62"/>
  <c r="AH63" i="62"/>
  <c r="AI63" i="62" s="1"/>
  <c r="AJ63" i="62" s="1"/>
  <c r="AK63" i="62" s="1"/>
  <c r="AL63" i="62" s="1"/>
  <c r="AM63" i="62" s="1"/>
  <c r="AA63" i="62"/>
  <c r="T63" i="62"/>
  <c r="U63" i="62" s="1"/>
  <c r="V63" i="62" s="1"/>
  <c r="W63" i="62" s="1"/>
  <c r="X63" i="62" s="1"/>
  <c r="Y63" i="62" s="1"/>
  <c r="M63" i="62"/>
  <c r="N63" i="62" s="1"/>
  <c r="O63" i="62" s="1"/>
  <c r="P63" i="62" s="1"/>
  <c r="Q63" i="62" s="1"/>
  <c r="R63" i="62" s="1"/>
  <c r="F63" i="62"/>
  <c r="G63" i="62" s="1"/>
  <c r="H63" i="62" s="1"/>
  <c r="I63" i="62" s="1"/>
  <c r="J63" i="62" s="1"/>
  <c r="K63" i="62" s="1"/>
  <c r="AH62" i="62"/>
  <c r="AI62" i="62" s="1"/>
  <c r="AA62" i="62"/>
  <c r="AB62" i="62" s="1"/>
  <c r="AC62" i="62" s="1"/>
  <c r="T62" i="62"/>
  <c r="M62" i="62"/>
  <c r="F62" i="62"/>
  <c r="G62" i="62" s="1"/>
  <c r="AN61" i="62"/>
  <c r="AG61" i="62"/>
  <c r="Z61" i="62"/>
  <c r="S61" i="62"/>
  <c r="L61" i="62"/>
  <c r="E61" i="62"/>
  <c r="AT60" i="62"/>
  <c r="AS60" i="62"/>
  <c r="AR60" i="62"/>
  <c r="AQ60" i="62"/>
  <c r="AP60" i="62"/>
  <c r="AO60" i="62"/>
  <c r="K50" i="62"/>
  <c r="AN50" i="62"/>
  <c r="AM50" i="62"/>
  <c r="AL50" i="62"/>
  <c r="AK50" i="62"/>
  <c r="AJ50" i="62"/>
  <c r="AI50" i="62"/>
  <c r="AH50" i="62"/>
  <c r="AG50" i="62"/>
  <c r="AF50" i="62"/>
  <c r="AE50" i="62"/>
  <c r="AD50" i="62"/>
  <c r="AC50" i="62"/>
  <c r="AB50" i="62"/>
  <c r="AA50" i="62"/>
  <c r="Z50" i="62"/>
  <c r="Y50" i="62"/>
  <c r="X50" i="62"/>
  <c r="W50" i="62"/>
  <c r="V50" i="62"/>
  <c r="U50" i="62"/>
  <c r="T50" i="62"/>
  <c r="S50" i="62"/>
  <c r="R50" i="62"/>
  <c r="Q50" i="62"/>
  <c r="P50" i="62"/>
  <c r="O50" i="62"/>
  <c r="N50" i="62"/>
  <c r="M50" i="62"/>
  <c r="L50" i="62"/>
  <c r="J50" i="62"/>
  <c r="I50" i="62"/>
  <c r="H50" i="62"/>
  <c r="G50" i="62"/>
  <c r="F50" i="62"/>
  <c r="AN45" i="62"/>
  <c r="AM45" i="62"/>
  <c r="AL45" i="62"/>
  <c r="AK45" i="62"/>
  <c r="AJ45" i="62"/>
  <c r="AI45" i="62"/>
  <c r="AH45" i="62"/>
  <c r="AG45" i="62"/>
  <c r="AF45" i="62"/>
  <c r="AE45" i="62"/>
  <c r="AD45" i="62"/>
  <c r="AC45" i="62"/>
  <c r="AB45" i="62"/>
  <c r="AA45" i="62"/>
  <c r="Z45" i="62"/>
  <c r="Y45" i="62"/>
  <c r="X45" i="62"/>
  <c r="W45" i="62"/>
  <c r="V45" i="62"/>
  <c r="U45" i="62"/>
  <c r="T45" i="62"/>
  <c r="S45" i="62"/>
  <c r="R45" i="62"/>
  <c r="Q45" i="62"/>
  <c r="P45" i="62"/>
  <c r="O45" i="62"/>
  <c r="N45" i="62"/>
  <c r="M45" i="62"/>
  <c r="L45" i="62"/>
  <c r="K45" i="62"/>
  <c r="J45" i="62"/>
  <c r="I45" i="62"/>
  <c r="H45" i="62"/>
  <c r="G45" i="62"/>
  <c r="F45" i="62"/>
  <c r="E45" i="62"/>
  <c r="AN34" i="62"/>
  <c r="AM34" i="62"/>
  <c r="AL34" i="62"/>
  <c r="AK34" i="62"/>
  <c r="AJ34" i="62"/>
  <c r="AI34" i="62"/>
  <c r="AH34" i="62"/>
  <c r="AG34" i="62"/>
  <c r="AF34" i="62"/>
  <c r="AE34" i="62"/>
  <c r="AD34" i="62"/>
  <c r="AC34" i="62"/>
  <c r="AB34" i="62"/>
  <c r="AA34" i="62"/>
  <c r="Z34" i="62"/>
  <c r="Y34" i="62"/>
  <c r="X34" i="62"/>
  <c r="W34" i="62"/>
  <c r="V34" i="62"/>
  <c r="U34" i="62"/>
  <c r="T34" i="62"/>
  <c r="S34" i="62"/>
  <c r="R34" i="62"/>
  <c r="Q34" i="62"/>
  <c r="P34" i="62"/>
  <c r="O34" i="62"/>
  <c r="N34" i="62"/>
  <c r="M34" i="62"/>
  <c r="L34" i="62"/>
  <c r="K34" i="62"/>
  <c r="J34" i="62"/>
  <c r="I34" i="62"/>
  <c r="H34" i="62"/>
  <c r="G34" i="62"/>
  <c r="F34" i="62"/>
  <c r="E34" i="62"/>
  <c r="AN31" i="62"/>
  <c r="AM31" i="62"/>
  <c r="AL31" i="62"/>
  <c r="AK31" i="62"/>
  <c r="AJ31" i="62"/>
  <c r="AI31" i="62"/>
  <c r="AH31" i="62"/>
  <c r="AG31" i="62"/>
  <c r="AF31" i="62"/>
  <c r="AE31" i="62"/>
  <c r="AD31" i="62"/>
  <c r="AC31" i="62"/>
  <c r="AB31" i="62"/>
  <c r="AA31" i="62"/>
  <c r="Z31" i="62"/>
  <c r="Y31" i="62"/>
  <c r="X31" i="62"/>
  <c r="W31" i="62"/>
  <c r="V31" i="62"/>
  <c r="U31" i="62"/>
  <c r="T31" i="62"/>
  <c r="S31" i="62"/>
  <c r="S30" i="62" s="1"/>
  <c r="R31" i="62"/>
  <c r="R30" i="62" s="1"/>
  <c r="Q31" i="62"/>
  <c r="Q30" i="62" s="1"/>
  <c r="P31" i="62"/>
  <c r="O31" i="62"/>
  <c r="O30" i="62" s="1"/>
  <c r="N31" i="62"/>
  <c r="N30" i="62" s="1"/>
  <c r="M31" i="62"/>
  <c r="M30" i="62" s="1"/>
  <c r="L31" i="62"/>
  <c r="K31" i="62"/>
  <c r="K30" i="62" s="1"/>
  <c r="J31" i="62"/>
  <c r="J30" i="62" s="1"/>
  <c r="I31" i="62"/>
  <c r="I30" i="62" s="1"/>
  <c r="H31" i="62"/>
  <c r="H30" i="62" s="1"/>
  <c r="G31" i="62"/>
  <c r="G30" i="62" s="1"/>
  <c r="F31" i="62"/>
  <c r="F30" i="62" s="1"/>
  <c r="E31" i="62"/>
  <c r="AN30" i="62"/>
  <c r="AM30" i="62"/>
  <c r="AL30" i="62"/>
  <c r="AK30" i="62"/>
  <c r="AJ30" i="62"/>
  <c r="AI30" i="62"/>
  <c r="AH30" i="62"/>
  <c r="AG30" i="62"/>
  <c r="AF30" i="62"/>
  <c r="AE30" i="62"/>
  <c r="AD30" i="62"/>
  <c r="AC30" i="62"/>
  <c r="AB30" i="62"/>
  <c r="AA30" i="62"/>
  <c r="Z30" i="62"/>
  <c r="Y30" i="62"/>
  <c r="X30" i="62"/>
  <c r="W30" i="62"/>
  <c r="V30" i="62"/>
  <c r="T30" i="62"/>
  <c r="L30" i="62"/>
  <c r="AN25" i="62"/>
  <c r="AM25" i="62"/>
  <c r="AL25" i="62"/>
  <c r="AK25" i="62"/>
  <c r="AJ25" i="62"/>
  <c r="AI25" i="62"/>
  <c r="AH25" i="62"/>
  <c r="AG25" i="62"/>
  <c r="AF25" i="62"/>
  <c r="AE25" i="62"/>
  <c r="AD25" i="62"/>
  <c r="AC25" i="62"/>
  <c r="AB25" i="62"/>
  <c r="AA25" i="62"/>
  <c r="Z25" i="62"/>
  <c r="Y25" i="62"/>
  <c r="X25" i="62"/>
  <c r="W25" i="62"/>
  <c r="V25" i="62"/>
  <c r="U25" i="62"/>
  <c r="T25" i="62"/>
  <c r="S25" i="62"/>
  <c r="R25" i="62"/>
  <c r="Q25" i="62"/>
  <c r="P25" i="62"/>
  <c r="O25" i="62"/>
  <c r="N25" i="62"/>
  <c r="M25" i="62"/>
  <c r="L25" i="62"/>
  <c r="K25" i="62"/>
  <c r="J25" i="62"/>
  <c r="I25" i="62"/>
  <c r="H25" i="62"/>
  <c r="G25" i="62"/>
  <c r="F25" i="62"/>
  <c r="E25" i="62"/>
  <c r="AN22" i="62"/>
  <c r="AN18" i="62" s="1"/>
  <c r="AM22" i="62"/>
  <c r="AM18" i="62" s="1"/>
  <c r="AL22" i="62"/>
  <c r="AL18" i="62" s="1"/>
  <c r="AK22" i="62"/>
  <c r="AK18" i="62" s="1"/>
  <c r="AJ22" i="62"/>
  <c r="AI22" i="62"/>
  <c r="AH22" i="62"/>
  <c r="AH18" i="62" s="1"/>
  <c r="AG22" i="62"/>
  <c r="AG18" i="62" s="1"/>
  <c r="AF22" i="62"/>
  <c r="AF18" i="62" s="1"/>
  <c r="AE22" i="62"/>
  <c r="AE18" i="62" s="1"/>
  <c r="AD22" i="62"/>
  <c r="AD18" i="62" s="1"/>
  <c r="AC22" i="62"/>
  <c r="AC18" i="62" s="1"/>
  <c r="AB22" i="62"/>
  <c r="AA22" i="62"/>
  <c r="AA18" i="62" s="1"/>
  <c r="Z22" i="62"/>
  <c r="Z18" i="62" s="1"/>
  <c r="Y22" i="62"/>
  <c r="Y18" i="62" s="1"/>
  <c r="X22" i="62"/>
  <c r="X18" i="62" s="1"/>
  <c r="W22" i="62"/>
  <c r="W18" i="62" s="1"/>
  <c r="V22" i="62"/>
  <c r="V18" i="62" s="1"/>
  <c r="U22" i="62"/>
  <c r="U18" i="62" s="1"/>
  <c r="T22" i="62"/>
  <c r="T18" i="62" s="1"/>
  <c r="S22" i="62"/>
  <c r="S18" i="62" s="1"/>
  <c r="R22" i="62"/>
  <c r="R18" i="62" s="1"/>
  <c r="Q22" i="62"/>
  <c r="Q18" i="62" s="1"/>
  <c r="P22" i="62"/>
  <c r="P18" i="62" s="1"/>
  <c r="O22" i="62"/>
  <c r="O18" i="62" s="1"/>
  <c r="N22" i="62"/>
  <c r="N18" i="62" s="1"/>
  <c r="M22" i="62"/>
  <c r="M18" i="62" s="1"/>
  <c r="L22" i="62"/>
  <c r="K22" i="62"/>
  <c r="K18" i="62" s="1"/>
  <c r="J22" i="62"/>
  <c r="I22" i="62"/>
  <c r="H22" i="62"/>
  <c r="H18" i="62" s="1"/>
  <c r="G22" i="62"/>
  <c r="G18" i="62" s="1"/>
  <c r="F22" i="62"/>
  <c r="F18" i="62" s="1"/>
  <c r="E22" i="62"/>
  <c r="AJ18" i="62"/>
  <c r="AI18" i="62"/>
  <c r="AN15" i="62"/>
  <c r="AM15" i="62"/>
  <c r="AL15" i="62"/>
  <c r="AK15" i="62"/>
  <c r="AJ15" i="62"/>
  <c r="AI15" i="62"/>
  <c r="AH15" i="62"/>
  <c r="AG15" i="62"/>
  <c r="AF15" i="62"/>
  <c r="AE15" i="62"/>
  <c r="AD15" i="62"/>
  <c r="AC15" i="62"/>
  <c r="AB15" i="62"/>
  <c r="AA15" i="62"/>
  <c r="Z15" i="62"/>
  <c r="Y15" i="62"/>
  <c r="X15" i="62"/>
  <c r="W15" i="62"/>
  <c r="V15" i="62"/>
  <c r="U15" i="62"/>
  <c r="T15" i="62"/>
  <c r="S15" i="62"/>
  <c r="R15" i="62"/>
  <c r="Q15" i="62"/>
  <c r="P15" i="62"/>
  <c r="O15" i="62"/>
  <c r="N15" i="62"/>
  <c r="M15" i="62"/>
  <c r="L15" i="62"/>
  <c r="K15" i="62"/>
  <c r="J15" i="62"/>
  <c r="I15" i="62"/>
  <c r="H15" i="62"/>
  <c r="G15" i="62"/>
  <c r="F15" i="62"/>
  <c r="E15" i="62"/>
  <c r="AN12" i="62"/>
  <c r="AM12" i="62"/>
  <c r="AL12" i="62"/>
  <c r="AK12" i="62"/>
  <c r="AJ12" i="62"/>
  <c r="AI12" i="62"/>
  <c r="AH12" i="62"/>
  <c r="AG12" i="62"/>
  <c r="AF12" i="62"/>
  <c r="AE12" i="62"/>
  <c r="AD12" i="62"/>
  <c r="AC12" i="62"/>
  <c r="AB12" i="62"/>
  <c r="AA12" i="62"/>
  <c r="Z12" i="62"/>
  <c r="Y12" i="62"/>
  <c r="X12" i="62"/>
  <c r="W12" i="62"/>
  <c r="V12" i="62"/>
  <c r="U12" i="62"/>
  <c r="T12" i="62"/>
  <c r="S12" i="62"/>
  <c r="R12" i="62"/>
  <c r="Q12" i="62"/>
  <c r="P12" i="62"/>
  <c r="O12" i="62"/>
  <c r="N12" i="62"/>
  <c r="M12" i="62"/>
  <c r="L12" i="62"/>
  <c r="K12" i="62"/>
  <c r="J12" i="62"/>
  <c r="I12" i="62"/>
  <c r="H12" i="62"/>
  <c r="G12" i="62"/>
  <c r="F12" i="62"/>
  <c r="E12" i="62"/>
  <c r="AT11" i="62"/>
  <c r="AS11" i="62"/>
  <c r="AR11" i="62"/>
  <c r="AQ11" i="62"/>
  <c r="AP11" i="62"/>
  <c r="AO11" i="62"/>
  <c r="O9" i="62"/>
  <c r="V9" i="62" s="1"/>
  <c r="AC9" i="62" s="1"/>
  <c r="AJ9" i="62" s="1"/>
  <c r="AR12" i="51" l="1"/>
  <c r="AT12" i="51"/>
  <c r="R22" i="51"/>
  <c r="S99" i="51"/>
  <c r="Z94" i="51"/>
  <c r="E22" i="51"/>
  <c r="P22" i="51"/>
  <c r="O22" i="51"/>
  <c r="O15" i="51"/>
  <c r="O12" i="51"/>
  <c r="AQ12" i="51"/>
  <c r="AS12" i="51"/>
  <c r="N12" i="51"/>
  <c r="K12" i="51"/>
  <c r="U30" i="62"/>
  <c r="I12" i="51"/>
  <c r="Q12" i="51"/>
  <c r="H12" i="51"/>
  <c r="AB31" i="51"/>
  <c r="AD31" i="51"/>
  <c r="AD12" i="51"/>
  <c r="X12" i="51"/>
  <c r="G12" i="51"/>
  <c r="V12" i="51"/>
  <c r="E30" i="62"/>
  <c r="E15" i="51"/>
  <c r="E31" i="51"/>
  <c r="E34" i="51"/>
  <c r="E45" i="51"/>
  <c r="E61" i="51"/>
  <c r="E71" i="51"/>
  <c r="L61" i="51"/>
  <c r="L71" i="51"/>
  <c r="L67" i="51" s="1"/>
  <c r="L83" i="51"/>
  <c r="L79" i="51" s="1"/>
  <c r="S61" i="51"/>
  <c r="Z61" i="51"/>
  <c r="Z71" i="51"/>
  <c r="AG61" i="51"/>
  <c r="AG71" i="51"/>
  <c r="AG94" i="51"/>
  <c r="AN31" i="51"/>
  <c r="AN61" i="51"/>
  <c r="AN83" i="51"/>
  <c r="AB174" i="62"/>
  <c r="Y31" i="51"/>
  <c r="P30" i="62"/>
  <c r="P11" i="62" s="1"/>
  <c r="Z83" i="51"/>
  <c r="E94" i="51"/>
  <c r="L94" i="51"/>
  <c r="S94" i="51"/>
  <c r="E64" i="51"/>
  <c r="E74" i="51"/>
  <c r="E83" i="51"/>
  <c r="E99" i="51"/>
  <c r="L64" i="51"/>
  <c r="L99" i="51"/>
  <c r="S71" i="51"/>
  <c r="S67" i="51" s="1"/>
  <c r="Z99" i="51"/>
  <c r="AG74" i="51"/>
  <c r="AG99" i="51"/>
  <c r="AN71" i="51"/>
  <c r="B109" i="67"/>
  <c r="L31" i="51"/>
  <c r="AI112" i="50"/>
  <c r="AJ112" i="50" s="1"/>
  <c r="AI12" i="50"/>
  <c r="AJ12" i="50" s="1"/>
  <c r="AK12" i="50" s="1"/>
  <c r="AL12" i="50" s="1"/>
  <c r="AM12" i="50" s="1"/>
  <c r="AI14" i="50"/>
  <c r="AJ14" i="50" s="1"/>
  <c r="AK14" i="50" s="1"/>
  <c r="AL14" i="50" s="1"/>
  <c r="AM14" i="50" s="1"/>
  <c r="AI126" i="50"/>
  <c r="AJ126" i="50" s="1"/>
  <c r="AK126" i="50" s="1"/>
  <c r="AL126" i="50" s="1"/>
  <c r="AM126" i="50" s="1"/>
  <c r="AB18" i="50"/>
  <c r="AC18" i="50" s="1"/>
  <c r="AD18" i="50" s="1"/>
  <c r="AE18" i="50" s="1"/>
  <c r="AF18" i="50" s="1"/>
  <c r="AB23" i="50"/>
  <c r="AC23" i="50" s="1"/>
  <c r="AD23" i="50" s="1"/>
  <c r="AE23" i="50" s="1"/>
  <c r="AF23" i="50" s="1"/>
  <c r="AB25" i="50"/>
  <c r="AC25" i="50" s="1"/>
  <c r="AD25" i="50" s="1"/>
  <c r="AE25" i="50" s="1"/>
  <c r="AF25" i="50" s="1"/>
  <c r="AI26" i="50"/>
  <c r="AJ26" i="50" s="1"/>
  <c r="AK26" i="50" s="1"/>
  <c r="AL26" i="50" s="1"/>
  <c r="AM26" i="50" s="1"/>
  <c r="AI27" i="50"/>
  <c r="AJ27" i="50" s="1"/>
  <c r="AK27" i="50" s="1"/>
  <c r="AL27" i="50" s="1"/>
  <c r="AM27" i="50" s="1"/>
  <c r="AI24" i="50"/>
  <c r="AJ24" i="50" s="1"/>
  <c r="AK24" i="50" s="1"/>
  <c r="AL24" i="50" s="1"/>
  <c r="AM24" i="50" s="1"/>
  <c r="AB28" i="50"/>
  <c r="AC28" i="50" s="1"/>
  <c r="AD28" i="50" s="1"/>
  <c r="AE28" i="50" s="1"/>
  <c r="AF28" i="50" s="1"/>
  <c r="AB30" i="50"/>
  <c r="AC30" i="50" s="1"/>
  <c r="AD30" i="50" s="1"/>
  <c r="AE30" i="50" s="1"/>
  <c r="AF30" i="50" s="1"/>
  <c r="AI31" i="50"/>
  <c r="AJ31" i="50" s="1"/>
  <c r="AK31" i="50" s="1"/>
  <c r="AL31" i="50" s="1"/>
  <c r="AM31" i="50" s="1"/>
  <c r="AB34" i="50"/>
  <c r="AC34" i="50" s="1"/>
  <c r="AD34" i="50" s="1"/>
  <c r="AE34" i="50" s="1"/>
  <c r="AF34" i="50" s="1"/>
  <c r="Q28" i="7"/>
  <c r="B48" i="67"/>
  <c r="AK112" i="50"/>
  <c r="AL112" i="50" s="1"/>
  <c r="AM112" i="50" s="1"/>
  <c r="AB18" i="62"/>
  <c r="AB11" i="62" s="1"/>
  <c r="AE30" i="7"/>
  <c r="B95" i="67"/>
  <c r="M61" i="62"/>
  <c r="AG79" i="62"/>
  <c r="B107" i="67"/>
  <c r="X28" i="7"/>
  <c r="X29" i="7" s="1"/>
  <c r="B66" i="67"/>
  <c r="L18" i="62"/>
  <c r="C28" i="7"/>
  <c r="B12" i="67"/>
  <c r="AE28" i="7"/>
  <c r="AE29" i="7" s="1"/>
  <c r="AE33" i="7" s="1"/>
  <c r="B90" i="67"/>
  <c r="Q30" i="7"/>
  <c r="B53" i="67"/>
  <c r="AB11" i="50"/>
  <c r="AC11" i="50" s="1"/>
  <c r="AD11" i="50" s="1"/>
  <c r="AE11" i="50" s="1"/>
  <c r="AF11" i="50" s="1"/>
  <c r="AB12" i="50"/>
  <c r="AC12" i="50" s="1"/>
  <c r="AD12" i="50" s="1"/>
  <c r="AE12" i="50" s="1"/>
  <c r="AF12" i="50" s="1"/>
  <c r="AB14" i="50"/>
  <c r="AC14" i="50" s="1"/>
  <c r="AD14" i="50" s="1"/>
  <c r="AE14" i="50" s="1"/>
  <c r="AF14" i="50" s="1"/>
  <c r="AI115" i="50"/>
  <c r="AJ115" i="50" s="1"/>
  <c r="AK115" i="50" s="1"/>
  <c r="AL115" i="50" s="1"/>
  <c r="AM115" i="50" s="1"/>
  <c r="AI119" i="50"/>
  <c r="AJ119" i="50" s="1"/>
  <c r="AK119" i="50" s="1"/>
  <c r="AL119" i="50" s="1"/>
  <c r="AM119" i="50" s="1"/>
  <c r="AI120" i="50"/>
  <c r="AJ120" i="50" s="1"/>
  <c r="AK120" i="50" s="1"/>
  <c r="AL120" i="50" s="1"/>
  <c r="AM120" i="50" s="1"/>
  <c r="AI123" i="50"/>
  <c r="AJ123" i="50" s="1"/>
  <c r="AK123" i="50" s="1"/>
  <c r="AL123" i="50" s="1"/>
  <c r="AM123" i="50" s="1"/>
  <c r="AI128" i="50"/>
  <c r="AJ128" i="50" s="1"/>
  <c r="AK128" i="50" s="1"/>
  <c r="AL128" i="50" s="1"/>
  <c r="AM128" i="50" s="1"/>
  <c r="AI18" i="50"/>
  <c r="AJ18" i="50" s="1"/>
  <c r="AK18" i="50" s="1"/>
  <c r="AL18" i="50" s="1"/>
  <c r="AM18" i="50" s="1"/>
  <c r="AI129" i="50"/>
  <c r="AI23" i="50"/>
  <c r="AI25" i="50"/>
  <c r="AJ25" i="50" s="1"/>
  <c r="AK25" i="50" s="1"/>
  <c r="AL25" i="50" s="1"/>
  <c r="AM25" i="50" s="1"/>
  <c r="AB26" i="50"/>
  <c r="AC26" i="50" s="1"/>
  <c r="AD26" i="50" s="1"/>
  <c r="AE26" i="50" s="1"/>
  <c r="AF26" i="50" s="1"/>
  <c r="AB27" i="50"/>
  <c r="AC27" i="50" s="1"/>
  <c r="AD27" i="50" s="1"/>
  <c r="AE27" i="50" s="1"/>
  <c r="AF27" i="50" s="1"/>
  <c r="AB24" i="50"/>
  <c r="AC24" i="50" s="1"/>
  <c r="AD24" i="50" s="1"/>
  <c r="AE24" i="50" s="1"/>
  <c r="AF24" i="50" s="1"/>
  <c r="AI28" i="50"/>
  <c r="AJ28" i="50" s="1"/>
  <c r="AK28" i="50" s="1"/>
  <c r="AL28" i="50" s="1"/>
  <c r="AM28" i="50" s="1"/>
  <c r="AI30" i="50"/>
  <c r="AJ30" i="50" s="1"/>
  <c r="AK30" i="50" s="1"/>
  <c r="AL30" i="50" s="1"/>
  <c r="AM30" i="50" s="1"/>
  <c r="AB31" i="50"/>
  <c r="AC31" i="50" s="1"/>
  <c r="AD31" i="50" s="1"/>
  <c r="AE31" i="50" s="1"/>
  <c r="AF31" i="50" s="1"/>
  <c r="AI34" i="50"/>
  <c r="AJ34" i="50" s="1"/>
  <c r="AK34" i="50" s="1"/>
  <c r="AL34" i="50" s="1"/>
  <c r="AM34" i="50" s="1"/>
  <c r="J28" i="7"/>
  <c r="B30" i="67"/>
  <c r="X30" i="7"/>
  <c r="B71" i="67"/>
  <c r="AH12" i="51"/>
  <c r="AH11" i="50"/>
  <c r="AI11" i="50" s="1"/>
  <c r="AJ11" i="50" s="1"/>
  <c r="AK11" i="50" s="1"/>
  <c r="AL11" i="50" s="1"/>
  <c r="AM11" i="50" s="1"/>
  <c r="AJ129" i="50"/>
  <c r="AK129" i="50" s="1"/>
  <c r="AL129" i="50" s="1"/>
  <c r="AM129" i="50" s="1"/>
  <c r="AJ23" i="50"/>
  <c r="AK23" i="50" s="1"/>
  <c r="AL23" i="50" s="1"/>
  <c r="AM23" i="50" s="1"/>
  <c r="AI169" i="62"/>
  <c r="AJ169" i="62" s="1"/>
  <c r="U169" i="62"/>
  <c r="V169" i="62" s="1"/>
  <c r="W169" i="62" s="1"/>
  <c r="U171" i="62"/>
  <c r="V171" i="62" s="1"/>
  <c r="N156" i="62"/>
  <c r="N216" i="50" s="1"/>
  <c r="N238" i="50" s="1"/>
  <c r="AA278" i="50"/>
  <c r="M268" i="50"/>
  <c r="AG31" i="51"/>
  <c r="Z35" i="50"/>
  <c r="Z281" i="50" s="1"/>
  <c r="AH192" i="50"/>
  <c r="L35" i="50"/>
  <c r="AG35" i="50"/>
  <c r="E67" i="51"/>
  <c r="H11" i="62"/>
  <c r="N62" i="62"/>
  <c r="Z67" i="62"/>
  <c r="L67" i="62"/>
  <c r="AN67" i="62"/>
  <c r="Z79" i="62"/>
  <c r="U163" i="62"/>
  <c r="U223" i="50" s="1"/>
  <c r="U245" i="50" s="1"/>
  <c r="L60" i="50"/>
  <c r="E69" i="50"/>
  <c r="E60" i="50" s="1"/>
  <c r="B8" i="67" s="1"/>
  <c r="E79" i="62"/>
  <c r="E60" i="62" s="1"/>
  <c r="E89" i="50"/>
  <c r="AH91" i="51"/>
  <c r="AH148" i="50" s="1"/>
  <c r="AH168" i="50" s="1"/>
  <c r="Z31" i="51"/>
  <c r="J12" i="51"/>
  <c r="AC12" i="51"/>
  <c r="AL12" i="51"/>
  <c r="AO22" i="51"/>
  <c r="H31" i="51"/>
  <c r="Q31" i="51"/>
  <c r="Q50" i="51"/>
  <c r="S31" i="51"/>
  <c r="AN22" i="51"/>
  <c r="M11" i="62"/>
  <c r="Y11" i="62"/>
  <c r="T64" i="62"/>
  <c r="AH71" i="62"/>
  <c r="G75" i="62"/>
  <c r="H75" i="62" s="1"/>
  <c r="I75" i="62" s="1"/>
  <c r="F74" i="62"/>
  <c r="S79" i="62"/>
  <c r="AC81" i="62"/>
  <c r="AI97" i="62"/>
  <c r="AJ97" i="62" s="1"/>
  <c r="AK97" i="62" s="1"/>
  <c r="AL97" i="62" s="1"/>
  <c r="AM97" i="62" s="1"/>
  <c r="AH94" i="62"/>
  <c r="AA220" i="50"/>
  <c r="AA242" i="50" s="1"/>
  <c r="AA264" i="50" s="1"/>
  <c r="AB160" i="62"/>
  <c r="AB220" i="50" s="1"/>
  <c r="K165" i="62"/>
  <c r="K225" i="50" s="1"/>
  <c r="AA230" i="50"/>
  <c r="AA252" i="50" s="1"/>
  <c r="AA274" i="50" s="1"/>
  <c r="AB170" i="62"/>
  <c r="AC11" i="62"/>
  <c r="N65" i="62"/>
  <c r="N64" i="62" s="1"/>
  <c r="M64" i="62"/>
  <c r="AB82" i="62"/>
  <c r="AC82" i="62" s="1"/>
  <c r="AD82" i="62" s="1"/>
  <c r="AE82" i="62" s="1"/>
  <c r="AF82" i="62" s="1"/>
  <c r="AA80" i="62"/>
  <c r="F217" i="50"/>
  <c r="F239" i="50" s="1"/>
  <c r="F261" i="50" s="1"/>
  <c r="G157" i="62"/>
  <c r="AA218" i="50"/>
  <c r="AA240" i="50" s="1"/>
  <c r="AA262" i="50" s="1"/>
  <c r="AB158" i="62"/>
  <c r="E236" i="50"/>
  <c r="B18" i="67" s="1"/>
  <c r="B114" i="67" s="1"/>
  <c r="G171" i="62"/>
  <c r="G231" i="50" s="1"/>
  <c r="G253" i="50" s="1"/>
  <c r="AB172" i="62"/>
  <c r="AB232" i="50" s="1"/>
  <c r="AB254" i="50" s="1"/>
  <c r="AI173" i="62"/>
  <c r="N174" i="62"/>
  <c r="O174" i="62" s="1"/>
  <c r="G155" i="62"/>
  <c r="U155" i="62"/>
  <c r="N158" i="62"/>
  <c r="O158" i="62" s="1"/>
  <c r="AI159" i="62"/>
  <c r="AI219" i="50" s="1"/>
  <c r="AI241" i="50" s="1"/>
  <c r="AI263" i="50" s="1"/>
  <c r="N162" i="62"/>
  <c r="AB162" i="62"/>
  <c r="AB222" i="50" s="1"/>
  <c r="AB244" i="50" s="1"/>
  <c r="AB164" i="62"/>
  <c r="AC164" i="62" s="1"/>
  <c r="AI175" i="62"/>
  <c r="AJ175" i="62" s="1"/>
  <c r="S35" i="50"/>
  <c r="S281" i="50" s="1"/>
  <c r="Z60" i="50"/>
  <c r="B62" i="67" s="1"/>
  <c r="AR34" i="51"/>
  <c r="AR30" i="51" s="1"/>
  <c r="I50" i="51"/>
  <c r="N50" i="51"/>
  <c r="R50" i="51"/>
  <c r="W50" i="51"/>
  <c r="AB50" i="51"/>
  <c r="AF50" i="51"/>
  <c r="AK50" i="51"/>
  <c r="AI79" i="50"/>
  <c r="AJ79" i="50" s="1"/>
  <c r="AK79" i="50" s="1"/>
  <c r="AL79" i="50" s="1"/>
  <c r="AM79" i="50" s="1"/>
  <c r="AN25" i="51"/>
  <c r="AN45" i="51"/>
  <c r="F71" i="62"/>
  <c r="U74" i="62"/>
  <c r="M80" i="62"/>
  <c r="L79" i="62"/>
  <c r="AN79" i="62"/>
  <c r="AI157" i="62"/>
  <c r="AI217" i="50" s="1"/>
  <c r="AI239" i="50" s="1"/>
  <c r="AI163" i="62"/>
  <c r="N164" i="62"/>
  <c r="O164" i="62" s="1"/>
  <c r="N166" i="62"/>
  <c r="AB166" i="62"/>
  <c r="AC166" i="62" s="1"/>
  <c r="AI167" i="62"/>
  <c r="AJ167" i="62" s="1"/>
  <c r="AI171" i="62"/>
  <c r="G175" i="62"/>
  <c r="U175" i="62"/>
  <c r="V175" i="62" s="1"/>
  <c r="AA31" i="51"/>
  <c r="AO68" i="51"/>
  <c r="M75" i="51"/>
  <c r="F50" i="51"/>
  <c r="J50" i="51"/>
  <c r="O50" i="51"/>
  <c r="X50" i="51"/>
  <c r="AC50" i="51"/>
  <c r="AL50" i="51"/>
  <c r="G31" i="51"/>
  <c r="AQ9" i="62"/>
  <c r="S12" i="51"/>
  <c r="AN12" i="51"/>
  <c r="K68" i="51"/>
  <c r="L34" i="51"/>
  <c r="L30" i="51" s="1"/>
  <c r="S50" i="51"/>
  <c r="AG25" i="51"/>
  <c r="H50" i="51"/>
  <c r="V50" i="51"/>
  <c r="AE50" i="51"/>
  <c r="Z12" i="51"/>
  <c r="AG12" i="51"/>
  <c r="AI83" i="50"/>
  <c r="AJ83" i="50" s="1"/>
  <c r="AK83" i="50" s="1"/>
  <c r="AL83" i="50" s="1"/>
  <c r="AM83" i="50" s="1"/>
  <c r="S10" i="50"/>
  <c r="B42" i="67" s="1"/>
  <c r="L15" i="51"/>
  <c r="L22" i="51"/>
  <c r="L25" i="51"/>
  <c r="L45" i="51"/>
  <c r="L50" i="51"/>
  <c r="S15" i="51"/>
  <c r="S22" i="51"/>
  <c r="S25" i="51"/>
  <c r="S34" i="51"/>
  <c r="S45" i="51"/>
  <c r="Z15" i="51"/>
  <c r="Z22" i="51"/>
  <c r="Z25" i="51"/>
  <c r="Z34" i="51"/>
  <c r="Z45" i="51"/>
  <c r="Z50" i="51"/>
  <c r="AG15" i="51"/>
  <c r="AG22" i="51"/>
  <c r="AG34" i="51"/>
  <c r="AG45" i="51"/>
  <c r="AN15" i="51"/>
  <c r="AN34" i="51"/>
  <c r="AN30" i="51" s="1"/>
  <c r="AN50" i="51"/>
  <c r="Z10" i="50"/>
  <c r="L94" i="50"/>
  <c r="X63" i="51"/>
  <c r="G50" i="51"/>
  <c r="K50" i="51"/>
  <c r="P50" i="51"/>
  <c r="U50" i="51"/>
  <c r="Y50" i="51"/>
  <c r="AD50" i="51"/>
  <c r="AI50" i="51"/>
  <c r="AM50" i="51"/>
  <c r="AG50" i="51"/>
  <c r="AA50" i="51"/>
  <c r="AJ50" i="51"/>
  <c r="AI82" i="50"/>
  <c r="AJ82" i="50" s="1"/>
  <c r="AK82" i="50" s="1"/>
  <c r="AL82" i="50" s="1"/>
  <c r="AM82" i="50" s="1"/>
  <c r="G71" i="49" s="1"/>
  <c r="L12" i="51"/>
  <c r="G82" i="51"/>
  <c r="AQ34" i="51"/>
  <c r="AQ30" i="51" s="1"/>
  <c r="AS34" i="51"/>
  <c r="AS30" i="51" s="1"/>
  <c r="AG10" i="50"/>
  <c r="Z88" i="50"/>
  <c r="AP34" i="51"/>
  <c r="AP30" i="51" s="1"/>
  <c r="AT34" i="51"/>
  <c r="AT30" i="51" s="1"/>
  <c r="Q22" i="51"/>
  <c r="V22" i="51"/>
  <c r="U82" i="62"/>
  <c r="U80" i="62" s="1"/>
  <c r="T80" i="62"/>
  <c r="T217" i="50"/>
  <c r="T239" i="50" s="1"/>
  <c r="T261" i="50" s="1"/>
  <c r="U157" i="62"/>
  <c r="AA266" i="50"/>
  <c r="M270" i="50"/>
  <c r="T233" i="50"/>
  <c r="T255" i="50" s="1"/>
  <c r="T277" i="50" s="1"/>
  <c r="U173" i="62"/>
  <c r="U62" i="62"/>
  <c r="U61" i="62" s="1"/>
  <c r="T61" i="62"/>
  <c r="AI158" i="62"/>
  <c r="AH218" i="50"/>
  <c r="AH240" i="50" s="1"/>
  <c r="AH262" i="50" s="1"/>
  <c r="T219" i="50"/>
  <c r="T241" i="50" s="1"/>
  <c r="T263" i="50" s="1"/>
  <c r="U159" i="62"/>
  <c r="U160" i="62"/>
  <c r="T220" i="50"/>
  <c r="T242" i="50" s="1"/>
  <c r="T264" i="50" s="1"/>
  <c r="AH221" i="50"/>
  <c r="AH243" i="50" s="1"/>
  <c r="AH265" i="50" s="1"/>
  <c r="AI161" i="62"/>
  <c r="AC162" i="62"/>
  <c r="N163" i="62"/>
  <c r="M223" i="50"/>
  <c r="M245" i="50" s="1"/>
  <c r="M267" i="50" s="1"/>
  <c r="N165" i="62"/>
  <c r="M225" i="50"/>
  <c r="M247" i="50" s="1"/>
  <c r="M269" i="50" s="1"/>
  <c r="U172" i="62"/>
  <c r="T232" i="50"/>
  <c r="T254" i="50" s="1"/>
  <c r="T279" i="50"/>
  <c r="E267" i="50"/>
  <c r="F201" i="50"/>
  <c r="G201" i="50" s="1"/>
  <c r="H201" i="50" s="1"/>
  <c r="I201" i="50" s="1"/>
  <c r="J201" i="50" s="1"/>
  <c r="K201" i="50" s="1"/>
  <c r="AA216" i="50"/>
  <c r="AA238" i="50" s="1"/>
  <c r="AB156" i="62"/>
  <c r="AB216" i="50" s="1"/>
  <c r="M220" i="50"/>
  <c r="M242" i="50" s="1"/>
  <c r="M264" i="50" s="1"/>
  <c r="N160" i="62"/>
  <c r="M232" i="50"/>
  <c r="M254" i="50" s="1"/>
  <c r="N172" i="62"/>
  <c r="AA71" i="62"/>
  <c r="F94" i="62"/>
  <c r="G96" i="62"/>
  <c r="H96" i="62" s="1"/>
  <c r="I96" i="62" s="1"/>
  <c r="J96" i="62" s="1"/>
  <c r="K96" i="62" s="1"/>
  <c r="M99" i="62"/>
  <c r="AA99" i="62"/>
  <c r="AB224" i="50"/>
  <c r="AB246" i="50" s="1"/>
  <c r="N167" i="62"/>
  <c r="M227" i="50"/>
  <c r="M249" i="50" s="1"/>
  <c r="M271" i="50" s="1"/>
  <c r="K219" i="50"/>
  <c r="G219" i="50"/>
  <c r="I219" i="50"/>
  <c r="H219" i="50"/>
  <c r="F219" i="50"/>
  <c r="F241" i="50" s="1"/>
  <c r="J219" i="50"/>
  <c r="K233" i="50"/>
  <c r="G233" i="50"/>
  <c r="I233" i="50"/>
  <c r="F233" i="50"/>
  <c r="J233" i="50"/>
  <c r="H233" i="50"/>
  <c r="AJ159" i="62"/>
  <c r="AB167" i="62"/>
  <c r="AA227" i="50"/>
  <c r="AA249" i="50" s="1"/>
  <c r="AA271" i="50" s="1"/>
  <c r="AI172" i="62"/>
  <c r="AH232" i="50"/>
  <c r="AH254" i="50" s="1"/>
  <c r="K227" i="50"/>
  <c r="G227" i="50"/>
  <c r="I227" i="50"/>
  <c r="J227" i="50"/>
  <c r="H227" i="50"/>
  <c r="F227" i="50"/>
  <c r="F249" i="50" s="1"/>
  <c r="G249" i="50" s="1"/>
  <c r="L11" i="62"/>
  <c r="T11" i="62"/>
  <c r="X11" i="62"/>
  <c r="AF11" i="62"/>
  <c r="AJ11" i="62"/>
  <c r="AN11" i="62"/>
  <c r="Q11" i="62"/>
  <c r="U11" i="62"/>
  <c r="AG11" i="62"/>
  <c r="AK11" i="62"/>
  <c r="AA64" i="62"/>
  <c r="AG67" i="62"/>
  <c r="AG60" i="62" s="1"/>
  <c r="AH215" i="50"/>
  <c r="AH237" i="50" s="1"/>
  <c r="AH259" i="50" s="1"/>
  <c r="AI155" i="62"/>
  <c r="T221" i="50"/>
  <c r="T243" i="50" s="1"/>
  <c r="U161" i="62"/>
  <c r="G168" i="62"/>
  <c r="F228" i="50"/>
  <c r="F250" i="50" s="1"/>
  <c r="F272" i="50" s="1"/>
  <c r="AB169" i="62"/>
  <c r="AA229" i="50"/>
  <c r="AA251" i="50" s="1"/>
  <c r="AA273" i="50" s="1"/>
  <c r="M230" i="50"/>
  <c r="M252" i="50" s="1"/>
  <c r="M274" i="50" s="1"/>
  <c r="N170" i="62"/>
  <c r="AC174" i="62"/>
  <c r="AB234" i="50"/>
  <c r="AB256" i="50" s="1"/>
  <c r="E269" i="50"/>
  <c r="F203" i="50"/>
  <c r="G203" i="50" s="1"/>
  <c r="H203" i="50" s="1"/>
  <c r="I203" i="50" s="1"/>
  <c r="J203" i="50" s="1"/>
  <c r="K203" i="50" s="1"/>
  <c r="I18" i="62"/>
  <c r="I11" i="62" s="1"/>
  <c r="G103" i="62"/>
  <c r="H103" i="62" s="1"/>
  <c r="I103" i="62" s="1"/>
  <c r="J103" i="62" s="1"/>
  <c r="K103" i="62" s="1"/>
  <c r="AA61" i="62"/>
  <c r="S60" i="62"/>
  <c r="M71" i="62"/>
  <c r="AH99" i="62"/>
  <c r="N155" i="62"/>
  <c r="N215" i="50" s="1"/>
  <c r="M215" i="50"/>
  <c r="AB155" i="62"/>
  <c r="AA215" i="50"/>
  <c r="AA237" i="50" s="1"/>
  <c r="N157" i="62"/>
  <c r="M217" i="50"/>
  <c r="M239" i="50" s="1"/>
  <c r="AI162" i="62"/>
  <c r="AH222" i="50"/>
  <c r="AH244" i="50" s="1"/>
  <c r="AH266" i="50" s="1"/>
  <c r="U164" i="62"/>
  <c r="T224" i="50"/>
  <c r="T246" i="50" s="1"/>
  <c r="T268" i="50" s="1"/>
  <c r="AI164" i="62"/>
  <c r="AH224" i="50"/>
  <c r="AH246" i="50" s="1"/>
  <c r="AH268" i="50" s="1"/>
  <c r="AI165" i="62"/>
  <c r="AH225" i="50"/>
  <c r="AH247" i="50" s="1"/>
  <c r="U166" i="62"/>
  <c r="T226" i="50"/>
  <c r="T248" i="50" s="1"/>
  <c r="T270" i="50" s="1"/>
  <c r="AI166" i="62"/>
  <c r="AH226" i="50"/>
  <c r="AH248" i="50" s="1"/>
  <c r="AH270" i="50" s="1"/>
  <c r="AB168" i="62"/>
  <c r="AA228" i="50"/>
  <c r="AA250" i="50" s="1"/>
  <c r="AA272" i="50" s="1"/>
  <c r="AB171" i="62"/>
  <c r="AA231" i="50"/>
  <c r="AA253" i="50" s="1"/>
  <c r="AA275" i="50" s="1"/>
  <c r="G172" i="62"/>
  <c r="F232" i="50"/>
  <c r="F254" i="50" s="1"/>
  <c r="F276" i="50" s="1"/>
  <c r="AA276" i="50"/>
  <c r="AI174" i="62"/>
  <c r="AH234" i="50"/>
  <c r="AH256" i="50" s="1"/>
  <c r="AH278" i="50" s="1"/>
  <c r="N175" i="62"/>
  <c r="M235" i="50"/>
  <c r="M257" i="50" s="1"/>
  <c r="G81" i="51"/>
  <c r="AN79" i="51"/>
  <c r="L192" i="50"/>
  <c r="B34" i="67" s="1"/>
  <c r="B121" i="67" s="1"/>
  <c r="E277" i="50"/>
  <c r="F211" i="50"/>
  <c r="G211" i="50" s="1"/>
  <c r="H211" i="50" s="1"/>
  <c r="I211" i="50" s="1"/>
  <c r="J211" i="50" s="1"/>
  <c r="K211" i="50" s="1"/>
  <c r="AT66" i="51"/>
  <c r="J18" i="62"/>
  <c r="J11" i="62" s="1"/>
  <c r="M74" i="62"/>
  <c r="M83" i="62"/>
  <c r="AI156" i="62"/>
  <c r="AH216" i="50"/>
  <c r="AH238" i="50" s="1"/>
  <c r="AB159" i="62"/>
  <c r="AA219" i="50"/>
  <c r="AA241" i="50" s="1"/>
  <c r="N161" i="62"/>
  <c r="M221" i="50"/>
  <c r="M243" i="50" s="1"/>
  <c r="M265" i="50" s="1"/>
  <c r="AB161" i="62"/>
  <c r="AA221" i="50"/>
  <c r="AA243" i="50" s="1"/>
  <c r="AA265" i="50" s="1"/>
  <c r="U162" i="62"/>
  <c r="T222" i="50"/>
  <c r="T244" i="50" s="1"/>
  <c r="T266" i="50" s="1"/>
  <c r="G164" i="62"/>
  <c r="F224" i="50"/>
  <c r="F246" i="50" s="1"/>
  <c r="U165" i="62"/>
  <c r="T225" i="50"/>
  <c r="T247" i="50" s="1"/>
  <c r="N168" i="62"/>
  <c r="M228" i="50"/>
  <c r="M250" i="50" s="1"/>
  <c r="M272" i="50" s="1"/>
  <c r="AI168" i="62"/>
  <c r="AH228" i="50"/>
  <c r="AH250" i="50" s="1"/>
  <c r="AH272" i="50" s="1"/>
  <c r="N169" i="62"/>
  <c r="M229" i="50"/>
  <c r="M251" i="50" s="1"/>
  <c r="AI229" i="50"/>
  <c r="AI251" i="50" s="1"/>
  <c r="AI170" i="62"/>
  <c r="AH230" i="50"/>
  <c r="AH252" i="50" s="1"/>
  <c r="AH274" i="50" s="1"/>
  <c r="AH275" i="50"/>
  <c r="AC172" i="62"/>
  <c r="U174" i="62"/>
  <c r="T234" i="50"/>
  <c r="T256" i="50" s="1"/>
  <c r="AB175" i="62"/>
  <c r="AA235" i="50"/>
  <c r="AA257" i="50" s="1"/>
  <c r="AQ98" i="51"/>
  <c r="T86" i="51"/>
  <c r="AO77" i="51"/>
  <c r="AO82" i="51"/>
  <c r="F89" i="51"/>
  <c r="E13" i="50"/>
  <c r="E10" i="50" s="1"/>
  <c r="B6" i="67" s="1"/>
  <c r="E93" i="50"/>
  <c r="E260" i="50"/>
  <c r="F194" i="50"/>
  <c r="G194" i="50" s="1"/>
  <c r="H194" i="50" s="1"/>
  <c r="I194" i="50" s="1"/>
  <c r="J194" i="50" s="1"/>
  <c r="K194" i="50" s="1"/>
  <c r="G158" i="62"/>
  <c r="F218" i="50"/>
  <c r="F240" i="50" s="1"/>
  <c r="F262" i="50" s="1"/>
  <c r="U158" i="62"/>
  <c r="T218" i="50"/>
  <c r="T240" i="50" s="1"/>
  <c r="N159" i="62"/>
  <c r="M219" i="50"/>
  <c r="M241" i="50" s="1"/>
  <c r="M263" i="50" s="1"/>
  <c r="AI160" i="62"/>
  <c r="AH220" i="50"/>
  <c r="AH242" i="50" s="1"/>
  <c r="AH264" i="50" s="1"/>
  <c r="G162" i="62"/>
  <c r="F222" i="50"/>
  <c r="F244" i="50" s="1"/>
  <c r="F266" i="50" s="1"/>
  <c r="AB163" i="62"/>
  <c r="AA223" i="50"/>
  <c r="AA245" i="50" s="1"/>
  <c r="AA267" i="50" s="1"/>
  <c r="AB165" i="62"/>
  <c r="AA225" i="50"/>
  <c r="AA247" i="50" s="1"/>
  <c r="AA269" i="50" s="1"/>
  <c r="G166" i="62"/>
  <c r="F226" i="50"/>
  <c r="F248" i="50" s="1"/>
  <c r="F270" i="50" s="1"/>
  <c r="U167" i="62"/>
  <c r="T227" i="50"/>
  <c r="T249" i="50" s="1"/>
  <c r="T271" i="50" s="1"/>
  <c r="AI227" i="50"/>
  <c r="AI249" i="50" s="1"/>
  <c r="U168" i="62"/>
  <c r="T228" i="50"/>
  <c r="T250" i="50" s="1"/>
  <c r="T272" i="50" s="1"/>
  <c r="U170" i="62"/>
  <c r="T230" i="50"/>
  <c r="T252" i="50" s="1"/>
  <c r="T274" i="50" s="1"/>
  <c r="N173" i="62"/>
  <c r="M233" i="50"/>
  <c r="M255" i="50" s="1"/>
  <c r="M277" i="50" s="1"/>
  <c r="AB173" i="62"/>
  <c r="AA233" i="50"/>
  <c r="AA255" i="50" s="1"/>
  <c r="M266" i="50"/>
  <c r="E274" i="50"/>
  <c r="F208" i="50"/>
  <c r="G208" i="50" s="1"/>
  <c r="H208" i="50" s="1"/>
  <c r="I208" i="50" s="1"/>
  <c r="J208" i="50" s="1"/>
  <c r="K208" i="50" s="1"/>
  <c r="AH279" i="50"/>
  <c r="E214" i="50"/>
  <c r="J220" i="50"/>
  <c r="F220" i="50"/>
  <c r="F242" i="50" s="1"/>
  <c r="I220" i="50"/>
  <c r="G220" i="50"/>
  <c r="K220" i="50"/>
  <c r="H220" i="50"/>
  <c r="P231" i="50"/>
  <c r="R231" i="50"/>
  <c r="N231" i="50"/>
  <c r="Q231" i="50"/>
  <c r="O231" i="50"/>
  <c r="M231" i="50"/>
  <c r="M253" i="50" s="1"/>
  <c r="L214" i="50"/>
  <c r="AT62" i="51"/>
  <c r="L10" i="50"/>
  <c r="B24" i="67" s="1"/>
  <c r="AB82" i="50"/>
  <c r="AC82" i="50" s="1"/>
  <c r="AD82" i="50" s="1"/>
  <c r="AE82" i="50" s="1"/>
  <c r="AF82" i="50" s="1"/>
  <c r="E94" i="50"/>
  <c r="AA57" i="53"/>
  <c r="E265" i="50"/>
  <c r="F199" i="50"/>
  <c r="G199" i="50" s="1"/>
  <c r="H199" i="50" s="1"/>
  <c r="I199" i="50" s="1"/>
  <c r="J199" i="50" s="1"/>
  <c r="K199" i="50" s="1"/>
  <c r="E271" i="50"/>
  <c r="F205" i="50"/>
  <c r="G205" i="50" s="1"/>
  <c r="H205" i="50" s="1"/>
  <c r="I205" i="50" s="1"/>
  <c r="J205" i="50" s="1"/>
  <c r="K205" i="50" s="1"/>
  <c r="E273" i="50"/>
  <c r="F207" i="50"/>
  <c r="G207" i="50" s="1"/>
  <c r="H207" i="50" s="1"/>
  <c r="I207" i="50" s="1"/>
  <c r="J207" i="50" s="1"/>
  <c r="K207" i="50" s="1"/>
  <c r="E278" i="50"/>
  <c r="F212" i="50"/>
  <c r="G212" i="50" s="1"/>
  <c r="H212" i="50" s="1"/>
  <c r="I212" i="50" s="1"/>
  <c r="J212" i="50" s="1"/>
  <c r="K212" i="50" s="1"/>
  <c r="I221" i="50"/>
  <c r="H221" i="50"/>
  <c r="K221" i="50"/>
  <c r="G221" i="50"/>
  <c r="J221" i="50"/>
  <c r="F221" i="50"/>
  <c r="F243" i="50" s="1"/>
  <c r="G223" i="50"/>
  <c r="F223" i="50"/>
  <c r="F245" i="50" s="1"/>
  <c r="K229" i="50"/>
  <c r="G229" i="50"/>
  <c r="I229" i="50"/>
  <c r="F229" i="50"/>
  <c r="F251" i="50" s="1"/>
  <c r="J229" i="50"/>
  <c r="H229" i="50"/>
  <c r="I234" i="50"/>
  <c r="K234" i="50"/>
  <c r="G234" i="50"/>
  <c r="H234" i="50"/>
  <c r="F234" i="50"/>
  <c r="F256" i="50" s="1"/>
  <c r="J234" i="50"/>
  <c r="AG67" i="51"/>
  <c r="E92" i="50"/>
  <c r="AG60" i="50"/>
  <c r="AI57" i="53"/>
  <c r="Z171" i="50"/>
  <c r="B68" i="67" s="1"/>
  <c r="S171" i="50"/>
  <c r="B50" i="67" s="1"/>
  <c r="E268" i="50"/>
  <c r="F202" i="50"/>
  <c r="G202" i="50" s="1"/>
  <c r="H202" i="50" s="1"/>
  <c r="I202" i="50" s="1"/>
  <c r="J202" i="50" s="1"/>
  <c r="K202" i="50" s="1"/>
  <c r="I216" i="50"/>
  <c r="H216" i="50"/>
  <c r="K216" i="50"/>
  <c r="G216" i="50"/>
  <c r="J216" i="50"/>
  <c r="F216" i="50"/>
  <c r="F238" i="50" s="1"/>
  <c r="G225" i="50"/>
  <c r="I225" i="50"/>
  <c r="F225" i="50"/>
  <c r="F247" i="50" s="1"/>
  <c r="J225" i="50"/>
  <c r="H225" i="50"/>
  <c r="I230" i="50"/>
  <c r="K230" i="50"/>
  <c r="G230" i="50"/>
  <c r="H230" i="50"/>
  <c r="F230" i="50"/>
  <c r="F252" i="50" s="1"/>
  <c r="J230" i="50"/>
  <c r="P68" i="51"/>
  <c r="AB63" i="51"/>
  <c r="AE68" i="51"/>
  <c r="AE39" i="50" s="1"/>
  <c r="AF65" i="51"/>
  <c r="AN10" i="51"/>
  <c r="Z10" i="51"/>
  <c r="AG10" i="51" s="1"/>
  <c r="AO9" i="62"/>
  <c r="AA9" i="62"/>
  <c r="AH9" i="62" s="1"/>
  <c r="AS9" i="62"/>
  <c r="AE9" i="62"/>
  <c r="AL9" i="62" s="1"/>
  <c r="R62" i="51"/>
  <c r="X65" i="51"/>
  <c r="AJ68" i="51"/>
  <c r="AJ39" i="50" s="1"/>
  <c r="S88" i="50"/>
  <c r="L88" i="50"/>
  <c r="AB79" i="50"/>
  <c r="AB83" i="50"/>
  <c r="Z258" i="50"/>
  <c r="B73" i="67" s="1"/>
  <c r="Z79" i="51"/>
  <c r="Z94" i="50"/>
  <c r="AA270" i="50"/>
  <c r="M278" i="50"/>
  <c r="F279" i="50"/>
  <c r="U68" i="51"/>
  <c r="AD10" i="51"/>
  <c r="AK10" i="51" s="1"/>
  <c r="K62" i="51"/>
  <c r="V62" i="51"/>
  <c r="AL62" i="51"/>
  <c r="V73" i="51"/>
  <c r="AA261" i="50"/>
  <c r="AG88" i="50"/>
  <c r="S94" i="50"/>
  <c r="T275" i="50"/>
  <c r="AG258" i="50"/>
  <c r="B97" i="67" s="1"/>
  <c r="AB112" i="50"/>
  <c r="AC112" i="50" s="1"/>
  <c r="AD112" i="50" s="1"/>
  <c r="AE112" i="50" s="1"/>
  <c r="AF112" i="50" s="1"/>
  <c r="AB115" i="50"/>
  <c r="AC115" i="50" s="1"/>
  <c r="AD115" i="50" s="1"/>
  <c r="AE115" i="50" s="1"/>
  <c r="AF115" i="50" s="1"/>
  <c r="AB126" i="50"/>
  <c r="AC126" i="50" s="1"/>
  <c r="AD126" i="50" s="1"/>
  <c r="AE126" i="50" s="1"/>
  <c r="AF126" i="50" s="1"/>
  <c r="AB119" i="50"/>
  <c r="AC119" i="50" s="1"/>
  <c r="AD119" i="50" s="1"/>
  <c r="AE119" i="50" s="1"/>
  <c r="AF119" i="50" s="1"/>
  <c r="AB120" i="50"/>
  <c r="AC120" i="50" s="1"/>
  <c r="AD120" i="50" s="1"/>
  <c r="AE120" i="50" s="1"/>
  <c r="AF120" i="50" s="1"/>
  <c r="AB123" i="50"/>
  <c r="AC123" i="50" s="1"/>
  <c r="AD123" i="50" s="1"/>
  <c r="AE123" i="50" s="1"/>
  <c r="AF123" i="50" s="1"/>
  <c r="AB128" i="50"/>
  <c r="AC128" i="50" s="1"/>
  <c r="AD128" i="50" s="1"/>
  <c r="AE128" i="50" s="1"/>
  <c r="AF128" i="50" s="1"/>
  <c r="AB129" i="50"/>
  <c r="AC129" i="50" s="1"/>
  <c r="AD129" i="50" s="1"/>
  <c r="AE129" i="50" s="1"/>
  <c r="AF129" i="50" s="1"/>
  <c r="L104" i="50"/>
  <c r="E38" i="50"/>
  <c r="E35" i="50" s="1"/>
  <c r="S63" i="50"/>
  <c r="S60" i="50" s="1"/>
  <c r="AG94" i="50"/>
  <c r="L171" i="50"/>
  <c r="B32" i="67" s="1"/>
  <c r="E171" i="50"/>
  <c r="B14" i="67" s="1"/>
  <c r="M260" i="50"/>
  <c r="T260" i="50"/>
  <c r="E263" i="50"/>
  <c r="E264" i="50"/>
  <c r="AH271" i="50"/>
  <c r="AG171" i="50"/>
  <c r="B92" i="67" s="1"/>
  <c r="AH261" i="50"/>
  <c r="AH267" i="50"/>
  <c r="F237" i="50"/>
  <c r="E192" i="50"/>
  <c r="B16" i="67" s="1"/>
  <c r="E259" i="50"/>
  <c r="T192" i="50"/>
  <c r="AI192" i="50"/>
  <c r="C94" i="67" s="1"/>
  <c r="C127" i="67" s="1"/>
  <c r="T273" i="50"/>
  <c r="S276" i="50"/>
  <c r="S258" i="50" s="1"/>
  <c r="B55" i="67" s="1"/>
  <c r="S192" i="50"/>
  <c r="B52" i="67" s="1"/>
  <c r="B123" i="67" s="1"/>
  <c r="T237" i="50"/>
  <c r="AA192" i="50"/>
  <c r="M262" i="50"/>
  <c r="T267" i="50"/>
  <c r="L275" i="50"/>
  <c r="L258" i="50" s="1"/>
  <c r="B37" i="67" s="1"/>
  <c r="M192" i="50"/>
  <c r="AH263" i="50"/>
  <c r="AH273" i="50"/>
  <c r="AH277" i="50"/>
  <c r="F255" i="50"/>
  <c r="G255" i="50" s="1"/>
  <c r="H255" i="50" s="1"/>
  <c r="AB10" i="51"/>
  <c r="AI10" i="51" s="1"/>
  <c r="AP10" i="51"/>
  <c r="AF10" i="51"/>
  <c r="AM10" i="51" s="1"/>
  <c r="AT10" i="51"/>
  <c r="AO10" i="51"/>
  <c r="AA10" i="51"/>
  <c r="AH10" i="51" s="1"/>
  <c r="AS10" i="51"/>
  <c r="AE10" i="51"/>
  <c r="AL10" i="51" s="1"/>
  <c r="O63" i="51"/>
  <c r="R63" i="51"/>
  <c r="N63" i="51"/>
  <c r="Q63" i="51"/>
  <c r="M63" i="51"/>
  <c r="P69" i="51"/>
  <c r="R69" i="51"/>
  <c r="M69" i="51"/>
  <c r="Q69" i="51"/>
  <c r="O69" i="51"/>
  <c r="AR69" i="51"/>
  <c r="AQ69" i="51"/>
  <c r="AP69" i="51"/>
  <c r="AT69" i="51"/>
  <c r="AO69" i="51"/>
  <c r="P81" i="51"/>
  <c r="O81" i="51"/>
  <c r="N81" i="51"/>
  <c r="M81" i="51"/>
  <c r="R81" i="51"/>
  <c r="AR81" i="51"/>
  <c r="AT81" i="51"/>
  <c r="AO81" i="51"/>
  <c r="AS81" i="51"/>
  <c r="AQ81" i="51"/>
  <c r="AP81" i="51"/>
  <c r="AD82" i="51"/>
  <c r="AC82" i="51"/>
  <c r="AB82" i="51"/>
  <c r="AB140" i="50" s="1"/>
  <c r="AF82" i="51"/>
  <c r="AE82" i="51"/>
  <c r="AA82" i="51"/>
  <c r="AA140" i="50" s="1"/>
  <c r="AA160" i="50" s="1"/>
  <c r="AA180" i="50" s="1"/>
  <c r="O84" i="51"/>
  <c r="R84" i="51"/>
  <c r="N84" i="51"/>
  <c r="Q84" i="51"/>
  <c r="M84" i="51"/>
  <c r="AQ84" i="51"/>
  <c r="AT84" i="51"/>
  <c r="AP84" i="51"/>
  <c r="AS84" i="51"/>
  <c r="AR84" i="51"/>
  <c r="AO84" i="51"/>
  <c r="O86" i="51"/>
  <c r="R86" i="51"/>
  <c r="N86" i="51"/>
  <c r="Q86" i="51"/>
  <c r="P86" i="51"/>
  <c r="M86" i="51"/>
  <c r="AQ86" i="51"/>
  <c r="AT86" i="51"/>
  <c r="AP86" i="51"/>
  <c r="AS86" i="51"/>
  <c r="AO86" i="51"/>
  <c r="O88" i="51"/>
  <c r="R88" i="51"/>
  <c r="N88" i="51"/>
  <c r="Q88" i="51"/>
  <c r="M88" i="51"/>
  <c r="AQ88" i="51"/>
  <c r="AT88" i="51"/>
  <c r="AP88" i="51"/>
  <c r="AS88" i="51"/>
  <c r="AR88" i="51"/>
  <c r="AO88" i="51"/>
  <c r="AC89" i="51"/>
  <c r="AC146" i="50" s="1"/>
  <c r="AF89" i="51"/>
  <c r="AF146" i="50" s="1"/>
  <c r="AB89" i="51"/>
  <c r="AB146" i="50" s="1"/>
  <c r="AE89" i="51"/>
  <c r="AE146" i="50" s="1"/>
  <c r="AA89" i="51"/>
  <c r="AA146" i="50" s="1"/>
  <c r="AA166" i="50" s="1"/>
  <c r="AA186" i="50" s="1"/>
  <c r="AQ90" i="51"/>
  <c r="AT90" i="51"/>
  <c r="AP90" i="51"/>
  <c r="AS90" i="51"/>
  <c r="AO90" i="51"/>
  <c r="AC91" i="51"/>
  <c r="AC148" i="50" s="1"/>
  <c r="AF91" i="51"/>
  <c r="AF148" i="50" s="1"/>
  <c r="AB91" i="51"/>
  <c r="AB148" i="50" s="1"/>
  <c r="AE91" i="51"/>
  <c r="AE148" i="50" s="1"/>
  <c r="AD91" i="51"/>
  <c r="AD148" i="50" s="1"/>
  <c r="AA91" i="51"/>
  <c r="AA148" i="50" s="1"/>
  <c r="AA168" i="50" s="1"/>
  <c r="O92" i="51"/>
  <c r="P92" i="51"/>
  <c r="N92" i="51"/>
  <c r="R92" i="51"/>
  <c r="M92" i="51"/>
  <c r="Q92" i="51"/>
  <c r="AQ92" i="51"/>
  <c r="AT92" i="51"/>
  <c r="AO92" i="51"/>
  <c r="AS92" i="51"/>
  <c r="AR92" i="51"/>
  <c r="AD93" i="51"/>
  <c r="AD149" i="50" s="1"/>
  <c r="AC93" i="51"/>
  <c r="AC149" i="50" s="1"/>
  <c r="AE93" i="51"/>
  <c r="AE149" i="50" s="1"/>
  <c r="AB93" i="51"/>
  <c r="AB149" i="50" s="1"/>
  <c r="AA93" i="51"/>
  <c r="AA149" i="50" s="1"/>
  <c r="AA169" i="50" s="1"/>
  <c r="AA189" i="50" s="1"/>
  <c r="AF93" i="51"/>
  <c r="AF149" i="50" s="1"/>
  <c r="G62" i="51"/>
  <c r="N62" i="51"/>
  <c r="AP62" i="51"/>
  <c r="AB65" i="51"/>
  <c r="AB37" i="50" s="1"/>
  <c r="AP66" i="51"/>
  <c r="W81" i="51"/>
  <c r="P88" i="51"/>
  <c r="AR90" i="51"/>
  <c r="AQ10" i="51"/>
  <c r="Y62" i="51"/>
  <c r="U62" i="51"/>
  <c r="X62" i="51"/>
  <c r="T62" i="51"/>
  <c r="K63" i="51"/>
  <c r="G63" i="51"/>
  <c r="J63" i="51"/>
  <c r="F63" i="51"/>
  <c r="I63" i="51"/>
  <c r="AM63" i="51"/>
  <c r="AM132" i="50" s="1"/>
  <c r="AI63" i="51"/>
  <c r="AI132" i="50" s="1"/>
  <c r="AL63" i="51"/>
  <c r="AH63" i="51"/>
  <c r="AH132" i="50" s="1"/>
  <c r="AH152" i="50" s="1"/>
  <c r="AK63" i="51"/>
  <c r="AK132" i="50" s="1"/>
  <c r="K65" i="51"/>
  <c r="G65" i="51"/>
  <c r="J65" i="51"/>
  <c r="F65" i="51"/>
  <c r="I65" i="51"/>
  <c r="AM65" i="51"/>
  <c r="AI65" i="51"/>
  <c r="AI37" i="50" s="1"/>
  <c r="AL65" i="51"/>
  <c r="AH65" i="51"/>
  <c r="AK65" i="51"/>
  <c r="Y66" i="51"/>
  <c r="U66" i="51"/>
  <c r="X66" i="51"/>
  <c r="T66" i="51"/>
  <c r="W66" i="51"/>
  <c r="V68" i="51"/>
  <c r="Y68" i="51"/>
  <c r="T68" i="51"/>
  <c r="X68" i="51"/>
  <c r="W68" i="51"/>
  <c r="V72" i="51"/>
  <c r="W72" i="51"/>
  <c r="U72" i="51"/>
  <c r="Y72" i="51"/>
  <c r="T72" i="51"/>
  <c r="H73" i="51"/>
  <c r="K73" i="51"/>
  <c r="F73" i="51"/>
  <c r="J73" i="51"/>
  <c r="I73" i="51"/>
  <c r="AJ73" i="51"/>
  <c r="AJ135" i="50" s="1"/>
  <c r="AK73" i="51"/>
  <c r="AK135" i="50" s="1"/>
  <c r="AI73" i="51"/>
  <c r="AI135" i="50" s="1"/>
  <c r="AM73" i="51"/>
  <c r="AH73" i="51"/>
  <c r="AH135" i="50" s="1"/>
  <c r="AH155" i="50" s="1"/>
  <c r="V76" i="51"/>
  <c r="Y76" i="51"/>
  <c r="U76" i="51"/>
  <c r="X76" i="51"/>
  <c r="W76" i="51"/>
  <c r="H81" i="51"/>
  <c r="K81" i="51"/>
  <c r="F81" i="51"/>
  <c r="J81" i="51"/>
  <c r="I81" i="51"/>
  <c r="AJ81" i="51"/>
  <c r="AK81" i="51"/>
  <c r="AI81" i="51"/>
  <c r="AM81" i="51"/>
  <c r="AL81" i="51"/>
  <c r="AH81" i="51"/>
  <c r="AH139" i="50" s="1"/>
  <c r="AH159" i="50" s="1"/>
  <c r="V82" i="51"/>
  <c r="Y82" i="51"/>
  <c r="T82" i="51"/>
  <c r="X82" i="51"/>
  <c r="W82" i="51"/>
  <c r="U82" i="51"/>
  <c r="V85" i="51"/>
  <c r="X100" i="51"/>
  <c r="T100" i="51"/>
  <c r="W100" i="51"/>
  <c r="V100" i="51"/>
  <c r="U100" i="51"/>
  <c r="Y100" i="51"/>
  <c r="T50" i="51"/>
  <c r="J101" i="51"/>
  <c r="F101" i="51"/>
  <c r="H101" i="51"/>
  <c r="G101" i="51"/>
  <c r="K101" i="51"/>
  <c r="I101" i="51"/>
  <c r="AL101" i="51"/>
  <c r="AL51" i="50" s="1"/>
  <c r="AH101" i="51"/>
  <c r="AM101" i="51"/>
  <c r="AM51" i="50" s="1"/>
  <c r="AK101" i="51"/>
  <c r="AK51" i="50" s="1"/>
  <c r="AJ101" i="51"/>
  <c r="AJ51" i="50" s="1"/>
  <c r="AI101" i="51"/>
  <c r="AI51" i="50" s="1"/>
  <c r="X102" i="51"/>
  <c r="T102" i="51"/>
  <c r="V102" i="51"/>
  <c r="U102" i="51"/>
  <c r="Y102" i="51"/>
  <c r="W102" i="51"/>
  <c r="J103" i="51"/>
  <c r="F103" i="51"/>
  <c r="K103" i="51"/>
  <c r="I103" i="51"/>
  <c r="G103" i="51"/>
  <c r="H103" i="51"/>
  <c r="AL103" i="51"/>
  <c r="AL49" i="50" s="1"/>
  <c r="AH103" i="51"/>
  <c r="AJ103" i="51"/>
  <c r="AJ49" i="50" s="1"/>
  <c r="AI103" i="51"/>
  <c r="AI49" i="50" s="1"/>
  <c r="AM103" i="51"/>
  <c r="AM49" i="50" s="1"/>
  <c r="AK103" i="51"/>
  <c r="AK49" i="50" s="1"/>
  <c r="X104" i="51"/>
  <c r="T104" i="51"/>
  <c r="Y104" i="51"/>
  <c r="W104" i="51"/>
  <c r="V104" i="51"/>
  <c r="U104" i="51"/>
  <c r="J105" i="51"/>
  <c r="F105" i="51"/>
  <c r="H105" i="51"/>
  <c r="G105" i="51"/>
  <c r="K105" i="51"/>
  <c r="I105" i="51"/>
  <c r="AL105" i="51"/>
  <c r="AL55" i="50" s="1"/>
  <c r="AH105" i="51"/>
  <c r="AM105" i="51"/>
  <c r="AM55" i="50" s="1"/>
  <c r="AK105" i="51"/>
  <c r="AK55" i="50" s="1"/>
  <c r="AI105" i="51"/>
  <c r="AI55" i="50" s="1"/>
  <c r="AJ105" i="51"/>
  <c r="AJ55" i="50" s="1"/>
  <c r="X106" i="51"/>
  <c r="T106" i="51"/>
  <c r="V106" i="51"/>
  <c r="U106" i="51"/>
  <c r="Y106" i="51"/>
  <c r="W106" i="51"/>
  <c r="X108" i="51"/>
  <c r="T108" i="51"/>
  <c r="W108" i="51"/>
  <c r="V108" i="51"/>
  <c r="U108" i="51"/>
  <c r="Y108" i="51"/>
  <c r="J62" i="51"/>
  <c r="O62" i="51"/>
  <c r="W62" i="51"/>
  <c r="AH62" i="51"/>
  <c r="AH36" i="50" s="1"/>
  <c r="P63" i="51"/>
  <c r="AJ63" i="51"/>
  <c r="AJ132" i="50" s="1"/>
  <c r="H65" i="51"/>
  <c r="T65" i="51"/>
  <c r="V66" i="51"/>
  <c r="X72" i="51"/>
  <c r="G73" i="51"/>
  <c r="AL73" i="51"/>
  <c r="AL135" i="50" s="1"/>
  <c r="AC62" i="51"/>
  <c r="AC36" i="50" s="1"/>
  <c r="AF62" i="51"/>
  <c r="AB62" i="51"/>
  <c r="AE62" i="51"/>
  <c r="AA62" i="51"/>
  <c r="AQ63" i="51"/>
  <c r="AT63" i="51"/>
  <c r="AP63" i="51"/>
  <c r="AS63" i="51"/>
  <c r="AO63" i="51"/>
  <c r="P73" i="51"/>
  <c r="O73" i="51"/>
  <c r="N73" i="51"/>
  <c r="R73" i="51"/>
  <c r="M73" i="51"/>
  <c r="AR73" i="51"/>
  <c r="AQ73" i="51"/>
  <c r="AO73" i="51"/>
  <c r="AT73" i="51"/>
  <c r="AS73" i="51"/>
  <c r="P75" i="51"/>
  <c r="O75" i="51"/>
  <c r="R75" i="51"/>
  <c r="Q75" i="51"/>
  <c r="N75" i="51"/>
  <c r="AE65" i="51"/>
  <c r="AA65" i="51"/>
  <c r="AD65" i="51"/>
  <c r="AC65" i="51"/>
  <c r="Q66" i="51"/>
  <c r="M66" i="51"/>
  <c r="P66" i="51"/>
  <c r="O66" i="51"/>
  <c r="AS66" i="51"/>
  <c r="AO66" i="51"/>
  <c r="AR66" i="51"/>
  <c r="AQ66" i="51"/>
  <c r="R72" i="51"/>
  <c r="N72" i="51"/>
  <c r="Q72" i="51"/>
  <c r="P72" i="51"/>
  <c r="O72" i="51"/>
  <c r="AT72" i="51"/>
  <c r="AP72" i="51"/>
  <c r="AQ72" i="51"/>
  <c r="AO72" i="51"/>
  <c r="AS72" i="51"/>
  <c r="AF73" i="51"/>
  <c r="AF135" i="50" s="1"/>
  <c r="AB73" i="51"/>
  <c r="AB135" i="50" s="1"/>
  <c r="AE73" i="51"/>
  <c r="AE135" i="50" s="1"/>
  <c r="AD73" i="51"/>
  <c r="AD135" i="50" s="1"/>
  <c r="AC73" i="51"/>
  <c r="AC135" i="50" s="1"/>
  <c r="M31" i="51"/>
  <c r="AO31" i="51"/>
  <c r="AF81" i="51"/>
  <c r="AB81" i="51"/>
  <c r="AE81" i="51"/>
  <c r="AD81" i="51"/>
  <c r="AC81" i="51"/>
  <c r="AA81" i="51"/>
  <c r="R82" i="51"/>
  <c r="N82" i="51"/>
  <c r="O82" i="51"/>
  <c r="M82" i="51"/>
  <c r="P82" i="51"/>
  <c r="AQ82" i="51"/>
  <c r="AT82" i="51"/>
  <c r="AP82" i="51"/>
  <c r="AS82" i="51"/>
  <c r="AR82" i="51"/>
  <c r="Q85" i="51"/>
  <c r="M85" i="51"/>
  <c r="P85" i="51"/>
  <c r="R85" i="51"/>
  <c r="O85" i="51"/>
  <c r="N85" i="51"/>
  <c r="AS85" i="51"/>
  <c r="AO85" i="51"/>
  <c r="AR85" i="51"/>
  <c r="AT85" i="51"/>
  <c r="AQ85" i="51"/>
  <c r="AP85" i="51"/>
  <c r="AE86" i="51"/>
  <c r="AE143" i="50" s="1"/>
  <c r="AA86" i="51"/>
  <c r="AA143" i="50" s="1"/>
  <c r="AA163" i="50" s="1"/>
  <c r="AD86" i="51"/>
  <c r="AD143" i="50" s="1"/>
  <c r="AF86" i="51"/>
  <c r="AF143" i="50" s="1"/>
  <c r="AC86" i="51"/>
  <c r="AC143" i="50" s="1"/>
  <c r="AB86" i="51"/>
  <c r="AB143" i="50" s="1"/>
  <c r="AJ86" i="51"/>
  <c r="Q87" i="51"/>
  <c r="M87" i="51"/>
  <c r="P87" i="51"/>
  <c r="R87" i="51"/>
  <c r="O87" i="51"/>
  <c r="N87" i="51"/>
  <c r="AS87" i="51"/>
  <c r="AO87" i="51"/>
  <c r="AR87" i="51"/>
  <c r="AT87" i="51"/>
  <c r="AQ87" i="51"/>
  <c r="AP87" i="51"/>
  <c r="V89" i="51"/>
  <c r="AS89" i="51"/>
  <c r="AO89" i="51"/>
  <c r="AR89" i="51"/>
  <c r="AT89" i="51"/>
  <c r="AQ89" i="51"/>
  <c r="AP89" i="51"/>
  <c r="N91" i="51"/>
  <c r="AF92" i="51"/>
  <c r="AF43" i="50" s="1"/>
  <c r="Y98" i="51"/>
  <c r="U98" i="51"/>
  <c r="V98" i="51"/>
  <c r="T98" i="51"/>
  <c r="X98" i="51"/>
  <c r="W98" i="51"/>
  <c r="P100" i="51"/>
  <c r="R100" i="51"/>
  <c r="M100" i="51"/>
  <c r="O100" i="51"/>
  <c r="N100" i="51"/>
  <c r="Q100" i="51"/>
  <c r="M50" i="51"/>
  <c r="AD101" i="51"/>
  <c r="AB101" i="51"/>
  <c r="AF101" i="51"/>
  <c r="AA101" i="51"/>
  <c r="AA51" i="50" s="1"/>
  <c r="AA76" i="50" s="1"/>
  <c r="AE101" i="51"/>
  <c r="AC101" i="51"/>
  <c r="P102" i="51"/>
  <c r="Q102" i="51"/>
  <c r="O102" i="51"/>
  <c r="N102" i="51"/>
  <c r="M102" i="51"/>
  <c r="R102" i="51"/>
  <c r="AR102" i="51"/>
  <c r="AP102" i="51"/>
  <c r="AT102" i="51"/>
  <c r="AO102" i="51"/>
  <c r="AS102" i="51"/>
  <c r="AQ102" i="51"/>
  <c r="AD103" i="51"/>
  <c r="AD49" i="50" s="1"/>
  <c r="AE103" i="51"/>
  <c r="AE49" i="50" s="1"/>
  <c r="AC103" i="51"/>
  <c r="AC49" i="50" s="1"/>
  <c r="AF103" i="51"/>
  <c r="AF49" i="50" s="1"/>
  <c r="AB103" i="51"/>
  <c r="AB49" i="50" s="1"/>
  <c r="AA103" i="51"/>
  <c r="AA49" i="50" s="1"/>
  <c r="AA74" i="50" s="1"/>
  <c r="P104" i="51"/>
  <c r="N104" i="51"/>
  <c r="R104" i="51"/>
  <c r="M104" i="51"/>
  <c r="Q104" i="51"/>
  <c r="O104" i="51"/>
  <c r="AR104" i="51"/>
  <c r="AS104" i="51"/>
  <c r="AQ104" i="51"/>
  <c r="AP104" i="51"/>
  <c r="AO104" i="51"/>
  <c r="AT104" i="51"/>
  <c r="AD105" i="51"/>
  <c r="AD55" i="50" s="1"/>
  <c r="AB105" i="51"/>
  <c r="AB55" i="50" s="1"/>
  <c r="AF105" i="51"/>
  <c r="AF55" i="50" s="1"/>
  <c r="AA105" i="51"/>
  <c r="AA55" i="50" s="1"/>
  <c r="AA80" i="50" s="1"/>
  <c r="AC105" i="51"/>
  <c r="AC55" i="50" s="1"/>
  <c r="AE105" i="51"/>
  <c r="AE55" i="50" s="1"/>
  <c r="P106" i="51"/>
  <c r="Q106" i="51"/>
  <c r="O106" i="51"/>
  <c r="R106" i="51"/>
  <c r="M106" i="51"/>
  <c r="N106" i="51"/>
  <c r="AR106" i="51"/>
  <c r="AQ106" i="51"/>
  <c r="AS106" i="51"/>
  <c r="AP106" i="51"/>
  <c r="AO106" i="51"/>
  <c r="AT106" i="51"/>
  <c r="P108" i="51"/>
  <c r="O108" i="51"/>
  <c r="Q108" i="51"/>
  <c r="N108" i="51"/>
  <c r="M108" i="51"/>
  <c r="R108" i="51"/>
  <c r="AR108" i="51"/>
  <c r="AQ108" i="51"/>
  <c r="AS108" i="51"/>
  <c r="AP108" i="51"/>
  <c r="AO108" i="51"/>
  <c r="AT108" i="51"/>
  <c r="N66" i="51"/>
  <c r="N69" i="51"/>
  <c r="AS69" i="51"/>
  <c r="Q81" i="51"/>
  <c r="P84" i="51"/>
  <c r="S83" i="51"/>
  <c r="S79" i="51" s="1"/>
  <c r="AR86" i="51"/>
  <c r="AD89" i="51"/>
  <c r="AD146" i="50" s="1"/>
  <c r="AP92" i="51"/>
  <c r="O65" i="51"/>
  <c r="R65" i="51"/>
  <c r="N65" i="51"/>
  <c r="Q65" i="51"/>
  <c r="Q64" i="51" s="1"/>
  <c r="M65" i="51"/>
  <c r="M64" i="51" s="1"/>
  <c r="AD68" i="51"/>
  <c r="AD39" i="50" s="1"/>
  <c r="AC68" i="51"/>
  <c r="AC39" i="50" s="1"/>
  <c r="AB68" i="51"/>
  <c r="AB39" i="50" s="1"/>
  <c r="AF68" i="51"/>
  <c r="AF39" i="50" s="1"/>
  <c r="AA68" i="51"/>
  <c r="AA39" i="50" s="1"/>
  <c r="AR77" i="51"/>
  <c r="AQ77" i="51"/>
  <c r="AT77" i="51"/>
  <c r="AS77" i="51"/>
  <c r="AP77" i="51"/>
  <c r="AA12" i="51"/>
  <c r="Q62" i="51"/>
  <c r="M62" i="51"/>
  <c r="P62" i="51"/>
  <c r="AS62" i="51"/>
  <c r="AO62" i="51"/>
  <c r="AR62" i="51"/>
  <c r="AQ62" i="51"/>
  <c r="AE63" i="51"/>
  <c r="AA63" i="51"/>
  <c r="AA132" i="50" s="1"/>
  <c r="AD63" i="51"/>
  <c r="AC63" i="51"/>
  <c r="M15" i="51"/>
  <c r="R68" i="51"/>
  <c r="N68" i="51"/>
  <c r="O68" i="51"/>
  <c r="M68" i="51"/>
  <c r="Q68" i="51"/>
  <c r="AT68" i="51"/>
  <c r="AP68" i="51"/>
  <c r="AS68" i="51"/>
  <c r="AR68" i="51"/>
  <c r="AQ68" i="51"/>
  <c r="R76" i="51"/>
  <c r="N76" i="51"/>
  <c r="Q76" i="51"/>
  <c r="M76" i="51"/>
  <c r="P76" i="51"/>
  <c r="O76" i="51"/>
  <c r="AT76" i="51"/>
  <c r="AP76" i="51"/>
  <c r="AS76" i="51"/>
  <c r="AO76" i="51"/>
  <c r="AR76" i="51"/>
  <c r="AQ76" i="51"/>
  <c r="T12" i="51"/>
  <c r="I62" i="51"/>
  <c r="H62" i="51"/>
  <c r="AK62" i="51"/>
  <c r="AJ62" i="51"/>
  <c r="AM62" i="51"/>
  <c r="AI62" i="51"/>
  <c r="AI36" i="50" s="1"/>
  <c r="W63" i="51"/>
  <c r="V63" i="51"/>
  <c r="Y63" i="51"/>
  <c r="U63" i="51"/>
  <c r="W65" i="51"/>
  <c r="V65" i="51"/>
  <c r="Y65" i="51"/>
  <c r="U65" i="51"/>
  <c r="J68" i="51"/>
  <c r="F68" i="51"/>
  <c r="I68" i="51"/>
  <c r="H68" i="51"/>
  <c r="G68" i="51"/>
  <c r="AL68" i="51"/>
  <c r="AL39" i="50" s="1"/>
  <c r="AH68" i="51"/>
  <c r="AH39" i="50" s="1"/>
  <c r="AI68" i="51"/>
  <c r="AI39" i="50" s="1"/>
  <c r="AM68" i="51"/>
  <c r="AM39" i="50" s="1"/>
  <c r="AK68" i="51"/>
  <c r="AK39" i="50" s="1"/>
  <c r="T22" i="51"/>
  <c r="X73" i="51"/>
  <c r="T73" i="51"/>
  <c r="U73" i="51"/>
  <c r="Y73" i="51"/>
  <c r="W73" i="51"/>
  <c r="X75" i="51"/>
  <c r="T75" i="51"/>
  <c r="W75" i="51"/>
  <c r="Y75" i="51"/>
  <c r="V75" i="51"/>
  <c r="U75" i="51"/>
  <c r="F31" i="51"/>
  <c r="AH31" i="51"/>
  <c r="X81" i="51"/>
  <c r="T81" i="51"/>
  <c r="U81" i="51"/>
  <c r="Y81" i="51"/>
  <c r="V81" i="51"/>
  <c r="J82" i="51"/>
  <c r="F82" i="51"/>
  <c r="I82" i="51"/>
  <c r="H82" i="51"/>
  <c r="K82" i="51"/>
  <c r="AJ82" i="51"/>
  <c r="AJ140" i="50" s="1"/>
  <c r="AO34" i="51"/>
  <c r="W84" i="51"/>
  <c r="V84" i="51"/>
  <c r="Y84" i="51"/>
  <c r="X84" i="51"/>
  <c r="U84" i="51"/>
  <c r="T84" i="51"/>
  <c r="W86" i="51"/>
  <c r="V86" i="51"/>
  <c r="Y86" i="51"/>
  <c r="X86" i="51"/>
  <c r="U86" i="51"/>
  <c r="W88" i="51"/>
  <c r="V88" i="51"/>
  <c r="Y88" i="51"/>
  <c r="X88" i="51"/>
  <c r="U88" i="51"/>
  <c r="T88" i="51"/>
  <c r="I89" i="51"/>
  <c r="H89" i="51"/>
  <c r="K89" i="51"/>
  <c r="J89" i="51"/>
  <c r="G89" i="51"/>
  <c r="AK89" i="51"/>
  <c r="AK146" i="50" s="1"/>
  <c r="AJ89" i="51"/>
  <c r="AJ146" i="50" s="1"/>
  <c r="AM89" i="51"/>
  <c r="AM146" i="50" s="1"/>
  <c r="AL89" i="51"/>
  <c r="AL146" i="50" s="1"/>
  <c r="AI89" i="51"/>
  <c r="AI146" i="50" s="1"/>
  <c r="AH89" i="51"/>
  <c r="AH146" i="50" s="1"/>
  <c r="AH166" i="50" s="1"/>
  <c r="I91" i="51"/>
  <c r="H91" i="51"/>
  <c r="K91" i="51"/>
  <c r="J91" i="51"/>
  <c r="G91" i="51"/>
  <c r="F91" i="51"/>
  <c r="AK91" i="51"/>
  <c r="AK148" i="50" s="1"/>
  <c r="AJ91" i="51"/>
  <c r="AJ148" i="50" s="1"/>
  <c r="AM91" i="51"/>
  <c r="AM148" i="50" s="1"/>
  <c r="AI91" i="51"/>
  <c r="AI148" i="50" s="1"/>
  <c r="AL91" i="51"/>
  <c r="AL148" i="50" s="1"/>
  <c r="W92" i="51"/>
  <c r="Y92" i="51"/>
  <c r="T92" i="51"/>
  <c r="X92" i="51"/>
  <c r="V92" i="51"/>
  <c r="U92" i="51"/>
  <c r="J93" i="51"/>
  <c r="I93" i="51"/>
  <c r="H93" i="51"/>
  <c r="G93" i="51"/>
  <c r="F93" i="51"/>
  <c r="K93" i="51"/>
  <c r="AL93" i="51"/>
  <c r="AL149" i="50" s="1"/>
  <c r="AH93" i="51"/>
  <c r="AH149" i="50" s="1"/>
  <c r="AH169" i="50" s="1"/>
  <c r="AK93" i="51"/>
  <c r="AK149" i="50" s="1"/>
  <c r="AJ93" i="51"/>
  <c r="AJ149" i="50" s="1"/>
  <c r="AI93" i="51"/>
  <c r="AI149" i="50" s="1"/>
  <c r="AM93" i="51"/>
  <c r="AM149" i="50" s="1"/>
  <c r="Q98" i="51"/>
  <c r="M98" i="51"/>
  <c r="P98" i="51"/>
  <c r="O98" i="51"/>
  <c r="N98" i="51"/>
  <c r="R98" i="51"/>
  <c r="AS98" i="51"/>
  <c r="AO98" i="51"/>
  <c r="AP98" i="51"/>
  <c r="AT98" i="51"/>
  <c r="AR98" i="51"/>
  <c r="AH50" i="51"/>
  <c r="F62" i="51"/>
  <c r="AD62" i="51"/>
  <c r="H63" i="51"/>
  <c r="T63" i="51"/>
  <c r="AF63" i="51"/>
  <c r="AR63" i="51"/>
  <c r="P65" i="51"/>
  <c r="AJ65" i="51"/>
  <c r="R66" i="51"/>
  <c r="M72" i="51"/>
  <c r="AR72" i="51"/>
  <c r="Q73" i="51"/>
  <c r="AA73" i="51"/>
  <c r="AA135" i="50" s="1"/>
  <c r="AA155" i="50" s="1"/>
  <c r="AP73" i="51"/>
  <c r="Z74" i="51"/>
  <c r="Z67" i="51" s="1"/>
  <c r="T76" i="51"/>
  <c r="Q82" i="51"/>
  <c r="AN67" i="51"/>
  <c r="AL82" i="51"/>
  <c r="AL140" i="50" s="1"/>
  <c r="AH82" i="51"/>
  <c r="AH140" i="50" s="1"/>
  <c r="AH160" i="50" s="1"/>
  <c r="AI82" i="51"/>
  <c r="AI140" i="50" s="1"/>
  <c r="AM82" i="51"/>
  <c r="AM140" i="50" s="1"/>
  <c r="Y85" i="51"/>
  <c r="U85" i="51"/>
  <c r="X85" i="51"/>
  <c r="T85" i="51"/>
  <c r="W85" i="51"/>
  <c r="K86" i="51"/>
  <c r="G86" i="51"/>
  <c r="J86" i="51"/>
  <c r="F86" i="51"/>
  <c r="I86" i="51"/>
  <c r="AM86" i="51"/>
  <c r="AI86" i="51"/>
  <c r="AL86" i="51"/>
  <c r="AH86" i="51"/>
  <c r="AH143" i="50" s="1"/>
  <c r="AH163" i="50" s="1"/>
  <c r="AK86" i="51"/>
  <c r="Y87" i="51"/>
  <c r="U87" i="51"/>
  <c r="X87" i="51"/>
  <c r="T87" i="51"/>
  <c r="W87" i="51"/>
  <c r="Y89" i="51"/>
  <c r="U89" i="51"/>
  <c r="X89" i="51"/>
  <c r="T89" i="51"/>
  <c r="W89" i="51"/>
  <c r="Y91" i="51"/>
  <c r="U91" i="51"/>
  <c r="X91" i="51"/>
  <c r="T91" i="51"/>
  <c r="W91" i="51"/>
  <c r="K92" i="51"/>
  <c r="G92" i="51"/>
  <c r="J92" i="51"/>
  <c r="F92" i="51"/>
  <c r="I92" i="51"/>
  <c r="H92" i="51"/>
  <c r="AM92" i="51"/>
  <c r="AM43" i="50" s="1"/>
  <c r="AI92" i="51"/>
  <c r="AI43" i="50" s="1"/>
  <c r="AJ92" i="51"/>
  <c r="AJ43" i="50" s="1"/>
  <c r="AH92" i="51"/>
  <c r="AL92" i="51"/>
  <c r="AL43" i="50" s="1"/>
  <c r="AK92" i="51"/>
  <c r="AK43" i="50" s="1"/>
  <c r="V93" i="51"/>
  <c r="Y93" i="51"/>
  <c r="U93" i="51"/>
  <c r="X93" i="51"/>
  <c r="W93" i="51"/>
  <c r="T93" i="51"/>
  <c r="I98" i="51"/>
  <c r="K98" i="51"/>
  <c r="F98" i="51"/>
  <c r="J98" i="51"/>
  <c r="H98" i="51"/>
  <c r="AK98" i="51"/>
  <c r="AK48" i="50" s="1"/>
  <c r="AJ98" i="51"/>
  <c r="AJ48" i="50" s="1"/>
  <c r="AI98" i="51"/>
  <c r="AI48" i="50" s="1"/>
  <c r="AM98" i="51"/>
  <c r="AM48" i="50" s="1"/>
  <c r="AL98" i="51"/>
  <c r="AL48" i="50" s="1"/>
  <c r="AH98" i="51"/>
  <c r="I100" i="51"/>
  <c r="J100" i="51"/>
  <c r="H100" i="51"/>
  <c r="K100" i="51"/>
  <c r="G100" i="51"/>
  <c r="AJ100" i="51"/>
  <c r="AI100" i="51"/>
  <c r="AI50" i="50" s="1"/>
  <c r="AM100" i="51"/>
  <c r="AH100" i="51"/>
  <c r="AL100" i="51"/>
  <c r="AK100" i="51"/>
  <c r="V101" i="51"/>
  <c r="X101" i="51"/>
  <c r="W101" i="51"/>
  <c r="U101" i="51"/>
  <c r="T101" i="51"/>
  <c r="Y101" i="51"/>
  <c r="H102" i="51"/>
  <c r="G102" i="51"/>
  <c r="K102" i="51"/>
  <c r="F102" i="51"/>
  <c r="I102" i="51"/>
  <c r="J102" i="51"/>
  <c r="AJ102" i="51"/>
  <c r="AL102" i="51"/>
  <c r="AK102" i="51"/>
  <c r="AM102" i="51"/>
  <c r="AI102" i="51"/>
  <c r="AH102" i="51"/>
  <c r="V103" i="51"/>
  <c r="U103" i="51"/>
  <c r="Y103" i="51"/>
  <c r="T103" i="51"/>
  <c r="X103" i="51"/>
  <c r="W103" i="51"/>
  <c r="H104" i="51"/>
  <c r="J104" i="51"/>
  <c r="I104" i="51"/>
  <c r="G104" i="51"/>
  <c r="F104" i="51"/>
  <c r="K104" i="51"/>
  <c r="AJ104" i="51"/>
  <c r="AJ53" i="50" s="1"/>
  <c r="AI104" i="51"/>
  <c r="AI53" i="50" s="1"/>
  <c r="AM104" i="51"/>
  <c r="AM53" i="50" s="1"/>
  <c r="AH104" i="51"/>
  <c r="AK104" i="51"/>
  <c r="AK53" i="50" s="1"/>
  <c r="AL104" i="51"/>
  <c r="AL53" i="50" s="1"/>
  <c r="V105" i="51"/>
  <c r="X105" i="51"/>
  <c r="W105" i="51"/>
  <c r="Y105" i="51"/>
  <c r="U105" i="51"/>
  <c r="H106" i="51"/>
  <c r="G106" i="51"/>
  <c r="K106" i="51"/>
  <c r="F106" i="51"/>
  <c r="J106" i="51"/>
  <c r="I106" i="51"/>
  <c r="AJ106" i="51"/>
  <c r="AJ56" i="50" s="1"/>
  <c r="AM106" i="51"/>
  <c r="AM56" i="50" s="1"/>
  <c r="AI106" i="51"/>
  <c r="AI56" i="50" s="1"/>
  <c r="AK106" i="51"/>
  <c r="AK56" i="50" s="1"/>
  <c r="AH106" i="51"/>
  <c r="AL106" i="51"/>
  <c r="AL56" i="50" s="1"/>
  <c r="V107" i="51"/>
  <c r="Y107" i="51"/>
  <c r="U107" i="51"/>
  <c r="X107" i="51"/>
  <c r="W107" i="51"/>
  <c r="T107" i="51"/>
  <c r="H108" i="51"/>
  <c r="K108" i="51"/>
  <c r="G108" i="51"/>
  <c r="J108" i="51"/>
  <c r="I108" i="51"/>
  <c r="F108" i="51"/>
  <c r="AJ108" i="51"/>
  <c r="AJ59" i="50" s="1"/>
  <c r="AM108" i="51"/>
  <c r="AM59" i="50" s="1"/>
  <c r="AI108" i="51"/>
  <c r="AI59" i="50" s="1"/>
  <c r="AL108" i="51"/>
  <c r="AL59" i="50" s="1"/>
  <c r="AK108" i="51"/>
  <c r="AK59" i="50" s="1"/>
  <c r="AH108" i="51"/>
  <c r="AK82" i="51"/>
  <c r="AK140" i="50" s="1"/>
  <c r="AG83" i="51"/>
  <c r="AG79" i="51" s="1"/>
  <c r="G98" i="51"/>
  <c r="T105" i="51"/>
  <c r="Q91" i="51"/>
  <c r="M91" i="51"/>
  <c r="P91" i="51"/>
  <c r="R91" i="51"/>
  <c r="O91" i="51"/>
  <c r="AS91" i="51"/>
  <c r="AO91" i="51"/>
  <c r="AR91" i="51"/>
  <c r="AQ91" i="51"/>
  <c r="AP91" i="51"/>
  <c r="AE92" i="51"/>
  <c r="AE43" i="50" s="1"/>
  <c r="AA92" i="51"/>
  <c r="AA43" i="50" s="1"/>
  <c r="AA68" i="50" s="1"/>
  <c r="AD92" i="51"/>
  <c r="AD43" i="50" s="1"/>
  <c r="AC92" i="51"/>
  <c r="AC43" i="50" s="1"/>
  <c r="AB92" i="51"/>
  <c r="AB43" i="50" s="1"/>
  <c r="R93" i="51"/>
  <c r="N93" i="51"/>
  <c r="Q93" i="51"/>
  <c r="M93" i="51"/>
  <c r="P93" i="51"/>
  <c r="O93" i="51"/>
  <c r="AT93" i="51"/>
  <c r="AP93" i="51"/>
  <c r="AS93" i="51"/>
  <c r="AO93" i="51"/>
  <c r="AR93" i="51"/>
  <c r="AQ93" i="51"/>
  <c r="AC98" i="51"/>
  <c r="AC48" i="50" s="1"/>
  <c r="AF98" i="51"/>
  <c r="AF48" i="50" s="1"/>
  <c r="AA98" i="51"/>
  <c r="AA48" i="50" s="1"/>
  <c r="AA73" i="50" s="1"/>
  <c r="AE98" i="51"/>
  <c r="AE48" i="50" s="1"/>
  <c r="AD98" i="51"/>
  <c r="AD48" i="50" s="1"/>
  <c r="AB98" i="51"/>
  <c r="AB48" i="50" s="1"/>
  <c r="AF100" i="51"/>
  <c r="AB100" i="51"/>
  <c r="AD100" i="51"/>
  <c r="AC100" i="51"/>
  <c r="AC50" i="50" s="1"/>
  <c r="AE100" i="51"/>
  <c r="AA100" i="51"/>
  <c r="R101" i="51"/>
  <c r="N101" i="51"/>
  <c r="M101" i="51"/>
  <c r="Q101" i="51"/>
  <c r="O101" i="51"/>
  <c r="P101" i="51"/>
  <c r="AT101" i="51"/>
  <c r="AP101" i="51"/>
  <c r="AR101" i="51"/>
  <c r="AQ101" i="51"/>
  <c r="AS101" i="51"/>
  <c r="AO101" i="51"/>
  <c r="AF102" i="51"/>
  <c r="AF52" i="50" s="1"/>
  <c r="AB102" i="51"/>
  <c r="AB52" i="50" s="1"/>
  <c r="AA102" i="51"/>
  <c r="AA52" i="50" s="1"/>
  <c r="AA77" i="50" s="1"/>
  <c r="AE102" i="51"/>
  <c r="AE52" i="50" s="1"/>
  <c r="AD102" i="51"/>
  <c r="AD52" i="50" s="1"/>
  <c r="AC102" i="51"/>
  <c r="AC52" i="50" s="1"/>
  <c r="R103" i="51"/>
  <c r="N103" i="51"/>
  <c r="P103" i="51"/>
  <c r="O103" i="51"/>
  <c r="Q103" i="51"/>
  <c r="M103" i="51"/>
  <c r="AF104" i="51"/>
  <c r="AF53" i="50" s="1"/>
  <c r="AB104" i="51"/>
  <c r="AB53" i="50" s="1"/>
  <c r="AD104" i="51"/>
  <c r="AD53" i="50" s="1"/>
  <c r="AC104" i="51"/>
  <c r="AC53" i="50" s="1"/>
  <c r="AE104" i="51"/>
  <c r="AE53" i="50" s="1"/>
  <c r="AA104" i="51"/>
  <c r="AA53" i="50" s="1"/>
  <c r="AA78" i="50" s="1"/>
  <c r="R105" i="51"/>
  <c r="N105" i="51"/>
  <c r="M105" i="51"/>
  <c r="Q105" i="51"/>
  <c r="P105" i="51"/>
  <c r="O105" i="51"/>
  <c r="AF106" i="51"/>
  <c r="AF56" i="50" s="1"/>
  <c r="AB106" i="51"/>
  <c r="AB56" i="50" s="1"/>
  <c r="AE106" i="51"/>
  <c r="AE56" i="50" s="1"/>
  <c r="AA106" i="51"/>
  <c r="AA56" i="50" s="1"/>
  <c r="AA81" i="50" s="1"/>
  <c r="AC106" i="51"/>
  <c r="AC56" i="50" s="1"/>
  <c r="AD106" i="51"/>
  <c r="AD56" i="50" s="1"/>
  <c r="AF108" i="51"/>
  <c r="AF59" i="50" s="1"/>
  <c r="AB108" i="51"/>
  <c r="AB59" i="50" s="1"/>
  <c r="AE108" i="51"/>
  <c r="AE59" i="50" s="1"/>
  <c r="AA108" i="51"/>
  <c r="AA59" i="50" s="1"/>
  <c r="AA84" i="50" s="1"/>
  <c r="AD108" i="51"/>
  <c r="AD59" i="50" s="1"/>
  <c r="AC108" i="51"/>
  <c r="AC59" i="50" s="1"/>
  <c r="E79" i="51"/>
  <c r="H86" i="51"/>
  <c r="V87" i="51"/>
  <c r="V91" i="51"/>
  <c r="AT91" i="51"/>
  <c r="F100" i="51"/>
  <c r="AN94" i="51"/>
  <c r="H62" i="62"/>
  <c r="G61" i="62"/>
  <c r="AD62" i="62"/>
  <c r="N11" i="62"/>
  <c r="V11" i="62"/>
  <c r="AD11" i="62"/>
  <c r="AL11" i="62"/>
  <c r="V62" i="62"/>
  <c r="AJ62" i="62"/>
  <c r="AI61" i="62"/>
  <c r="AI71" i="62"/>
  <c r="Q100" i="62"/>
  <c r="H65" i="62"/>
  <c r="G64" i="62"/>
  <c r="U71" i="62"/>
  <c r="AJ65" i="62"/>
  <c r="AI64" i="62"/>
  <c r="H83" i="62"/>
  <c r="I84" i="62"/>
  <c r="Z9" i="62"/>
  <c r="AG9" i="62" s="1"/>
  <c r="AN9" i="62"/>
  <c r="F11" i="62"/>
  <c r="R11" i="62"/>
  <c r="Z11" i="62"/>
  <c r="AH11" i="62"/>
  <c r="V65" i="62"/>
  <c r="U64" i="62"/>
  <c r="AP9" i="62"/>
  <c r="AB9" i="62"/>
  <c r="AI9" i="62" s="1"/>
  <c r="AT9" i="62"/>
  <c r="AF9" i="62"/>
  <c r="AM9" i="62" s="1"/>
  <c r="AD9" i="62"/>
  <c r="AK9" i="62" s="1"/>
  <c r="AR9" i="62"/>
  <c r="G11" i="62"/>
  <c r="K11" i="62"/>
  <c r="O11" i="62"/>
  <c r="S11" i="62"/>
  <c r="W11" i="62"/>
  <c r="AA11" i="62"/>
  <c r="AE11" i="62"/>
  <c r="AI11" i="62"/>
  <c r="AM11" i="62"/>
  <c r="O62" i="62"/>
  <c r="N61" i="62"/>
  <c r="AD65" i="62"/>
  <c r="I72" i="62"/>
  <c r="H71" i="62"/>
  <c r="AC72" i="62"/>
  <c r="AB71" i="62"/>
  <c r="AC75" i="62"/>
  <c r="AB74" i="62"/>
  <c r="N80" i="62"/>
  <c r="O81" i="62"/>
  <c r="AD81" i="62"/>
  <c r="V82" i="62"/>
  <c r="W82" i="62" s="1"/>
  <c r="X82" i="62" s="1"/>
  <c r="Y82" i="62" s="1"/>
  <c r="AI81" i="62"/>
  <c r="AH80" i="62"/>
  <c r="V84" i="62"/>
  <c r="U83" i="62"/>
  <c r="Q95" i="62"/>
  <c r="H100" i="62"/>
  <c r="O65" i="62"/>
  <c r="G71" i="62"/>
  <c r="V72" i="62"/>
  <c r="AJ72" i="62"/>
  <c r="AA83" i="62"/>
  <c r="AA79" i="62" s="1"/>
  <c r="AC83" i="62"/>
  <c r="AK84" i="62"/>
  <c r="F61" i="62"/>
  <c r="AH61" i="62"/>
  <c r="AB63" i="62"/>
  <c r="F64" i="62"/>
  <c r="AH64" i="62"/>
  <c r="AB66" i="62"/>
  <c r="T71" i="62"/>
  <c r="N72" i="62"/>
  <c r="T74" i="62"/>
  <c r="V75" i="62"/>
  <c r="AI75" i="62"/>
  <c r="AH74" i="62"/>
  <c r="G81" i="62"/>
  <c r="F80" i="62"/>
  <c r="G83" i="62"/>
  <c r="AB83" i="62"/>
  <c r="N84" i="62"/>
  <c r="AD84" i="62"/>
  <c r="AE95" i="62"/>
  <c r="AJ100" i="62"/>
  <c r="N101" i="62"/>
  <c r="AI102" i="62"/>
  <c r="AJ102" i="62" s="1"/>
  <c r="AK102" i="62" s="1"/>
  <c r="AL102" i="62" s="1"/>
  <c r="AM102" i="62" s="1"/>
  <c r="U156" i="62"/>
  <c r="U216" i="50" s="1"/>
  <c r="T154" i="62"/>
  <c r="AB157" i="62"/>
  <c r="AA154" i="62"/>
  <c r="AA74" i="62"/>
  <c r="N75" i="62"/>
  <c r="W81" i="62"/>
  <c r="T83" i="62"/>
  <c r="T94" i="62"/>
  <c r="U95" i="62"/>
  <c r="O96" i="62"/>
  <c r="P96" i="62" s="1"/>
  <c r="Q96" i="62" s="1"/>
  <c r="R96" i="62" s="1"/>
  <c r="N94" i="62"/>
  <c r="AD100" i="62"/>
  <c r="H163" i="62"/>
  <c r="AH79" i="62"/>
  <c r="AH83" i="62"/>
  <c r="AI86" i="62"/>
  <c r="AJ86" i="62" s="1"/>
  <c r="AK86" i="62" s="1"/>
  <c r="AL86" i="62" s="1"/>
  <c r="AM86" i="62" s="1"/>
  <c r="M94" i="62"/>
  <c r="H95" i="62"/>
  <c r="AJ95" i="62"/>
  <c r="AA94" i="62"/>
  <c r="AB96" i="62"/>
  <c r="AB101" i="62"/>
  <c r="T99" i="62"/>
  <c r="AH154" i="62"/>
  <c r="F83" i="62"/>
  <c r="U100" i="62"/>
  <c r="M154" i="62"/>
  <c r="F154" i="62"/>
  <c r="G94" i="62" l="1"/>
  <c r="AI154" i="62"/>
  <c r="Z30" i="51"/>
  <c r="E30" i="51"/>
  <c r="T79" i="62"/>
  <c r="M79" i="62"/>
  <c r="H171" i="62"/>
  <c r="U231" i="50"/>
  <c r="U253" i="50" s="1"/>
  <c r="AC156" i="62"/>
  <c r="AC216" i="50" s="1"/>
  <c r="G74" i="62"/>
  <c r="H74" i="62"/>
  <c r="O156" i="62"/>
  <c r="E60" i="51"/>
  <c r="O155" i="62"/>
  <c r="O215" i="50" s="1"/>
  <c r="AG60" i="51"/>
  <c r="N218" i="50"/>
  <c r="N240" i="50" s="1"/>
  <c r="S30" i="51"/>
  <c r="U229" i="50"/>
  <c r="U251" i="50" s="1"/>
  <c r="L60" i="51"/>
  <c r="AL28" i="7"/>
  <c r="AI235" i="50"/>
  <c r="AI257" i="50" s="1"/>
  <c r="AI279" i="50" s="1"/>
  <c r="AN60" i="62"/>
  <c r="U235" i="50"/>
  <c r="U257" i="50" s="1"/>
  <c r="U279" i="50" s="1"/>
  <c r="L60" i="62"/>
  <c r="Y80" i="51"/>
  <c r="W64" i="51"/>
  <c r="E71" i="49"/>
  <c r="AC140" i="50"/>
  <c r="Z282" i="50"/>
  <c r="V163" i="62"/>
  <c r="AC160" i="62"/>
  <c r="AE140" i="50"/>
  <c r="AD140" i="50"/>
  <c r="M61" i="51"/>
  <c r="AF140" i="50"/>
  <c r="Z60" i="62"/>
  <c r="AK52" i="50"/>
  <c r="AJ50" i="50"/>
  <c r="S60" i="51"/>
  <c r="AA56" i="53"/>
  <c r="AJ56" i="73" s="1"/>
  <c r="E88" i="50"/>
  <c r="B108" i="67"/>
  <c r="H249" i="50"/>
  <c r="AN18" i="51"/>
  <c r="AN11" i="51" s="1"/>
  <c r="AG30" i="51"/>
  <c r="T64" i="51"/>
  <c r="AI52" i="50"/>
  <c r="AJ52" i="50"/>
  <c r="AJ36" i="50"/>
  <c r="C30" i="7"/>
  <c r="B17" i="67"/>
  <c r="AM52" i="50"/>
  <c r="AJ37" i="50"/>
  <c r="B119" i="67"/>
  <c r="B129" i="67" s="1"/>
  <c r="B112" i="67"/>
  <c r="AC80" i="62"/>
  <c r="S282" i="50"/>
  <c r="B44" i="67"/>
  <c r="AU57" i="73"/>
  <c r="T103" i="67"/>
  <c r="AJ57" i="73"/>
  <c r="T82" i="67"/>
  <c r="AL52" i="50"/>
  <c r="B110" i="67"/>
  <c r="C26" i="7"/>
  <c r="B7" i="67"/>
  <c r="AG282" i="50"/>
  <c r="B86" i="67"/>
  <c r="J30" i="7"/>
  <c r="B35" i="67"/>
  <c r="Z280" i="50"/>
  <c r="B60" i="67"/>
  <c r="L282" i="50"/>
  <c r="B26" i="67"/>
  <c r="X61" i="51"/>
  <c r="AH56" i="50"/>
  <c r="AH81" i="50" s="1"/>
  <c r="AI81" i="50" s="1"/>
  <c r="AJ81" i="50" s="1"/>
  <c r="AK81" i="50" s="1"/>
  <c r="AL81" i="50" s="1"/>
  <c r="AM81" i="50" s="1"/>
  <c r="T81" i="67"/>
  <c r="Q26" i="7"/>
  <c r="B43" i="67"/>
  <c r="AH59" i="50"/>
  <c r="AH84" i="50" s="1"/>
  <c r="AI84" i="50" s="1"/>
  <c r="AH55" i="50"/>
  <c r="AH80" i="50" s="1"/>
  <c r="AI80" i="50" s="1"/>
  <c r="AJ80" i="50" s="1"/>
  <c r="AK80" i="50" s="1"/>
  <c r="AL80" i="50" s="1"/>
  <c r="AM80" i="50" s="1"/>
  <c r="AH51" i="50"/>
  <c r="AH76" i="50" s="1"/>
  <c r="AI76" i="50" s="1"/>
  <c r="AH53" i="50"/>
  <c r="AH78" i="50" s="1"/>
  <c r="AI78" i="50" s="1"/>
  <c r="AJ78" i="50" s="1"/>
  <c r="AK78" i="50" s="1"/>
  <c r="AL78" i="50" s="1"/>
  <c r="AM78" i="50" s="1"/>
  <c r="AH52" i="50"/>
  <c r="AH77" i="50" s="1"/>
  <c r="AH50" i="50"/>
  <c r="AH75" i="50" s="1"/>
  <c r="AI75" i="50" s="1"/>
  <c r="AH43" i="50"/>
  <c r="AH68" i="50" s="1"/>
  <c r="AI68" i="50" s="1"/>
  <c r="AJ68" i="50" s="1"/>
  <c r="AK68" i="50" s="1"/>
  <c r="AL68" i="50" s="1"/>
  <c r="AM68" i="50" s="1"/>
  <c r="AH37" i="50"/>
  <c r="AH62" i="50" s="1"/>
  <c r="AI62" i="50" s="1"/>
  <c r="AE26" i="7"/>
  <c r="AE27" i="7" s="1"/>
  <c r="B85" i="67"/>
  <c r="AH48" i="50"/>
  <c r="AH73" i="50" s="1"/>
  <c r="AI73" i="50" s="1"/>
  <c r="AJ73" i="50" s="1"/>
  <c r="AK73" i="50" s="1"/>
  <c r="AL73" i="50" s="1"/>
  <c r="AM73" i="50" s="1"/>
  <c r="AH49" i="50"/>
  <c r="AH74" i="50" s="1"/>
  <c r="AI74" i="50" s="1"/>
  <c r="AG280" i="50"/>
  <c r="B84" i="67"/>
  <c r="J26" i="7"/>
  <c r="B25" i="67"/>
  <c r="X26" i="7"/>
  <c r="X27" i="7" s="1"/>
  <c r="B61" i="67"/>
  <c r="N154" i="62"/>
  <c r="N224" i="50"/>
  <c r="N246" i="50" s="1"/>
  <c r="N268" i="50" s="1"/>
  <c r="AI94" i="62"/>
  <c r="E282" i="50"/>
  <c r="G238" i="50"/>
  <c r="H238" i="50" s="1"/>
  <c r="I238" i="50" s="1"/>
  <c r="J238" i="50" s="1"/>
  <c r="K238" i="50" s="1"/>
  <c r="AI56" i="53"/>
  <c r="E280" i="50"/>
  <c r="AG281" i="50"/>
  <c r="X32" i="7"/>
  <c r="AA58" i="53"/>
  <c r="G241" i="50"/>
  <c r="H241" i="50" s="1"/>
  <c r="I241" i="50" s="1"/>
  <c r="J241" i="50" s="1"/>
  <c r="K241" i="50" s="1"/>
  <c r="AE32" i="7"/>
  <c r="AI58" i="53"/>
  <c r="X33" i="7"/>
  <c r="AB242" i="50"/>
  <c r="AB264" i="50" s="1"/>
  <c r="I249" i="50"/>
  <c r="J249" i="50" s="1"/>
  <c r="K249" i="50" s="1"/>
  <c r="L281" i="50"/>
  <c r="G251" i="50"/>
  <c r="H251" i="50" s="1"/>
  <c r="I251" i="50" s="1"/>
  <c r="J251" i="50" s="1"/>
  <c r="K251" i="50" s="1"/>
  <c r="N253" i="50"/>
  <c r="O253" i="50" s="1"/>
  <c r="P253" i="50" s="1"/>
  <c r="Q253" i="50" s="1"/>
  <c r="R253" i="50" s="1"/>
  <c r="G242" i="50"/>
  <c r="H242" i="50" s="1"/>
  <c r="I242" i="50" s="1"/>
  <c r="J242" i="50" s="1"/>
  <c r="K242" i="50" s="1"/>
  <c r="L280" i="50"/>
  <c r="E258" i="50"/>
  <c r="B19" i="67" s="1"/>
  <c r="B115" i="67" s="1"/>
  <c r="G245" i="50"/>
  <c r="G267" i="50" s="1"/>
  <c r="AB238" i="50"/>
  <c r="AB260" i="50" s="1"/>
  <c r="AI168" i="50"/>
  <c r="AJ168" i="50" s="1"/>
  <c r="AK168" i="50" s="1"/>
  <c r="AL168" i="50" s="1"/>
  <c r="AM168" i="50" s="1"/>
  <c r="AG18" i="51"/>
  <c r="C71" i="49"/>
  <c r="D71" i="49"/>
  <c r="G235" i="50"/>
  <c r="G257" i="50" s="1"/>
  <c r="G279" i="50" s="1"/>
  <c r="H175" i="62"/>
  <c r="O94" i="62"/>
  <c r="AH67" i="62"/>
  <c r="AH60" i="62" s="1"/>
  <c r="U67" i="62"/>
  <c r="G243" i="50"/>
  <c r="H243" i="50" s="1"/>
  <c r="I243" i="50" s="1"/>
  <c r="J243" i="50" s="1"/>
  <c r="K243" i="50" s="1"/>
  <c r="AA214" i="50"/>
  <c r="Y30" i="7" s="1"/>
  <c r="AA260" i="50"/>
  <c r="AH214" i="50"/>
  <c r="AF30" i="7" s="1"/>
  <c r="F268" i="50"/>
  <c r="V229" i="50"/>
  <c r="V251" i="50" s="1"/>
  <c r="AB226" i="50"/>
  <c r="AB248" i="50" s="1"/>
  <c r="AB270" i="50" s="1"/>
  <c r="N234" i="50"/>
  <c r="N256" i="50" s="1"/>
  <c r="N278" i="50" s="1"/>
  <c r="AI231" i="50"/>
  <c r="AI253" i="50" s="1"/>
  <c r="AI275" i="50" s="1"/>
  <c r="AJ171" i="62"/>
  <c r="N226" i="50"/>
  <c r="N248" i="50" s="1"/>
  <c r="N270" i="50" s="1"/>
  <c r="O166" i="62"/>
  <c r="AI233" i="50"/>
  <c r="AI255" i="50" s="1"/>
  <c r="AI277" i="50" s="1"/>
  <c r="AJ173" i="62"/>
  <c r="AB218" i="50"/>
  <c r="AB240" i="50" s="1"/>
  <c r="AB262" i="50" s="1"/>
  <c r="AC158" i="62"/>
  <c r="AA67" i="62"/>
  <c r="AA60" i="62" s="1"/>
  <c r="AD50" i="50"/>
  <c r="Z60" i="51"/>
  <c r="F278" i="50"/>
  <c r="I255" i="50"/>
  <c r="J255" i="50" s="1"/>
  <c r="K255" i="50" s="1"/>
  <c r="AH236" i="50"/>
  <c r="E85" i="50"/>
  <c r="B9" i="67" s="1"/>
  <c r="G154" i="62"/>
  <c r="U215" i="50"/>
  <c r="V155" i="62"/>
  <c r="AB230" i="50"/>
  <c r="AB252" i="50" s="1"/>
  <c r="AB274" i="50" s="1"/>
  <c r="AC170" i="62"/>
  <c r="T67" i="62"/>
  <c r="T60" i="62" s="1"/>
  <c r="AJ157" i="62"/>
  <c r="AJ217" i="50" s="1"/>
  <c r="AJ239" i="50" s="1"/>
  <c r="T214" i="50"/>
  <c r="R30" i="7" s="1"/>
  <c r="S280" i="50"/>
  <c r="AI223" i="50"/>
  <c r="AI245" i="50" s="1"/>
  <c r="AI267" i="50" s="1"/>
  <c r="AJ163" i="62"/>
  <c r="N222" i="50"/>
  <c r="N244" i="50" s="1"/>
  <c r="O162" i="62"/>
  <c r="G215" i="50"/>
  <c r="G237" i="50" s="1"/>
  <c r="H155" i="62"/>
  <c r="G217" i="50"/>
  <c r="G239" i="50" s="1"/>
  <c r="H157" i="62"/>
  <c r="AB80" i="62"/>
  <c r="AB79" i="62" s="1"/>
  <c r="AO61" i="51"/>
  <c r="L18" i="51"/>
  <c r="L11" i="51" s="1"/>
  <c r="AQ61" i="51"/>
  <c r="N64" i="51"/>
  <c r="V80" i="51"/>
  <c r="Z18" i="51"/>
  <c r="Z11" i="51" s="1"/>
  <c r="G80" i="51"/>
  <c r="X80" i="51"/>
  <c r="U64" i="51"/>
  <c r="O64" i="51"/>
  <c r="AT61" i="51"/>
  <c r="K61" i="51"/>
  <c r="F71" i="49"/>
  <c r="V71" i="51"/>
  <c r="S18" i="51"/>
  <c r="M71" i="51"/>
  <c r="Y64" i="51"/>
  <c r="I61" i="51"/>
  <c r="O71" i="51"/>
  <c r="X64" i="51"/>
  <c r="AO80" i="51"/>
  <c r="L85" i="50"/>
  <c r="Z85" i="50"/>
  <c r="T80" i="51"/>
  <c r="V64" i="51"/>
  <c r="V61" i="51"/>
  <c r="P61" i="51"/>
  <c r="O61" i="51"/>
  <c r="R61" i="51"/>
  <c r="AG85" i="50"/>
  <c r="S85" i="50"/>
  <c r="AI169" i="50"/>
  <c r="AJ169" i="50" s="1"/>
  <c r="AK169" i="50" s="1"/>
  <c r="AL169" i="50" s="1"/>
  <c r="AM169" i="50" s="1"/>
  <c r="AN60" i="51"/>
  <c r="AJ143" i="50"/>
  <c r="AB278" i="50"/>
  <c r="I163" i="62"/>
  <c r="H223" i="50"/>
  <c r="AC157" i="62"/>
  <c r="AB217" i="50"/>
  <c r="AB239" i="50" s="1"/>
  <c r="P94" i="62"/>
  <c r="AL143" i="50"/>
  <c r="AB51" i="50"/>
  <c r="AB76" i="50" s="1"/>
  <c r="N71" i="51"/>
  <c r="G99" i="51"/>
  <c r="AI143" i="50"/>
  <c r="AI163" i="50" s="1"/>
  <c r="G61" i="51"/>
  <c r="AI99" i="62"/>
  <c r="U238" i="50"/>
  <c r="U260" i="50" s="1"/>
  <c r="AK143" i="50"/>
  <c r="AM143" i="50"/>
  <c r="AQ71" i="51"/>
  <c r="P71" i="51"/>
  <c r="AI139" i="50"/>
  <c r="AI159" i="50" s="1"/>
  <c r="AB266" i="50"/>
  <c r="AB132" i="50"/>
  <c r="AJ160" i="62"/>
  <c r="AI220" i="50"/>
  <c r="AI242" i="50" s="1"/>
  <c r="AI264" i="50" s="1"/>
  <c r="H158" i="62"/>
  <c r="G218" i="50"/>
  <c r="G240" i="50" s="1"/>
  <c r="G262" i="50" s="1"/>
  <c r="V174" i="62"/>
  <c r="U234" i="50"/>
  <c r="U256" i="50" s="1"/>
  <c r="U278" i="50" s="1"/>
  <c r="T269" i="50"/>
  <c r="AC161" i="62"/>
  <c r="AB221" i="50"/>
  <c r="AB243" i="50" s="1"/>
  <c r="AC159" i="62"/>
  <c r="AB219" i="50"/>
  <c r="AB241" i="50" s="1"/>
  <c r="AJ156" i="62"/>
  <c r="AI216" i="50"/>
  <c r="AI238" i="50" s="1"/>
  <c r="AJ174" i="62"/>
  <c r="AI234" i="50"/>
  <c r="AI256" i="50" s="1"/>
  <c r="AI278" i="50" s="1"/>
  <c r="H172" i="62"/>
  <c r="G232" i="50"/>
  <c r="G254" i="50" s="1"/>
  <c r="G276" i="50" s="1"/>
  <c r="V161" i="62"/>
  <c r="U221" i="50"/>
  <c r="U243" i="50" s="1"/>
  <c r="AH276" i="50"/>
  <c r="W175" i="62"/>
  <c r="V235" i="50"/>
  <c r="V257" i="50" s="1"/>
  <c r="O167" i="62"/>
  <c r="N227" i="50"/>
  <c r="N249" i="50" s="1"/>
  <c r="N271" i="50" s="1"/>
  <c r="AD164" i="62"/>
  <c r="AC224" i="50"/>
  <c r="AC246" i="50" s="1"/>
  <c r="AK175" i="62"/>
  <c r="AJ235" i="50"/>
  <c r="O165" i="62"/>
  <c r="N225" i="50"/>
  <c r="N247" i="50" s="1"/>
  <c r="AD162" i="62"/>
  <c r="AC222" i="50"/>
  <c r="AC244" i="50" s="1"/>
  <c r="V160" i="62"/>
  <c r="U220" i="50"/>
  <c r="U242" i="50" s="1"/>
  <c r="AJ158" i="62"/>
  <c r="AI218" i="50"/>
  <c r="AI240" i="50" s="1"/>
  <c r="U233" i="50"/>
  <c r="U255" i="50" s="1"/>
  <c r="U277" i="50" s="1"/>
  <c r="V173" i="62"/>
  <c r="E281" i="50"/>
  <c r="O173" i="62"/>
  <c r="N233" i="50"/>
  <c r="N255" i="50" s="1"/>
  <c r="N277" i="50" s="1"/>
  <c r="X169" i="62"/>
  <c r="W229" i="50"/>
  <c r="AK167" i="62"/>
  <c r="AJ227" i="50"/>
  <c r="AJ249" i="50" s="1"/>
  <c r="AD166" i="62"/>
  <c r="AC226" i="50"/>
  <c r="AC165" i="62"/>
  <c r="AB225" i="50"/>
  <c r="AB247" i="50" s="1"/>
  <c r="T262" i="50"/>
  <c r="AA279" i="50"/>
  <c r="AK169" i="62"/>
  <c r="AJ229" i="50"/>
  <c r="AJ251" i="50" s="1"/>
  <c r="AJ168" i="62"/>
  <c r="AI228" i="50"/>
  <c r="AI250" i="50" s="1"/>
  <c r="V165" i="62"/>
  <c r="U225" i="50"/>
  <c r="U247" i="50" s="1"/>
  <c r="V162" i="62"/>
  <c r="U222" i="50"/>
  <c r="U244" i="50" s="1"/>
  <c r="M279" i="50"/>
  <c r="AC168" i="62"/>
  <c r="AB228" i="50"/>
  <c r="AB250" i="50" s="1"/>
  <c r="AB272" i="50" s="1"/>
  <c r="V166" i="62"/>
  <c r="U226" i="50"/>
  <c r="U248" i="50" s="1"/>
  <c r="AI224" i="50"/>
  <c r="AI246" i="50" s="1"/>
  <c r="AI268" i="50" s="1"/>
  <c r="AJ164" i="62"/>
  <c r="AJ162" i="62"/>
  <c r="AI222" i="50"/>
  <c r="AI244" i="50" s="1"/>
  <c r="AC155" i="62"/>
  <c r="AB215" i="50"/>
  <c r="AB237" i="50" s="1"/>
  <c r="M67" i="62"/>
  <c r="M60" i="62" s="1"/>
  <c r="I171" i="62"/>
  <c r="H231" i="50"/>
  <c r="H253" i="50" s="1"/>
  <c r="AC169" i="62"/>
  <c r="AB229" i="50"/>
  <c r="AB251" i="50" s="1"/>
  <c r="P164" i="62"/>
  <c r="O224" i="50"/>
  <c r="T265" i="50"/>
  <c r="AI215" i="50"/>
  <c r="AJ155" i="62"/>
  <c r="AJ172" i="62"/>
  <c r="AI232" i="50"/>
  <c r="AI254" i="50" s="1"/>
  <c r="AB227" i="50"/>
  <c r="AB249" i="50" s="1"/>
  <c r="AB271" i="50" s="1"/>
  <c r="AC167" i="62"/>
  <c r="AK159" i="62"/>
  <c r="AJ219" i="50"/>
  <c r="AJ241" i="50" s="1"/>
  <c r="P174" i="62"/>
  <c r="O234" i="50"/>
  <c r="O256" i="50" s="1"/>
  <c r="N220" i="50"/>
  <c r="N242" i="50" s="1"/>
  <c r="N264" i="50" s="1"/>
  <c r="O160" i="62"/>
  <c r="AI221" i="50"/>
  <c r="AI243" i="50" s="1"/>
  <c r="AJ161" i="62"/>
  <c r="V159" i="62"/>
  <c r="U219" i="50"/>
  <c r="AA277" i="50"/>
  <c r="H162" i="62"/>
  <c r="G222" i="50"/>
  <c r="G244" i="50" s="1"/>
  <c r="O159" i="62"/>
  <c r="N219" i="50"/>
  <c r="N241" i="50" s="1"/>
  <c r="V158" i="62"/>
  <c r="U218" i="50"/>
  <c r="U240" i="50" s="1"/>
  <c r="AC175" i="62"/>
  <c r="AB235" i="50"/>
  <c r="AB257" i="50" s="1"/>
  <c r="AD172" i="62"/>
  <c r="AC232" i="50"/>
  <c r="AC254" i="50" s="1"/>
  <c r="AJ170" i="62"/>
  <c r="AI230" i="50"/>
  <c r="AI252" i="50" s="1"/>
  <c r="AI274" i="50" s="1"/>
  <c r="M273" i="50"/>
  <c r="O161" i="62"/>
  <c r="N221" i="50"/>
  <c r="N243" i="50" s="1"/>
  <c r="P158" i="62"/>
  <c r="O218" i="50"/>
  <c r="O240" i="50" s="1"/>
  <c r="P156" i="62"/>
  <c r="O216" i="50"/>
  <c r="O238" i="50" s="1"/>
  <c r="O175" i="62"/>
  <c r="N235" i="50"/>
  <c r="N257" i="50" s="1"/>
  <c r="AC171" i="62"/>
  <c r="AB231" i="50"/>
  <c r="AB253" i="50" s="1"/>
  <c r="AH269" i="50"/>
  <c r="M261" i="50"/>
  <c r="M237" i="50"/>
  <c r="M214" i="50"/>
  <c r="K30" i="7" s="1"/>
  <c r="N230" i="50"/>
  <c r="N252" i="50" s="1"/>
  <c r="O170" i="62"/>
  <c r="W163" i="62"/>
  <c r="V223" i="50"/>
  <c r="V245" i="50" s="1"/>
  <c r="AD160" i="62"/>
  <c r="AC220" i="50"/>
  <c r="W171" i="62"/>
  <c r="V231" i="50"/>
  <c r="V253" i="50" s="1"/>
  <c r="N232" i="50"/>
  <c r="N254" i="50" s="1"/>
  <c r="O172" i="62"/>
  <c r="V172" i="62"/>
  <c r="U232" i="50"/>
  <c r="U254" i="50" s="1"/>
  <c r="O163" i="62"/>
  <c r="N223" i="50"/>
  <c r="N245" i="50" s="1"/>
  <c r="N267" i="50" s="1"/>
  <c r="U241" i="50"/>
  <c r="U217" i="50"/>
  <c r="U239" i="50" s="1"/>
  <c r="V157" i="62"/>
  <c r="AC173" i="62"/>
  <c r="AB233" i="50"/>
  <c r="AB255" i="50" s="1"/>
  <c r="V170" i="62"/>
  <c r="U230" i="50"/>
  <c r="U252" i="50" s="1"/>
  <c r="U274" i="50" s="1"/>
  <c r="V168" i="62"/>
  <c r="U228" i="50"/>
  <c r="U250" i="50" s="1"/>
  <c r="V167" i="62"/>
  <c r="U227" i="50"/>
  <c r="U249" i="50" s="1"/>
  <c r="U271" i="50" s="1"/>
  <c r="G226" i="50"/>
  <c r="G248" i="50" s="1"/>
  <c r="H166" i="62"/>
  <c r="AC163" i="62"/>
  <c r="AB223" i="50"/>
  <c r="AB245" i="50" s="1"/>
  <c r="T278" i="50"/>
  <c r="N229" i="50"/>
  <c r="N251" i="50" s="1"/>
  <c r="O169" i="62"/>
  <c r="O168" i="62"/>
  <c r="N228" i="50"/>
  <c r="N250" i="50" s="1"/>
  <c r="N272" i="50" s="1"/>
  <c r="H164" i="62"/>
  <c r="G224" i="50"/>
  <c r="G246" i="50" s="1"/>
  <c r="G268" i="50" s="1"/>
  <c r="AA263" i="50"/>
  <c r="AH260" i="50"/>
  <c r="AJ166" i="62"/>
  <c r="AI226" i="50"/>
  <c r="AI248" i="50" s="1"/>
  <c r="AI225" i="50"/>
  <c r="AI247" i="50" s="1"/>
  <c r="AJ165" i="62"/>
  <c r="V164" i="62"/>
  <c r="U224" i="50"/>
  <c r="U246" i="50" s="1"/>
  <c r="U268" i="50" s="1"/>
  <c r="O157" i="62"/>
  <c r="N217" i="50"/>
  <c r="N239" i="50" s="1"/>
  <c r="AD174" i="62"/>
  <c r="AC234" i="50"/>
  <c r="AC256" i="50" s="1"/>
  <c r="G228" i="50"/>
  <c r="G250" i="50" s="1"/>
  <c r="G272" i="50" s="1"/>
  <c r="H168" i="62"/>
  <c r="M276" i="50"/>
  <c r="AB78" i="50"/>
  <c r="AC78" i="50" s="1"/>
  <c r="AD78" i="50" s="1"/>
  <c r="AE78" i="50" s="1"/>
  <c r="AF78" i="50" s="1"/>
  <c r="AB99" i="51"/>
  <c r="AB50" i="50"/>
  <c r="I99" i="51"/>
  <c r="AI160" i="50"/>
  <c r="AJ160" i="50" s="1"/>
  <c r="AK160" i="50" s="1"/>
  <c r="AL160" i="50" s="1"/>
  <c r="AM160" i="50" s="1"/>
  <c r="AB155" i="50"/>
  <c r="AA175" i="50"/>
  <c r="AM61" i="51"/>
  <c r="AB80" i="50"/>
  <c r="AC80" i="50" s="1"/>
  <c r="AD80" i="50" s="1"/>
  <c r="AE80" i="50" s="1"/>
  <c r="AF80" i="50" s="1"/>
  <c r="AB74" i="50"/>
  <c r="AC74" i="50" s="1"/>
  <c r="AD74" i="50" s="1"/>
  <c r="AE74" i="50" s="1"/>
  <c r="AF74" i="50" s="1"/>
  <c r="AB163" i="50"/>
  <c r="AC163" i="50" s="1"/>
  <c r="AD163" i="50" s="1"/>
  <c r="AE163" i="50" s="1"/>
  <c r="AF163" i="50" s="1"/>
  <c r="AA183" i="50"/>
  <c r="AC80" i="51"/>
  <c r="AC139" i="50"/>
  <c r="AF80" i="51"/>
  <c r="AA37" i="50"/>
  <c r="AA62" i="50" s="1"/>
  <c r="AB168" i="50"/>
  <c r="AC168" i="50" s="1"/>
  <c r="AD168" i="50" s="1"/>
  <c r="AE168" i="50" s="1"/>
  <c r="AF168" i="50" s="1"/>
  <c r="AB169" i="50"/>
  <c r="AC169" i="50" s="1"/>
  <c r="AD169" i="50" s="1"/>
  <c r="AE169" i="50" s="1"/>
  <c r="AF169" i="50" s="1"/>
  <c r="AA99" i="51"/>
  <c r="AA50" i="50"/>
  <c r="AA75" i="50" s="1"/>
  <c r="AI166" i="50"/>
  <c r="AJ166" i="50" s="1"/>
  <c r="AK166" i="50" s="1"/>
  <c r="AL166" i="50" s="1"/>
  <c r="AM166" i="50" s="1"/>
  <c r="AJ61" i="51"/>
  <c r="AA64" i="50"/>
  <c r="AD80" i="51"/>
  <c r="AD139" i="50"/>
  <c r="AB61" i="51"/>
  <c r="AB36" i="50"/>
  <c r="AQ80" i="51"/>
  <c r="AR80" i="51"/>
  <c r="O80" i="51"/>
  <c r="AI152" i="50"/>
  <c r="AJ152" i="50" s="1"/>
  <c r="AC83" i="50"/>
  <c r="AD83" i="50" s="1"/>
  <c r="AE83" i="50" s="1"/>
  <c r="AF83" i="50" s="1"/>
  <c r="AB77" i="50"/>
  <c r="AC77" i="50" s="1"/>
  <c r="AD77" i="50" s="1"/>
  <c r="AE77" i="50" s="1"/>
  <c r="AF77" i="50" s="1"/>
  <c r="AB73" i="50"/>
  <c r="AC73" i="50" s="1"/>
  <c r="AD73" i="50" s="1"/>
  <c r="AE73" i="50" s="1"/>
  <c r="AF73" i="50" s="1"/>
  <c r="AB68" i="50"/>
  <c r="AC68" i="50" s="1"/>
  <c r="AD68" i="50" s="1"/>
  <c r="AE68" i="50" s="1"/>
  <c r="AF68" i="50" s="1"/>
  <c r="AD61" i="51"/>
  <c r="AD36" i="50"/>
  <c r="AH64" i="50"/>
  <c r="AK61" i="51"/>
  <c r="AA152" i="50"/>
  <c r="AE80" i="51"/>
  <c r="AC37" i="50"/>
  <c r="V99" i="51"/>
  <c r="AM80" i="51"/>
  <c r="H80" i="51"/>
  <c r="AI155" i="50"/>
  <c r="AJ155" i="50" s="1"/>
  <c r="AK155" i="50" s="1"/>
  <c r="AL155" i="50" s="1"/>
  <c r="U71" i="51"/>
  <c r="AL61" i="51"/>
  <c r="AL132" i="50"/>
  <c r="AB160" i="50"/>
  <c r="AB166" i="50"/>
  <c r="AC166" i="50" s="1"/>
  <c r="AD166" i="50" s="1"/>
  <c r="AE166" i="50" s="1"/>
  <c r="AF166" i="50" s="1"/>
  <c r="AA188" i="50"/>
  <c r="AB81" i="50"/>
  <c r="AC81" i="50" s="1"/>
  <c r="AD81" i="50" s="1"/>
  <c r="AE81" i="50" s="1"/>
  <c r="AF81" i="50" s="1"/>
  <c r="AB84" i="50"/>
  <c r="AC84" i="50" s="1"/>
  <c r="AD84" i="50" s="1"/>
  <c r="AE84" i="50" s="1"/>
  <c r="AF84" i="50" s="1"/>
  <c r="AI61" i="51"/>
  <c r="M99" i="51"/>
  <c r="AA80" i="51"/>
  <c r="AA139" i="50"/>
  <c r="AA159" i="50" s="1"/>
  <c r="AB80" i="51"/>
  <c r="AB139" i="50"/>
  <c r="AO71" i="51"/>
  <c r="R71" i="51"/>
  <c r="AD37" i="50"/>
  <c r="AA61" i="51"/>
  <c r="AA36" i="50"/>
  <c r="AH61" i="51"/>
  <c r="AM135" i="50"/>
  <c r="AC79" i="50"/>
  <c r="AD79" i="50" s="1"/>
  <c r="AE79" i="50" s="1"/>
  <c r="AF79" i="50" s="1"/>
  <c r="F274" i="50"/>
  <c r="T236" i="50"/>
  <c r="U237" i="50"/>
  <c r="F236" i="50"/>
  <c r="G277" i="50"/>
  <c r="AI271" i="50"/>
  <c r="F267" i="50"/>
  <c r="F264" i="50"/>
  <c r="F263" i="50"/>
  <c r="AB276" i="50"/>
  <c r="AI273" i="50"/>
  <c r="G247" i="50"/>
  <c r="G252" i="50"/>
  <c r="H252" i="50" s="1"/>
  <c r="I252" i="50" s="1"/>
  <c r="J252" i="50" s="1"/>
  <c r="K252" i="50" s="1"/>
  <c r="AA236" i="50"/>
  <c r="F269" i="50"/>
  <c r="AA259" i="50"/>
  <c r="U267" i="50"/>
  <c r="T276" i="50"/>
  <c r="F265" i="50"/>
  <c r="AB261" i="50"/>
  <c r="T259" i="50"/>
  <c r="AI261" i="50"/>
  <c r="F277" i="50"/>
  <c r="N260" i="50"/>
  <c r="G256" i="50"/>
  <c r="AB268" i="50"/>
  <c r="F273" i="50"/>
  <c r="AB192" i="50"/>
  <c r="C70" i="67" s="1"/>
  <c r="C125" i="67" s="1"/>
  <c r="F259" i="50"/>
  <c r="F192" i="50"/>
  <c r="G271" i="50"/>
  <c r="U275" i="50"/>
  <c r="M275" i="50"/>
  <c r="N262" i="50"/>
  <c r="U273" i="50"/>
  <c r="G275" i="50"/>
  <c r="F214" i="50"/>
  <c r="D30" i="7" s="1"/>
  <c r="F271" i="50"/>
  <c r="F260" i="50"/>
  <c r="AH99" i="51"/>
  <c r="I80" i="51"/>
  <c r="T61" i="51"/>
  <c r="AS83" i="51"/>
  <c r="AD99" i="51"/>
  <c r="X71" i="51"/>
  <c r="AM99" i="51"/>
  <c r="K99" i="51"/>
  <c r="P64" i="51"/>
  <c r="U80" i="51"/>
  <c r="AR61" i="51"/>
  <c r="R64" i="51"/>
  <c r="Q80" i="51"/>
  <c r="Q99" i="51"/>
  <c r="R99" i="51"/>
  <c r="AE61" i="51"/>
  <c r="W61" i="51"/>
  <c r="W99" i="51"/>
  <c r="AI80" i="51"/>
  <c r="J80" i="51"/>
  <c r="W71" i="51"/>
  <c r="AP83" i="51"/>
  <c r="AS80" i="51"/>
  <c r="R80" i="51"/>
  <c r="P80" i="51"/>
  <c r="AC61" i="51"/>
  <c r="AE99" i="51"/>
  <c r="AF99" i="51"/>
  <c r="AK99" i="51"/>
  <c r="AI99" i="51"/>
  <c r="H99" i="51"/>
  <c r="AR71" i="51"/>
  <c r="Q61" i="51"/>
  <c r="N99" i="51"/>
  <c r="P99" i="51"/>
  <c r="AO30" i="51"/>
  <c r="AP71" i="51"/>
  <c r="Q71" i="51"/>
  <c r="Y99" i="51"/>
  <c r="T99" i="51"/>
  <c r="AH80" i="51"/>
  <c r="AK80" i="51"/>
  <c r="F80" i="51"/>
  <c r="T71" i="51"/>
  <c r="U61" i="51"/>
  <c r="W80" i="51"/>
  <c r="AP61" i="51"/>
  <c r="AO83" i="51"/>
  <c r="AT83" i="51"/>
  <c r="M80" i="51"/>
  <c r="F99" i="51"/>
  <c r="AC99" i="51"/>
  <c r="AL99" i="51"/>
  <c r="AJ99" i="51"/>
  <c r="J99" i="51"/>
  <c r="F61" i="51"/>
  <c r="H61" i="51"/>
  <c r="AS61" i="51"/>
  <c r="O99" i="51"/>
  <c r="AS71" i="51"/>
  <c r="AT71" i="51"/>
  <c r="AF61" i="51"/>
  <c r="J61" i="51"/>
  <c r="U99" i="51"/>
  <c r="X99" i="51"/>
  <c r="AL80" i="51"/>
  <c r="AJ80" i="51"/>
  <c r="K80" i="51"/>
  <c r="Y71" i="51"/>
  <c r="Y61" i="51"/>
  <c r="N61" i="51"/>
  <c r="AR83" i="51"/>
  <c r="AQ83" i="51"/>
  <c r="AP80" i="51"/>
  <c r="AT80" i="51"/>
  <c r="N80" i="51"/>
  <c r="P155" i="62"/>
  <c r="P215" i="50" s="1"/>
  <c r="I95" i="62"/>
  <c r="H94" i="62"/>
  <c r="O101" i="62"/>
  <c r="N99" i="62"/>
  <c r="AF95" i="62"/>
  <c r="AL84" i="62"/>
  <c r="AK83" i="62"/>
  <c r="AC71" i="62"/>
  <c r="AD72" i="62"/>
  <c r="AJ64" i="62"/>
  <c r="AK65" i="62"/>
  <c r="AK37" i="50" s="1"/>
  <c r="AJ75" i="62"/>
  <c r="AI74" i="62"/>
  <c r="AI67" i="62" s="1"/>
  <c r="AC63" i="62"/>
  <c r="AC132" i="50" s="1"/>
  <c r="AB61" i="62"/>
  <c r="AC79" i="62"/>
  <c r="R100" i="62"/>
  <c r="AK62" i="62"/>
  <c r="AK36" i="50" s="1"/>
  <c r="AJ61" i="62"/>
  <c r="J75" i="62"/>
  <c r="I74" i="62"/>
  <c r="AD156" i="62"/>
  <c r="AD216" i="50" s="1"/>
  <c r="W80" i="62"/>
  <c r="X81" i="62"/>
  <c r="AK100" i="62"/>
  <c r="AK50" i="50" s="1"/>
  <c r="AJ99" i="62"/>
  <c r="N83" i="62"/>
  <c r="N79" i="62" s="1"/>
  <c r="O84" i="62"/>
  <c r="F79" i="62"/>
  <c r="W75" i="62"/>
  <c r="V74" i="62"/>
  <c r="AC66" i="62"/>
  <c r="AB64" i="62"/>
  <c r="I100" i="62"/>
  <c r="W84" i="62"/>
  <c r="V83" i="62"/>
  <c r="AJ83" i="62"/>
  <c r="AD80" i="62"/>
  <c r="AE81" i="62"/>
  <c r="AE139" i="50" s="1"/>
  <c r="AD75" i="62"/>
  <c r="AC74" i="62"/>
  <c r="J72" i="62"/>
  <c r="I71" i="62"/>
  <c r="O72" i="62"/>
  <c r="N71" i="62"/>
  <c r="AK72" i="62"/>
  <c r="AJ71" i="62"/>
  <c r="AJ81" i="62"/>
  <c r="AJ139" i="50" s="1"/>
  <c r="AI80" i="62"/>
  <c r="W65" i="62"/>
  <c r="V64" i="62"/>
  <c r="J84" i="62"/>
  <c r="I83" i="62"/>
  <c r="V156" i="62"/>
  <c r="V216" i="50" s="1"/>
  <c r="U154" i="62"/>
  <c r="AE84" i="62"/>
  <c r="AD83" i="62"/>
  <c r="V71" i="62"/>
  <c r="W72" i="62"/>
  <c r="V80" i="62"/>
  <c r="H61" i="62"/>
  <c r="I62" i="62"/>
  <c r="AB99" i="62"/>
  <c r="AC101" i="62"/>
  <c r="AC51" i="50" s="1"/>
  <c r="AK95" i="62"/>
  <c r="AJ94" i="62"/>
  <c r="V100" i="62"/>
  <c r="U99" i="62"/>
  <c r="AB94" i="62"/>
  <c r="AC96" i="62"/>
  <c r="AE100" i="62"/>
  <c r="AE50" i="50" s="1"/>
  <c r="V95" i="62"/>
  <c r="U94" i="62"/>
  <c r="N74" i="62"/>
  <c r="O75" i="62"/>
  <c r="AB154" i="62"/>
  <c r="AI83" i="62"/>
  <c r="H81" i="62"/>
  <c r="G80" i="62"/>
  <c r="G79" i="62" s="1"/>
  <c r="O64" i="62"/>
  <c r="P65" i="62"/>
  <c r="R95" i="62"/>
  <c r="R94" i="62" s="1"/>
  <c r="Q94" i="62"/>
  <c r="U79" i="62"/>
  <c r="P81" i="62"/>
  <c r="O80" i="62"/>
  <c r="AB67" i="62"/>
  <c r="AE65" i="62"/>
  <c r="AE37" i="50" s="1"/>
  <c r="O61" i="62"/>
  <c r="P62" i="62"/>
  <c r="I65" i="62"/>
  <c r="H64" i="62"/>
  <c r="V61" i="62"/>
  <c r="W62" i="62"/>
  <c r="AE62" i="62"/>
  <c r="AE36" i="50" s="1"/>
  <c r="W50" i="53"/>
  <c r="BA50" i="53" s="1"/>
  <c r="S50" i="53"/>
  <c r="T49" i="53"/>
  <c r="AX49" i="53" s="1"/>
  <c r="U49" i="53"/>
  <c r="AY49" i="53" s="1"/>
  <c r="V49" i="53"/>
  <c r="AZ49" i="53" s="1"/>
  <c r="W49" i="53"/>
  <c r="BA49" i="53" s="1"/>
  <c r="S49" i="53"/>
  <c r="AU21" i="73"/>
  <c r="AJ65" i="73"/>
  <c r="AJ61" i="73"/>
  <c r="AJ48" i="73"/>
  <c r="AJ24" i="73"/>
  <c r="AJ21" i="73"/>
  <c r="Y65" i="73"/>
  <c r="Y61" i="73"/>
  <c r="Y48" i="73"/>
  <c r="Y21" i="73"/>
  <c r="N65" i="73"/>
  <c r="N61" i="73"/>
  <c r="N48" i="73"/>
  <c r="N24" i="73"/>
  <c r="N21" i="73"/>
  <c r="C65" i="73"/>
  <c r="C61" i="73"/>
  <c r="C48" i="73"/>
  <c r="C21" i="73"/>
  <c r="C24" i="73"/>
  <c r="AC160" i="50" l="1"/>
  <c r="AC238" i="50"/>
  <c r="AD160" i="50"/>
  <c r="AE160" i="50" s="1"/>
  <c r="AF160" i="50" s="1"/>
  <c r="AG11" i="51"/>
  <c r="AJ257" i="50"/>
  <c r="S11" i="51"/>
  <c r="AL30" i="7"/>
  <c r="AI77" i="50"/>
  <c r="AL26" i="7"/>
  <c r="B113" i="67"/>
  <c r="B104" i="67"/>
  <c r="O246" i="50"/>
  <c r="O268" i="50" s="1"/>
  <c r="AU58" i="73"/>
  <c r="T104" i="67"/>
  <c r="AJ58" i="73"/>
  <c r="T83" i="67"/>
  <c r="Y50" i="73"/>
  <c r="AW50" i="53"/>
  <c r="S283" i="50"/>
  <c r="S285" i="50" s="1"/>
  <c r="B45" i="67"/>
  <c r="Z283" i="50"/>
  <c r="Z285" i="50" s="1"/>
  <c r="B63" i="67"/>
  <c r="Y49" i="73"/>
  <c r="AW49" i="53"/>
  <c r="V79" i="62"/>
  <c r="AC248" i="50"/>
  <c r="W251" i="50"/>
  <c r="AG283" i="50"/>
  <c r="AG285" i="50" s="1"/>
  <c r="B87" i="67"/>
  <c r="L283" i="50"/>
  <c r="B27" i="67"/>
  <c r="B102" i="67"/>
  <c r="AU56" i="73"/>
  <c r="T102" i="67"/>
  <c r="B103" i="67"/>
  <c r="G273" i="50"/>
  <c r="G260" i="50"/>
  <c r="L285" i="50"/>
  <c r="E283" i="50"/>
  <c r="E285" i="50" s="1"/>
  <c r="AC242" i="50"/>
  <c r="AC264" i="50" s="1"/>
  <c r="H245" i="50"/>
  <c r="H267" i="50" s="1"/>
  <c r="AM30" i="7"/>
  <c r="V67" i="62"/>
  <c r="N67" i="62"/>
  <c r="AC154" i="62"/>
  <c r="Z49" i="73"/>
  <c r="AA49" i="73"/>
  <c r="AF49" i="73"/>
  <c r="AG49" i="73"/>
  <c r="AD49" i="73"/>
  <c r="AE49" i="73"/>
  <c r="AF50" i="73"/>
  <c r="AG50" i="73"/>
  <c r="AB49" i="73"/>
  <c r="AC49" i="73"/>
  <c r="G48" i="73"/>
  <c r="F48" i="73"/>
  <c r="K61" i="73"/>
  <c r="J61" i="73"/>
  <c r="G65" i="73"/>
  <c r="F65" i="73"/>
  <c r="U21" i="73"/>
  <c r="V21" i="73"/>
  <c r="R24" i="73"/>
  <c r="Q24" i="73"/>
  <c r="V48" i="73"/>
  <c r="U48" i="73"/>
  <c r="K48" i="73"/>
  <c r="J48" i="73"/>
  <c r="G61" i="73"/>
  <c r="F61" i="73"/>
  <c r="K65" i="73"/>
  <c r="J65" i="73"/>
  <c r="Q21" i="73"/>
  <c r="R21" i="73"/>
  <c r="V24" i="73"/>
  <c r="U24" i="73"/>
  <c r="R48" i="73"/>
  <c r="Q48" i="73"/>
  <c r="U61" i="73"/>
  <c r="V61" i="73"/>
  <c r="Q65" i="73"/>
  <c r="R65" i="73"/>
  <c r="AF21" i="73"/>
  <c r="AG21" i="73"/>
  <c r="AC48" i="73"/>
  <c r="AB48" i="73"/>
  <c r="AF61" i="73"/>
  <c r="AG61" i="73"/>
  <c r="AB65" i="73"/>
  <c r="AC65" i="73"/>
  <c r="AR21" i="73"/>
  <c r="AQ21" i="73"/>
  <c r="AN24" i="73"/>
  <c r="AM24" i="73"/>
  <c r="AR48" i="73"/>
  <c r="AQ48" i="73"/>
  <c r="AN61" i="73"/>
  <c r="AM61" i="73"/>
  <c r="AR65" i="73"/>
  <c r="AQ65" i="73"/>
  <c r="AX21" i="73"/>
  <c r="AY21" i="73"/>
  <c r="I48" i="73"/>
  <c r="H48" i="73"/>
  <c r="M61" i="73"/>
  <c r="L61" i="73"/>
  <c r="E61" i="73"/>
  <c r="D61" i="73"/>
  <c r="I65" i="73"/>
  <c r="H65" i="73"/>
  <c r="W21" i="73"/>
  <c r="X21" i="73"/>
  <c r="O21" i="73"/>
  <c r="P21" i="73"/>
  <c r="T24" i="73"/>
  <c r="S24" i="73"/>
  <c r="X48" i="73"/>
  <c r="W48" i="73"/>
  <c r="P48" i="73"/>
  <c r="O48" i="73"/>
  <c r="S61" i="73"/>
  <c r="T61" i="73"/>
  <c r="X65" i="73"/>
  <c r="W65" i="73"/>
  <c r="O65" i="73"/>
  <c r="P65" i="73"/>
  <c r="AE21" i="73"/>
  <c r="AD21" i="73"/>
  <c r="AH48" i="73"/>
  <c r="AI48" i="73"/>
  <c r="Z48" i="73"/>
  <c r="AA48" i="73"/>
  <c r="AE61" i="73"/>
  <c r="AD61" i="73"/>
  <c r="AI65" i="73"/>
  <c r="AH65" i="73"/>
  <c r="AA65" i="73"/>
  <c r="Z65" i="73"/>
  <c r="AP21" i="73"/>
  <c r="AO21" i="73"/>
  <c r="AS24" i="73"/>
  <c r="AT24" i="73"/>
  <c r="AK24" i="73"/>
  <c r="AL24" i="73"/>
  <c r="AO48" i="73"/>
  <c r="AP48" i="73"/>
  <c r="AS61" i="73"/>
  <c r="AT61" i="73"/>
  <c r="AK61" i="73"/>
  <c r="AL61" i="73"/>
  <c r="AO65" i="73"/>
  <c r="AP65" i="73"/>
  <c r="BE21" i="73"/>
  <c r="BD21" i="73"/>
  <c r="AW21" i="73"/>
  <c r="AV21" i="73"/>
  <c r="Q61" i="73"/>
  <c r="R61" i="73"/>
  <c r="U65" i="73"/>
  <c r="V65" i="73"/>
  <c r="AB21" i="73"/>
  <c r="AC21" i="73"/>
  <c r="AG48" i="73"/>
  <c r="AF48" i="73"/>
  <c r="AB61" i="73"/>
  <c r="AC61" i="73"/>
  <c r="AG65" i="73"/>
  <c r="AF65" i="73"/>
  <c r="AM21" i="73"/>
  <c r="AN21" i="73"/>
  <c r="AR24" i="73"/>
  <c r="AQ24" i="73"/>
  <c r="AN48" i="73"/>
  <c r="AM48" i="73"/>
  <c r="AR61" i="73"/>
  <c r="AQ61" i="73"/>
  <c r="AN65" i="73"/>
  <c r="AM65" i="73"/>
  <c r="BB21" i="73"/>
  <c r="BC21" i="73"/>
  <c r="M48" i="73"/>
  <c r="L48" i="73"/>
  <c r="E48" i="73"/>
  <c r="D48" i="73"/>
  <c r="I61" i="73"/>
  <c r="H61" i="73"/>
  <c r="M65" i="73"/>
  <c r="L65" i="73"/>
  <c r="E65" i="73"/>
  <c r="D65" i="73"/>
  <c r="S21" i="73"/>
  <c r="T21" i="73"/>
  <c r="X24" i="73"/>
  <c r="W24" i="73"/>
  <c r="P24" i="73"/>
  <c r="O24" i="73"/>
  <c r="S48" i="73"/>
  <c r="T48" i="73"/>
  <c r="W61" i="73"/>
  <c r="X61" i="73"/>
  <c r="O61" i="73"/>
  <c r="P61" i="73"/>
  <c r="S65" i="73"/>
  <c r="T65" i="73"/>
  <c r="AI21" i="73"/>
  <c r="AH21" i="73"/>
  <c r="AA21" i="73"/>
  <c r="Z21" i="73"/>
  <c r="AD48" i="73"/>
  <c r="AE48" i="73"/>
  <c r="AI61" i="73"/>
  <c r="AH61" i="73"/>
  <c r="AA61" i="73"/>
  <c r="Z61" i="73"/>
  <c r="AE65" i="73"/>
  <c r="AD65" i="73"/>
  <c r="AT21" i="73"/>
  <c r="AS21" i="73"/>
  <c r="AL21" i="73"/>
  <c r="AK21" i="73"/>
  <c r="AP24" i="73"/>
  <c r="AO24" i="73"/>
  <c r="AT48" i="73"/>
  <c r="AS48" i="73"/>
  <c r="AL48" i="73"/>
  <c r="AK48" i="73"/>
  <c r="AP61" i="73"/>
  <c r="AO61" i="73"/>
  <c r="AT65" i="73"/>
  <c r="AS65" i="73"/>
  <c r="AL65" i="73"/>
  <c r="AK65" i="73"/>
  <c r="BA21" i="73"/>
  <c r="AZ21" i="73"/>
  <c r="AJ77" i="50"/>
  <c r="AK77" i="50" s="1"/>
  <c r="AL77" i="50" s="1"/>
  <c r="AM77" i="50" s="1"/>
  <c r="V215" i="50"/>
  <c r="V237" i="50" s="1"/>
  <c r="W155" i="62"/>
  <c r="U60" i="62"/>
  <c r="H215" i="50"/>
  <c r="H237" i="50" s="1"/>
  <c r="I155" i="62"/>
  <c r="AK163" i="62"/>
  <c r="AJ223" i="50"/>
  <c r="AJ245" i="50" s="1"/>
  <c r="AJ231" i="50"/>
  <c r="AJ253" i="50" s="1"/>
  <c r="AK171" i="62"/>
  <c r="AA258" i="50"/>
  <c r="I157" i="62"/>
  <c r="H217" i="50"/>
  <c r="H239" i="50" s="1"/>
  <c r="P162" i="62"/>
  <c r="O222" i="50"/>
  <c r="O244" i="50" s="1"/>
  <c r="O266" i="50" s="1"/>
  <c r="AD170" i="62"/>
  <c r="AC230" i="50"/>
  <c r="AC252" i="50" s="1"/>
  <c r="AC218" i="50"/>
  <c r="AC240" i="50" s="1"/>
  <c r="AC262" i="50" s="1"/>
  <c r="AD158" i="62"/>
  <c r="P166" i="62"/>
  <c r="O226" i="50"/>
  <c r="O248" i="50" s="1"/>
  <c r="O270" i="50" s="1"/>
  <c r="H235" i="50"/>
  <c r="H257" i="50" s="1"/>
  <c r="H279" i="50" s="1"/>
  <c r="I175" i="62"/>
  <c r="AK173" i="62"/>
  <c r="AJ233" i="50"/>
  <c r="AJ255" i="50" s="1"/>
  <c r="AK157" i="62"/>
  <c r="AK217" i="50" s="1"/>
  <c r="AK239" i="50" s="1"/>
  <c r="AC67" i="62"/>
  <c r="G261" i="50"/>
  <c r="AH258" i="50"/>
  <c r="N266" i="50"/>
  <c r="F24" i="73"/>
  <c r="G24" i="73"/>
  <c r="BG21" i="53"/>
  <c r="BA21" i="53"/>
  <c r="J21" i="73"/>
  <c r="K21" i="73"/>
  <c r="M24" i="73"/>
  <c r="L24" i="73"/>
  <c r="BF21" i="53"/>
  <c r="AZ21" i="53"/>
  <c r="I21" i="73"/>
  <c r="H21" i="73"/>
  <c r="J24" i="73"/>
  <c r="K24" i="73"/>
  <c r="BC21" i="53"/>
  <c r="AW21" i="53"/>
  <c r="BE21" i="53"/>
  <c r="AY21" i="53"/>
  <c r="F21" i="73"/>
  <c r="G21" i="73"/>
  <c r="I24" i="73"/>
  <c r="H24" i="73"/>
  <c r="BH21" i="53"/>
  <c r="BB21" i="53"/>
  <c r="M21" i="73"/>
  <c r="L21" i="73"/>
  <c r="BD21" i="53"/>
  <c r="AX21" i="53"/>
  <c r="J65" i="53"/>
  <c r="I65" i="53"/>
  <c r="R48" i="53"/>
  <c r="Q48" i="53"/>
  <c r="Y48" i="53"/>
  <c r="Z48" i="53"/>
  <c r="AH24" i="53"/>
  <c r="AG24" i="53"/>
  <c r="AO21" i="53"/>
  <c r="AP21" i="53"/>
  <c r="J24" i="53"/>
  <c r="I24" i="53"/>
  <c r="E24" i="73"/>
  <c r="D24" i="73"/>
  <c r="J48" i="53"/>
  <c r="I48" i="53"/>
  <c r="R24" i="53"/>
  <c r="Q24" i="53"/>
  <c r="Z21" i="53"/>
  <c r="Y21" i="53"/>
  <c r="AH21" i="53"/>
  <c r="AG21" i="53"/>
  <c r="AH65" i="53"/>
  <c r="AG65" i="53"/>
  <c r="E21" i="73"/>
  <c r="D21" i="73"/>
  <c r="R21" i="53"/>
  <c r="Q21" i="53"/>
  <c r="R65" i="53"/>
  <c r="Q65" i="53"/>
  <c r="Z65" i="53"/>
  <c r="Y65" i="53"/>
  <c r="AH61" i="53"/>
  <c r="AG61" i="53"/>
  <c r="J21" i="53"/>
  <c r="I21" i="53"/>
  <c r="J61" i="53"/>
  <c r="I61" i="53"/>
  <c r="R61" i="53"/>
  <c r="Q61" i="53"/>
  <c r="Z61" i="53"/>
  <c r="Y61" i="53"/>
  <c r="AH48" i="53"/>
  <c r="AG48" i="53"/>
  <c r="AO79" i="51"/>
  <c r="AQ79" i="51"/>
  <c r="AR79" i="51"/>
  <c r="AJ62" i="50"/>
  <c r="AK62" i="50" s="1"/>
  <c r="AB189" i="50"/>
  <c r="AC189" i="50"/>
  <c r="AJ75" i="50"/>
  <c r="AK75" i="50" s="1"/>
  <c r="AB180" i="50"/>
  <c r="AJ163" i="50"/>
  <c r="AK163" i="50" s="1"/>
  <c r="AL163" i="50" s="1"/>
  <c r="AM163" i="50" s="1"/>
  <c r="AT79" i="51"/>
  <c r="N263" i="50"/>
  <c r="H275" i="50"/>
  <c r="U266" i="50"/>
  <c r="AB269" i="50"/>
  <c r="AC266" i="50"/>
  <c r="AC268" i="50"/>
  <c r="N261" i="50"/>
  <c r="N273" i="50"/>
  <c r="U272" i="50"/>
  <c r="N279" i="50"/>
  <c r="AJ159" i="50"/>
  <c r="G270" i="50"/>
  <c r="AB275" i="50"/>
  <c r="U262" i="50"/>
  <c r="AJ263" i="50"/>
  <c r="U269" i="50"/>
  <c r="U264" i="50"/>
  <c r="N269" i="50"/>
  <c r="AI270" i="50"/>
  <c r="N265" i="50"/>
  <c r="AI266" i="50"/>
  <c r="U270" i="50"/>
  <c r="AE160" i="62"/>
  <c r="AD220" i="50"/>
  <c r="M259" i="50"/>
  <c r="M258" i="50" s="1"/>
  <c r="N237" i="50"/>
  <c r="AI269" i="50"/>
  <c r="Q156" i="62"/>
  <c r="P216" i="50"/>
  <c r="P238" i="50" s="1"/>
  <c r="AK170" i="62"/>
  <c r="AJ230" i="50"/>
  <c r="AJ252" i="50" s="1"/>
  <c r="V218" i="50"/>
  <c r="V240" i="50" s="1"/>
  <c r="W158" i="62"/>
  <c r="AI265" i="50"/>
  <c r="AD167" i="62"/>
  <c r="AC227" i="50"/>
  <c r="AC249" i="50" s="1"/>
  <c r="AK155" i="62"/>
  <c r="AJ215" i="50"/>
  <c r="AK162" i="62"/>
  <c r="AJ222" i="50"/>
  <c r="AJ244" i="50" s="1"/>
  <c r="AI276" i="50"/>
  <c r="H232" i="50"/>
  <c r="H254" i="50" s="1"/>
  <c r="H276" i="50" s="1"/>
  <c r="I172" i="62"/>
  <c r="AJ216" i="50"/>
  <c r="AJ238" i="50" s="1"/>
  <c r="AK156" i="62"/>
  <c r="AC221" i="50"/>
  <c r="AC243" i="50" s="1"/>
  <c r="AD161" i="62"/>
  <c r="AI272" i="50"/>
  <c r="W174" i="62"/>
  <c r="V234" i="50"/>
  <c r="V256" i="50" s="1"/>
  <c r="V278" i="50" s="1"/>
  <c r="U214" i="50"/>
  <c r="AC278" i="50"/>
  <c r="AB265" i="50"/>
  <c r="P168" i="62"/>
  <c r="O228" i="50"/>
  <c r="O250" i="50" s="1"/>
  <c r="AC274" i="50"/>
  <c r="O221" i="50"/>
  <c r="O243" i="50" s="1"/>
  <c r="P161" i="62"/>
  <c r="AD175" i="62"/>
  <c r="AC235" i="50"/>
  <c r="AC257" i="50" s="1"/>
  <c r="H222" i="50"/>
  <c r="H244" i="50" s="1"/>
  <c r="I162" i="62"/>
  <c r="W166" i="62"/>
  <c r="V226" i="50"/>
  <c r="V248" i="50" s="1"/>
  <c r="W162" i="62"/>
  <c r="V222" i="50"/>
  <c r="V244" i="50" s="1"/>
  <c r="AJ228" i="50"/>
  <c r="AJ250" i="50" s="1"/>
  <c r="AK168" i="62"/>
  <c r="AB279" i="50"/>
  <c r="G266" i="50"/>
  <c r="AE166" i="62"/>
  <c r="AD226" i="50"/>
  <c r="Y169" i="62"/>
  <c r="Y229" i="50" s="1"/>
  <c r="X229" i="50"/>
  <c r="W173" i="62"/>
  <c r="V233" i="50"/>
  <c r="V255" i="50" s="1"/>
  <c r="V277" i="50" s="1"/>
  <c r="AE164" i="62"/>
  <c r="AD224" i="50"/>
  <c r="AD246" i="50" s="1"/>
  <c r="AJ154" i="62"/>
  <c r="AD79" i="62"/>
  <c r="O154" i="62"/>
  <c r="AB273" i="50"/>
  <c r="AB277" i="50"/>
  <c r="N274" i="50"/>
  <c r="N276" i="50"/>
  <c r="AJ279" i="50"/>
  <c r="AB267" i="50"/>
  <c r="I168" i="62"/>
  <c r="H228" i="50"/>
  <c r="H250" i="50" s="1"/>
  <c r="N214" i="50"/>
  <c r="V224" i="50"/>
  <c r="V246" i="50" s="1"/>
  <c r="V268" i="50" s="1"/>
  <c r="W164" i="62"/>
  <c r="AK166" i="62"/>
  <c r="AJ226" i="50"/>
  <c r="AJ248" i="50" s="1"/>
  <c r="AI260" i="50"/>
  <c r="O229" i="50"/>
  <c r="O251" i="50" s="1"/>
  <c r="P169" i="62"/>
  <c r="AC223" i="50"/>
  <c r="AC245" i="50" s="1"/>
  <c r="AD163" i="62"/>
  <c r="W167" i="62"/>
  <c r="V227" i="50"/>
  <c r="V249" i="50" s="1"/>
  <c r="V230" i="50"/>
  <c r="V252" i="50" s="1"/>
  <c r="W170" i="62"/>
  <c r="AD242" i="50"/>
  <c r="U263" i="50"/>
  <c r="W172" i="62"/>
  <c r="V232" i="50"/>
  <c r="V254" i="50" s="1"/>
  <c r="Q174" i="62"/>
  <c r="P234" i="50"/>
  <c r="P256" i="50" s="1"/>
  <c r="AI214" i="50"/>
  <c r="AI237" i="50"/>
  <c r="Q164" i="62"/>
  <c r="P224" i="50"/>
  <c r="J171" i="62"/>
  <c r="I231" i="50"/>
  <c r="I253" i="50" s="1"/>
  <c r="AB214" i="50"/>
  <c r="AK164" i="62"/>
  <c r="AJ224" i="50"/>
  <c r="AJ246" i="50" s="1"/>
  <c r="V220" i="50"/>
  <c r="V242" i="50" s="1"/>
  <c r="W160" i="62"/>
  <c r="P165" i="62"/>
  <c r="O225" i="50"/>
  <c r="O247" i="50" s="1"/>
  <c r="AL175" i="62"/>
  <c r="AK235" i="50"/>
  <c r="G214" i="50"/>
  <c r="V238" i="50"/>
  <c r="V260" i="50" s="1"/>
  <c r="J163" i="62"/>
  <c r="I223" i="50"/>
  <c r="AE174" i="62"/>
  <c r="AD234" i="50"/>
  <c r="AD256" i="50" s="1"/>
  <c r="AI79" i="62"/>
  <c r="AI60" i="62" s="1"/>
  <c r="M236" i="50"/>
  <c r="AC76" i="50"/>
  <c r="AK165" i="62"/>
  <c r="AJ225" i="50"/>
  <c r="AJ247" i="50" s="1"/>
  <c r="I164" i="62"/>
  <c r="H224" i="50"/>
  <c r="H246" i="50" s="1"/>
  <c r="H226" i="50"/>
  <c r="H248" i="50" s="1"/>
  <c r="I166" i="62"/>
  <c r="AD238" i="50"/>
  <c r="V279" i="50"/>
  <c r="X171" i="62"/>
  <c r="W231" i="50"/>
  <c r="W253" i="50" s="1"/>
  <c r="X163" i="62"/>
  <c r="W223" i="50"/>
  <c r="W245" i="50" s="1"/>
  <c r="O235" i="50"/>
  <c r="O257" i="50" s="1"/>
  <c r="P175" i="62"/>
  <c r="Q158" i="62"/>
  <c r="P218" i="50"/>
  <c r="P240" i="50" s="1"/>
  <c r="AE172" i="62"/>
  <c r="AD232" i="50"/>
  <c r="AD254" i="50" s="1"/>
  <c r="P159" i="62"/>
  <c r="O219" i="50"/>
  <c r="O241" i="50" s="1"/>
  <c r="W159" i="62"/>
  <c r="V219" i="50"/>
  <c r="V241" i="50" s="1"/>
  <c r="P160" i="62"/>
  <c r="O220" i="50"/>
  <c r="O242" i="50" s="1"/>
  <c r="AC215" i="50"/>
  <c r="AC237" i="50" s="1"/>
  <c r="AD155" i="62"/>
  <c r="AD168" i="62"/>
  <c r="AC228" i="50"/>
  <c r="AC250" i="50" s="1"/>
  <c r="W165" i="62"/>
  <c r="V225" i="50"/>
  <c r="V247" i="50" s="1"/>
  <c r="AL169" i="62"/>
  <c r="AK229" i="50"/>
  <c r="AK251" i="50" s="1"/>
  <c r="AC225" i="50"/>
  <c r="AC247" i="50" s="1"/>
  <c r="AD165" i="62"/>
  <c r="AL167" i="62"/>
  <c r="AK227" i="50"/>
  <c r="AK249" i="50" s="1"/>
  <c r="P173" i="62"/>
  <c r="O233" i="50"/>
  <c r="O255" i="50" s="1"/>
  <c r="O277" i="50" s="1"/>
  <c r="AI262" i="50"/>
  <c r="O227" i="50"/>
  <c r="O249" i="50" s="1"/>
  <c r="P167" i="62"/>
  <c r="X175" i="62"/>
  <c r="W235" i="50"/>
  <c r="W257" i="50" s="1"/>
  <c r="AK174" i="62"/>
  <c r="AJ234" i="50"/>
  <c r="AJ256" i="50" s="1"/>
  <c r="AJ278" i="50" s="1"/>
  <c r="AD159" i="62"/>
  <c r="AC219" i="50"/>
  <c r="AC241" i="50" s="1"/>
  <c r="H218" i="50"/>
  <c r="I158" i="62"/>
  <c r="H154" i="62"/>
  <c r="AK160" i="62"/>
  <c r="AJ220" i="50"/>
  <c r="AJ242" i="50" s="1"/>
  <c r="N60" i="62"/>
  <c r="AB183" i="50"/>
  <c r="U261" i="50"/>
  <c r="O278" i="50"/>
  <c r="O217" i="50"/>
  <c r="O239" i="50" s="1"/>
  <c r="P157" i="62"/>
  <c r="AB263" i="50"/>
  <c r="W168" i="62"/>
  <c r="V228" i="50"/>
  <c r="V250" i="50" s="1"/>
  <c r="AC233" i="50"/>
  <c r="AC255" i="50" s="1"/>
  <c r="AD173" i="62"/>
  <c r="W157" i="62"/>
  <c r="V217" i="50"/>
  <c r="V239" i="50" s="1"/>
  <c r="O223" i="50"/>
  <c r="O245" i="50" s="1"/>
  <c r="P163" i="62"/>
  <c r="P172" i="62"/>
  <c r="O232" i="50"/>
  <c r="O254" i="50" s="1"/>
  <c r="P170" i="62"/>
  <c r="O230" i="50"/>
  <c r="O252" i="50" s="1"/>
  <c r="AD171" i="62"/>
  <c r="AC231" i="50"/>
  <c r="AC253" i="50" s="1"/>
  <c r="AK161" i="62"/>
  <c r="AJ221" i="50"/>
  <c r="AJ243" i="50" s="1"/>
  <c r="AL159" i="62"/>
  <c r="AK219" i="50"/>
  <c r="AK241" i="50" s="1"/>
  <c r="AK172" i="62"/>
  <c r="AJ232" i="50"/>
  <c r="AJ254" i="50" s="1"/>
  <c r="U265" i="50"/>
  <c r="AD169" i="62"/>
  <c r="AC229" i="50"/>
  <c r="AC251" i="50" s="1"/>
  <c r="AJ218" i="50"/>
  <c r="AJ240" i="50" s="1"/>
  <c r="AK158" i="62"/>
  <c r="AE162" i="62"/>
  <c r="AD222" i="50"/>
  <c r="AD244" i="50" s="1"/>
  <c r="W161" i="62"/>
  <c r="V221" i="50"/>
  <c r="V243" i="50" s="1"/>
  <c r="AD157" i="62"/>
  <c r="AC217" i="50"/>
  <c r="AC239" i="50" s="1"/>
  <c r="AB188" i="50"/>
  <c r="AH61" i="50"/>
  <c r="AM155" i="50"/>
  <c r="AJ74" i="50"/>
  <c r="AB64" i="50"/>
  <c r="AB186" i="50"/>
  <c r="AJ76" i="50"/>
  <c r="AA61" i="50"/>
  <c r="AA172" i="50"/>
  <c r="AB152" i="50"/>
  <c r="AC155" i="50"/>
  <c r="AB175" i="50"/>
  <c r="AI64" i="50"/>
  <c r="AC270" i="50"/>
  <c r="AB159" i="50"/>
  <c r="AA179" i="50"/>
  <c r="AP79" i="51"/>
  <c r="AS79" i="51"/>
  <c r="T258" i="50"/>
  <c r="AJ84" i="50"/>
  <c r="AB75" i="50"/>
  <c r="AB62" i="50"/>
  <c r="AC188" i="50"/>
  <c r="F258" i="50"/>
  <c r="AC260" i="50"/>
  <c r="AC192" i="50"/>
  <c r="D70" i="67" s="1"/>
  <c r="D125" i="67" s="1"/>
  <c r="AJ261" i="50"/>
  <c r="V267" i="50"/>
  <c r="AB236" i="50"/>
  <c r="C72" i="67" s="1"/>
  <c r="AB259" i="50"/>
  <c r="H247" i="50"/>
  <c r="G269" i="50"/>
  <c r="G263" i="50"/>
  <c r="G236" i="50"/>
  <c r="C18" i="67" s="1"/>
  <c r="G274" i="50"/>
  <c r="AC186" i="50"/>
  <c r="AJ273" i="50"/>
  <c r="AK152" i="50"/>
  <c r="AJ271" i="50"/>
  <c r="U236" i="50"/>
  <c r="C54" i="67" s="1"/>
  <c r="U259" i="50"/>
  <c r="V273" i="50"/>
  <c r="O262" i="50"/>
  <c r="N275" i="50"/>
  <c r="AC180" i="50"/>
  <c r="H260" i="50"/>
  <c r="H256" i="50"/>
  <c r="G278" i="50"/>
  <c r="AJ192" i="50"/>
  <c r="D94" i="67" s="1"/>
  <c r="D127" i="67" s="1"/>
  <c r="U276" i="50"/>
  <c r="AD189" i="50"/>
  <c r="U192" i="50"/>
  <c r="C52" i="67" s="1"/>
  <c r="C123" i="67" s="1"/>
  <c r="G264" i="50"/>
  <c r="N192" i="50"/>
  <c r="C34" i="67" s="1"/>
  <c r="C121" i="67" s="1"/>
  <c r="AC183" i="50"/>
  <c r="V275" i="50"/>
  <c r="V192" i="50"/>
  <c r="D52" i="67" s="1"/>
  <c r="D123" i="67" s="1"/>
  <c r="H271" i="50"/>
  <c r="G259" i="50"/>
  <c r="G192" i="50"/>
  <c r="C16" i="67" s="1"/>
  <c r="O260" i="50"/>
  <c r="O192" i="50"/>
  <c r="D34" i="67" s="1"/>
  <c r="D121" i="67" s="1"/>
  <c r="G265" i="50"/>
  <c r="H273" i="50"/>
  <c r="AC276" i="50"/>
  <c r="H277" i="50"/>
  <c r="Q62" i="62"/>
  <c r="P61" i="62"/>
  <c r="W95" i="62"/>
  <c r="V94" i="62"/>
  <c r="AF84" i="62"/>
  <c r="AF83" i="62" s="1"/>
  <c r="AE83" i="62"/>
  <c r="K84" i="62"/>
  <c r="K83" i="62" s="1"/>
  <c r="J83" i="62"/>
  <c r="AF81" i="62"/>
  <c r="AE80" i="62"/>
  <c r="AE79" i="62" s="1"/>
  <c r="AK99" i="62"/>
  <c r="AL100" i="62"/>
  <c r="AL50" i="50" s="1"/>
  <c r="P75" i="62"/>
  <c r="O74" i="62"/>
  <c r="J62" i="62"/>
  <c r="I61" i="62"/>
  <c r="X72" i="62"/>
  <c r="W71" i="62"/>
  <c r="AK81" i="62"/>
  <c r="AK139" i="50" s="1"/>
  <c r="AJ80" i="62"/>
  <c r="AJ79" i="62" s="1"/>
  <c r="K72" i="62"/>
  <c r="K71" i="62" s="1"/>
  <c r="J71" i="62"/>
  <c r="P84" i="62"/>
  <c r="O83" i="62"/>
  <c r="O79" i="62" s="1"/>
  <c r="J95" i="62"/>
  <c r="I94" i="62"/>
  <c r="AF62" i="62"/>
  <c r="AF36" i="50" s="1"/>
  <c r="P80" i="62"/>
  <c r="Q81" i="62"/>
  <c r="Q65" i="62"/>
  <c r="P64" i="62"/>
  <c r="H80" i="62"/>
  <c r="H79" i="62" s="1"/>
  <c r="I81" i="62"/>
  <c r="AF100" i="62"/>
  <c r="AF50" i="50" s="1"/>
  <c r="W100" i="62"/>
  <c r="V99" i="62"/>
  <c r="W156" i="62"/>
  <c r="W216" i="50" s="1"/>
  <c r="V154" i="62"/>
  <c r="W64" i="62"/>
  <c r="X65" i="62"/>
  <c r="J100" i="62"/>
  <c r="AL62" i="62"/>
  <c r="AL36" i="50" s="1"/>
  <c r="AK61" i="62"/>
  <c r="AB60" i="62"/>
  <c r="AL65" i="62"/>
  <c r="AL37" i="50" s="1"/>
  <c r="AK64" i="62"/>
  <c r="Q155" i="62"/>
  <c r="Q215" i="50" s="1"/>
  <c r="AL95" i="62"/>
  <c r="AK94" i="62"/>
  <c r="W83" i="62"/>
  <c r="W79" i="62" s="1"/>
  <c r="X84" i="62"/>
  <c r="AE156" i="62"/>
  <c r="AE216" i="50" s="1"/>
  <c r="K75" i="62"/>
  <c r="K74" i="62" s="1"/>
  <c r="J74" i="62"/>
  <c r="AD71" i="62"/>
  <c r="AE72" i="62"/>
  <c r="AD101" i="62"/>
  <c r="AD51" i="50" s="1"/>
  <c r="AC99" i="62"/>
  <c r="O71" i="62"/>
  <c r="P72" i="62"/>
  <c r="AD66" i="62"/>
  <c r="AC64" i="62"/>
  <c r="Y81" i="62"/>
  <c r="Y80" i="62" s="1"/>
  <c r="X80" i="62"/>
  <c r="AK75" i="62"/>
  <c r="AJ74" i="62"/>
  <c r="AJ67" i="62" s="1"/>
  <c r="W61" i="62"/>
  <c r="X62" i="62"/>
  <c r="J65" i="62"/>
  <c r="I64" i="62"/>
  <c r="AF65" i="62"/>
  <c r="AF37" i="50" s="1"/>
  <c r="AD96" i="62"/>
  <c r="AC94" i="62"/>
  <c r="AL72" i="62"/>
  <c r="AK71" i="62"/>
  <c r="AD74" i="62"/>
  <c r="AE75" i="62"/>
  <c r="X75" i="62"/>
  <c r="W74" i="62"/>
  <c r="AD63" i="62"/>
  <c r="AD132" i="50" s="1"/>
  <c r="AC61" i="62"/>
  <c r="AM84" i="62"/>
  <c r="AL83" i="62"/>
  <c r="P101" i="62"/>
  <c r="O99" i="62"/>
  <c r="N59" i="39"/>
  <c r="T59" i="39" s="1"/>
  <c r="M59" i="39"/>
  <c r="S59" i="39" s="1"/>
  <c r="L59" i="39"/>
  <c r="R59" i="39" s="1"/>
  <c r="K59" i="39"/>
  <c r="Q59" i="39" s="1"/>
  <c r="J59" i="39"/>
  <c r="P59" i="39" s="1"/>
  <c r="N58" i="39"/>
  <c r="T58" i="39" s="1"/>
  <c r="M58" i="39"/>
  <c r="S58" i="39" s="1"/>
  <c r="L58" i="39"/>
  <c r="R58" i="39" s="1"/>
  <c r="K58" i="39"/>
  <c r="Q58" i="39" s="1"/>
  <c r="J58" i="39"/>
  <c r="P58" i="39" s="1"/>
  <c r="N57" i="39"/>
  <c r="T57" i="39" s="1"/>
  <c r="M57" i="39"/>
  <c r="S57" i="39" s="1"/>
  <c r="L57" i="39"/>
  <c r="R57" i="39" s="1"/>
  <c r="K57" i="39"/>
  <c r="Q57" i="39" s="1"/>
  <c r="J57" i="39"/>
  <c r="P57" i="39" s="1"/>
  <c r="N47" i="39"/>
  <c r="T47" i="39" s="1"/>
  <c r="M47" i="39"/>
  <c r="S47" i="39" s="1"/>
  <c r="L47" i="39"/>
  <c r="R47" i="39" s="1"/>
  <c r="K47" i="39"/>
  <c r="Q47" i="39" s="1"/>
  <c r="J47" i="39"/>
  <c r="P47" i="39" s="1"/>
  <c r="N46" i="39"/>
  <c r="T46" i="39" s="1"/>
  <c r="M46" i="39"/>
  <c r="S46" i="39" s="1"/>
  <c r="L46" i="39"/>
  <c r="R46" i="39" s="1"/>
  <c r="K46" i="39"/>
  <c r="Q46" i="39" s="1"/>
  <c r="J46" i="39"/>
  <c r="P46" i="39" s="1"/>
  <c r="N45" i="39"/>
  <c r="T45" i="39" s="1"/>
  <c r="M45" i="39"/>
  <c r="S45" i="39" s="1"/>
  <c r="L45" i="39"/>
  <c r="R45" i="39" s="1"/>
  <c r="K45" i="39"/>
  <c r="Q45" i="39" s="1"/>
  <c r="J45" i="39"/>
  <c r="P45" i="39" s="1"/>
  <c r="N35" i="39"/>
  <c r="T35" i="39" s="1"/>
  <c r="M35" i="39"/>
  <c r="S35" i="39" s="1"/>
  <c r="L35" i="39"/>
  <c r="R35" i="39" s="1"/>
  <c r="K35" i="39"/>
  <c r="Q35" i="39" s="1"/>
  <c r="J35" i="39"/>
  <c r="P35" i="39" s="1"/>
  <c r="J33" i="39"/>
  <c r="P33" i="39" s="1"/>
  <c r="N24" i="39"/>
  <c r="T24" i="39" s="1"/>
  <c r="M24" i="39"/>
  <c r="S24" i="39" s="1"/>
  <c r="L24" i="39"/>
  <c r="R24" i="39" s="1"/>
  <c r="K24" i="39"/>
  <c r="Q24" i="39" s="1"/>
  <c r="J24" i="39"/>
  <c r="P24" i="39" s="1"/>
  <c r="N23" i="39"/>
  <c r="T23" i="39" s="1"/>
  <c r="M23" i="39"/>
  <c r="S23" i="39" s="1"/>
  <c r="L23" i="39"/>
  <c r="R23" i="39" s="1"/>
  <c r="K23" i="39"/>
  <c r="Q23" i="39" s="1"/>
  <c r="J23" i="39"/>
  <c r="P23" i="39" s="1"/>
  <c r="N22" i="39"/>
  <c r="T22" i="39" s="1"/>
  <c r="M22" i="39"/>
  <c r="S22" i="39" s="1"/>
  <c r="L22" i="39"/>
  <c r="R22" i="39" s="1"/>
  <c r="K22" i="39"/>
  <c r="Q22" i="39" s="1"/>
  <c r="J22" i="39"/>
  <c r="P22" i="39" s="1"/>
  <c r="P12" i="39"/>
  <c r="K12" i="39"/>
  <c r="Q12" i="39" s="1"/>
  <c r="L12" i="39"/>
  <c r="R12" i="39" s="1"/>
  <c r="M12" i="39"/>
  <c r="S12" i="39" s="1"/>
  <c r="N12" i="39"/>
  <c r="T12" i="39" s="1"/>
  <c r="J11" i="39"/>
  <c r="P11" i="39" s="1"/>
  <c r="Q11" i="39"/>
  <c r="R11" i="39"/>
  <c r="S11" i="39"/>
  <c r="T11" i="39"/>
  <c r="N10" i="39"/>
  <c r="T10" i="39" s="1"/>
  <c r="M10" i="39"/>
  <c r="S10" i="39" s="1"/>
  <c r="L10" i="39"/>
  <c r="R10" i="39" s="1"/>
  <c r="K10" i="39"/>
  <c r="Q10" i="39" s="1"/>
  <c r="J10" i="39"/>
  <c r="P10" i="39" s="1"/>
  <c r="AK257" i="50" l="1"/>
  <c r="X251" i="50"/>
  <c r="Y251" i="50" s="1"/>
  <c r="AD154" i="62"/>
  <c r="B105" i="67"/>
  <c r="AJ60" i="62"/>
  <c r="P246" i="50"/>
  <c r="P268" i="50" s="1"/>
  <c r="E30" i="7"/>
  <c r="J132" i="67"/>
  <c r="C17" i="67"/>
  <c r="Z30" i="7"/>
  <c r="C71" i="67"/>
  <c r="C119" i="67"/>
  <c r="C129" i="67" s="1"/>
  <c r="C112" i="67"/>
  <c r="S30" i="7"/>
  <c r="C53" i="67"/>
  <c r="AD248" i="50"/>
  <c r="AG30" i="7"/>
  <c r="C95" i="67"/>
  <c r="L30" i="7"/>
  <c r="C35" i="67"/>
  <c r="AL157" i="62"/>
  <c r="AL217" i="50" s="1"/>
  <c r="AL239" i="50" s="1"/>
  <c r="P154" i="62"/>
  <c r="I245" i="50"/>
  <c r="I267" i="50" s="1"/>
  <c r="AL62" i="50"/>
  <c r="AB258" i="50"/>
  <c r="C73" i="67" s="1"/>
  <c r="AD67" i="62"/>
  <c r="AK154" i="62"/>
  <c r="AJ277" i="50"/>
  <c r="H261" i="50"/>
  <c r="AJ275" i="50"/>
  <c r="AJ267" i="50"/>
  <c r="AK233" i="50"/>
  <c r="AK255" i="50" s="1"/>
  <c r="AK277" i="50" s="1"/>
  <c r="AL173" i="62"/>
  <c r="P226" i="50"/>
  <c r="P248" i="50" s="1"/>
  <c r="Q166" i="62"/>
  <c r="AD230" i="50"/>
  <c r="AD252" i="50" s="1"/>
  <c r="AD274" i="50" s="1"/>
  <c r="AE170" i="62"/>
  <c r="I217" i="50"/>
  <c r="I239" i="50" s="1"/>
  <c r="J157" i="62"/>
  <c r="V60" i="62"/>
  <c r="H214" i="50"/>
  <c r="J175" i="62"/>
  <c r="I235" i="50"/>
  <c r="I257" i="50" s="1"/>
  <c r="I279" i="50" s="1"/>
  <c r="AD218" i="50"/>
  <c r="AD240" i="50" s="1"/>
  <c r="AD262" i="50" s="1"/>
  <c r="AE158" i="62"/>
  <c r="AL163" i="62"/>
  <c r="AK223" i="50"/>
  <c r="AK245" i="50" s="1"/>
  <c r="AK267" i="50" s="1"/>
  <c r="Q162" i="62"/>
  <c r="P222" i="50"/>
  <c r="P244" i="50" s="1"/>
  <c r="P266" i="50" s="1"/>
  <c r="AK231" i="50"/>
  <c r="AK253" i="50" s="1"/>
  <c r="AL171" i="62"/>
  <c r="I215" i="50"/>
  <c r="I237" i="50" s="1"/>
  <c r="J155" i="62"/>
  <c r="W215" i="50"/>
  <c r="W237" i="50" s="1"/>
  <c r="X155" i="62"/>
  <c r="AW18" i="53"/>
  <c r="AZ18" i="53"/>
  <c r="BA18" i="53"/>
  <c r="BC18" i="53"/>
  <c r="BF18" i="53"/>
  <c r="BG18" i="53"/>
  <c r="AX18" i="53"/>
  <c r="BB18" i="53"/>
  <c r="AY18" i="53"/>
  <c r="BD18" i="53"/>
  <c r="BH18" i="53"/>
  <c r="BE18" i="53"/>
  <c r="AC261" i="50"/>
  <c r="AC273" i="50"/>
  <c r="V272" i="50"/>
  <c r="AC272" i="50"/>
  <c r="O263" i="50"/>
  <c r="I275" i="50"/>
  <c r="O261" i="50"/>
  <c r="AJ264" i="50"/>
  <c r="H268" i="50"/>
  <c r="AK279" i="50"/>
  <c r="AJ268" i="50"/>
  <c r="H266" i="50"/>
  <c r="O265" i="50"/>
  <c r="V265" i="50"/>
  <c r="AD266" i="50"/>
  <c r="O267" i="50"/>
  <c r="V269" i="50"/>
  <c r="V263" i="50"/>
  <c r="V264" i="50"/>
  <c r="V274" i="50"/>
  <c r="AC267" i="50"/>
  <c r="V270" i="50"/>
  <c r="AC279" i="50"/>
  <c r="AJ265" i="50"/>
  <c r="W279" i="50"/>
  <c r="AJ269" i="50"/>
  <c r="AD278" i="50"/>
  <c r="O273" i="50"/>
  <c r="AD268" i="50"/>
  <c r="V266" i="50"/>
  <c r="AK263" i="50"/>
  <c r="O274" i="50"/>
  <c r="O279" i="50"/>
  <c r="AJ276" i="50"/>
  <c r="AC275" i="50"/>
  <c r="O276" i="50"/>
  <c r="V261" i="50"/>
  <c r="AC277" i="50"/>
  <c r="O271" i="50"/>
  <c r="AC269" i="50"/>
  <c r="H270" i="50"/>
  <c r="O269" i="50"/>
  <c r="P278" i="50"/>
  <c r="V271" i="50"/>
  <c r="AJ270" i="50"/>
  <c r="AJ272" i="50"/>
  <c r="AC265" i="50"/>
  <c r="AJ266" i="50"/>
  <c r="V262" i="50"/>
  <c r="AE169" i="62"/>
  <c r="AD229" i="50"/>
  <c r="AD251" i="50" s="1"/>
  <c r="AL172" i="62"/>
  <c r="AK232" i="50"/>
  <c r="AK254" i="50" s="1"/>
  <c r="AE171" i="62"/>
  <c r="AD231" i="50"/>
  <c r="AD253" i="50" s="1"/>
  <c r="Q172" i="62"/>
  <c r="P232" i="50"/>
  <c r="P254" i="50" s="1"/>
  <c r="P276" i="50" s="1"/>
  <c r="X157" i="62"/>
  <c r="W217" i="50"/>
  <c r="W239" i="50" s="1"/>
  <c r="AE159" i="62"/>
  <c r="AD219" i="50"/>
  <c r="AD241" i="50" s="1"/>
  <c r="Y175" i="62"/>
  <c r="Y235" i="50" s="1"/>
  <c r="X235" i="50"/>
  <c r="X257" i="50" s="1"/>
  <c r="AJ262" i="50"/>
  <c r="Q173" i="62"/>
  <c r="P233" i="50"/>
  <c r="P255" i="50" s="1"/>
  <c r="X165" i="62"/>
  <c r="W225" i="50"/>
  <c r="W247" i="50" s="1"/>
  <c r="AD215" i="50"/>
  <c r="AE155" i="62"/>
  <c r="H240" i="50"/>
  <c r="H236" i="50" s="1"/>
  <c r="D18" i="67" s="1"/>
  <c r="AF174" i="62"/>
  <c r="AF234" i="50" s="1"/>
  <c r="AE234" i="50"/>
  <c r="AE256" i="50" s="1"/>
  <c r="W238" i="50"/>
  <c r="W260" i="50" s="1"/>
  <c r="W220" i="50"/>
  <c r="W242" i="50" s="1"/>
  <c r="X160" i="62"/>
  <c r="R164" i="62"/>
  <c r="R224" i="50" s="1"/>
  <c r="Q224" i="50"/>
  <c r="X164" i="62"/>
  <c r="W224" i="50"/>
  <c r="W246" i="50" s="1"/>
  <c r="W268" i="50" s="1"/>
  <c r="J168" i="62"/>
  <c r="I228" i="50"/>
  <c r="I250" i="50" s="1"/>
  <c r="AL168" i="62"/>
  <c r="AK228" i="50"/>
  <c r="AK250" i="50" s="1"/>
  <c r="Q168" i="62"/>
  <c r="P228" i="50"/>
  <c r="P250" i="50" s="1"/>
  <c r="X174" i="62"/>
  <c r="W234" i="50"/>
  <c r="W256" i="50" s="1"/>
  <c r="W278" i="50" s="1"/>
  <c r="AJ214" i="50"/>
  <c r="R156" i="62"/>
  <c r="R216" i="50" s="1"/>
  <c r="Q216" i="50"/>
  <c r="Q238" i="50" s="1"/>
  <c r="AK159" i="50"/>
  <c r="AF80" i="62"/>
  <c r="AF79" i="62" s="1"/>
  <c r="AF139" i="50"/>
  <c r="X161" i="62"/>
  <c r="W221" i="50"/>
  <c r="W243" i="50" s="1"/>
  <c r="AF162" i="62"/>
  <c r="AF222" i="50" s="1"/>
  <c r="AE222" i="50"/>
  <c r="AE244" i="50" s="1"/>
  <c r="AL161" i="62"/>
  <c r="AK221" i="50"/>
  <c r="AK243" i="50" s="1"/>
  <c r="P223" i="50"/>
  <c r="P245" i="50" s="1"/>
  <c r="Q163" i="62"/>
  <c r="W228" i="50"/>
  <c r="W250" i="50" s="1"/>
  <c r="X168" i="62"/>
  <c r="O272" i="50"/>
  <c r="P217" i="50"/>
  <c r="P239" i="50" s="1"/>
  <c r="Q157" i="62"/>
  <c r="AL160" i="62"/>
  <c r="AK220" i="50"/>
  <c r="AK242" i="50" s="1"/>
  <c r="P227" i="50"/>
  <c r="P249" i="50" s="1"/>
  <c r="Q167" i="62"/>
  <c r="AC214" i="50"/>
  <c r="X159" i="62"/>
  <c r="W219" i="50"/>
  <c r="W241" i="50" s="1"/>
  <c r="R158" i="62"/>
  <c r="R218" i="50" s="1"/>
  <c r="Q218" i="50"/>
  <c r="Q240" i="50" s="1"/>
  <c r="X223" i="50"/>
  <c r="X245" i="50" s="1"/>
  <c r="Y163" i="62"/>
  <c r="Y223" i="50" s="1"/>
  <c r="AE238" i="50"/>
  <c r="AL235" i="50"/>
  <c r="AL257" i="50" s="1"/>
  <c r="AM175" i="62"/>
  <c r="AM235" i="50" s="1"/>
  <c r="AI259" i="50"/>
  <c r="AI258" i="50" s="1"/>
  <c r="C97" i="67" s="1"/>
  <c r="AI236" i="50"/>
  <c r="C96" i="67" s="1"/>
  <c r="AJ237" i="50"/>
  <c r="Q234" i="50"/>
  <c r="Q256" i="50" s="1"/>
  <c r="R174" i="62"/>
  <c r="R234" i="50" s="1"/>
  <c r="Q169" i="62"/>
  <c r="P229" i="50"/>
  <c r="P251" i="50" s="1"/>
  <c r="AJ260" i="50"/>
  <c r="AF164" i="62"/>
  <c r="AF224" i="50" s="1"/>
  <c r="AE224" i="50"/>
  <c r="AE246" i="50" s="1"/>
  <c r="X166" i="62"/>
  <c r="W226" i="50"/>
  <c r="W248" i="50" s="1"/>
  <c r="AK216" i="50"/>
  <c r="AK238" i="50" s="1"/>
  <c r="AL156" i="62"/>
  <c r="AL155" i="62"/>
  <c r="AK215" i="50"/>
  <c r="AK218" i="50"/>
  <c r="AK240" i="50" s="1"/>
  <c r="AL158" i="62"/>
  <c r="AM159" i="62"/>
  <c r="AM219" i="50" s="1"/>
  <c r="AL219" i="50"/>
  <c r="AL241" i="50" s="1"/>
  <c r="AJ274" i="50"/>
  <c r="Q170" i="62"/>
  <c r="P230" i="50"/>
  <c r="P252" i="50" s="1"/>
  <c r="AD233" i="50"/>
  <c r="AD255" i="50" s="1"/>
  <c r="AE173" i="62"/>
  <c r="AC263" i="50"/>
  <c r="O214" i="50"/>
  <c r="AL174" i="62"/>
  <c r="AK234" i="50"/>
  <c r="AK256" i="50" s="1"/>
  <c r="AM167" i="62"/>
  <c r="AM227" i="50" s="1"/>
  <c r="AL227" i="50"/>
  <c r="AL249" i="50" s="1"/>
  <c r="AM169" i="62"/>
  <c r="AM229" i="50" s="1"/>
  <c r="AL229" i="50"/>
  <c r="AL251" i="50" s="1"/>
  <c r="AE168" i="62"/>
  <c r="AD228" i="50"/>
  <c r="AD250" i="50" s="1"/>
  <c r="Q175" i="62"/>
  <c r="P235" i="50"/>
  <c r="P257" i="50" s="1"/>
  <c r="J166" i="62"/>
  <c r="I226" i="50"/>
  <c r="I248" i="50" s="1"/>
  <c r="AL165" i="62"/>
  <c r="AK225" i="50"/>
  <c r="AK247" i="50" s="1"/>
  <c r="AD76" i="50"/>
  <c r="K163" i="62"/>
  <c r="K223" i="50" s="1"/>
  <c r="J223" i="50"/>
  <c r="J231" i="50"/>
  <c r="J253" i="50" s="1"/>
  <c r="K171" i="62"/>
  <c r="K231" i="50" s="1"/>
  <c r="AD264" i="50"/>
  <c r="X167" i="62"/>
  <c r="W227" i="50"/>
  <c r="W249" i="50" s="1"/>
  <c r="AE175" i="62"/>
  <c r="AD235" i="50"/>
  <c r="AD257" i="50" s="1"/>
  <c r="AL170" i="62"/>
  <c r="AK230" i="50"/>
  <c r="AK252" i="50" s="1"/>
  <c r="AE220" i="50"/>
  <c r="AE242" i="50" s="1"/>
  <c r="AF160" i="62"/>
  <c r="AF220" i="50" s="1"/>
  <c r="V214" i="50"/>
  <c r="AM83" i="62"/>
  <c r="AE157" i="62"/>
  <c r="AD217" i="50"/>
  <c r="AD239" i="50" s="1"/>
  <c r="O264" i="50"/>
  <c r="AL75" i="50"/>
  <c r="J158" i="62"/>
  <c r="I218" i="50"/>
  <c r="I154" i="62"/>
  <c r="AE165" i="62"/>
  <c r="AD225" i="50"/>
  <c r="AD247" i="50" s="1"/>
  <c r="Q160" i="62"/>
  <c r="P220" i="50"/>
  <c r="P242" i="50" s="1"/>
  <c r="Q159" i="62"/>
  <c r="P219" i="50"/>
  <c r="P241" i="50" s="1"/>
  <c r="AE232" i="50"/>
  <c r="AE254" i="50" s="1"/>
  <c r="AF172" i="62"/>
  <c r="AF232" i="50" s="1"/>
  <c r="Y171" i="62"/>
  <c r="Y231" i="50" s="1"/>
  <c r="X231" i="50"/>
  <c r="X253" i="50" s="1"/>
  <c r="J164" i="62"/>
  <c r="I224" i="50"/>
  <c r="I246" i="50" s="1"/>
  <c r="H272" i="50"/>
  <c r="P225" i="50"/>
  <c r="P247" i="50" s="1"/>
  <c r="Q165" i="62"/>
  <c r="AL164" i="62"/>
  <c r="AK224" i="50"/>
  <c r="AK246" i="50" s="1"/>
  <c r="AC271" i="50"/>
  <c r="X172" i="62"/>
  <c r="W232" i="50"/>
  <c r="W254" i="50" s="1"/>
  <c r="W230" i="50"/>
  <c r="W252" i="50" s="1"/>
  <c r="X170" i="62"/>
  <c r="AD223" i="50"/>
  <c r="AD245" i="50" s="1"/>
  <c r="AE163" i="62"/>
  <c r="AL166" i="62"/>
  <c r="AK226" i="50"/>
  <c r="AK248" i="50" s="1"/>
  <c r="X173" i="62"/>
  <c r="W233" i="50"/>
  <c r="W255" i="50" s="1"/>
  <c r="AE226" i="50"/>
  <c r="AE248" i="50" s="1"/>
  <c r="AF166" i="62"/>
  <c r="AF226" i="50" s="1"/>
  <c r="X162" i="62"/>
  <c r="W222" i="50"/>
  <c r="W244" i="50" s="1"/>
  <c r="I222" i="50"/>
  <c r="I244" i="50" s="1"/>
  <c r="J162" i="62"/>
  <c r="Q161" i="62"/>
  <c r="P221" i="50"/>
  <c r="P243" i="50" s="1"/>
  <c r="AE161" i="62"/>
  <c r="AD221" i="50"/>
  <c r="AD243" i="50" s="1"/>
  <c r="I232" i="50"/>
  <c r="I254" i="50" s="1"/>
  <c r="J172" i="62"/>
  <c r="AL162" i="62"/>
  <c r="AK222" i="50"/>
  <c r="AK244" i="50" s="1"/>
  <c r="AE167" i="62"/>
  <c r="AD227" i="50"/>
  <c r="AD249" i="50" s="1"/>
  <c r="X158" i="62"/>
  <c r="W218" i="50"/>
  <c r="W240" i="50" s="1"/>
  <c r="N259" i="50"/>
  <c r="N258" i="50" s="1"/>
  <c r="C37" i="67" s="1"/>
  <c r="N236" i="50"/>
  <c r="C36" i="67" s="1"/>
  <c r="C114" i="67" s="1"/>
  <c r="O237" i="50"/>
  <c r="AC75" i="50"/>
  <c r="AC152" i="50"/>
  <c r="AB172" i="50"/>
  <c r="AK76" i="50"/>
  <c r="AC159" i="50"/>
  <c r="AB179" i="50"/>
  <c r="AJ64" i="50"/>
  <c r="AC62" i="50"/>
  <c r="AK84" i="50"/>
  <c r="AD270" i="50"/>
  <c r="AD155" i="50"/>
  <c r="AC175" i="50"/>
  <c r="AB61" i="50"/>
  <c r="AI61" i="50"/>
  <c r="AC64" i="50"/>
  <c r="AK74" i="50"/>
  <c r="AD276" i="50"/>
  <c r="P260" i="50"/>
  <c r="G258" i="50"/>
  <c r="C19" i="67" s="1"/>
  <c r="AD183" i="50"/>
  <c r="AE189" i="50"/>
  <c r="AF189" i="50"/>
  <c r="V276" i="50"/>
  <c r="I256" i="50"/>
  <c r="H278" i="50"/>
  <c r="W273" i="50"/>
  <c r="AK271" i="50"/>
  <c r="AD186" i="50"/>
  <c r="H263" i="50"/>
  <c r="I247" i="50"/>
  <c r="H269" i="50"/>
  <c r="AD260" i="50"/>
  <c r="AD192" i="50"/>
  <c r="E70" i="67" s="1"/>
  <c r="E125" i="67" s="1"/>
  <c r="H264" i="50"/>
  <c r="P262" i="50"/>
  <c r="V236" i="50"/>
  <c r="D54" i="67" s="1"/>
  <c r="V259" i="50"/>
  <c r="AD188" i="50"/>
  <c r="I273" i="50"/>
  <c r="H265" i="50"/>
  <c r="AL152" i="50"/>
  <c r="H274" i="50"/>
  <c r="W267" i="50"/>
  <c r="AK261" i="50"/>
  <c r="AL192" i="50"/>
  <c r="F94" i="67" s="1"/>
  <c r="F127" i="67" s="1"/>
  <c r="W192" i="50"/>
  <c r="E52" i="67" s="1"/>
  <c r="E123" i="67" s="1"/>
  <c r="I277" i="50"/>
  <c r="H259" i="50"/>
  <c r="H192" i="50"/>
  <c r="D16" i="67" s="1"/>
  <c r="I271" i="50"/>
  <c r="W275" i="50"/>
  <c r="I260" i="50"/>
  <c r="AD180" i="50"/>
  <c r="O275" i="50"/>
  <c r="U258" i="50"/>
  <c r="C55" i="67" s="1"/>
  <c r="AK273" i="50"/>
  <c r="AK192" i="50"/>
  <c r="E94" i="67" s="1"/>
  <c r="E127" i="67" s="1"/>
  <c r="AD237" i="50"/>
  <c r="AC236" i="50"/>
  <c r="D72" i="67" s="1"/>
  <c r="AC259" i="50"/>
  <c r="Y62" i="62"/>
  <c r="Y61" i="62" s="1"/>
  <c r="X61" i="62"/>
  <c r="AL94" i="62"/>
  <c r="AM95" i="62"/>
  <c r="AM94" i="62" s="1"/>
  <c r="AM62" i="62"/>
  <c r="AM36" i="50" s="1"/>
  <c r="AL61" i="62"/>
  <c r="X156" i="62"/>
  <c r="X216" i="50" s="1"/>
  <c r="W154" i="62"/>
  <c r="W67" i="62"/>
  <c r="AL99" i="62"/>
  <c r="AM100" i="62"/>
  <c r="AM50" i="50" s="1"/>
  <c r="AM72" i="62"/>
  <c r="AM71" i="62" s="1"/>
  <c r="AL71" i="62"/>
  <c r="AE101" i="62"/>
  <c r="AE51" i="50" s="1"/>
  <c r="AD99" i="62"/>
  <c r="X83" i="62"/>
  <c r="X79" i="62" s="1"/>
  <c r="Y84" i="62"/>
  <c r="Y83" i="62" s="1"/>
  <c r="Y79" i="62" s="1"/>
  <c r="AM65" i="62"/>
  <c r="AM37" i="50" s="1"/>
  <c r="AL64" i="62"/>
  <c r="Y65" i="62"/>
  <c r="Y64" i="62" s="1"/>
  <c r="X64" i="62"/>
  <c r="Q75" i="62"/>
  <c r="P74" i="62"/>
  <c r="Q61" i="62"/>
  <c r="R62" i="62"/>
  <c r="R61" i="62" s="1"/>
  <c r="AC60" i="62"/>
  <c r="AE74" i="62"/>
  <c r="AF75" i="62"/>
  <c r="AF74" i="62" s="1"/>
  <c r="P71" i="62"/>
  <c r="Q72" i="62"/>
  <c r="K100" i="62"/>
  <c r="J81" i="62"/>
  <c r="I80" i="62"/>
  <c r="I79" i="62" s="1"/>
  <c r="Q80" i="62"/>
  <c r="R81" i="62"/>
  <c r="R80" i="62" s="1"/>
  <c r="AL75" i="62"/>
  <c r="AK74" i="62"/>
  <c r="AK67" i="62" s="1"/>
  <c r="AF156" i="62"/>
  <c r="Q101" i="62"/>
  <c r="P99" i="62"/>
  <c r="Y75" i="62"/>
  <c r="Y74" i="62" s="1"/>
  <c r="X74" i="62"/>
  <c r="AE66" i="62"/>
  <c r="AD64" i="62"/>
  <c r="Q64" i="62"/>
  <c r="R65" i="62"/>
  <c r="R64" i="62" s="1"/>
  <c r="X71" i="62"/>
  <c r="Y72" i="62"/>
  <c r="Y71" i="62" s="1"/>
  <c r="AM157" i="62"/>
  <c r="AE63" i="62"/>
  <c r="AE132" i="50" s="1"/>
  <c r="AD61" i="62"/>
  <c r="AE96" i="62"/>
  <c r="AD94" i="62"/>
  <c r="K65" i="62"/>
  <c r="K64" i="62" s="1"/>
  <c r="J64" i="62"/>
  <c r="O67" i="62"/>
  <c r="O60" i="62" s="1"/>
  <c r="AF72" i="62"/>
  <c r="AF71" i="62" s="1"/>
  <c r="AE71" i="62"/>
  <c r="R155" i="62"/>
  <c r="W99" i="62"/>
  <c r="X100" i="62"/>
  <c r="J94" i="62"/>
  <c r="K95" i="62"/>
  <c r="K94" i="62" s="1"/>
  <c r="Q84" i="62"/>
  <c r="P83" i="62"/>
  <c r="P79" i="62" s="1"/>
  <c r="AL81" i="62"/>
  <c r="AL139" i="50" s="1"/>
  <c r="AK80" i="62"/>
  <c r="AK79" i="62" s="1"/>
  <c r="K62" i="62"/>
  <c r="K61" i="62" s="1"/>
  <c r="J61" i="62"/>
  <c r="W94" i="62"/>
  <c r="X95" i="62"/>
  <c r="G57" i="49"/>
  <c r="F57" i="49"/>
  <c r="E57" i="49"/>
  <c r="D57" i="49"/>
  <c r="C57" i="49"/>
  <c r="Q246" i="50" l="1"/>
  <c r="Q268" i="50" s="1"/>
  <c r="AM249" i="50"/>
  <c r="W60" i="62"/>
  <c r="J245" i="50"/>
  <c r="K245" i="50" s="1"/>
  <c r="K267" i="50" s="1"/>
  <c r="AN30" i="7"/>
  <c r="C115" i="67"/>
  <c r="D119" i="67"/>
  <c r="D129" i="67" s="1"/>
  <c r="D112" i="67"/>
  <c r="M30" i="7"/>
  <c r="D35" i="67"/>
  <c r="AH30" i="7"/>
  <c r="D95" i="67"/>
  <c r="C113" i="67"/>
  <c r="T30" i="7"/>
  <c r="D53" i="67"/>
  <c r="AA30" i="7"/>
  <c r="D71" i="67"/>
  <c r="F30" i="7"/>
  <c r="K132" i="67"/>
  <c r="D17" i="67"/>
  <c r="AE154" i="62"/>
  <c r="AL154" i="62"/>
  <c r="Q154" i="62"/>
  <c r="Y253" i="50"/>
  <c r="Y275" i="50" s="1"/>
  <c r="V258" i="50"/>
  <c r="D55" i="67" s="1"/>
  <c r="AC258" i="50"/>
  <c r="D73" i="67" s="1"/>
  <c r="AM251" i="50"/>
  <c r="AM273" i="50" s="1"/>
  <c r="Y245" i="50"/>
  <c r="Y267" i="50" s="1"/>
  <c r="AK275" i="50"/>
  <c r="I261" i="50"/>
  <c r="P270" i="50"/>
  <c r="AF254" i="50"/>
  <c r="AF276" i="50" s="1"/>
  <c r="J215" i="50"/>
  <c r="J237" i="50" s="1"/>
  <c r="K155" i="62"/>
  <c r="K215" i="50" s="1"/>
  <c r="AF158" i="62"/>
  <c r="AF218" i="50" s="1"/>
  <c r="AE218" i="50"/>
  <c r="AE240" i="50" s="1"/>
  <c r="AE262" i="50" s="1"/>
  <c r="AF170" i="62"/>
  <c r="AF230" i="50" s="1"/>
  <c r="AE230" i="50"/>
  <c r="AE252" i="50" s="1"/>
  <c r="AL233" i="50"/>
  <c r="AL255" i="50" s="1"/>
  <c r="AL277" i="50" s="1"/>
  <c r="AM173" i="62"/>
  <c r="AM233" i="50" s="1"/>
  <c r="Q222" i="50"/>
  <c r="Q244" i="50" s="1"/>
  <c r="R162" i="62"/>
  <c r="R222" i="50" s="1"/>
  <c r="R240" i="50"/>
  <c r="R262" i="50" s="1"/>
  <c r="R238" i="50"/>
  <c r="X215" i="50"/>
  <c r="X237" i="50" s="1"/>
  <c r="Y155" i="62"/>
  <c r="Y215" i="50" s="1"/>
  <c r="AM171" i="62"/>
  <c r="AM231" i="50" s="1"/>
  <c r="AL231" i="50"/>
  <c r="AL253" i="50" s="1"/>
  <c r="J217" i="50"/>
  <c r="J239" i="50" s="1"/>
  <c r="K157" i="62"/>
  <c r="K217" i="50" s="1"/>
  <c r="R166" i="62"/>
  <c r="R226" i="50" s="1"/>
  <c r="Q226" i="50"/>
  <c r="Q248" i="50" s="1"/>
  <c r="AM163" i="62"/>
  <c r="AM223" i="50" s="1"/>
  <c r="AL223" i="50"/>
  <c r="AL245" i="50" s="1"/>
  <c r="AL267" i="50" s="1"/>
  <c r="J235" i="50"/>
  <c r="J257" i="50" s="1"/>
  <c r="K175" i="62"/>
  <c r="K235" i="50" s="1"/>
  <c r="W262" i="50"/>
  <c r="AD265" i="50"/>
  <c r="AK270" i="50"/>
  <c r="I268" i="50"/>
  <c r="I270" i="50"/>
  <c r="AD272" i="50"/>
  <c r="AM241" i="50"/>
  <c r="AM263" i="50" s="1"/>
  <c r="AL263" i="50"/>
  <c r="W270" i="50"/>
  <c r="AK265" i="50"/>
  <c r="R246" i="50"/>
  <c r="R268" i="50" s="1"/>
  <c r="I266" i="50"/>
  <c r="W274" i="50"/>
  <c r="AK268" i="50"/>
  <c r="W271" i="50"/>
  <c r="P273" i="50"/>
  <c r="AM257" i="50"/>
  <c r="AM279" i="50" s="1"/>
  <c r="AL279" i="50"/>
  <c r="P271" i="50"/>
  <c r="P261" i="50"/>
  <c r="W272" i="50"/>
  <c r="P277" i="50"/>
  <c r="AD271" i="50"/>
  <c r="P265" i="50"/>
  <c r="W266" i="50"/>
  <c r="W277" i="50"/>
  <c r="P263" i="50"/>
  <c r="AD269" i="50"/>
  <c r="K253" i="50"/>
  <c r="K275" i="50" s="1"/>
  <c r="J275" i="50"/>
  <c r="AK269" i="50"/>
  <c r="P279" i="50"/>
  <c r="AF246" i="50"/>
  <c r="AF268" i="50" s="1"/>
  <c r="AE268" i="50"/>
  <c r="AK264" i="50"/>
  <c r="AF244" i="50"/>
  <c r="AF266" i="50" s="1"/>
  <c r="AE266" i="50"/>
  <c r="AK272" i="50"/>
  <c r="AF256" i="50"/>
  <c r="AF278" i="50" s="1"/>
  <c r="AE278" i="50"/>
  <c r="AK266" i="50"/>
  <c r="P269" i="50"/>
  <c r="P264" i="50"/>
  <c r="AD277" i="50"/>
  <c r="R256" i="50"/>
  <c r="R278" i="50" s="1"/>
  <c r="Q278" i="50"/>
  <c r="W265" i="50"/>
  <c r="Y257" i="50"/>
  <c r="Y279" i="50" s="1"/>
  <c r="X279" i="50"/>
  <c r="AD261" i="50"/>
  <c r="P274" i="50"/>
  <c r="W263" i="50"/>
  <c r="I276" i="50"/>
  <c r="AD267" i="50"/>
  <c r="AK274" i="50"/>
  <c r="AD279" i="50"/>
  <c r="AK278" i="50"/>
  <c r="AK262" i="50"/>
  <c r="AK260" i="50"/>
  <c r="P267" i="50"/>
  <c r="W264" i="50"/>
  <c r="W269" i="50"/>
  <c r="W261" i="50"/>
  <c r="AD275" i="50"/>
  <c r="AD273" i="50"/>
  <c r="O236" i="50"/>
  <c r="D36" i="67" s="1"/>
  <c r="O259" i="50"/>
  <c r="O258" i="50" s="1"/>
  <c r="D37" i="67" s="1"/>
  <c r="P237" i="50"/>
  <c r="Y158" i="62"/>
  <c r="Y218" i="50" s="1"/>
  <c r="X218" i="50"/>
  <c r="X240" i="50" s="1"/>
  <c r="AM162" i="62"/>
  <c r="AM222" i="50" s="1"/>
  <c r="AL222" i="50"/>
  <c r="AL244" i="50" s="1"/>
  <c r="AF161" i="62"/>
  <c r="AF221" i="50" s="1"/>
  <c r="AE221" i="50"/>
  <c r="AE243" i="50" s="1"/>
  <c r="AM166" i="62"/>
  <c r="AM226" i="50" s="1"/>
  <c r="AL226" i="50"/>
  <c r="AL248" i="50" s="1"/>
  <c r="I272" i="50"/>
  <c r="R159" i="62"/>
  <c r="R219" i="50" s="1"/>
  <c r="Q219" i="50"/>
  <c r="Q241" i="50" s="1"/>
  <c r="AF165" i="62"/>
  <c r="AF225" i="50" s="1"/>
  <c r="AE225" i="50"/>
  <c r="AE247" i="50" s="1"/>
  <c r="AF157" i="62"/>
  <c r="AF217" i="50" s="1"/>
  <c r="AE217" i="50"/>
  <c r="AE239" i="50" s="1"/>
  <c r="AM165" i="62"/>
  <c r="AM225" i="50" s="1"/>
  <c r="AL225" i="50"/>
  <c r="AL247" i="50" s="1"/>
  <c r="R175" i="62"/>
  <c r="R235" i="50" s="1"/>
  <c r="Q235" i="50"/>
  <c r="Q257" i="50" s="1"/>
  <c r="AF173" i="62"/>
  <c r="AF233" i="50" s="1"/>
  <c r="AE233" i="50"/>
  <c r="AE255" i="50" s="1"/>
  <c r="AM158" i="62"/>
  <c r="AM218" i="50" s="1"/>
  <c r="AL218" i="50"/>
  <c r="AL240" i="50" s="1"/>
  <c r="AL215" i="50"/>
  <c r="AM155" i="62"/>
  <c r="AM215" i="50" s="1"/>
  <c r="Y166" i="62"/>
  <c r="Y226" i="50" s="1"/>
  <c r="X226" i="50"/>
  <c r="X248" i="50" s="1"/>
  <c r="R167" i="62"/>
  <c r="R227" i="50" s="1"/>
  <c r="Q227" i="50"/>
  <c r="Q249" i="50" s="1"/>
  <c r="R157" i="62"/>
  <c r="R217" i="50" s="1"/>
  <c r="Q217" i="50"/>
  <c r="Q239" i="50" s="1"/>
  <c r="Y168" i="62"/>
  <c r="Y228" i="50" s="1"/>
  <c r="X228" i="50"/>
  <c r="X250" i="50" s="1"/>
  <c r="R168" i="62"/>
  <c r="R228" i="50" s="1"/>
  <c r="Q228" i="50"/>
  <c r="Q250" i="50" s="1"/>
  <c r="K168" i="62"/>
  <c r="K228" i="50" s="1"/>
  <c r="J228" i="50"/>
  <c r="J250" i="50" s="1"/>
  <c r="X238" i="50"/>
  <c r="X260" i="50" s="1"/>
  <c r="C72" i="49"/>
  <c r="AL39" i="67" s="1"/>
  <c r="C58" i="49"/>
  <c r="AL31" i="67" s="1"/>
  <c r="R215" i="50"/>
  <c r="AM217" i="50"/>
  <c r="AM239" i="50" s="1"/>
  <c r="AM261" i="50" s="1"/>
  <c r="AF216" i="50"/>
  <c r="AF238" i="50" s="1"/>
  <c r="AM99" i="62"/>
  <c r="AM75" i="50"/>
  <c r="K172" i="62"/>
  <c r="K232" i="50" s="1"/>
  <c r="J232" i="50"/>
  <c r="J254" i="50" s="1"/>
  <c r="AF163" i="62"/>
  <c r="AF223" i="50" s="1"/>
  <c r="AE223" i="50"/>
  <c r="AE245" i="50" s="1"/>
  <c r="Y167" i="62"/>
  <c r="Y227" i="50" s="1"/>
  <c r="X227" i="50"/>
  <c r="X249" i="50" s="1"/>
  <c r="AM174" i="62"/>
  <c r="AM234" i="50" s="1"/>
  <c r="AL234" i="50"/>
  <c r="AL256" i="50" s="1"/>
  <c r="AM156" i="62"/>
  <c r="AM216" i="50" s="1"/>
  <c r="AL216" i="50"/>
  <c r="AL238" i="50" s="1"/>
  <c r="AK237" i="50"/>
  <c r="AJ259" i="50"/>
  <c r="AJ258" i="50" s="1"/>
  <c r="D97" i="67" s="1"/>
  <c r="AJ236" i="50"/>
  <c r="D96" i="67" s="1"/>
  <c r="P214" i="50"/>
  <c r="I240" i="50"/>
  <c r="I236" i="50" s="1"/>
  <c r="E18" i="67" s="1"/>
  <c r="H262" i="50"/>
  <c r="H258" i="50" s="1"/>
  <c r="D19" i="67" s="1"/>
  <c r="D115" i="67" s="1"/>
  <c r="Y165" i="62"/>
  <c r="Y225" i="50" s="1"/>
  <c r="X225" i="50"/>
  <c r="X247" i="50" s="1"/>
  <c r="AF159" i="62"/>
  <c r="AF219" i="50" s="1"/>
  <c r="AE219" i="50"/>
  <c r="AE241" i="50" s="1"/>
  <c r="Q232" i="50"/>
  <c r="Q254" i="50" s="1"/>
  <c r="R172" i="62"/>
  <c r="R232" i="50" s="1"/>
  <c r="AM172" i="62"/>
  <c r="AM232" i="50" s="1"/>
  <c r="AL232" i="50"/>
  <c r="AL254" i="50" s="1"/>
  <c r="AE67" i="62"/>
  <c r="AD60" i="62"/>
  <c r="Y67" i="62"/>
  <c r="AK60" i="62"/>
  <c r="AM64" i="62"/>
  <c r="AM62" i="50"/>
  <c r="AF167" i="62"/>
  <c r="AF227" i="50" s="1"/>
  <c r="AE227" i="50"/>
  <c r="AE249" i="50" s="1"/>
  <c r="R161" i="62"/>
  <c r="R221" i="50" s="1"/>
  <c r="Q221" i="50"/>
  <c r="Q243" i="50" s="1"/>
  <c r="Y162" i="62"/>
  <c r="Y222" i="50" s="1"/>
  <c r="X222" i="50"/>
  <c r="X244" i="50" s="1"/>
  <c r="Y173" i="62"/>
  <c r="Y233" i="50" s="1"/>
  <c r="X233" i="50"/>
  <c r="X255" i="50" s="1"/>
  <c r="Y172" i="62"/>
  <c r="Y232" i="50" s="1"/>
  <c r="X232" i="50"/>
  <c r="X254" i="50" s="1"/>
  <c r="AM164" i="62"/>
  <c r="AM224" i="50" s="1"/>
  <c r="AL224" i="50"/>
  <c r="AL246" i="50" s="1"/>
  <c r="AL268" i="50" s="1"/>
  <c r="K164" i="62"/>
  <c r="K224" i="50" s="1"/>
  <c r="J224" i="50"/>
  <c r="J246" i="50" s="1"/>
  <c r="Q220" i="50"/>
  <c r="Q242" i="50" s="1"/>
  <c r="R160" i="62"/>
  <c r="R220" i="50" s="1"/>
  <c r="I214" i="50"/>
  <c r="AE76" i="50"/>
  <c r="K166" i="62"/>
  <c r="K226" i="50" s="1"/>
  <c r="J226" i="50"/>
  <c r="J248" i="50" s="1"/>
  <c r="AF168" i="62"/>
  <c r="AF228" i="50" s="1"/>
  <c r="AE228" i="50"/>
  <c r="AE250" i="50" s="1"/>
  <c r="R169" i="62"/>
  <c r="R229" i="50" s="1"/>
  <c r="Q229" i="50"/>
  <c r="Q251" i="50" s="1"/>
  <c r="Q273" i="50" s="1"/>
  <c r="Y159" i="62"/>
  <c r="Y219" i="50" s="1"/>
  <c r="X219" i="50"/>
  <c r="X241" i="50" s="1"/>
  <c r="AM161" i="62"/>
  <c r="AM221" i="50" s="1"/>
  <c r="AL221" i="50"/>
  <c r="AL243" i="50" s="1"/>
  <c r="Y161" i="62"/>
  <c r="Y221" i="50" s="1"/>
  <c r="X221" i="50"/>
  <c r="X243" i="50" s="1"/>
  <c r="Y174" i="62"/>
  <c r="Y234" i="50" s="1"/>
  <c r="X234" i="50"/>
  <c r="X256" i="50" s="1"/>
  <c r="X278" i="50" s="1"/>
  <c r="AM168" i="62"/>
  <c r="AM228" i="50" s="1"/>
  <c r="AL228" i="50"/>
  <c r="AL250" i="50" s="1"/>
  <c r="Y164" i="62"/>
  <c r="Y224" i="50" s="1"/>
  <c r="X224" i="50"/>
  <c r="X246" i="50" s="1"/>
  <c r="Y160" i="62"/>
  <c r="Y220" i="50" s="1"/>
  <c r="X220" i="50"/>
  <c r="X242" i="50" s="1"/>
  <c r="AF155" i="62"/>
  <c r="AF215" i="50" s="1"/>
  <c r="AE215" i="50"/>
  <c r="AE237" i="50" s="1"/>
  <c r="AM61" i="62"/>
  <c r="K162" i="62"/>
  <c r="K222" i="50" s="1"/>
  <c r="J222" i="50"/>
  <c r="J244" i="50" s="1"/>
  <c r="Y170" i="62"/>
  <c r="Y230" i="50" s="1"/>
  <c r="X230" i="50"/>
  <c r="X252" i="50" s="1"/>
  <c r="X274" i="50" s="1"/>
  <c r="R165" i="62"/>
  <c r="R225" i="50" s="1"/>
  <c r="Q225" i="50"/>
  <c r="Q247" i="50" s="1"/>
  <c r="K158" i="62"/>
  <c r="J218" i="50"/>
  <c r="J154" i="62"/>
  <c r="W214" i="50"/>
  <c r="AM170" i="62"/>
  <c r="AM230" i="50" s="1"/>
  <c r="AL230" i="50"/>
  <c r="AL252" i="50" s="1"/>
  <c r="AF175" i="62"/>
  <c r="AF235" i="50" s="1"/>
  <c r="AE235" i="50"/>
  <c r="AE257" i="50" s="1"/>
  <c r="AF242" i="50"/>
  <c r="AF264" i="50" s="1"/>
  <c r="AE264" i="50"/>
  <c r="AD263" i="50"/>
  <c r="R170" i="62"/>
  <c r="R230" i="50" s="1"/>
  <c r="Q230" i="50"/>
  <c r="Q252" i="50" s="1"/>
  <c r="AK214" i="50"/>
  <c r="AM160" i="62"/>
  <c r="AM220" i="50" s="1"/>
  <c r="AL220" i="50"/>
  <c r="AL242" i="50" s="1"/>
  <c r="P272" i="50"/>
  <c r="R163" i="62"/>
  <c r="R223" i="50" s="1"/>
  <c r="Q223" i="50"/>
  <c r="Q245" i="50" s="1"/>
  <c r="AL159" i="50"/>
  <c r="AD214" i="50"/>
  <c r="R173" i="62"/>
  <c r="R233" i="50" s="1"/>
  <c r="Q233" i="50"/>
  <c r="Q255" i="50" s="1"/>
  <c r="X217" i="50"/>
  <c r="X239" i="50" s="1"/>
  <c r="Y157" i="62"/>
  <c r="Y217" i="50" s="1"/>
  <c r="AF171" i="62"/>
  <c r="AF231" i="50" s="1"/>
  <c r="AE231" i="50"/>
  <c r="AE253" i="50" s="1"/>
  <c r="AF169" i="62"/>
  <c r="AF229" i="50" s="1"/>
  <c r="AE229" i="50"/>
  <c r="AE251" i="50" s="1"/>
  <c r="AK276" i="50"/>
  <c r="AD62" i="50"/>
  <c r="AK64" i="50"/>
  <c r="AL74" i="50"/>
  <c r="AF248" i="50"/>
  <c r="AF270" i="50" s="1"/>
  <c r="AE270" i="50"/>
  <c r="AL84" i="50"/>
  <c r="AL76" i="50"/>
  <c r="AD64" i="50"/>
  <c r="AJ61" i="50"/>
  <c r="AC61" i="50"/>
  <c r="AE155" i="50"/>
  <c r="AD175" i="50"/>
  <c r="AD159" i="50"/>
  <c r="AC179" i="50"/>
  <c r="AC172" i="50"/>
  <c r="AD152" i="50"/>
  <c r="AD75" i="50"/>
  <c r="AD236" i="50"/>
  <c r="E72" i="67" s="1"/>
  <c r="AD259" i="50"/>
  <c r="J277" i="50"/>
  <c r="K277" i="50"/>
  <c r="I274" i="50"/>
  <c r="J273" i="50"/>
  <c r="K273" i="50"/>
  <c r="AE269" i="50"/>
  <c r="AL271" i="50"/>
  <c r="AM271" i="50"/>
  <c r="AE183" i="50"/>
  <c r="AF183" i="50"/>
  <c r="AE276" i="50"/>
  <c r="AE261" i="50"/>
  <c r="AL273" i="50"/>
  <c r="P275" i="50"/>
  <c r="J260" i="50"/>
  <c r="K260" i="50"/>
  <c r="X267" i="50"/>
  <c r="W236" i="50"/>
  <c r="E54" i="67" s="1"/>
  <c r="W259" i="50"/>
  <c r="I264" i="50"/>
  <c r="AE260" i="50"/>
  <c r="AE192" i="50"/>
  <c r="F70" i="67" s="1"/>
  <c r="F125" i="67" s="1"/>
  <c r="X273" i="50"/>
  <c r="Y273" i="50"/>
  <c r="J256" i="50"/>
  <c r="I278" i="50"/>
  <c r="W276" i="50"/>
  <c r="P192" i="50"/>
  <c r="E34" i="67" s="1"/>
  <c r="E121" i="67" s="1"/>
  <c r="I259" i="50"/>
  <c r="I192" i="50"/>
  <c r="E16" i="67" s="1"/>
  <c r="I265" i="50"/>
  <c r="AE188" i="50"/>
  <c r="AF188" i="50"/>
  <c r="J247" i="50"/>
  <c r="I269" i="50"/>
  <c r="I263" i="50"/>
  <c r="AF186" i="50"/>
  <c r="AE186" i="50"/>
  <c r="Q260" i="50"/>
  <c r="Q192" i="50"/>
  <c r="F34" i="67" s="1"/>
  <c r="F121" i="67" s="1"/>
  <c r="AE180" i="50"/>
  <c r="AF180" i="50"/>
  <c r="X275" i="50"/>
  <c r="J271" i="50"/>
  <c r="K271" i="50"/>
  <c r="AL261" i="50"/>
  <c r="AM152" i="50"/>
  <c r="Q262" i="50"/>
  <c r="X268" i="50"/>
  <c r="AF96" i="62"/>
  <c r="AF94" i="62" s="1"/>
  <c r="AE94" i="62"/>
  <c r="AM75" i="62"/>
  <c r="AM74" i="62" s="1"/>
  <c r="AM67" i="62" s="1"/>
  <c r="AL74" i="62"/>
  <c r="AL67" i="62" s="1"/>
  <c r="AF101" i="62"/>
  <c r="AE99" i="62"/>
  <c r="Y156" i="62"/>
  <c r="X154" i="62"/>
  <c r="X94" i="62"/>
  <c r="Y95" i="62"/>
  <c r="Y94" i="62" s="1"/>
  <c r="AM81" i="62"/>
  <c r="AL80" i="62"/>
  <c r="AL79" i="62" s="1"/>
  <c r="AF67" i="62"/>
  <c r="AF63" i="62"/>
  <c r="AE61" i="62"/>
  <c r="X67" i="62"/>
  <c r="AF66" i="62"/>
  <c r="AF64" i="62" s="1"/>
  <c r="AE64" i="62"/>
  <c r="Q71" i="62"/>
  <c r="R72" i="62"/>
  <c r="R71" i="62" s="1"/>
  <c r="Q83" i="62"/>
  <c r="Q79" i="62" s="1"/>
  <c r="R84" i="62"/>
  <c r="R83" i="62" s="1"/>
  <c r="R79" i="62" s="1"/>
  <c r="X99" i="62"/>
  <c r="Y100" i="62"/>
  <c r="Y99" i="62" s="1"/>
  <c r="R101" i="62"/>
  <c r="R99" i="62" s="1"/>
  <c r="Q99" i="62"/>
  <c r="K81" i="62"/>
  <c r="K80" i="62" s="1"/>
  <c r="K79" i="62" s="1"/>
  <c r="J80" i="62"/>
  <c r="J79" i="62" s="1"/>
  <c r="P67" i="62"/>
  <c r="P60" i="62" s="1"/>
  <c r="Q74" i="62"/>
  <c r="R75" i="62"/>
  <c r="R74" i="62" s="1"/>
  <c r="AU65" i="73"/>
  <c r="AU61" i="73"/>
  <c r="AU48" i="73"/>
  <c r="AU24" i="73"/>
  <c r="J267" i="50" l="1"/>
  <c r="AF252" i="50"/>
  <c r="AF274" i="50" s="1"/>
  <c r="D114" i="67"/>
  <c r="AO30" i="7"/>
  <c r="AI30" i="7"/>
  <c r="E95" i="67"/>
  <c r="G30" i="7"/>
  <c r="L132" i="67"/>
  <c r="E17" i="67"/>
  <c r="D113" i="67"/>
  <c r="AB30" i="7"/>
  <c r="E71" i="67"/>
  <c r="N30" i="7"/>
  <c r="E35" i="67"/>
  <c r="E119" i="67"/>
  <c r="E129" i="67" s="1"/>
  <c r="E112" i="67"/>
  <c r="U30" i="7"/>
  <c r="E53" i="67"/>
  <c r="R254" i="50"/>
  <c r="R276" i="50" s="1"/>
  <c r="AE274" i="50"/>
  <c r="AD258" i="50"/>
  <c r="E73" i="67" s="1"/>
  <c r="Q276" i="50"/>
  <c r="Y239" i="50"/>
  <c r="Y261" i="50" s="1"/>
  <c r="AF253" i="50"/>
  <c r="AF275" i="50" s="1"/>
  <c r="R255" i="50"/>
  <c r="R277" i="50" s="1"/>
  <c r="Q277" i="50"/>
  <c r="AL60" i="62"/>
  <c r="X261" i="50"/>
  <c r="AE275" i="50"/>
  <c r="Y256" i="50"/>
  <c r="Y278" i="50" s="1"/>
  <c r="Y246" i="50"/>
  <c r="Y268" i="50" s="1"/>
  <c r="R251" i="50"/>
  <c r="R273" i="50" s="1"/>
  <c r="AM246" i="50"/>
  <c r="AM268" i="50" s="1"/>
  <c r="Y60" i="62"/>
  <c r="AF240" i="50"/>
  <c r="AF262" i="50" s="1"/>
  <c r="AZ24" i="73"/>
  <c r="BA24" i="73"/>
  <c r="BD48" i="73"/>
  <c r="BE48" i="73"/>
  <c r="AV65" i="73"/>
  <c r="AW65" i="73"/>
  <c r="BC24" i="73"/>
  <c r="BB24" i="73"/>
  <c r="AY48" i="73"/>
  <c r="AX48" i="73"/>
  <c r="BC61" i="73"/>
  <c r="BB61" i="73"/>
  <c r="AV24" i="73"/>
  <c r="AW24" i="73"/>
  <c r="AV61" i="73"/>
  <c r="AW61" i="73"/>
  <c r="AZ65" i="73"/>
  <c r="BA65" i="73"/>
  <c r="AV48" i="73"/>
  <c r="AW48" i="73"/>
  <c r="AZ61" i="73"/>
  <c r="BA61" i="73"/>
  <c r="BD65" i="73"/>
  <c r="BE65" i="73"/>
  <c r="AY65" i="73"/>
  <c r="AX65" i="73"/>
  <c r="BD24" i="73"/>
  <c r="BE24" i="73"/>
  <c r="AZ48" i="73"/>
  <c r="BA48" i="73"/>
  <c r="BD61" i="73"/>
  <c r="BE61" i="73"/>
  <c r="AY24" i="73"/>
  <c r="AX24" i="73"/>
  <c r="BC48" i="73"/>
  <c r="BB48" i="73"/>
  <c r="AY61" i="73"/>
  <c r="AX61" i="73"/>
  <c r="BC65" i="73"/>
  <c r="BB65" i="73"/>
  <c r="K239" i="50"/>
  <c r="K261" i="50" s="1"/>
  <c r="J261" i="50"/>
  <c r="R248" i="50"/>
  <c r="R270" i="50" s="1"/>
  <c r="Q270" i="50"/>
  <c r="AM253" i="50"/>
  <c r="AM275" i="50" s="1"/>
  <c r="AL275" i="50"/>
  <c r="J214" i="50"/>
  <c r="Y252" i="50"/>
  <c r="Y274" i="50" s="1"/>
  <c r="Y242" i="50"/>
  <c r="Y264" i="50" s="1"/>
  <c r="K246" i="50"/>
  <c r="K268" i="50" s="1"/>
  <c r="Y254" i="50"/>
  <c r="Y276" i="50" s="1"/>
  <c r="AM256" i="50"/>
  <c r="AM278" i="50" s="1"/>
  <c r="AF239" i="50"/>
  <c r="AF261" i="50" s="1"/>
  <c r="R241" i="50"/>
  <c r="R263" i="50" s="1"/>
  <c r="R244" i="50"/>
  <c r="R266" i="50" s="1"/>
  <c r="Q266" i="50"/>
  <c r="K257" i="50"/>
  <c r="K279" i="50" s="1"/>
  <c r="J279" i="50"/>
  <c r="AF247" i="50"/>
  <c r="AF269" i="50" s="1"/>
  <c r="AM245" i="50"/>
  <c r="AM267" i="50" s="1"/>
  <c r="AM255" i="50"/>
  <c r="AM277" i="50" s="1"/>
  <c r="BC24" i="53"/>
  <c r="AW24" i="53"/>
  <c r="BG24" i="53"/>
  <c r="BA24" i="53"/>
  <c r="BE48" i="53"/>
  <c r="BE29" i="53" s="1"/>
  <c r="AY48" i="53"/>
  <c r="BC61" i="53"/>
  <c r="AW61" i="53"/>
  <c r="BG61" i="53"/>
  <c r="BA61" i="53"/>
  <c r="BE65" i="53"/>
  <c r="AY65" i="53"/>
  <c r="BD24" i="53"/>
  <c r="AX24" i="53"/>
  <c r="BH24" i="53"/>
  <c r="BB24" i="53"/>
  <c r="BF48" i="53"/>
  <c r="BF29" i="53" s="1"/>
  <c r="AZ48" i="53"/>
  <c r="BD61" i="53"/>
  <c r="AX61" i="53"/>
  <c r="BH61" i="53"/>
  <c r="BB61" i="53"/>
  <c r="BF65" i="53"/>
  <c r="AZ65" i="53"/>
  <c r="BE24" i="53"/>
  <c r="AY24" i="53"/>
  <c r="BC48" i="53"/>
  <c r="BC29" i="53" s="1"/>
  <c r="AW48" i="53"/>
  <c r="AW29" i="53" s="1"/>
  <c r="BG48" i="53"/>
  <c r="BG29" i="53" s="1"/>
  <c r="BA48" i="53"/>
  <c r="BA29" i="53" s="1"/>
  <c r="BE61" i="53"/>
  <c r="AY61" i="53"/>
  <c r="BC65" i="53"/>
  <c r="BG65" i="53"/>
  <c r="BA65" i="53"/>
  <c r="BF24" i="53"/>
  <c r="AZ24" i="53"/>
  <c r="BD48" i="53"/>
  <c r="BD29" i="53" s="1"/>
  <c r="AX48" i="53"/>
  <c r="BH48" i="53"/>
  <c r="BH29" i="53" s="1"/>
  <c r="BB48" i="53"/>
  <c r="AZ61" i="53"/>
  <c r="BF61" i="53"/>
  <c r="BD65" i="53"/>
  <c r="BH65" i="53"/>
  <c r="BB65" i="53"/>
  <c r="AO61" i="53"/>
  <c r="AP61" i="53"/>
  <c r="AP48" i="53"/>
  <c r="AO48" i="53"/>
  <c r="AP24" i="53"/>
  <c r="AO24" i="53"/>
  <c r="AO65" i="53"/>
  <c r="AP65" i="53"/>
  <c r="AF251" i="50"/>
  <c r="AF273" i="50" s="1"/>
  <c r="AE273" i="50"/>
  <c r="AM252" i="50"/>
  <c r="AM274" i="50" s="1"/>
  <c r="AL274" i="50"/>
  <c r="AM250" i="50"/>
  <c r="AM272" i="50" s="1"/>
  <c r="AL272" i="50"/>
  <c r="Y241" i="50"/>
  <c r="Y263" i="50" s="1"/>
  <c r="X263" i="50"/>
  <c r="AF250" i="50"/>
  <c r="AF272" i="50" s="1"/>
  <c r="AE272" i="50"/>
  <c r="Y244" i="50"/>
  <c r="Y266" i="50" s="1"/>
  <c r="X266" i="50"/>
  <c r="K254" i="50"/>
  <c r="K276" i="50" s="1"/>
  <c r="J276" i="50"/>
  <c r="Y248" i="50"/>
  <c r="Y270" i="50" s="1"/>
  <c r="X270" i="50"/>
  <c r="AM240" i="50"/>
  <c r="AM262" i="50" s="1"/>
  <c r="AL262" i="50"/>
  <c r="R257" i="50"/>
  <c r="R279" i="50" s="1"/>
  <c r="Q279" i="50"/>
  <c r="AF99" i="62"/>
  <c r="AF51" i="50"/>
  <c r="AF76" i="50" s="1"/>
  <c r="J268" i="50"/>
  <c r="AF243" i="50"/>
  <c r="AF265" i="50" s="1"/>
  <c r="AE265" i="50"/>
  <c r="Y240" i="50"/>
  <c r="Y262" i="50" s="1"/>
  <c r="X262" i="50"/>
  <c r="Q67" i="62"/>
  <c r="Q60" i="62" s="1"/>
  <c r="AE60" i="62"/>
  <c r="AM80" i="62"/>
  <c r="AM79" i="62" s="1"/>
  <c r="AM60" i="62" s="1"/>
  <c r="AM139" i="50"/>
  <c r="AM159" i="50" s="1"/>
  <c r="X264" i="50"/>
  <c r="AL278" i="50"/>
  <c r="Q263" i="50"/>
  <c r="R245" i="50"/>
  <c r="R267" i="50" s="1"/>
  <c r="Q267" i="50"/>
  <c r="AM242" i="50"/>
  <c r="AM264" i="50" s="1"/>
  <c r="AL264" i="50"/>
  <c r="R252" i="50"/>
  <c r="R274" i="50" s="1"/>
  <c r="Q274" i="50"/>
  <c r="AF257" i="50"/>
  <c r="AF279" i="50" s="1"/>
  <c r="AE279" i="50"/>
  <c r="R247" i="50"/>
  <c r="R269" i="50" s="1"/>
  <c r="Q269" i="50"/>
  <c r="K244" i="50"/>
  <c r="K266" i="50" s="1"/>
  <c r="J266" i="50"/>
  <c r="AM243" i="50"/>
  <c r="AM265" i="50" s="1"/>
  <c r="AL265" i="50"/>
  <c r="K248" i="50"/>
  <c r="K270" i="50" s="1"/>
  <c r="J270" i="50"/>
  <c r="Y255" i="50"/>
  <c r="Y277" i="50" s="1"/>
  <c r="X277" i="50"/>
  <c r="R243" i="50"/>
  <c r="R265" i="50" s="1"/>
  <c r="Q265" i="50"/>
  <c r="AM238" i="50"/>
  <c r="AM260" i="50" s="1"/>
  <c r="AL260" i="50"/>
  <c r="Y249" i="50"/>
  <c r="Y271" i="50" s="1"/>
  <c r="X271" i="50"/>
  <c r="AF245" i="50"/>
  <c r="AF267" i="50" s="1"/>
  <c r="AE267" i="50"/>
  <c r="K250" i="50"/>
  <c r="K272" i="50" s="1"/>
  <c r="J272" i="50"/>
  <c r="Y250" i="50"/>
  <c r="Y272" i="50" s="1"/>
  <c r="X272" i="50"/>
  <c r="R249" i="50"/>
  <c r="R271" i="50" s="1"/>
  <c r="Q271" i="50"/>
  <c r="AF255" i="50"/>
  <c r="AF277" i="50" s="1"/>
  <c r="AE277" i="50"/>
  <c r="AM247" i="50"/>
  <c r="AM269" i="50" s="1"/>
  <c r="AL269" i="50"/>
  <c r="AF61" i="62"/>
  <c r="AF60" i="62" s="1"/>
  <c r="AF132" i="50"/>
  <c r="R242" i="50"/>
  <c r="R264" i="50" s="1"/>
  <c r="Q264" i="50"/>
  <c r="Y247" i="50"/>
  <c r="Y269" i="50" s="1"/>
  <c r="X269" i="50"/>
  <c r="AM248" i="50"/>
  <c r="AM270" i="50" s="1"/>
  <c r="AL270" i="50"/>
  <c r="Y243" i="50"/>
  <c r="Y265" i="50" s="1"/>
  <c r="X265" i="50"/>
  <c r="AF249" i="50"/>
  <c r="AF271" i="50" s="1"/>
  <c r="AE271" i="50"/>
  <c r="R239" i="50"/>
  <c r="R261" i="50" s="1"/>
  <c r="Q261" i="50"/>
  <c r="AE214" i="50"/>
  <c r="J240" i="50"/>
  <c r="J236" i="50" s="1"/>
  <c r="F18" i="67" s="1"/>
  <c r="I262" i="50"/>
  <c r="I258" i="50" s="1"/>
  <c r="E19" i="67" s="1"/>
  <c r="AF214" i="50"/>
  <c r="X214" i="50"/>
  <c r="AM154" i="62"/>
  <c r="AM214" i="50"/>
  <c r="Q237" i="50"/>
  <c r="P236" i="50"/>
  <c r="E36" i="67" s="1"/>
  <c r="P259" i="50"/>
  <c r="P258" i="50" s="1"/>
  <c r="E37" i="67" s="1"/>
  <c r="Y154" i="62"/>
  <c r="Y216" i="50"/>
  <c r="Y214" i="50" s="1"/>
  <c r="R214" i="50"/>
  <c r="Q214" i="50"/>
  <c r="AL214" i="50"/>
  <c r="AM244" i="50"/>
  <c r="AM266" i="50" s="1"/>
  <c r="AL266" i="50"/>
  <c r="R67" i="62"/>
  <c r="R60" i="62" s="1"/>
  <c r="X60" i="62"/>
  <c r="AM254" i="50"/>
  <c r="AM276" i="50" s="1"/>
  <c r="AL276" i="50"/>
  <c r="R250" i="50"/>
  <c r="R272" i="50" s="1"/>
  <c r="Q272" i="50"/>
  <c r="AF241" i="50"/>
  <c r="AF263" i="50" s="1"/>
  <c r="AE263" i="50"/>
  <c r="K218" i="50"/>
  <c r="K214" i="50" s="1"/>
  <c r="K154" i="62"/>
  <c r="AK259" i="50"/>
  <c r="AK258" i="50" s="1"/>
  <c r="E97" i="67" s="1"/>
  <c r="AL237" i="50"/>
  <c r="AK236" i="50"/>
  <c r="E96" i="67" s="1"/>
  <c r="AF154" i="62"/>
  <c r="R154" i="62"/>
  <c r="AE75" i="50"/>
  <c r="AE152" i="50"/>
  <c r="AD172" i="50"/>
  <c r="AE64" i="50"/>
  <c r="AM74" i="50"/>
  <c r="AL64" i="50"/>
  <c r="AF155" i="50"/>
  <c r="AF175" i="50" s="1"/>
  <c r="AE175" i="50"/>
  <c r="AE62" i="50"/>
  <c r="AK61" i="50"/>
  <c r="AE159" i="50"/>
  <c r="AD179" i="50"/>
  <c r="AD61" i="50"/>
  <c r="AM76" i="50"/>
  <c r="AM84" i="50"/>
  <c r="K247" i="50"/>
  <c r="K269" i="50" s="1"/>
  <c r="J269" i="50"/>
  <c r="X276" i="50"/>
  <c r="AM192" i="50"/>
  <c r="G94" i="67" s="1"/>
  <c r="G127" i="67" s="1"/>
  <c r="W258" i="50"/>
  <c r="E55" i="67" s="1"/>
  <c r="Y192" i="50"/>
  <c r="G52" i="67" s="1"/>
  <c r="G123" i="67" s="1"/>
  <c r="AF237" i="50"/>
  <c r="AE236" i="50"/>
  <c r="F72" i="67" s="1"/>
  <c r="AE259" i="50"/>
  <c r="J259" i="50"/>
  <c r="J192" i="50"/>
  <c r="F16" i="67" s="1"/>
  <c r="AF260" i="50"/>
  <c r="AF192" i="50"/>
  <c r="G70" i="67" s="1"/>
  <c r="G125" i="67" s="1"/>
  <c r="J264" i="50"/>
  <c r="K264" i="50"/>
  <c r="Q275" i="50"/>
  <c r="R275" i="50"/>
  <c r="X192" i="50"/>
  <c r="F52" i="67" s="1"/>
  <c r="F123" i="67" s="1"/>
  <c r="K237" i="50"/>
  <c r="R260" i="50"/>
  <c r="R192" i="50"/>
  <c r="G34" i="67" s="1"/>
  <c r="G121" i="67" s="1"/>
  <c r="J263" i="50"/>
  <c r="K263" i="50"/>
  <c r="J265" i="50"/>
  <c r="K265" i="50"/>
  <c r="K256" i="50"/>
  <c r="K278" i="50" s="1"/>
  <c r="J278" i="50"/>
  <c r="Y237" i="50"/>
  <c r="X236" i="50"/>
  <c r="F54" i="67" s="1"/>
  <c r="X259" i="50"/>
  <c r="J274" i="50"/>
  <c r="K274" i="50"/>
  <c r="AP30" i="7" l="1"/>
  <c r="E114" i="67"/>
  <c r="I30" i="7"/>
  <c r="G17" i="67"/>
  <c r="N132" i="67"/>
  <c r="O30" i="7"/>
  <c r="F35" i="67"/>
  <c r="H30" i="7"/>
  <c r="F17" i="67"/>
  <c r="M132" i="67"/>
  <c r="F119" i="67"/>
  <c r="F129" i="67" s="1"/>
  <c r="F112" i="67"/>
  <c r="P30" i="7"/>
  <c r="G35" i="67"/>
  <c r="V30" i="7"/>
  <c r="F53" i="67"/>
  <c r="AC30" i="7"/>
  <c r="F71" i="67"/>
  <c r="W30" i="7"/>
  <c r="G53" i="67"/>
  <c r="AD30" i="7"/>
  <c r="G71" i="67"/>
  <c r="AJ30" i="7"/>
  <c r="F95" i="67"/>
  <c r="AK30" i="7"/>
  <c r="G95" i="67"/>
  <c r="E115" i="67"/>
  <c r="E113" i="67"/>
  <c r="AE258" i="50"/>
  <c r="F73" i="67" s="1"/>
  <c r="Y238" i="50"/>
  <c r="Y260" i="50" s="1"/>
  <c r="AL259" i="50"/>
  <c r="AL258" i="50" s="1"/>
  <c r="F97" i="67" s="1"/>
  <c r="AL236" i="50"/>
  <c r="F96" i="67" s="1"/>
  <c r="AM237" i="50"/>
  <c r="K240" i="50"/>
  <c r="K262" i="50" s="1"/>
  <c r="J262" i="50"/>
  <c r="J258" i="50" s="1"/>
  <c r="F19" i="67" s="1"/>
  <c r="X258" i="50"/>
  <c r="F55" i="67" s="1"/>
  <c r="R237" i="50"/>
  <c r="Q236" i="50"/>
  <c r="F36" i="67" s="1"/>
  <c r="Q259" i="50"/>
  <c r="Q258" i="50" s="1"/>
  <c r="F37" i="67" s="1"/>
  <c r="D72" i="49"/>
  <c r="AM39" i="67" s="1"/>
  <c r="D58" i="49"/>
  <c r="AM31" i="67" s="1"/>
  <c r="AE61" i="50"/>
  <c r="AE172" i="50"/>
  <c r="AF152" i="50"/>
  <c r="AF159" i="50"/>
  <c r="AF179" i="50" s="1"/>
  <c r="AE179" i="50"/>
  <c r="AL61" i="50"/>
  <c r="AF64" i="50"/>
  <c r="AF62" i="50"/>
  <c r="AM64" i="50"/>
  <c r="AF75" i="50"/>
  <c r="Y259" i="50"/>
  <c r="K259" i="50"/>
  <c r="K192" i="50"/>
  <c r="G16" i="67" s="1"/>
  <c r="AF236" i="50"/>
  <c r="G72" i="67" s="1"/>
  <c r="AF259" i="50"/>
  <c r="AF258" i="50" s="1"/>
  <c r="G73" i="67" s="1"/>
  <c r="AA83" i="53"/>
  <c r="AA51" i="53"/>
  <c r="AJ51" i="73" s="1"/>
  <c r="AA38" i="53"/>
  <c r="AJ38" i="73" s="1"/>
  <c r="AV18" i="53"/>
  <c r="AU18" i="53"/>
  <c r="AT18" i="53"/>
  <c r="AS18" i="53"/>
  <c r="AR18" i="53"/>
  <c r="AQ18" i="53"/>
  <c r="AQ25" i="53"/>
  <c r="AN25" i="53"/>
  <c r="AM25" i="53"/>
  <c r="AL25" i="53"/>
  <c r="AK25" i="53"/>
  <c r="AJ25" i="53"/>
  <c r="AI25" i="53"/>
  <c r="AU25" i="73" s="1"/>
  <c r="AF25" i="53"/>
  <c r="AE25" i="53"/>
  <c r="AD25" i="53"/>
  <c r="AC25" i="53"/>
  <c r="AB25" i="53"/>
  <c r="AA25" i="53"/>
  <c r="AJ25" i="73" s="1"/>
  <c r="AN83" i="53"/>
  <c r="AM83" i="53"/>
  <c r="AL83" i="53"/>
  <c r="AK83" i="53"/>
  <c r="AJ83" i="53"/>
  <c r="AI83" i="53"/>
  <c r="AF83" i="53"/>
  <c r="AE83" i="53"/>
  <c r="AD83" i="53"/>
  <c r="AC83" i="53"/>
  <c r="AB83" i="53"/>
  <c r="AN70" i="53"/>
  <c r="Y107" i="67" s="1"/>
  <c r="AM70" i="53"/>
  <c r="X107" i="67" s="1"/>
  <c r="AL70" i="53"/>
  <c r="W107" i="67" s="1"/>
  <c r="AK70" i="53"/>
  <c r="V107" i="67" s="1"/>
  <c r="AJ70" i="53"/>
  <c r="U107" i="67" s="1"/>
  <c r="AI70" i="53"/>
  <c r="AF70" i="53"/>
  <c r="Y86" i="67" s="1"/>
  <c r="AE70" i="53"/>
  <c r="X86" i="67" s="1"/>
  <c r="AD70" i="53"/>
  <c r="W86" i="67" s="1"/>
  <c r="AC70" i="53"/>
  <c r="V86" i="67" s="1"/>
  <c r="AB70" i="53"/>
  <c r="U86" i="67" s="1"/>
  <c r="AA70" i="53"/>
  <c r="AI55" i="53"/>
  <c r="AA55" i="53"/>
  <c r="AN51" i="53"/>
  <c r="AM51" i="53"/>
  <c r="AL51" i="53"/>
  <c r="AK51" i="53"/>
  <c r="AJ51" i="53"/>
  <c r="AI51" i="53"/>
  <c r="AU51" i="73" s="1"/>
  <c r="AF51" i="53"/>
  <c r="AE51" i="53"/>
  <c r="AD51" i="53"/>
  <c r="AC51" i="53"/>
  <c r="AB51" i="53"/>
  <c r="AN38" i="53"/>
  <c r="AM38" i="53"/>
  <c r="AL38" i="53"/>
  <c r="AK38" i="53"/>
  <c r="AJ38" i="53"/>
  <c r="AI38" i="53"/>
  <c r="AU38" i="73" s="1"/>
  <c r="AF38" i="53"/>
  <c r="AE38" i="53"/>
  <c r="AD38" i="53"/>
  <c r="AC38" i="53"/>
  <c r="AB38" i="53"/>
  <c r="AN18" i="53"/>
  <c r="AM18" i="53"/>
  <c r="AL18" i="53"/>
  <c r="AK18" i="53"/>
  <c r="AJ18" i="53"/>
  <c r="AI18" i="53"/>
  <c r="AU18" i="73" s="1"/>
  <c r="AF18" i="53"/>
  <c r="AE18" i="53"/>
  <c r="AD18" i="53"/>
  <c r="AC18" i="53"/>
  <c r="AB18" i="53"/>
  <c r="AA18" i="53"/>
  <c r="AJ18" i="73" s="1"/>
  <c r="AN12" i="53"/>
  <c r="AM12" i="53"/>
  <c r="AL12" i="53"/>
  <c r="AK12" i="53"/>
  <c r="AJ12" i="53"/>
  <c r="AI12" i="53"/>
  <c r="AU12" i="73" s="1"/>
  <c r="AF12" i="53"/>
  <c r="AE12" i="53"/>
  <c r="AD12" i="53"/>
  <c r="AC12" i="53"/>
  <c r="AB12" i="53"/>
  <c r="AA12" i="53"/>
  <c r="AJ12" i="73" s="1"/>
  <c r="AQ30" i="7" l="1"/>
  <c r="AR30" i="7"/>
  <c r="F114" i="67"/>
  <c r="O132" i="67"/>
  <c r="G119" i="67"/>
  <c r="G129" i="67" s="1"/>
  <c r="G112" i="67"/>
  <c r="AJ70" i="73"/>
  <c r="T86" i="67"/>
  <c r="Z86" i="67" s="1"/>
  <c r="F113" i="67"/>
  <c r="G113" i="67"/>
  <c r="AU70" i="73"/>
  <c r="T107" i="67"/>
  <c r="Z107" i="67" s="1"/>
  <c r="F115" i="67"/>
  <c r="AU55" i="73"/>
  <c r="T101" i="67"/>
  <c r="AJ55" i="73"/>
  <c r="T80" i="67"/>
  <c r="K258" i="50"/>
  <c r="G19" i="67" s="1"/>
  <c r="Y258" i="50"/>
  <c r="G55" i="67" s="1"/>
  <c r="K236" i="50"/>
  <c r="G18" i="67" s="1"/>
  <c r="Y236" i="50"/>
  <c r="G54" i="67" s="1"/>
  <c r="BA12" i="73"/>
  <c r="AZ12" i="73"/>
  <c r="AO12" i="73"/>
  <c r="AP12" i="73"/>
  <c r="BE12" i="73"/>
  <c r="BD12" i="73"/>
  <c r="AR12" i="73"/>
  <c r="AQ12" i="73"/>
  <c r="AX12" i="73"/>
  <c r="AY12" i="73"/>
  <c r="AK38" i="73"/>
  <c r="AL38" i="73"/>
  <c r="AS38" i="73"/>
  <c r="AT38" i="73"/>
  <c r="BA38" i="73"/>
  <c r="AZ38" i="73"/>
  <c r="AN51" i="73"/>
  <c r="AM51" i="73"/>
  <c r="BB51" i="73"/>
  <c r="BC51" i="73"/>
  <c r="AQ70" i="73"/>
  <c r="AR70" i="73"/>
  <c r="AY70" i="73"/>
  <c r="AX70" i="73"/>
  <c r="AB76" i="53"/>
  <c r="U87" i="67" s="1"/>
  <c r="AK83" i="73"/>
  <c r="AL83" i="73"/>
  <c r="AS83" i="73"/>
  <c r="AT83" i="73"/>
  <c r="AL76" i="53"/>
  <c r="W108" i="67" s="1"/>
  <c r="BA83" i="73"/>
  <c r="AZ83" i="73"/>
  <c r="AK25" i="73"/>
  <c r="AL25" i="73"/>
  <c r="AS25" i="73"/>
  <c r="AT25" i="73"/>
  <c r="BA25" i="73"/>
  <c r="AZ25" i="73"/>
  <c r="AA76" i="53"/>
  <c r="AJ83" i="73"/>
  <c r="AS12" i="73"/>
  <c r="AT12" i="73"/>
  <c r="BB38" i="73"/>
  <c r="BC38" i="73"/>
  <c r="AW51" i="73"/>
  <c r="AV51" i="73"/>
  <c r="BE51" i="73"/>
  <c r="BD51" i="73"/>
  <c r="AL70" i="73"/>
  <c r="AK70" i="73"/>
  <c r="AT70" i="73"/>
  <c r="AS70" i="73"/>
  <c r="AZ70" i="73"/>
  <c r="BA70" i="73"/>
  <c r="AC76" i="53"/>
  <c r="V87" i="67" s="1"/>
  <c r="AN83" i="73"/>
  <c r="AM83" i="73"/>
  <c r="AI76" i="53"/>
  <c r="AU83" i="73"/>
  <c r="AM76" i="53"/>
  <c r="X108" i="67" s="1"/>
  <c r="BB83" i="73"/>
  <c r="BC83" i="73"/>
  <c r="AN25" i="73"/>
  <c r="AM25" i="73"/>
  <c r="BB25" i="73"/>
  <c r="BC25" i="73"/>
  <c r="AK12" i="73"/>
  <c r="AL12" i="73"/>
  <c r="AN38" i="73"/>
  <c r="AM38" i="73"/>
  <c r="AO51" i="73"/>
  <c r="AP51" i="73"/>
  <c r="AN12" i="73"/>
  <c r="AM12" i="73"/>
  <c r="BB12" i="73"/>
  <c r="BC12" i="73"/>
  <c r="AO38" i="73"/>
  <c r="AP38" i="73"/>
  <c r="AW38" i="73"/>
  <c r="AV38" i="73"/>
  <c r="BE38" i="73"/>
  <c r="BD38" i="73"/>
  <c r="AR51" i="73"/>
  <c r="AQ51" i="73"/>
  <c r="AX51" i="73"/>
  <c r="AY51" i="73"/>
  <c r="AM70" i="73"/>
  <c r="AN70" i="73"/>
  <c r="BC70" i="73"/>
  <c r="BB70" i="73"/>
  <c r="AD76" i="53"/>
  <c r="W87" i="67" s="1"/>
  <c r="AO83" i="73"/>
  <c r="AP83" i="73"/>
  <c r="AJ76" i="53"/>
  <c r="U108" i="67" s="1"/>
  <c r="AW83" i="73"/>
  <c r="AV83" i="73"/>
  <c r="BE83" i="73"/>
  <c r="BD83" i="73"/>
  <c r="AO25" i="73"/>
  <c r="AP25" i="73"/>
  <c r="AW25" i="73"/>
  <c r="AV25" i="73"/>
  <c r="BE25" i="73"/>
  <c r="BD25" i="73"/>
  <c r="AW12" i="73"/>
  <c r="AV12" i="73"/>
  <c r="AR38" i="73"/>
  <c r="AQ38" i="73"/>
  <c r="AX38" i="73"/>
  <c r="AY38" i="73"/>
  <c r="AK51" i="73"/>
  <c r="AL51" i="73"/>
  <c r="AS51" i="73"/>
  <c r="AT51" i="73"/>
  <c r="BA51" i="73"/>
  <c r="AZ51" i="73"/>
  <c r="AP70" i="73"/>
  <c r="AO70" i="73"/>
  <c r="AV70" i="73"/>
  <c r="AW70" i="73"/>
  <c r="BD70" i="73"/>
  <c r="BE70" i="73"/>
  <c r="AE76" i="53"/>
  <c r="X87" i="67" s="1"/>
  <c r="AR83" i="73"/>
  <c r="AQ83" i="73"/>
  <c r="AK76" i="53"/>
  <c r="V108" i="67" s="1"/>
  <c r="AX83" i="73"/>
  <c r="AY83" i="73"/>
  <c r="AR25" i="73"/>
  <c r="AQ25" i="73"/>
  <c r="AX25" i="73"/>
  <c r="AY25" i="73"/>
  <c r="AN18" i="73"/>
  <c r="AM18" i="73"/>
  <c r="BC18" i="73"/>
  <c r="BB18" i="73"/>
  <c r="AO18" i="73"/>
  <c r="AP18" i="73"/>
  <c r="AV18" i="73"/>
  <c r="AW18" i="73"/>
  <c r="BD18" i="73"/>
  <c r="BE18" i="73"/>
  <c r="AR18" i="73"/>
  <c r="AQ18" i="73"/>
  <c r="AY18" i="73"/>
  <c r="AX18" i="73"/>
  <c r="AL18" i="73"/>
  <c r="AK18" i="73"/>
  <c r="AT18" i="73"/>
  <c r="AS18" i="73"/>
  <c r="AZ18" i="73"/>
  <c r="BA18" i="73"/>
  <c r="AP12" i="53"/>
  <c r="AO12" i="53"/>
  <c r="AH38" i="53"/>
  <c r="AG38" i="53"/>
  <c r="AO51" i="53"/>
  <c r="AP51" i="53"/>
  <c r="AP70" i="53"/>
  <c r="AO70" i="53"/>
  <c r="AH51" i="53"/>
  <c r="AG51" i="53"/>
  <c r="AH70" i="53"/>
  <c r="AG70" i="53"/>
  <c r="AN76" i="53"/>
  <c r="Y108" i="67" s="1"/>
  <c r="AP83" i="53"/>
  <c r="AO83" i="53"/>
  <c r="AO25" i="53"/>
  <c r="AP25" i="53"/>
  <c r="AH12" i="53"/>
  <c r="AG12" i="53"/>
  <c r="AP18" i="53"/>
  <c r="AO18" i="53"/>
  <c r="AF76" i="53"/>
  <c r="Y87" i="67" s="1"/>
  <c r="AG83" i="53"/>
  <c r="AH83" i="53"/>
  <c r="AH25" i="53"/>
  <c r="AG25" i="53"/>
  <c r="AH18" i="53"/>
  <c r="AG18" i="53"/>
  <c r="AP38" i="53"/>
  <c r="AO38" i="53"/>
  <c r="AM29" i="53"/>
  <c r="X100" i="67" s="1"/>
  <c r="R236" i="50"/>
  <c r="G36" i="67" s="1"/>
  <c r="R259" i="50"/>
  <c r="R258" i="50" s="1"/>
  <c r="G37" i="67" s="1"/>
  <c r="AM236" i="50"/>
  <c r="G96" i="67" s="1"/>
  <c r="AM259" i="50"/>
  <c r="AM258" i="50" s="1"/>
  <c r="G97" i="67" s="1"/>
  <c r="AM61" i="50"/>
  <c r="AF172" i="50"/>
  <c r="AF61" i="50"/>
  <c r="AJ29" i="53"/>
  <c r="U100" i="67" s="1"/>
  <c r="AF29" i="53"/>
  <c r="Y79" i="67" s="1"/>
  <c r="AN29" i="53"/>
  <c r="Y100" i="67" s="1"/>
  <c r="AC29" i="53"/>
  <c r="V79" i="67" s="1"/>
  <c r="AI29" i="53"/>
  <c r="AL29" i="53"/>
  <c r="W100" i="67" s="1"/>
  <c r="AA29" i="53"/>
  <c r="AD29" i="53"/>
  <c r="W79" i="67" s="1"/>
  <c r="AE29" i="53"/>
  <c r="X79" i="67" s="1"/>
  <c r="AB29" i="53"/>
  <c r="U79" i="67" s="1"/>
  <c r="AK29" i="53"/>
  <c r="V100" i="67" s="1"/>
  <c r="AA107" i="67" l="1"/>
  <c r="AJ76" i="73"/>
  <c r="T87" i="67"/>
  <c r="AA87" i="67" s="1"/>
  <c r="G114" i="67"/>
  <c r="AA86" i="67"/>
  <c r="AU76" i="73"/>
  <c r="T108" i="67"/>
  <c r="Z108" i="67" s="1"/>
  <c r="G115" i="67"/>
  <c r="AU29" i="73"/>
  <c r="T100" i="67"/>
  <c r="Z100" i="67" s="1"/>
  <c r="AJ29" i="73"/>
  <c r="T79" i="67"/>
  <c r="Z79" i="67" s="1"/>
  <c r="BC76" i="73"/>
  <c r="BB76" i="73"/>
  <c r="AQ76" i="73"/>
  <c r="AR76" i="73"/>
  <c r="AP76" i="73"/>
  <c r="AO76" i="73"/>
  <c r="AM76" i="73"/>
  <c r="AN76" i="73"/>
  <c r="AT76" i="73"/>
  <c r="AS76" i="73"/>
  <c r="AY76" i="73"/>
  <c r="AX76" i="73"/>
  <c r="AV76" i="73"/>
  <c r="AW76" i="73"/>
  <c r="AZ76" i="73"/>
  <c r="BA76" i="73"/>
  <c r="BD76" i="73"/>
  <c r="BE76" i="73"/>
  <c r="AL76" i="73"/>
  <c r="AK76" i="73"/>
  <c r="AL29" i="73"/>
  <c r="AK29" i="73"/>
  <c r="BA29" i="73"/>
  <c r="AZ29" i="73"/>
  <c r="AT29" i="73"/>
  <c r="AS29" i="73"/>
  <c r="BB29" i="73"/>
  <c r="BC29" i="73"/>
  <c r="AQ29" i="73"/>
  <c r="AR29" i="73"/>
  <c r="AW29" i="73"/>
  <c r="AV29" i="73"/>
  <c r="AP29" i="73"/>
  <c r="AO29" i="73"/>
  <c r="AN29" i="73"/>
  <c r="AM29" i="73"/>
  <c r="AX29" i="73"/>
  <c r="AY29" i="73"/>
  <c r="BE29" i="73"/>
  <c r="BD29" i="73"/>
  <c r="AO29" i="53"/>
  <c r="AP29" i="53"/>
  <c r="AH29" i="53"/>
  <c r="AG29" i="53"/>
  <c r="AH76" i="53"/>
  <c r="AG76" i="53"/>
  <c r="AP76" i="53"/>
  <c r="AO76" i="53"/>
  <c r="E72" i="49"/>
  <c r="AN39" i="67" s="1"/>
  <c r="E58" i="49"/>
  <c r="AN31" i="67" s="1"/>
  <c r="Z87" i="67" l="1"/>
  <c r="AA108" i="67"/>
  <c r="AA79" i="67"/>
  <c r="AA100" i="67"/>
  <c r="F72" i="49"/>
  <c r="AO39" i="67" s="1"/>
  <c r="F58" i="49"/>
  <c r="AO31" i="67" s="1"/>
  <c r="H81" i="39"/>
  <c r="G81" i="39"/>
  <c r="F81" i="39"/>
  <c r="E81" i="39"/>
  <c r="D81" i="39"/>
  <c r="C81" i="39"/>
  <c r="O75" i="39"/>
  <c r="Q75" i="39" s="1"/>
  <c r="K75" i="39" s="1"/>
  <c r="H72" i="39"/>
  <c r="G72" i="39"/>
  <c r="F72" i="39"/>
  <c r="E72" i="39"/>
  <c r="D72" i="39"/>
  <c r="I71" i="39"/>
  <c r="H71" i="39"/>
  <c r="G71" i="39"/>
  <c r="F71" i="39"/>
  <c r="E71" i="39"/>
  <c r="D71" i="39"/>
  <c r="C71" i="39"/>
  <c r="C76" i="39" s="1"/>
  <c r="D70" i="39"/>
  <c r="I69" i="39"/>
  <c r="D69" i="39"/>
  <c r="H61" i="39"/>
  <c r="G61" i="39"/>
  <c r="F61" i="39"/>
  <c r="E61" i="39"/>
  <c r="D61" i="39"/>
  <c r="M61" i="39"/>
  <c r="L61" i="39"/>
  <c r="N56" i="39"/>
  <c r="T56" i="39" s="1"/>
  <c r="M56" i="39"/>
  <c r="S56" i="39" s="1"/>
  <c r="L56" i="39"/>
  <c r="R56" i="39" s="1"/>
  <c r="K56" i="39"/>
  <c r="Q56" i="39" s="1"/>
  <c r="J56" i="39"/>
  <c r="P56" i="39" s="1"/>
  <c r="I56" i="39"/>
  <c r="O56" i="39" s="1"/>
  <c r="I49" i="39"/>
  <c r="R13" i="78" s="1"/>
  <c r="H49" i="39"/>
  <c r="G49" i="39"/>
  <c r="F49" i="39"/>
  <c r="E49" i="39"/>
  <c r="D49" i="39"/>
  <c r="C49" i="39"/>
  <c r="N49" i="39"/>
  <c r="N44" i="39"/>
  <c r="T44" i="39" s="1"/>
  <c r="M44" i="39"/>
  <c r="S44" i="39" s="1"/>
  <c r="L44" i="39"/>
  <c r="R44" i="39" s="1"/>
  <c r="K44" i="39"/>
  <c r="Q44" i="39" s="1"/>
  <c r="J44" i="39"/>
  <c r="P44" i="39" s="1"/>
  <c r="I44" i="39"/>
  <c r="O44" i="39" s="1"/>
  <c r="D37" i="39"/>
  <c r="C37" i="39"/>
  <c r="O34" i="39"/>
  <c r="I26" i="39"/>
  <c r="R8" i="78" s="1"/>
  <c r="H26" i="39"/>
  <c r="Q8" i="78" s="1"/>
  <c r="G26" i="39"/>
  <c r="P8" i="78" s="1"/>
  <c r="F26" i="39"/>
  <c r="O8" i="78" s="1"/>
  <c r="E26" i="39"/>
  <c r="N8" i="78" s="1"/>
  <c r="D26" i="39"/>
  <c r="M8" i="78" s="1"/>
  <c r="C26" i="39"/>
  <c r="L8" i="78" s="1"/>
  <c r="H32" i="39"/>
  <c r="G32" i="39"/>
  <c r="F32" i="39"/>
  <c r="D32" i="39"/>
  <c r="C32" i="39"/>
  <c r="I14" i="39"/>
  <c r="D14" i="39"/>
  <c r="M5" i="78" s="1"/>
  <c r="C14" i="39"/>
  <c r="L5" i="78" s="1"/>
  <c r="N72" i="39"/>
  <c r="M72" i="39"/>
  <c r="L72" i="39"/>
  <c r="K72" i="39"/>
  <c r="J72" i="39"/>
  <c r="N71" i="39"/>
  <c r="M71" i="39"/>
  <c r="L71" i="39"/>
  <c r="K71" i="39"/>
  <c r="J71" i="39"/>
  <c r="N9" i="39"/>
  <c r="T9" i="39" s="1"/>
  <c r="M9" i="39"/>
  <c r="S9" i="39" s="1"/>
  <c r="L9" i="39"/>
  <c r="R9" i="39" s="1"/>
  <c r="K9" i="39"/>
  <c r="Q9" i="39" s="1"/>
  <c r="J9" i="39"/>
  <c r="P9" i="39" s="1"/>
  <c r="I9" i="39"/>
  <c r="O9" i="39" s="1"/>
  <c r="Q15" i="78" l="1"/>
  <c r="H64" i="39"/>
  <c r="D64" i="39"/>
  <c r="N15" i="78"/>
  <c r="E64" i="39"/>
  <c r="O15" i="78"/>
  <c r="F64" i="39"/>
  <c r="P15" i="78"/>
  <c r="G64" i="39"/>
  <c r="P13" i="78"/>
  <c r="G52" i="39"/>
  <c r="O13" i="78"/>
  <c r="F52" i="39"/>
  <c r="Q13" i="78"/>
  <c r="H52" i="39"/>
  <c r="N13" i="78"/>
  <c r="E52" i="39"/>
  <c r="M13" i="78"/>
  <c r="D52" i="39"/>
  <c r="L13" i="78"/>
  <c r="C52" i="39"/>
  <c r="F17" i="39"/>
  <c r="O5" i="78"/>
  <c r="AM17" i="53"/>
  <c r="AM11" i="53" s="1"/>
  <c r="X99" i="67" s="1"/>
  <c r="V15" i="78"/>
  <c r="AS17" i="53"/>
  <c r="T21" i="78"/>
  <c r="D62" i="39"/>
  <c r="M16" i="78" s="1"/>
  <c r="M15" i="78"/>
  <c r="H17" i="39"/>
  <c r="Q5" i="78"/>
  <c r="G17" i="39"/>
  <c r="P5" i="78"/>
  <c r="C39" i="39"/>
  <c r="L12" i="78" s="1"/>
  <c r="L10" i="78"/>
  <c r="AF17" i="53"/>
  <c r="AF89" i="53" s="1"/>
  <c r="Y91" i="67" s="1"/>
  <c r="W13" i="78"/>
  <c r="D39" i="39"/>
  <c r="M12" i="78" s="1"/>
  <c r="M10" i="78"/>
  <c r="C73" i="39"/>
  <c r="C17" i="53"/>
  <c r="C17" i="73" s="1"/>
  <c r="R5" i="78"/>
  <c r="AL17" i="53"/>
  <c r="AL89" i="53" s="1"/>
  <c r="W112" i="67" s="1"/>
  <c r="U15" i="78"/>
  <c r="D73" i="39"/>
  <c r="O69" i="39"/>
  <c r="D38" i="39"/>
  <c r="M11" i="78" s="1"/>
  <c r="D15" i="39"/>
  <c r="M6" i="78" s="1"/>
  <c r="E15" i="39"/>
  <c r="N6" i="78" s="1"/>
  <c r="D27" i="39"/>
  <c r="M9" i="78" s="1"/>
  <c r="D50" i="39"/>
  <c r="M14" i="78" s="1"/>
  <c r="AI17" i="53"/>
  <c r="AA17" i="53"/>
  <c r="P71" i="39"/>
  <c r="T71" i="39"/>
  <c r="S71" i="39"/>
  <c r="D76" i="39"/>
  <c r="P72" i="39"/>
  <c r="T72" i="39"/>
  <c r="S72" i="39"/>
  <c r="R71" i="39"/>
  <c r="H27" i="39"/>
  <c r="Q9" i="78" s="1"/>
  <c r="F50" i="39"/>
  <c r="O14" i="78" s="1"/>
  <c r="G62" i="39"/>
  <c r="P16" i="78" s="1"/>
  <c r="O72" i="39"/>
  <c r="G27" i="39"/>
  <c r="P9" i="78" s="1"/>
  <c r="Q72" i="39"/>
  <c r="K17" i="53"/>
  <c r="N17" i="73" s="1"/>
  <c r="R72" i="39"/>
  <c r="O26" i="39"/>
  <c r="H50" i="39"/>
  <c r="Q14" i="78" s="1"/>
  <c r="G50" i="39"/>
  <c r="P14" i="78" s="1"/>
  <c r="H62" i="39"/>
  <c r="Q16" i="78" s="1"/>
  <c r="Q74" i="39"/>
  <c r="K74" i="39" s="1"/>
  <c r="T17" i="78" s="1"/>
  <c r="E69" i="39"/>
  <c r="E73" i="39" s="1"/>
  <c r="K33" i="39"/>
  <c r="Q33" i="39" s="1"/>
  <c r="O49" i="39"/>
  <c r="E27" i="39"/>
  <c r="N9" i="78" s="1"/>
  <c r="F37" i="39"/>
  <c r="O71" i="39"/>
  <c r="Q71" i="39"/>
  <c r="I70" i="39"/>
  <c r="O70" i="39" s="1"/>
  <c r="M34" i="39"/>
  <c r="S34" i="39" s="1"/>
  <c r="L34" i="39"/>
  <c r="R34" i="39" s="1"/>
  <c r="N34" i="39"/>
  <c r="T34" i="39" s="1"/>
  <c r="K34" i="39"/>
  <c r="Q34" i="39" s="1"/>
  <c r="J34" i="39"/>
  <c r="P34" i="39" s="1"/>
  <c r="AF11" i="53"/>
  <c r="Y78" i="67" s="1"/>
  <c r="J21" i="39"/>
  <c r="P21" i="39" s="1"/>
  <c r="N21" i="39"/>
  <c r="T21" i="39" s="1"/>
  <c r="AL11" i="53"/>
  <c r="W99" i="67" s="1"/>
  <c r="K14" i="39"/>
  <c r="T5" i="78" s="1"/>
  <c r="L14" i="39"/>
  <c r="U5" i="78" s="1"/>
  <c r="M14" i="39"/>
  <c r="V5" i="78" s="1"/>
  <c r="F15" i="39"/>
  <c r="O6" i="78" s="1"/>
  <c r="G68" i="39"/>
  <c r="M32" i="39"/>
  <c r="S32" i="39" s="1"/>
  <c r="K26" i="39"/>
  <c r="T49" i="39"/>
  <c r="G15" i="39"/>
  <c r="P6" i="78" s="1"/>
  <c r="D68" i="39"/>
  <c r="J32" i="39"/>
  <c r="P32" i="39" s="1"/>
  <c r="H68" i="39"/>
  <c r="N32" i="39"/>
  <c r="T32" i="39" s="1"/>
  <c r="L21" i="39"/>
  <c r="R21" i="39" s="1"/>
  <c r="H15" i="39"/>
  <c r="Q6" i="78" s="1"/>
  <c r="O14" i="39"/>
  <c r="K21" i="39"/>
  <c r="Q21" i="39" s="1"/>
  <c r="E32" i="39"/>
  <c r="I21" i="39"/>
  <c r="O21" i="39" s="1"/>
  <c r="M21" i="39"/>
  <c r="S21" i="39" s="1"/>
  <c r="M26" i="39"/>
  <c r="C68" i="39"/>
  <c r="I32" i="39"/>
  <c r="O32" i="39" s="1"/>
  <c r="F68" i="39"/>
  <c r="L32" i="39"/>
  <c r="R32" i="39" s="1"/>
  <c r="J26" i="39"/>
  <c r="N26" i="39"/>
  <c r="F27" i="39"/>
  <c r="O9" i="78" s="1"/>
  <c r="K49" i="39"/>
  <c r="E50" i="39"/>
  <c r="N14" i="78" s="1"/>
  <c r="K61" i="39"/>
  <c r="T15" i="78" s="1"/>
  <c r="L49" i="39"/>
  <c r="R61" i="39"/>
  <c r="L26" i="39"/>
  <c r="M49" i="39"/>
  <c r="S61" i="39"/>
  <c r="M62" i="39"/>
  <c r="V16" i="78" s="1"/>
  <c r="E37" i="39"/>
  <c r="N10" i="78" s="1"/>
  <c r="I37" i="39"/>
  <c r="J49" i="39"/>
  <c r="E62" i="39"/>
  <c r="N16" i="78" s="1"/>
  <c r="R75" i="39"/>
  <c r="L75" i="39" s="1"/>
  <c r="J61" i="39"/>
  <c r="N61" i="39"/>
  <c r="F62" i="39"/>
  <c r="O16" i="78" s="1"/>
  <c r="S75" i="39"/>
  <c r="M75" i="39" s="1"/>
  <c r="O61" i="39"/>
  <c r="P75" i="39"/>
  <c r="J75" i="39" s="1"/>
  <c r="T75" i="39"/>
  <c r="N75" i="39" s="1"/>
  <c r="L18" i="78" l="1"/>
  <c r="AS17" i="73"/>
  <c r="N18" i="78"/>
  <c r="AM89" i="53"/>
  <c r="X112" i="67" s="1"/>
  <c r="M18" i="78"/>
  <c r="M20" i="78" s="1"/>
  <c r="AU17" i="53"/>
  <c r="V21" i="78"/>
  <c r="AT17" i="53"/>
  <c r="U21" i="78"/>
  <c r="N17" i="53"/>
  <c r="S17" i="73" s="1"/>
  <c r="U8" i="78"/>
  <c r="L17" i="53"/>
  <c r="O17" i="73" s="1"/>
  <c r="S8" i="78"/>
  <c r="AV17" i="53"/>
  <c r="W21" i="78"/>
  <c r="AC17" i="53"/>
  <c r="AN17" i="73" s="1"/>
  <c r="T13" i="78"/>
  <c r="O17" i="53"/>
  <c r="U17" i="73" s="1"/>
  <c r="V8" i="78"/>
  <c r="AR17" i="53"/>
  <c r="S21" i="78"/>
  <c r="AN17" i="53"/>
  <c r="BD17" i="73" s="1"/>
  <c r="W15" i="78"/>
  <c r="AB17" i="53"/>
  <c r="AK17" i="73" s="1"/>
  <c r="S13" i="78"/>
  <c r="AD17" i="53"/>
  <c r="AO17" i="73" s="1"/>
  <c r="U13" i="78"/>
  <c r="F39" i="39"/>
  <c r="O12" i="78" s="1"/>
  <c r="O10" i="78"/>
  <c r="O18" i="78" s="1"/>
  <c r="E76" i="39"/>
  <c r="AJ17" i="53"/>
  <c r="AW17" i="73" s="1"/>
  <c r="S15" i="78"/>
  <c r="S17" i="53"/>
  <c r="Y17" i="73" s="1"/>
  <c r="R10" i="78"/>
  <c r="R18" i="78" s="1"/>
  <c r="AE17" i="53"/>
  <c r="AE89" i="53" s="1"/>
  <c r="X91" i="67" s="1"/>
  <c r="V13" i="78"/>
  <c r="P17" i="53"/>
  <c r="X17" i="73" s="1"/>
  <c r="W8" i="78"/>
  <c r="M17" i="53"/>
  <c r="Q17" i="73" s="1"/>
  <c r="T8" i="78"/>
  <c r="I73" i="39"/>
  <c r="O73" i="39" s="1"/>
  <c r="G17" i="53"/>
  <c r="F17" i="53"/>
  <c r="I17" i="73" s="1"/>
  <c r="E17" i="53"/>
  <c r="G17" i="73" s="1"/>
  <c r="AA11" i="53"/>
  <c r="AT11" i="73" s="1"/>
  <c r="E38" i="39"/>
  <c r="N11" i="78" s="1"/>
  <c r="E39" i="39"/>
  <c r="N12" i="78" s="1"/>
  <c r="AT17" i="73"/>
  <c r="BE17" i="73"/>
  <c r="AI89" i="53"/>
  <c r="AU17" i="73"/>
  <c r="BB17" i="73"/>
  <c r="BA17" i="73"/>
  <c r="AG17" i="53"/>
  <c r="AJ17" i="73"/>
  <c r="BC17" i="73"/>
  <c r="AZ17" i="73"/>
  <c r="AI11" i="53"/>
  <c r="J50" i="39"/>
  <c r="S14" i="78" s="1"/>
  <c r="J27" i="39"/>
  <c r="S9" i="78" s="1"/>
  <c r="AK17" i="53"/>
  <c r="K62" i="39"/>
  <c r="T16" i="78" s="1"/>
  <c r="AH17" i="53"/>
  <c r="J62" i="39"/>
  <c r="S16" i="78" s="1"/>
  <c r="I76" i="39"/>
  <c r="O76" i="39" s="1"/>
  <c r="AA89" i="53"/>
  <c r="BC17" i="53"/>
  <c r="BC89" i="53" s="1"/>
  <c r="S62" i="39"/>
  <c r="R74" i="39"/>
  <c r="L74" i="39" s="1"/>
  <c r="U17" i="78" s="1"/>
  <c r="T74" i="39"/>
  <c r="N74" i="39" s="1"/>
  <c r="W17" i="78" s="1"/>
  <c r="S74" i="39"/>
  <c r="M74" i="39" s="1"/>
  <c r="V17" i="78" s="1"/>
  <c r="P74" i="39"/>
  <c r="J74" i="39" s="1"/>
  <c r="S17" i="78" s="1"/>
  <c r="G72" i="49"/>
  <c r="AP39" i="67" s="1"/>
  <c r="G58" i="49"/>
  <c r="AP31" i="67" s="1"/>
  <c r="L62" i="39"/>
  <c r="U16" i="78" s="1"/>
  <c r="F69" i="39"/>
  <c r="F73" i="39" s="1"/>
  <c r="L33" i="39"/>
  <c r="P61" i="39"/>
  <c r="P62" i="39" s="1"/>
  <c r="S14" i="39"/>
  <c r="M15" i="39"/>
  <c r="V6" i="78" s="1"/>
  <c r="T26" i="39"/>
  <c r="N27" i="39"/>
  <c r="W9" i="78" s="1"/>
  <c r="P26" i="39"/>
  <c r="P27" i="39" s="1"/>
  <c r="L15" i="39"/>
  <c r="U6" i="78" s="1"/>
  <c r="R14" i="39"/>
  <c r="N62" i="39"/>
  <c r="W16" i="78" s="1"/>
  <c r="T61" i="39"/>
  <c r="T62" i="39" s="1"/>
  <c r="L27" i="39"/>
  <c r="U9" i="78" s="1"/>
  <c r="R26" i="39"/>
  <c r="P49" i="39"/>
  <c r="P50" i="39" s="1"/>
  <c r="J37" i="39"/>
  <c r="S10" i="78" s="1"/>
  <c r="S49" i="39"/>
  <c r="M50" i="39"/>
  <c r="V14" i="78" s="1"/>
  <c r="Q61" i="39"/>
  <c r="R62" i="39" s="1"/>
  <c r="Q49" i="39"/>
  <c r="K50" i="39"/>
  <c r="T14" i="78" s="1"/>
  <c r="J69" i="39"/>
  <c r="D80" i="39"/>
  <c r="J68" i="39"/>
  <c r="P68" i="39" s="1"/>
  <c r="O37" i="39"/>
  <c r="L50" i="39"/>
  <c r="U14" i="78" s="1"/>
  <c r="R49" i="39"/>
  <c r="N70" i="39"/>
  <c r="T70" i="39" s="1"/>
  <c r="N50" i="39"/>
  <c r="W14" i="78" s="1"/>
  <c r="K27" i="39"/>
  <c r="T9" i="78" s="1"/>
  <c r="Q26" i="39"/>
  <c r="L70" i="39"/>
  <c r="R70" i="39" s="1"/>
  <c r="C80" i="39"/>
  <c r="I68" i="39"/>
  <c r="O68" i="39" s="1"/>
  <c r="H80" i="39"/>
  <c r="N68" i="39"/>
  <c r="T68" i="39" s="1"/>
  <c r="J70" i="39"/>
  <c r="P70" i="39" s="1"/>
  <c r="Q14" i="39"/>
  <c r="F38" i="39"/>
  <c r="O11" i="78" s="1"/>
  <c r="F80" i="39"/>
  <c r="L68" i="39"/>
  <c r="R68" i="39" s="1"/>
  <c r="M27" i="39"/>
  <c r="V9" i="78" s="1"/>
  <c r="S26" i="39"/>
  <c r="E68" i="39"/>
  <c r="K32" i="39"/>
  <c r="Q32" i="39" s="1"/>
  <c r="N14" i="39"/>
  <c r="W5" i="78" s="1"/>
  <c r="G80" i="39"/>
  <c r="M68" i="39"/>
  <c r="S68" i="39" s="1"/>
  <c r="M70" i="39"/>
  <c r="S70" i="39" s="1"/>
  <c r="J14" i="39"/>
  <c r="S5" i="78" s="1"/>
  <c r="K69" i="39"/>
  <c r="N20" i="78" l="1"/>
  <c r="AO17" i="53"/>
  <c r="T17" i="73"/>
  <c r="W17" i="73"/>
  <c r="P17" i="73"/>
  <c r="N19" i="78"/>
  <c r="AC11" i="53"/>
  <c r="V78" i="67" s="1"/>
  <c r="AM17" i="73"/>
  <c r="AD89" i="53"/>
  <c r="W91" i="67" s="1"/>
  <c r="AP17" i="73"/>
  <c r="M19" i="78"/>
  <c r="AP17" i="53"/>
  <c r="AN11" i="53"/>
  <c r="Y99" i="67" s="1"/>
  <c r="AJ89" i="53"/>
  <c r="U112" i="67" s="1"/>
  <c r="AC89" i="53"/>
  <c r="V91" i="67" s="1"/>
  <c r="AE11" i="53"/>
  <c r="X78" i="67" s="1"/>
  <c r="AB89" i="53"/>
  <c r="U91" i="67" s="1"/>
  <c r="AQ17" i="73"/>
  <c r="H17" i="73"/>
  <c r="AR17" i="73"/>
  <c r="R17" i="53"/>
  <c r="AN89" i="53"/>
  <c r="Y112" i="67" s="1"/>
  <c r="AD11" i="53"/>
  <c r="W78" i="67" s="1"/>
  <c r="Q17" i="53"/>
  <c r="AW17" i="53"/>
  <c r="AW11" i="53" s="1"/>
  <c r="AG11" i="53"/>
  <c r="AH11" i="53"/>
  <c r="S18" i="78"/>
  <c r="S19" i="78" s="1"/>
  <c r="J73" i="39"/>
  <c r="P73" i="39" s="1"/>
  <c r="AJ11" i="53"/>
  <c r="U99" i="67" s="1"/>
  <c r="AB11" i="53"/>
  <c r="U78" i="67" s="1"/>
  <c r="F17" i="73"/>
  <c r="R17" i="73"/>
  <c r="AU89" i="73"/>
  <c r="T112" i="67"/>
  <c r="AL17" i="73"/>
  <c r="V17" i="73"/>
  <c r="AV17" i="73"/>
  <c r="AT89" i="73"/>
  <c r="T91" i="67"/>
  <c r="AA91" i="67" s="1"/>
  <c r="O19" i="78"/>
  <c r="O20" i="78"/>
  <c r="BG17" i="53"/>
  <c r="BG11" i="53" s="1"/>
  <c r="AJ11" i="73"/>
  <c r="T78" i="67"/>
  <c r="AU11" i="73"/>
  <c r="T99" i="67"/>
  <c r="BF17" i="53"/>
  <c r="BF89" i="53" s="1"/>
  <c r="K17" i="73"/>
  <c r="J17" i="73"/>
  <c r="J15" i="39"/>
  <c r="S6" i="78" s="1"/>
  <c r="H17" i="53"/>
  <c r="BH17" i="53" s="1"/>
  <c r="AS11" i="73"/>
  <c r="AG89" i="53"/>
  <c r="AJ89" i="73"/>
  <c r="AS89" i="73"/>
  <c r="AK11" i="53"/>
  <c r="AY17" i="73"/>
  <c r="AX17" i="73"/>
  <c r="BC11" i="73"/>
  <c r="AZ11" i="73"/>
  <c r="BA89" i="73"/>
  <c r="BB89" i="73"/>
  <c r="AV89" i="73"/>
  <c r="AQ89" i="73"/>
  <c r="AR89" i="73"/>
  <c r="BB11" i="73"/>
  <c r="BA11" i="73"/>
  <c r="AZ89" i="73"/>
  <c r="BC89" i="73"/>
  <c r="J76" i="39"/>
  <c r="P76" i="39" s="1"/>
  <c r="AK89" i="53"/>
  <c r="V112" i="67" s="1"/>
  <c r="BC11" i="53"/>
  <c r="BE17" i="53"/>
  <c r="BE89" i="53" s="1"/>
  <c r="AH89" i="53"/>
  <c r="T17" i="53"/>
  <c r="J38" i="39"/>
  <c r="S11" i="78" s="1"/>
  <c r="F76" i="39"/>
  <c r="L37" i="39"/>
  <c r="R33" i="39"/>
  <c r="AO11" i="53"/>
  <c r="R50" i="39"/>
  <c r="Q27" i="39"/>
  <c r="G69" i="39"/>
  <c r="G73" i="39" s="1"/>
  <c r="M33" i="39"/>
  <c r="S33" i="39" s="1"/>
  <c r="G37" i="39"/>
  <c r="K15" i="39"/>
  <c r="T6" i="78" s="1"/>
  <c r="D17" i="53"/>
  <c r="L69" i="39"/>
  <c r="Q50" i="39"/>
  <c r="Q62" i="39"/>
  <c r="S27" i="39"/>
  <c r="J80" i="39"/>
  <c r="D88" i="39"/>
  <c r="S15" i="39"/>
  <c r="Q69" i="39"/>
  <c r="E80" i="39"/>
  <c r="K68" i="39"/>
  <c r="Q68" i="39" s="1"/>
  <c r="N80" i="39"/>
  <c r="H88" i="39"/>
  <c r="P69" i="39"/>
  <c r="S50" i="39"/>
  <c r="P37" i="39"/>
  <c r="P38" i="39" s="1"/>
  <c r="R15" i="39"/>
  <c r="G88" i="39"/>
  <c r="M80" i="39"/>
  <c r="F88" i="39"/>
  <c r="L80" i="39"/>
  <c r="T50" i="39"/>
  <c r="T27" i="39"/>
  <c r="P14" i="39"/>
  <c r="P15" i="39" s="1"/>
  <c r="N15" i="39"/>
  <c r="W6" i="78" s="1"/>
  <c r="T14" i="39"/>
  <c r="T15" i="39" s="1"/>
  <c r="C88" i="39"/>
  <c r="I80" i="39"/>
  <c r="K70" i="39"/>
  <c r="Q70" i="39" s="1"/>
  <c r="K37" i="39"/>
  <c r="R27" i="39"/>
  <c r="AP11" i="53" l="1"/>
  <c r="AL89" i="73"/>
  <c r="AN11" i="73"/>
  <c r="AM11" i="73"/>
  <c r="AA112" i="67"/>
  <c r="S20" i="78"/>
  <c r="AQ11" i="73"/>
  <c r="AR11" i="73"/>
  <c r="AO89" i="73"/>
  <c r="AP89" i="73"/>
  <c r="AM89" i="73"/>
  <c r="AN89" i="73"/>
  <c r="BE11" i="73"/>
  <c r="BD11" i="73"/>
  <c r="AW89" i="73"/>
  <c r="Z112" i="67"/>
  <c r="BG89" i="53"/>
  <c r="AL11" i="73"/>
  <c r="AK11" i="73"/>
  <c r="AK89" i="73"/>
  <c r="M17" i="73"/>
  <c r="AW89" i="53"/>
  <c r="J17" i="53"/>
  <c r="L17" i="73"/>
  <c r="I17" i="53"/>
  <c r="AO89" i="53"/>
  <c r="AP11" i="73"/>
  <c r="AP89" i="53"/>
  <c r="AO11" i="73"/>
  <c r="BE89" i="73"/>
  <c r="Z99" i="67"/>
  <c r="AV11" i="73"/>
  <c r="BD89" i="73"/>
  <c r="V17" i="53"/>
  <c r="AZ17" i="53" s="1"/>
  <c r="U10" i="78"/>
  <c r="U18" i="78" s="1"/>
  <c r="BF11" i="53"/>
  <c r="Z91" i="67"/>
  <c r="G39" i="39"/>
  <c r="P12" i="78" s="1"/>
  <c r="P10" i="78"/>
  <c r="P18" i="78" s="1"/>
  <c r="U17" i="53"/>
  <c r="AY17" i="53" s="1"/>
  <c r="T10" i="78"/>
  <c r="T18" i="78" s="1"/>
  <c r="L76" i="39"/>
  <c r="R76" i="39" s="1"/>
  <c r="L73" i="39"/>
  <c r="R73" i="39" s="1"/>
  <c r="AW11" i="73"/>
  <c r="K73" i="39"/>
  <c r="Q73" i="39" s="1"/>
  <c r="AA78" i="67"/>
  <c r="AY11" i="73"/>
  <c r="V99" i="67"/>
  <c r="AA99" i="67"/>
  <c r="Z78" i="67"/>
  <c r="AX11" i="73"/>
  <c r="Z17" i="73"/>
  <c r="AA17" i="73"/>
  <c r="AY89" i="73"/>
  <c r="AX89" i="73"/>
  <c r="BE11" i="53"/>
  <c r="K76" i="39"/>
  <c r="Q76" i="39" s="1"/>
  <c r="R37" i="39"/>
  <c r="G76" i="39"/>
  <c r="R69" i="39"/>
  <c r="BD17" i="53"/>
  <c r="AX17" i="53"/>
  <c r="BH11" i="53"/>
  <c r="BH89" i="53"/>
  <c r="E17" i="73"/>
  <c r="D17" i="73"/>
  <c r="N33" i="39"/>
  <c r="T33" i="39" s="1"/>
  <c r="H69" i="39"/>
  <c r="H73" i="39" s="1"/>
  <c r="H37" i="39"/>
  <c r="G38" i="39"/>
  <c r="P11" i="78" s="1"/>
  <c r="M69" i="39"/>
  <c r="M37" i="39"/>
  <c r="V10" i="78" s="1"/>
  <c r="V18" i="78" s="1"/>
  <c r="K38" i="39"/>
  <c r="T11" i="78" s="1"/>
  <c r="Q37" i="39"/>
  <c r="Q38" i="39" s="1"/>
  <c r="L38" i="39"/>
  <c r="U11" i="78" s="1"/>
  <c r="Q15" i="39"/>
  <c r="K80" i="39"/>
  <c r="E88" i="39"/>
  <c r="AE17" i="73" l="1"/>
  <c r="AB17" i="73"/>
  <c r="AD17" i="73"/>
  <c r="AY11" i="53"/>
  <c r="H39" i="39"/>
  <c r="Q12" i="78" s="1"/>
  <c r="Q10" i="78"/>
  <c r="Q18" i="78" s="1"/>
  <c r="P19" i="78"/>
  <c r="P20" i="78"/>
  <c r="M76" i="39"/>
  <c r="S76" i="39" s="1"/>
  <c r="M73" i="39"/>
  <c r="S73" i="39" s="1"/>
  <c r="AC17" i="73"/>
  <c r="T20" i="78"/>
  <c r="T19" i="78"/>
  <c r="U20" i="78"/>
  <c r="U19" i="78"/>
  <c r="V20" i="78"/>
  <c r="V19" i="78"/>
  <c r="AZ11" i="53"/>
  <c r="H76" i="39"/>
  <c r="BD11" i="53"/>
  <c r="BD89" i="53"/>
  <c r="AX11" i="53"/>
  <c r="H38" i="39"/>
  <c r="Q11" i="78" s="1"/>
  <c r="S69" i="39"/>
  <c r="W17" i="53"/>
  <c r="S37" i="39"/>
  <c r="S38" i="39" s="1"/>
  <c r="M38" i="39"/>
  <c r="V11" i="78" s="1"/>
  <c r="N37" i="39"/>
  <c r="W10" i="78" s="1"/>
  <c r="W18" i="78" s="1"/>
  <c r="N69" i="39"/>
  <c r="N73" i="39" s="1"/>
  <c r="R38" i="39"/>
  <c r="Q19" i="78" l="1"/>
  <c r="Q20" i="78"/>
  <c r="W19" i="78"/>
  <c r="W20" i="78"/>
  <c r="BA17" i="53"/>
  <c r="BA89" i="53" s="1"/>
  <c r="AF17" i="73"/>
  <c r="AG17" i="73"/>
  <c r="T73" i="39"/>
  <c r="N76" i="39"/>
  <c r="T76" i="39" s="1"/>
  <c r="T69" i="39"/>
  <c r="X17" i="53"/>
  <c r="T37" i="39"/>
  <c r="T38" i="39" s="1"/>
  <c r="N38" i="39"/>
  <c r="W11" i="78" s="1"/>
  <c r="AM29" i="51"/>
  <c r="AL29" i="51"/>
  <c r="AK29" i="51"/>
  <c r="AJ29" i="51"/>
  <c r="AI29" i="51"/>
  <c r="AH29" i="51"/>
  <c r="AH17" i="50" s="1"/>
  <c r="AM21" i="51"/>
  <c r="AL21" i="51"/>
  <c r="AK21" i="51"/>
  <c r="AJ21" i="51"/>
  <c r="AI21" i="51"/>
  <c r="AH21" i="51"/>
  <c r="AH16" i="50" s="1"/>
  <c r="AM48" i="51"/>
  <c r="AL48" i="51"/>
  <c r="AK48" i="51"/>
  <c r="AJ48" i="51"/>
  <c r="AI48" i="51"/>
  <c r="AH48" i="51"/>
  <c r="AH22" i="50" s="1"/>
  <c r="AM46" i="51"/>
  <c r="AL46" i="51"/>
  <c r="AK46" i="51"/>
  <c r="AJ46" i="51"/>
  <c r="AI46" i="51"/>
  <c r="AH46" i="51"/>
  <c r="AH20" i="50" s="1"/>
  <c r="AM47" i="51"/>
  <c r="AL47" i="51"/>
  <c r="AK47" i="51"/>
  <c r="AJ47" i="51"/>
  <c r="AI47" i="51"/>
  <c r="AH47" i="51"/>
  <c r="AH21" i="50" s="1"/>
  <c r="AM20" i="51"/>
  <c r="AL20" i="51"/>
  <c r="AK20" i="51"/>
  <c r="AJ20" i="51"/>
  <c r="AI20" i="51"/>
  <c r="AH20" i="51"/>
  <c r="AH15" i="50" s="1"/>
  <c r="AM28" i="51"/>
  <c r="AL28" i="51"/>
  <c r="AK28" i="51"/>
  <c r="AJ28" i="51"/>
  <c r="AI28" i="51"/>
  <c r="AH28" i="51"/>
  <c r="AH118" i="50" s="1"/>
  <c r="AM58" i="51"/>
  <c r="AL58" i="51"/>
  <c r="AK58" i="51"/>
  <c r="AJ58" i="51"/>
  <c r="AI58" i="51"/>
  <c r="AH58" i="51"/>
  <c r="AH130" i="50" s="1"/>
  <c r="AK26" i="51"/>
  <c r="AL27" i="51"/>
  <c r="AH27" i="51"/>
  <c r="AH117" i="50" s="1"/>
  <c r="AM23" i="51"/>
  <c r="AM22" i="51" s="1"/>
  <c r="AL23" i="51"/>
  <c r="AL22" i="51" s="1"/>
  <c r="AK23" i="51"/>
  <c r="AK22" i="51" s="1"/>
  <c r="AJ23" i="51"/>
  <c r="AJ22" i="51" s="1"/>
  <c r="AI23" i="51"/>
  <c r="AI22" i="51" s="1"/>
  <c r="AH23" i="51"/>
  <c r="AH114" i="50" s="1"/>
  <c r="AK39" i="51"/>
  <c r="AM17" i="51"/>
  <c r="AM15" i="51" s="1"/>
  <c r="AL17" i="51"/>
  <c r="AL15" i="51" s="1"/>
  <c r="AK17" i="51"/>
  <c r="AK15" i="51" s="1"/>
  <c r="AJ17" i="51"/>
  <c r="AJ15" i="51" s="1"/>
  <c r="AI17" i="51"/>
  <c r="AI15" i="51" s="1"/>
  <c r="AH17" i="51"/>
  <c r="AH113" i="50" s="1"/>
  <c r="AM38" i="51"/>
  <c r="AL38" i="51"/>
  <c r="AK38" i="51"/>
  <c r="AJ38" i="51"/>
  <c r="AI38" i="51"/>
  <c r="AH38" i="51"/>
  <c r="AH124" i="50" s="1"/>
  <c r="AM36" i="51"/>
  <c r="AL36" i="51"/>
  <c r="AK36" i="51"/>
  <c r="AJ36" i="51"/>
  <c r="AI36" i="51"/>
  <c r="AH36" i="51"/>
  <c r="AH122" i="50" s="1"/>
  <c r="AM35" i="51"/>
  <c r="AL35" i="51"/>
  <c r="AK35" i="51"/>
  <c r="AJ35" i="51"/>
  <c r="AI35" i="51"/>
  <c r="AH35" i="51"/>
  <c r="AH121" i="50" s="1"/>
  <c r="AF29" i="51"/>
  <c r="AE29" i="51"/>
  <c r="AD29" i="51"/>
  <c r="AC29" i="51"/>
  <c r="AB29" i="51"/>
  <c r="AA29" i="51"/>
  <c r="AA17" i="50" s="1"/>
  <c r="AF21" i="51"/>
  <c r="AE21" i="51"/>
  <c r="AD21" i="51"/>
  <c r="AC21" i="51"/>
  <c r="AB21" i="51"/>
  <c r="AA21" i="51"/>
  <c r="AA16" i="50" s="1"/>
  <c r="AF48" i="51"/>
  <c r="AE48" i="51"/>
  <c r="AD48" i="51"/>
  <c r="AC48" i="51"/>
  <c r="AB48" i="51"/>
  <c r="AA48" i="51"/>
  <c r="AA22" i="50" s="1"/>
  <c r="AF46" i="51"/>
  <c r="AE46" i="51"/>
  <c r="AD46" i="51"/>
  <c r="AC46" i="51"/>
  <c r="AB46" i="51"/>
  <c r="AA46" i="51"/>
  <c r="AA20" i="50" s="1"/>
  <c r="AF47" i="51"/>
  <c r="AE47" i="51"/>
  <c r="AD47" i="51"/>
  <c r="AC47" i="51"/>
  <c r="AB47" i="51"/>
  <c r="AA47" i="51"/>
  <c r="AA21" i="50" s="1"/>
  <c r="AF20" i="51"/>
  <c r="AE20" i="51"/>
  <c r="AD20" i="51"/>
  <c r="AC20" i="51"/>
  <c r="AB20" i="51"/>
  <c r="AA20" i="51"/>
  <c r="AA15" i="50" s="1"/>
  <c r="AF28" i="51"/>
  <c r="AE28" i="51"/>
  <c r="AD28" i="51"/>
  <c r="AC28" i="51"/>
  <c r="AB28" i="51"/>
  <c r="AA28" i="51"/>
  <c r="AF58" i="51"/>
  <c r="AE58" i="51"/>
  <c r="AD58" i="51"/>
  <c r="AC58" i="51"/>
  <c r="AB58" i="51"/>
  <c r="AA58" i="51"/>
  <c r="AA26" i="51"/>
  <c r="AF27" i="51"/>
  <c r="AB27" i="51"/>
  <c r="AF23" i="51"/>
  <c r="AF22" i="51" s="1"/>
  <c r="AE23" i="51"/>
  <c r="AE22" i="51" s="1"/>
  <c r="AD23" i="51"/>
  <c r="AD22" i="51" s="1"/>
  <c r="AC23" i="51"/>
  <c r="AC22" i="51" s="1"/>
  <c r="AB23" i="51"/>
  <c r="AB22" i="51" s="1"/>
  <c r="AA23" i="51"/>
  <c r="AE39" i="51"/>
  <c r="AD39" i="51"/>
  <c r="AF17" i="51"/>
  <c r="AF15" i="51" s="1"/>
  <c r="AE17" i="51"/>
  <c r="AE15" i="51" s="1"/>
  <c r="AD17" i="51"/>
  <c r="AD15" i="51" s="1"/>
  <c r="AC17" i="51"/>
  <c r="AC15" i="51" s="1"/>
  <c r="AB17" i="51"/>
  <c r="AB15" i="51" s="1"/>
  <c r="AA17" i="51"/>
  <c r="AF38" i="51"/>
  <c r="AE38" i="51"/>
  <c r="AD38" i="51"/>
  <c r="AC38" i="51"/>
  <c r="AB38" i="51"/>
  <c r="AA38" i="51"/>
  <c r="AF36" i="51"/>
  <c r="AE36" i="51"/>
  <c r="AD36" i="51"/>
  <c r="AC36" i="51"/>
  <c r="AB36" i="51"/>
  <c r="AA36" i="51"/>
  <c r="AF35" i="51"/>
  <c r="AE35" i="51"/>
  <c r="AD35" i="51"/>
  <c r="AC35" i="51"/>
  <c r="AB35" i="51"/>
  <c r="AA35" i="51"/>
  <c r="AO21" i="51"/>
  <c r="AP21" i="51"/>
  <c r="AQ21" i="51"/>
  <c r="AR21" i="51"/>
  <c r="AS21" i="51"/>
  <c r="AT21" i="51"/>
  <c r="AO29" i="51"/>
  <c r="AP29" i="51"/>
  <c r="AQ29" i="51"/>
  <c r="AR29" i="51"/>
  <c r="AS29" i="51"/>
  <c r="AT29" i="51"/>
  <c r="AB21" i="50" l="1"/>
  <c r="AI15" i="50"/>
  <c r="AJ15" i="50" s="1"/>
  <c r="AK15" i="50" s="1"/>
  <c r="AL15" i="50" s="1"/>
  <c r="AM15" i="50" s="1"/>
  <c r="AI20" i="50"/>
  <c r="AI16" i="50"/>
  <c r="AJ16" i="50" s="1"/>
  <c r="AK16" i="50" s="1"/>
  <c r="AL16" i="50" s="1"/>
  <c r="AM16" i="50" s="1"/>
  <c r="BA11" i="53"/>
  <c r="AB22" i="50"/>
  <c r="AC22" i="50" s="1"/>
  <c r="AD22" i="50" s="1"/>
  <c r="AE22" i="50" s="1"/>
  <c r="AF22" i="50" s="1"/>
  <c r="AB17" i="50"/>
  <c r="AC17" i="50" s="1"/>
  <c r="AD17" i="50" s="1"/>
  <c r="AE17" i="50" s="1"/>
  <c r="AF17" i="50" s="1"/>
  <c r="AI122" i="50"/>
  <c r="AJ122" i="50" s="1"/>
  <c r="AK122" i="50" s="1"/>
  <c r="AL122" i="50" s="1"/>
  <c r="AM122" i="50" s="1"/>
  <c r="AI113" i="50"/>
  <c r="AJ113" i="50" s="1"/>
  <c r="AK113" i="50" s="1"/>
  <c r="AL113" i="50" s="1"/>
  <c r="AM113" i="50" s="1"/>
  <c r="AI130" i="50"/>
  <c r="AJ130" i="50" s="1"/>
  <c r="AK130" i="50" s="1"/>
  <c r="AL130" i="50" s="1"/>
  <c r="AM130" i="50" s="1"/>
  <c r="AB15" i="50"/>
  <c r="AC15" i="50" s="1"/>
  <c r="AD15" i="50" s="1"/>
  <c r="AE15" i="50" s="1"/>
  <c r="AF15" i="50" s="1"/>
  <c r="AB20" i="50"/>
  <c r="AC20" i="50" s="1"/>
  <c r="AD20" i="50" s="1"/>
  <c r="AE20" i="50" s="1"/>
  <c r="AF20" i="50" s="1"/>
  <c r="AB16" i="50"/>
  <c r="AC16" i="50" s="1"/>
  <c r="AD16" i="50" s="1"/>
  <c r="AE16" i="50" s="1"/>
  <c r="AF16" i="50" s="1"/>
  <c r="AI121" i="50"/>
  <c r="AJ121" i="50" s="1"/>
  <c r="AK121" i="50" s="1"/>
  <c r="AL121" i="50" s="1"/>
  <c r="AM121" i="50" s="1"/>
  <c r="AI124" i="50"/>
  <c r="AJ124" i="50" s="1"/>
  <c r="AK124" i="50" s="1"/>
  <c r="AL124" i="50" s="1"/>
  <c r="AM124" i="50" s="1"/>
  <c r="AI118" i="50"/>
  <c r="AJ118" i="50" s="1"/>
  <c r="AK118" i="50" s="1"/>
  <c r="AL118" i="50" s="1"/>
  <c r="AM118" i="50" s="1"/>
  <c r="AI21" i="50"/>
  <c r="AJ21" i="50" s="1"/>
  <c r="AK21" i="50" s="1"/>
  <c r="AL21" i="50" s="1"/>
  <c r="AM21" i="50" s="1"/>
  <c r="AI22" i="50"/>
  <c r="AJ22" i="50" s="1"/>
  <c r="AK22" i="50" s="1"/>
  <c r="AL22" i="50" s="1"/>
  <c r="AM22" i="50" s="1"/>
  <c r="AI17" i="50"/>
  <c r="AJ17" i="50" s="1"/>
  <c r="AK17" i="50" s="1"/>
  <c r="AL17" i="50" s="1"/>
  <c r="AM17" i="50" s="1"/>
  <c r="AI114" i="50"/>
  <c r="AJ114" i="50" s="1"/>
  <c r="AK114" i="50" s="1"/>
  <c r="AL114" i="50" s="1"/>
  <c r="AM114" i="50" s="1"/>
  <c r="AC21" i="50"/>
  <c r="AD21" i="50" s="1"/>
  <c r="AE21" i="50" s="1"/>
  <c r="AF21" i="50" s="1"/>
  <c r="AJ20" i="50"/>
  <c r="AK20" i="50" s="1"/>
  <c r="AL20" i="50" s="1"/>
  <c r="AM20" i="50" s="1"/>
  <c r="BB17" i="53"/>
  <c r="BB11" i="53" s="1"/>
  <c r="AH17" i="73"/>
  <c r="AI17" i="73"/>
  <c r="AA27" i="51"/>
  <c r="AE27" i="51"/>
  <c r="AH41" i="51"/>
  <c r="AL41" i="51"/>
  <c r="AK27" i="51"/>
  <c r="AK25" i="51" s="1"/>
  <c r="AK18" i="51" s="1"/>
  <c r="AH26" i="51"/>
  <c r="AL26" i="51"/>
  <c r="AL25" i="51" s="1"/>
  <c r="AL18" i="51" s="1"/>
  <c r="AH39" i="51"/>
  <c r="AH125" i="50" s="1"/>
  <c r="AL39" i="51"/>
  <c r="AI27" i="51"/>
  <c r="AI76" i="51" s="1"/>
  <c r="AI137" i="50" s="1"/>
  <c r="AM27" i="51"/>
  <c r="Z17" i="53"/>
  <c r="Y17" i="53"/>
  <c r="AE26" i="51"/>
  <c r="AJ26" i="51"/>
  <c r="AC39" i="51"/>
  <c r="AK45" i="51"/>
  <c r="AH22" i="51"/>
  <c r="AM72" i="51"/>
  <c r="AJ72" i="51"/>
  <c r="AL72" i="51"/>
  <c r="AI72" i="51"/>
  <c r="AH72" i="51"/>
  <c r="AK72" i="51"/>
  <c r="AM77" i="51"/>
  <c r="AM138" i="50" s="1"/>
  <c r="AI77" i="51"/>
  <c r="AI138" i="50" s="1"/>
  <c r="AH77" i="51"/>
  <c r="AH138" i="50" s="1"/>
  <c r="AH158" i="50" s="1"/>
  <c r="AL77" i="51"/>
  <c r="AL138" i="50" s="1"/>
  <c r="AJ77" i="51"/>
  <c r="AJ138" i="50" s="1"/>
  <c r="AK77" i="51"/>
  <c r="AK138" i="50" s="1"/>
  <c r="AI97" i="51"/>
  <c r="AI47" i="50" s="1"/>
  <c r="AH97" i="51"/>
  <c r="AL97" i="51"/>
  <c r="AL47" i="50" s="1"/>
  <c r="AK97" i="51"/>
  <c r="AK47" i="50" s="1"/>
  <c r="AM97" i="51"/>
  <c r="AM47" i="50" s="1"/>
  <c r="AJ97" i="51"/>
  <c r="AJ47" i="50" s="1"/>
  <c r="AC26" i="51"/>
  <c r="AB45" i="51"/>
  <c r="AH84" i="51"/>
  <c r="AJ84" i="51"/>
  <c r="AM84" i="51"/>
  <c r="AK84" i="51"/>
  <c r="AI84" i="51"/>
  <c r="AL84" i="51"/>
  <c r="AI41" i="51"/>
  <c r="AM41" i="51"/>
  <c r="AH76" i="51"/>
  <c r="AH137" i="50" s="1"/>
  <c r="AH157" i="50" s="1"/>
  <c r="AI26" i="51"/>
  <c r="AM26" i="51"/>
  <c r="AL107" i="51"/>
  <c r="AL150" i="50" s="1"/>
  <c r="AI107" i="51"/>
  <c r="AI150" i="50" s="1"/>
  <c r="AH107" i="51"/>
  <c r="AH150" i="50" s="1"/>
  <c r="AH170" i="50" s="1"/>
  <c r="AM107" i="51"/>
  <c r="AM150" i="50" s="1"/>
  <c r="AK107" i="51"/>
  <c r="AK150" i="50" s="1"/>
  <c r="AJ107" i="51"/>
  <c r="AJ150" i="50" s="1"/>
  <c r="AL95" i="51"/>
  <c r="AL45" i="50" s="1"/>
  <c r="AM95" i="51"/>
  <c r="AM45" i="50" s="1"/>
  <c r="AH95" i="51"/>
  <c r="AH45" i="50" s="1"/>
  <c r="AJ95" i="51"/>
  <c r="AJ45" i="50" s="1"/>
  <c r="AK95" i="51"/>
  <c r="AK45" i="50" s="1"/>
  <c r="AH45" i="51"/>
  <c r="AI95" i="51"/>
  <c r="AI45" i="50" s="1"/>
  <c r="AL45" i="51"/>
  <c r="AJ85" i="51"/>
  <c r="AJ142" i="50" s="1"/>
  <c r="AH85" i="51"/>
  <c r="AH142" i="50" s="1"/>
  <c r="AH162" i="50" s="1"/>
  <c r="AM85" i="51"/>
  <c r="AM142" i="50" s="1"/>
  <c r="AL85" i="51"/>
  <c r="AL142" i="50" s="1"/>
  <c r="AK85" i="51"/>
  <c r="AK142" i="50" s="1"/>
  <c r="AI85" i="51"/>
  <c r="AI142" i="50" s="1"/>
  <c r="AT70" i="51"/>
  <c r="AS70" i="51"/>
  <c r="AP70" i="51"/>
  <c r="AQ70" i="51"/>
  <c r="AR70" i="51"/>
  <c r="AO70" i="51"/>
  <c r="AT78" i="51"/>
  <c r="AR78" i="51"/>
  <c r="AP78" i="51"/>
  <c r="AQ78" i="51"/>
  <c r="AS78" i="51"/>
  <c r="AO78" i="51"/>
  <c r="AB39" i="51"/>
  <c r="AL66" i="51"/>
  <c r="AM66" i="51"/>
  <c r="AH15" i="51"/>
  <c r="AI66" i="51"/>
  <c r="AH66" i="51"/>
  <c r="AK66" i="51"/>
  <c r="AJ66" i="51"/>
  <c r="AI39" i="51"/>
  <c r="AM39" i="51"/>
  <c r="AJ41" i="51"/>
  <c r="AI96" i="51"/>
  <c r="AI46" i="50" s="1"/>
  <c r="AK96" i="51"/>
  <c r="AK46" i="50" s="1"/>
  <c r="AJ96" i="51"/>
  <c r="AJ46" i="50" s="1"/>
  <c r="AH96" i="51"/>
  <c r="AM96" i="51"/>
  <c r="AM46" i="50" s="1"/>
  <c r="AL96" i="51"/>
  <c r="AL46" i="50" s="1"/>
  <c r="AI45" i="51"/>
  <c r="AM45" i="51"/>
  <c r="AH78" i="51"/>
  <c r="AI78" i="51"/>
  <c r="AI42" i="50" s="1"/>
  <c r="AK78" i="51"/>
  <c r="AK42" i="50" s="1"/>
  <c r="AM78" i="51"/>
  <c r="AM42" i="50" s="1"/>
  <c r="AL78" i="51"/>
  <c r="AL42" i="50" s="1"/>
  <c r="AJ78" i="51"/>
  <c r="AJ42" i="50" s="1"/>
  <c r="AD41" i="51"/>
  <c r="AD34" i="51" s="1"/>
  <c r="AD30" i="51" s="1"/>
  <c r="AD27" i="51"/>
  <c r="AD69" i="51"/>
  <c r="AD40" i="50" s="1"/>
  <c r="AD45" i="51"/>
  <c r="AH87" i="51"/>
  <c r="AH144" i="50" s="1"/>
  <c r="AH164" i="50" s="1"/>
  <c r="AK87" i="51"/>
  <c r="AK144" i="50" s="1"/>
  <c r="AI87" i="51"/>
  <c r="AI144" i="50" s="1"/>
  <c r="AJ87" i="51"/>
  <c r="AJ144" i="50" s="1"/>
  <c r="AM87" i="51"/>
  <c r="AM144" i="50" s="1"/>
  <c r="AL87" i="51"/>
  <c r="AL144" i="50" s="1"/>
  <c r="AJ39" i="51"/>
  <c r="AK41" i="51"/>
  <c r="AK34" i="51" s="1"/>
  <c r="AK30" i="51" s="1"/>
  <c r="AJ27" i="51"/>
  <c r="AJ76" i="51" s="1"/>
  <c r="AJ137" i="50" s="1"/>
  <c r="AI69" i="51"/>
  <c r="AI40" i="50" s="1"/>
  <c r="AL69" i="51"/>
  <c r="AL40" i="50" s="1"/>
  <c r="AJ69" i="51"/>
  <c r="AJ40" i="50" s="1"/>
  <c r="AK69" i="51"/>
  <c r="AK40" i="50" s="1"/>
  <c r="AM69" i="51"/>
  <c r="AM40" i="50" s="1"/>
  <c r="AH69" i="51"/>
  <c r="AH40" i="50" s="1"/>
  <c r="AJ45" i="51"/>
  <c r="AM70" i="51"/>
  <c r="AM41" i="50" s="1"/>
  <c r="AK70" i="51"/>
  <c r="AK41" i="50" s="1"/>
  <c r="AJ70" i="51"/>
  <c r="AJ41" i="50" s="1"/>
  <c r="AL70" i="51"/>
  <c r="AL41" i="50" s="1"/>
  <c r="AI70" i="51"/>
  <c r="AI41" i="50" s="1"/>
  <c r="AH70" i="51"/>
  <c r="AA124" i="50"/>
  <c r="AB124" i="50" s="1"/>
  <c r="AF87" i="51"/>
  <c r="AF144" i="50" s="1"/>
  <c r="AA87" i="51"/>
  <c r="AA144" i="50" s="1"/>
  <c r="AA164" i="50" s="1"/>
  <c r="AB87" i="51"/>
  <c r="AB144" i="50" s="1"/>
  <c r="AE87" i="51"/>
  <c r="AE144" i="50" s="1"/>
  <c r="AC87" i="51"/>
  <c r="AC144" i="50" s="1"/>
  <c r="AD87" i="51"/>
  <c r="AD144" i="50" s="1"/>
  <c r="AA122" i="50"/>
  <c r="AB122" i="50" s="1"/>
  <c r="AF85" i="51"/>
  <c r="AF142" i="50" s="1"/>
  <c r="AB85" i="51"/>
  <c r="AB142" i="50" s="1"/>
  <c r="AE85" i="51"/>
  <c r="AE142" i="50" s="1"/>
  <c r="AC85" i="51"/>
  <c r="AC142" i="50" s="1"/>
  <c r="AA85" i="51"/>
  <c r="AA142" i="50" s="1"/>
  <c r="AA162" i="50" s="1"/>
  <c r="AD85" i="51"/>
  <c r="AD142" i="50" s="1"/>
  <c r="AA41" i="51"/>
  <c r="AE41" i="51"/>
  <c r="AE34" i="51" s="1"/>
  <c r="AE30" i="51" s="1"/>
  <c r="AA114" i="50"/>
  <c r="AB114" i="50" s="1"/>
  <c r="AA72" i="51"/>
  <c r="AE72" i="51"/>
  <c r="AA22" i="51"/>
  <c r="AD72" i="51"/>
  <c r="AC72" i="51"/>
  <c r="AF72" i="51"/>
  <c r="AB72" i="51"/>
  <c r="AB26" i="51"/>
  <c r="AB25" i="51" s="1"/>
  <c r="AB18" i="51" s="1"/>
  <c r="AF26" i="51"/>
  <c r="AF25" i="51" s="1"/>
  <c r="AF18" i="51" s="1"/>
  <c r="AA130" i="50"/>
  <c r="AD107" i="51"/>
  <c r="AD150" i="50" s="1"/>
  <c r="AA107" i="51"/>
  <c r="AA150" i="50" s="1"/>
  <c r="AA170" i="50" s="1"/>
  <c r="AC107" i="51"/>
  <c r="AC150" i="50" s="1"/>
  <c r="AF107" i="51"/>
  <c r="AF150" i="50" s="1"/>
  <c r="AE107" i="51"/>
  <c r="AE150" i="50" s="1"/>
  <c r="AB107" i="51"/>
  <c r="AB150" i="50" s="1"/>
  <c r="AB95" i="51"/>
  <c r="AE95" i="51"/>
  <c r="AA95" i="51"/>
  <c r="AD95" i="51"/>
  <c r="AF95" i="51"/>
  <c r="AC95" i="51"/>
  <c r="AA45" i="51"/>
  <c r="AE45" i="51"/>
  <c r="AA39" i="51"/>
  <c r="AB41" i="51"/>
  <c r="AF41" i="51"/>
  <c r="AE96" i="51"/>
  <c r="AE46" i="50" s="1"/>
  <c r="AA96" i="51"/>
  <c r="AA46" i="50" s="1"/>
  <c r="AA71" i="50" s="1"/>
  <c r="AF96" i="51"/>
  <c r="AF46" i="50" s="1"/>
  <c r="AC96" i="51"/>
  <c r="AC46" i="50" s="1"/>
  <c r="AD96" i="51"/>
  <c r="AD46" i="50" s="1"/>
  <c r="AB96" i="51"/>
  <c r="AB46" i="50" s="1"/>
  <c r="AF45" i="51"/>
  <c r="AF78" i="51"/>
  <c r="AF42" i="50" s="1"/>
  <c r="AE78" i="51"/>
  <c r="AE42" i="50" s="1"/>
  <c r="AD78" i="51"/>
  <c r="AD42" i="50" s="1"/>
  <c r="AB78" i="51"/>
  <c r="AB42" i="50" s="1"/>
  <c r="AA78" i="51"/>
  <c r="AA42" i="50" s="1"/>
  <c r="AA67" i="50" s="1"/>
  <c r="AC78" i="51"/>
  <c r="AC42" i="50" s="1"/>
  <c r="AA121" i="50"/>
  <c r="AB121" i="50" s="1"/>
  <c r="AD84" i="51"/>
  <c r="AF84" i="51"/>
  <c r="AE84" i="51"/>
  <c r="AC84" i="51"/>
  <c r="AA84" i="51"/>
  <c r="AB84" i="51"/>
  <c r="AA113" i="50"/>
  <c r="AE66" i="51"/>
  <c r="AC66" i="51"/>
  <c r="AA66" i="51"/>
  <c r="AD66" i="51"/>
  <c r="AA15" i="51"/>
  <c r="AF66" i="51"/>
  <c r="AB66" i="51"/>
  <c r="AF39" i="51"/>
  <c r="AC41" i="51"/>
  <c r="AC27" i="51"/>
  <c r="AD26" i="51"/>
  <c r="AF69" i="51"/>
  <c r="AF40" i="50" s="1"/>
  <c r="AE69" i="51"/>
  <c r="AE40" i="50" s="1"/>
  <c r="AB69" i="51"/>
  <c r="AB40" i="50" s="1"/>
  <c r="AC69" i="51"/>
  <c r="AC40" i="50" s="1"/>
  <c r="AA69" i="51"/>
  <c r="AA40" i="50" s="1"/>
  <c r="AC45" i="51"/>
  <c r="AD70" i="51"/>
  <c r="AD41" i="50" s="1"/>
  <c r="AC70" i="51"/>
  <c r="AC41" i="50" s="1"/>
  <c r="AF70" i="51"/>
  <c r="AF41" i="50" s="1"/>
  <c r="AB70" i="51"/>
  <c r="AB41" i="50" s="1"/>
  <c r="AA70" i="51"/>
  <c r="AA41" i="50" s="1"/>
  <c r="AA66" i="50" s="1"/>
  <c r="AE70" i="51"/>
  <c r="AE41" i="50" s="1"/>
  <c r="AA116" i="50"/>
  <c r="AA75" i="51"/>
  <c r="AA118" i="50"/>
  <c r="AB118" i="50" s="1"/>
  <c r="AA77" i="51"/>
  <c r="AA138" i="50" s="1"/>
  <c r="AA158" i="50" s="1"/>
  <c r="AF77" i="51"/>
  <c r="AF138" i="50" s="1"/>
  <c r="AD77" i="51"/>
  <c r="AD138" i="50" s="1"/>
  <c r="AB77" i="51"/>
  <c r="AB138" i="50" s="1"/>
  <c r="AC77" i="51"/>
  <c r="AC138" i="50" s="1"/>
  <c r="AE77" i="51"/>
  <c r="AE138" i="50" s="1"/>
  <c r="AF97" i="51"/>
  <c r="AF47" i="50" s="1"/>
  <c r="AE97" i="51"/>
  <c r="AE47" i="50" s="1"/>
  <c r="AD97" i="51"/>
  <c r="AD47" i="50" s="1"/>
  <c r="AA97" i="51"/>
  <c r="AA47" i="50" s="1"/>
  <c r="AA72" i="50" s="1"/>
  <c r="AC97" i="51"/>
  <c r="AC47" i="50" s="1"/>
  <c r="AB97" i="51"/>
  <c r="AB47" i="50" s="1"/>
  <c r="AB34" i="51" l="1"/>
  <c r="AB30" i="51" s="1"/>
  <c r="AC34" i="51"/>
  <c r="AC30" i="51" s="1"/>
  <c r="AA117" i="50"/>
  <c r="AB117" i="50" s="1"/>
  <c r="AE76" i="51"/>
  <c r="AE137" i="50" s="1"/>
  <c r="AA76" i="51"/>
  <c r="AA137" i="50" s="1"/>
  <c r="AA157" i="50" s="1"/>
  <c r="AC76" i="51"/>
  <c r="AC137" i="50" s="1"/>
  <c r="AB76" i="51"/>
  <c r="AB137" i="50" s="1"/>
  <c r="AD76" i="51"/>
  <c r="AD137" i="50" s="1"/>
  <c r="AF76" i="51"/>
  <c r="AF137" i="50" s="1"/>
  <c r="AH42" i="50"/>
  <c r="AH67" i="50" s="1"/>
  <c r="AI67" i="50" s="1"/>
  <c r="AJ67" i="50" s="1"/>
  <c r="AK67" i="50" s="1"/>
  <c r="AL67" i="50" s="1"/>
  <c r="AM67" i="50" s="1"/>
  <c r="AH25" i="51"/>
  <c r="AH116" i="50"/>
  <c r="AI116" i="50" s="1"/>
  <c r="AJ116" i="50" s="1"/>
  <c r="AK116" i="50" s="1"/>
  <c r="AL116" i="50" s="1"/>
  <c r="AM116" i="50" s="1"/>
  <c r="AH41" i="50"/>
  <c r="AH66" i="50" s="1"/>
  <c r="AI66" i="50" s="1"/>
  <c r="AJ66" i="50" s="1"/>
  <c r="AK66" i="50" s="1"/>
  <c r="AL66" i="50" s="1"/>
  <c r="AM66" i="50" s="1"/>
  <c r="AH46" i="50"/>
  <c r="AH71" i="50" s="1"/>
  <c r="AI71" i="50" s="1"/>
  <c r="AJ71" i="50" s="1"/>
  <c r="AK71" i="50" s="1"/>
  <c r="AL71" i="50" s="1"/>
  <c r="AM71" i="50" s="1"/>
  <c r="AH47" i="50"/>
  <c r="AH72" i="50" s="1"/>
  <c r="AI72" i="50" s="1"/>
  <c r="AJ72" i="50" s="1"/>
  <c r="AK72" i="50" s="1"/>
  <c r="AL72" i="50" s="1"/>
  <c r="AM72" i="50" s="1"/>
  <c r="AI117" i="50"/>
  <c r="AJ117" i="50" s="1"/>
  <c r="AK117" i="50" s="1"/>
  <c r="AL117" i="50" s="1"/>
  <c r="AM117" i="50" s="1"/>
  <c r="AI125" i="50"/>
  <c r="AJ125" i="50" s="1"/>
  <c r="AK125" i="50" s="1"/>
  <c r="AL125" i="50" s="1"/>
  <c r="AM125" i="50" s="1"/>
  <c r="AH90" i="51"/>
  <c r="AH147" i="50" s="1"/>
  <c r="AH167" i="50" s="1"/>
  <c r="AH127" i="50"/>
  <c r="AI127" i="50" s="1"/>
  <c r="AJ127" i="50" s="1"/>
  <c r="AK127" i="50" s="1"/>
  <c r="AL127" i="50" s="1"/>
  <c r="AM127" i="50" s="1"/>
  <c r="AA25" i="51"/>
  <c r="AD25" i="51"/>
  <c r="AD18" i="51" s="1"/>
  <c r="AD11" i="51" s="1"/>
  <c r="AI25" i="51"/>
  <c r="AI18" i="51" s="1"/>
  <c r="AM25" i="51"/>
  <c r="AM18" i="51" s="1"/>
  <c r="AB75" i="51"/>
  <c r="AB136" i="50" s="1"/>
  <c r="AE25" i="51"/>
  <c r="AE18" i="51" s="1"/>
  <c r="AE11" i="51" s="1"/>
  <c r="AH34" i="51"/>
  <c r="AH30" i="51" s="1"/>
  <c r="AL34" i="51"/>
  <c r="AL30" i="51" s="1"/>
  <c r="AL11" i="51" s="1"/>
  <c r="AH88" i="51"/>
  <c r="AH145" i="50" s="1"/>
  <c r="AH165" i="50" s="1"/>
  <c r="AC75" i="51"/>
  <c r="AC136" i="50" s="1"/>
  <c r="AF34" i="51"/>
  <c r="AF30" i="51" s="1"/>
  <c r="AF11" i="51" s="1"/>
  <c r="AD75" i="51"/>
  <c r="AD136" i="50" s="1"/>
  <c r="AJ34" i="51"/>
  <c r="AJ30" i="51" s="1"/>
  <c r="AH75" i="51"/>
  <c r="AH136" i="50" s="1"/>
  <c r="AH156" i="50" s="1"/>
  <c r="AD38" i="50"/>
  <c r="AM34" i="51"/>
  <c r="AM30" i="51" s="1"/>
  <c r="AB66" i="50"/>
  <c r="AC66" i="50" s="1"/>
  <c r="AD66" i="50" s="1"/>
  <c r="AE66" i="50" s="1"/>
  <c r="AF66" i="50" s="1"/>
  <c r="AA34" i="51"/>
  <c r="AA30" i="51" s="1"/>
  <c r="AE75" i="51"/>
  <c r="AF75" i="51"/>
  <c r="AC25" i="51"/>
  <c r="AC18" i="51" s="1"/>
  <c r="AC11" i="51" s="1"/>
  <c r="AI164" i="50"/>
  <c r="AJ164" i="50" s="1"/>
  <c r="AK164" i="50" s="1"/>
  <c r="AL164" i="50" s="1"/>
  <c r="AM164" i="50" s="1"/>
  <c r="AK11" i="51"/>
  <c r="AI157" i="50"/>
  <c r="AJ157" i="50" s="1"/>
  <c r="AB72" i="50"/>
  <c r="AC72" i="50" s="1"/>
  <c r="AD72" i="50" s="1"/>
  <c r="AE72" i="50" s="1"/>
  <c r="AF72" i="50" s="1"/>
  <c r="AJ88" i="51"/>
  <c r="AJ145" i="50" s="1"/>
  <c r="AL38" i="50"/>
  <c r="AI34" i="51"/>
  <c r="AI30" i="51" s="1"/>
  <c r="AJ90" i="51"/>
  <c r="AJ147" i="50" s="1"/>
  <c r="C75" i="49"/>
  <c r="AL40" i="67" s="1"/>
  <c r="D75" i="49"/>
  <c r="AM40" i="67" s="1"/>
  <c r="AJ38" i="50"/>
  <c r="AI133" i="50"/>
  <c r="AI64" i="51"/>
  <c r="AI44" i="50"/>
  <c r="AI94" i="51"/>
  <c r="AH94" i="51"/>
  <c r="AK76" i="51"/>
  <c r="AK137" i="50" s="1"/>
  <c r="AL76" i="51"/>
  <c r="AL137" i="50" s="1"/>
  <c r="AM88" i="51"/>
  <c r="AM145" i="50" s="1"/>
  <c r="AI88" i="51"/>
  <c r="AI145" i="50" s="1"/>
  <c r="AI165" i="50" s="1"/>
  <c r="AL141" i="50"/>
  <c r="AJ141" i="50"/>
  <c r="AK75" i="51"/>
  <c r="AI75" i="51"/>
  <c r="AK71" i="51"/>
  <c r="AK134" i="50"/>
  <c r="AJ134" i="50"/>
  <c r="AJ71" i="51"/>
  <c r="AI90" i="51"/>
  <c r="AI147" i="50" s="1"/>
  <c r="AI167" i="50" s="1"/>
  <c r="G75" i="49"/>
  <c r="AP40" i="67" s="1"/>
  <c r="AH65" i="50"/>
  <c r="AJ133" i="50"/>
  <c r="AJ64" i="51"/>
  <c r="AI162" i="50"/>
  <c r="AJ162" i="50" s="1"/>
  <c r="AK162" i="50" s="1"/>
  <c r="AL162" i="50" s="1"/>
  <c r="AM162" i="50" s="1"/>
  <c r="AM44" i="50"/>
  <c r="AM94" i="51"/>
  <c r="AM76" i="51"/>
  <c r="AM137" i="50" s="1"/>
  <c r="AI141" i="50"/>
  <c r="AH141" i="50"/>
  <c r="AH161" i="50" s="1"/>
  <c r="AI158" i="50"/>
  <c r="AJ158" i="50" s="1"/>
  <c r="AK158" i="50" s="1"/>
  <c r="AL158" i="50" s="1"/>
  <c r="AM158" i="50" s="1"/>
  <c r="AJ75" i="51"/>
  <c r="AH18" i="51"/>
  <c r="AH71" i="51"/>
  <c r="AH134" i="50"/>
  <c r="AH154" i="50" s="1"/>
  <c r="AM134" i="50"/>
  <c r="AM71" i="51"/>
  <c r="AK90" i="51"/>
  <c r="AK147" i="50" s="1"/>
  <c r="AL90" i="51"/>
  <c r="AL147" i="50" s="1"/>
  <c r="AM38" i="50"/>
  <c r="AI38" i="50"/>
  <c r="AK133" i="50"/>
  <c r="AK64" i="51"/>
  <c r="AM133" i="50"/>
  <c r="AM64" i="51"/>
  <c r="AK44" i="50"/>
  <c r="AK94" i="51"/>
  <c r="AL44" i="50"/>
  <c r="AL94" i="51"/>
  <c r="AI170" i="50"/>
  <c r="AJ170" i="50" s="1"/>
  <c r="AK170" i="50" s="1"/>
  <c r="AL170" i="50" s="1"/>
  <c r="AM170" i="50" s="1"/>
  <c r="AK141" i="50"/>
  <c r="AM75" i="51"/>
  <c r="AI71" i="51"/>
  <c r="AI134" i="50"/>
  <c r="AM90" i="51"/>
  <c r="AM147" i="50" s="1"/>
  <c r="E75" i="49"/>
  <c r="AN40" i="67" s="1"/>
  <c r="AB67" i="50"/>
  <c r="AC67" i="50" s="1"/>
  <c r="AD67" i="50" s="1"/>
  <c r="AE67" i="50" s="1"/>
  <c r="AF67" i="50" s="1"/>
  <c r="AB162" i="50"/>
  <c r="AC162" i="50" s="1"/>
  <c r="AD162" i="50" s="1"/>
  <c r="AE162" i="50" s="1"/>
  <c r="AF162" i="50" s="1"/>
  <c r="AK38" i="50"/>
  <c r="AJ25" i="51"/>
  <c r="AJ18" i="51" s="1"/>
  <c r="AH133" i="50"/>
  <c r="AH64" i="51"/>
  <c r="AL133" i="50"/>
  <c r="AL64" i="51"/>
  <c r="AJ44" i="50"/>
  <c r="AJ94" i="51"/>
  <c r="AK88" i="51"/>
  <c r="AK145" i="50" s="1"/>
  <c r="AL88" i="51"/>
  <c r="AL145" i="50" s="1"/>
  <c r="AM141" i="50"/>
  <c r="AL75" i="51"/>
  <c r="AL71" i="51"/>
  <c r="AL134" i="50"/>
  <c r="AA178" i="50"/>
  <c r="AB158" i="50"/>
  <c r="AC158" i="50" s="1"/>
  <c r="AD158" i="50" s="1"/>
  <c r="AE158" i="50" s="1"/>
  <c r="AF158" i="50" s="1"/>
  <c r="AA136" i="50"/>
  <c r="AA156" i="50" s="1"/>
  <c r="AA176" i="50" s="1"/>
  <c r="AE38" i="50"/>
  <c r="AB133" i="50"/>
  <c r="AB64" i="51"/>
  <c r="AA133" i="50"/>
  <c r="AA64" i="51"/>
  <c r="AB141" i="50"/>
  <c r="AF141" i="50"/>
  <c r="AB71" i="50"/>
  <c r="AC71" i="50" s="1"/>
  <c r="AD71" i="50" s="1"/>
  <c r="AE71" i="50" s="1"/>
  <c r="AF71" i="50" s="1"/>
  <c r="AA125" i="50"/>
  <c r="AE88" i="51"/>
  <c r="AE145" i="50" s="1"/>
  <c r="AC88" i="51"/>
  <c r="AC145" i="50" s="1"/>
  <c r="AA88" i="51"/>
  <c r="AA145" i="50" s="1"/>
  <c r="AA165" i="50" s="1"/>
  <c r="AB88" i="51"/>
  <c r="AB145" i="50" s="1"/>
  <c r="AD88" i="51"/>
  <c r="AD145" i="50" s="1"/>
  <c r="AF88" i="51"/>
  <c r="AF145" i="50" s="1"/>
  <c r="AA45" i="50"/>
  <c r="AA94" i="51"/>
  <c r="AB170" i="50"/>
  <c r="AC170" i="50" s="1"/>
  <c r="AD170" i="50" s="1"/>
  <c r="AE170" i="50" s="1"/>
  <c r="AF170" i="50" s="1"/>
  <c r="AB71" i="51"/>
  <c r="AB134" i="50"/>
  <c r="AA18" i="51"/>
  <c r="AA184" i="50"/>
  <c r="AB164" i="50"/>
  <c r="AC164" i="50" s="1"/>
  <c r="AD164" i="50" s="1"/>
  <c r="AE164" i="50" s="1"/>
  <c r="AF164" i="50" s="1"/>
  <c r="F61" i="49"/>
  <c r="AO32" i="67" s="1"/>
  <c r="C61" i="49"/>
  <c r="AL32" i="67" s="1"/>
  <c r="AC118" i="50"/>
  <c r="AB116" i="50"/>
  <c r="AA65" i="50"/>
  <c r="AA38" i="50"/>
  <c r="AF38" i="50"/>
  <c r="AF133" i="50"/>
  <c r="AF64" i="51"/>
  <c r="AC133" i="50"/>
  <c r="AC64" i="51"/>
  <c r="AA141" i="50"/>
  <c r="AA161" i="50" s="1"/>
  <c r="AD141" i="50"/>
  <c r="AB11" i="51"/>
  <c r="AC45" i="50"/>
  <c r="AC44" i="50" s="1"/>
  <c r="AC94" i="51"/>
  <c r="AE45" i="50"/>
  <c r="AE44" i="50" s="1"/>
  <c r="AE94" i="51"/>
  <c r="AF134" i="50"/>
  <c r="AF71" i="51"/>
  <c r="AE134" i="50"/>
  <c r="AE71" i="51"/>
  <c r="AA127" i="50"/>
  <c r="AE90" i="51"/>
  <c r="AE147" i="50" s="1"/>
  <c r="AC90" i="51"/>
  <c r="AC147" i="50" s="1"/>
  <c r="AB90" i="51"/>
  <c r="AB147" i="50" s="1"/>
  <c r="AA90" i="51"/>
  <c r="AA147" i="50" s="1"/>
  <c r="AA167" i="50" s="1"/>
  <c r="AD90" i="51"/>
  <c r="AD147" i="50" s="1"/>
  <c r="AF90" i="51"/>
  <c r="AF147" i="50" s="1"/>
  <c r="AA182" i="50"/>
  <c r="E61" i="49"/>
  <c r="AN32" i="67" s="1"/>
  <c r="AC38" i="50"/>
  <c r="AE133" i="50"/>
  <c r="AE64" i="51"/>
  <c r="AC141" i="50"/>
  <c r="AF45" i="50"/>
  <c r="AF44" i="50" s="1"/>
  <c r="AF94" i="51"/>
  <c r="AB45" i="50"/>
  <c r="AB44" i="50" s="1"/>
  <c r="AB94" i="51"/>
  <c r="AB130" i="50"/>
  <c r="AA190" i="50"/>
  <c r="AC117" i="50"/>
  <c r="AC134" i="50"/>
  <c r="AC71" i="51"/>
  <c r="AA134" i="50"/>
  <c r="AA154" i="50" s="1"/>
  <c r="AA71" i="51"/>
  <c r="AC124" i="50"/>
  <c r="AB38" i="50"/>
  <c r="AD133" i="50"/>
  <c r="AD64" i="51"/>
  <c r="AB113" i="50"/>
  <c r="AC122" i="50"/>
  <c r="AE141" i="50"/>
  <c r="AC121" i="50"/>
  <c r="AD45" i="50"/>
  <c r="AD44" i="50" s="1"/>
  <c r="AD94" i="51"/>
  <c r="AD71" i="51"/>
  <c r="AD134" i="50"/>
  <c r="AC114" i="50"/>
  <c r="D61" i="49"/>
  <c r="AM32" i="67" s="1"/>
  <c r="F75" i="49"/>
  <c r="AO40" i="67" s="1"/>
  <c r="G61" i="49"/>
  <c r="AP32" i="67" s="1"/>
  <c r="AA177" i="50" l="1"/>
  <c r="AL35" i="50"/>
  <c r="AJ26" i="7" s="1"/>
  <c r="AJ27" i="7" s="1"/>
  <c r="AE74" i="51"/>
  <c r="AE67" i="51" s="1"/>
  <c r="AC74" i="51"/>
  <c r="AC67" i="51" s="1"/>
  <c r="AA74" i="51"/>
  <c r="AA67" i="51" s="1"/>
  <c r="AH38" i="50"/>
  <c r="AF74" i="51"/>
  <c r="AF67" i="51" s="1"/>
  <c r="AH83" i="51"/>
  <c r="AH79" i="51" s="1"/>
  <c r="AJ11" i="51"/>
  <c r="AB157" i="50"/>
  <c r="AI11" i="51"/>
  <c r="AH74" i="51"/>
  <c r="AH67" i="51" s="1"/>
  <c r="AD35" i="50"/>
  <c r="AH11" i="51"/>
  <c r="AD74" i="51"/>
  <c r="AD67" i="51" s="1"/>
  <c r="AB74" i="51"/>
  <c r="AB67" i="51" s="1"/>
  <c r="AJ83" i="51"/>
  <c r="AJ79" i="51" s="1"/>
  <c r="AM11" i="51"/>
  <c r="AE136" i="50"/>
  <c r="AE131" i="50" s="1"/>
  <c r="AA111" i="50"/>
  <c r="AJ167" i="50"/>
  <c r="AK167" i="50" s="1"/>
  <c r="AL167" i="50" s="1"/>
  <c r="AM167" i="50" s="1"/>
  <c r="AF136" i="50"/>
  <c r="AF131" i="50" s="1"/>
  <c r="AK157" i="50"/>
  <c r="AL157" i="50" s="1"/>
  <c r="AM157" i="50" s="1"/>
  <c r="AA11" i="51"/>
  <c r="AB35" i="50"/>
  <c r="C61" i="67" s="1"/>
  <c r="AJ165" i="50"/>
  <c r="AK165" i="50" s="1"/>
  <c r="AL165" i="50" s="1"/>
  <c r="AM165" i="50" s="1"/>
  <c r="AC83" i="51"/>
  <c r="AC79" i="51" s="1"/>
  <c r="AI35" i="50"/>
  <c r="C85" i="67" s="1"/>
  <c r="AI83" i="51"/>
  <c r="AI79" i="51" s="1"/>
  <c r="AC35" i="50"/>
  <c r="AB182" i="50"/>
  <c r="AB165" i="50"/>
  <c r="AC165" i="50" s="1"/>
  <c r="AD165" i="50" s="1"/>
  <c r="AE165" i="50" s="1"/>
  <c r="AF165" i="50" s="1"/>
  <c r="AD131" i="50"/>
  <c r="AB178" i="50"/>
  <c r="AK83" i="51"/>
  <c r="AK79" i="51" s="1"/>
  <c r="AI154" i="50"/>
  <c r="AJ154" i="50" s="1"/>
  <c r="AK154" i="50" s="1"/>
  <c r="AL154" i="50" s="1"/>
  <c r="AM154" i="50" s="1"/>
  <c r="AI136" i="50"/>
  <c r="AI156" i="50" s="1"/>
  <c r="AI74" i="51"/>
  <c r="AI67" i="51" s="1"/>
  <c r="AH44" i="50"/>
  <c r="AH70" i="50"/>
  <c r="AE83" i="51"/>
  <c r="AE79" i="51" s="1"/>
  <c r="AB184" i="50"/>
  <c r="AL136" i="50"/>
  <c r="AL131" i="50" s="1"/>
  <c r="AL74" i="51"/>
  <c r="AL67" i="51" s="1"/>
  <c r="AI161" i="50"/>
  <c r="AJ161" i="50" s="1"/>
  <c r="AK161" i="50" s="1"/>
  <c r="AL161" i="50" s="1"/>
  <c r="AM161" i="50" s="1"/>
  <c r="AK136" i="50"/>
  <c r="AK131" i="50" s="1"/>
  <c r="AK74" i="51"/>
  <c r="AK67" i="51" s="1"/>
  <c r="AL83" i="51"/>
  <c r="AL79" i="51" s="1"/>
  <c r="AM35" i="50"/>
  <c r="AJ136" i="50"/>
  <c r="AJ131" i="50" s="1"/>
  <c r="AJ74" i="51"/>
  <c r="AJ67" i="51" s="1"/>
  <c r="AJ35" i="50"/>
  <c r="AM83" i="51"/>
  <c r="AM79" i="51" s="1"/>
  <c r="AH153" i="50"/>
  <c r="AH131" i="50"/>
  <c r="AF28" i="7" s="1"/>
  <c r="AK35" i="50"/>
  <c r="AM136" i="50"/>
  <c r="AM131" i="50" s="1"/>
  <c r="AM74" i="51"/>
  <c r="AM67" i="51" s="1"/>
  <c r="AI65" i="50"/>
  <c r="AH63" i="50"/>
  <c r="AA174" i="50"/>
  <c r="AB154" i="50"/>
  <c r="AD117" i="50"/>
  <c r="AD83" i="51"/>
  <c r="AD79" i="51" s="1"/>
  <c r="AF35" i="50"/>
  <c r="AC116" i="50"/>
  <c r="AD118" i="50"/>
  <c r="AC178" i="50"/>
  <c r="AA153" i="50"/>
  <c r="AA131" i="50"/>
  <c r="Y28" i="7" s="1"/>
  <c r="AB156" i="50"/>
  <c r="AC156" i="50" s="1"/>
  <c r="AD156" i="50" s="1"/>
  <c r="AD121" i="50"/>
  <c r="AD114" i="50"/>
  <c r="AC113" i="50"/>
  <c r="AB167" i="50"/>
  <c r="AC167" i="50" s="1"/>
  <c r="AD167" i="50" s="1"/>
  <c r="AE167" i="50" s="1"/>
  <c r="AF167" i="50" s="1"/>
  <c r="AB127" i="50"/>
  <c r="AA187" i="50"/>
  <c r="AC131" i="50"/>
  <c r="AB125" i="50"/>
  <c r="AA185" i="50"/>
  <c r="AB83" i="51"/>
  <c r="AB79" i="51" s="1"/>
  <c r="AD124" i="50"/>
  <c r="AC184" i="50"/>
  <c r="AC130" i="50"/>
  <c r="AB190" i="50"/>
  <c r="AA83" i="51"/>
  <c r="AA79" i="51" s="1"/>
  <c r="AB65" i="50"/>
  <c r="AA63" i="50"/>
  <c r="AB131" i="50"/>
  <c r="AA70" i="50"/>
  <c r="AA44" i="50"/>
  <c r="AA35" i="50" s="1"/>
  <c r="Y26" i="7" s="1"/>
  <c r="Y27" i="7" s="1"/>
  <c r="AD122" i="50"/>
  <c r="AC182" i="50"/>
  <c r="AA181" i="50"/>
  <c r="AB161" i="50"/>
  <c r="AF83" i="51"/>
  <c r="AF79" i="51" s="1"/>
  <c r="AE35" i="50"/>
  <c r="AT54" i="51"/>
  <c r="AS54" i="51"/>
  <c r="AR54" i="51"/>
  <c r="AQ54" i="51"/>
  <c r="AP54" i="51"/>
  <c r="AO54" i="51"/>
  <c r="AT56" i="51"/>
  <c r="AS56" i="51"/>
  <c r="AR56" i="51"/>
  <c r="AQ56" i="51"/>
  <c r="AP56" i="51"/>
  <c r="AO56" i="51"/>
  <c r="AT48" i="51"/>
  <c r="AS48" i="51"/>
  <c r="AR48" i="51"/>
  <c r="AQ48" i="51"/>
  <c r="AP48" i="51"/>
  <c r="AO48" i="51"/>
  <c r="AT47" i="51"/>
  <c r="AS47" i="51"/>
  <c r="AR47" i="51"/>
  <c r="AQ47" i="51"/>
  <c r="AP47" i="51"/>
  <c r="AO47" i="51"/>
  <c r="AT51" i="51"/>
  <c r="AT50" i="51" s="1"/>
  <c r="AS51" i="51"/>
  <c r="AS50" i="51" s="1"/>
  <c r="AR51" i="51"/>
  <c r="AR50" i="51" s="1"/>
  <c r="AQ51" i="51"/>
  <c r="AQ50" i="51" s="1"/>
  <c r="AP51" i="51"/>
  <c r="AP50" i="51" s="1"/>
  <c r="AO51" i="51"/>
  <c r="AT16" i="51"/>
  <c r="AT15" i="51" s="1"/>
  <c r="AS16" i="51"/>
  <c r="AS15" i="51" s="1"/>
  <c r="AR16" i="51"/>
  <c r="AR15" i="51" s="1"/>
  <c r="AQ16" i="51"/>
  <c r="AQ15" i="51" s="1"/>
  <c r="AP16" i="51"/>
  <c r="AP15" i="51" s="1"/>
  <c r="AO16" i="51"/>
  <c r="Y29" i="51"/>
  <c r="X29" i="51"/>
  <c r="W29" i="51"/>
  <c r="V29" i="51"/>
  <c r="U29" i="51"/>
  <c r="T29" i="51"/>
  <c r="Y21" i="51"/>
  <c r="X21" i="51"/>
  <c r="W21" i="51"/>
  <c r="V21" i="51"/>
  <c r="U21" i="51"/>
  <c r="T21" i="51"/>
  <c r="Y48" i="51"/>
  <c r="X48" i="51"/>
  <c r="W48" i="51"/>
  <c r="V48" i="51"/>
  <c r="U48" i="51"/>
  <c r="T48" i="51"/>
  <c r="Y46" i="51"/>
  <c r="X46" i="51"/>
  <c r="W46" i="51"/>
  <c r="V46" i="51"/>
  <c r="U46" i="51"/>
  <c r="T46" i="51"/>
  <c r="Y47" i="51"/>
  <c r="X47" i="51"/>
  <c r="W47" i="51"/>
  <c r="V47" i="51"/>
  <c r="U47" i="51"/>
  <c r="T47" i="51"/>
  <c r="Y28" i="51"/>
  <c r="Y25" i="51" s="1"/>
  <c r="X28" i="51"/>
  <c r="X25" i="51" s="1"/>
  <c r="W28" i="51"/>
  <c r="W25" i="51" s="1"/>
  <c r="V28" i="51"/>
  <c r="V25" i="51" s="1"/>
  <c r="U28" i="51"/>
  <c r="U25" i="51" s="1"/>
  <c r="T28" i="51"/>
  <c r="Y20" i="51"/>
  <c r="X20" i="51"/>
  <c r="W20" i="51"/>
  <c r="V20" i="51"/>
  <c r="U20" i="51"/>
  <c r="T20" i="51"/>
  <c r="Y41" i="51"/>
  <c r="Y34" i="51" s="1"/>
  <c r="Y30" i="51" s="1"/>
  <c r="X41" i="51"/>
  <c r="X34" i="51" s="1"/>
  <c r="X30" i="51" s="1"/>
  <c r="W41" i="51"/>
  <c r="W34" i="51" s="1"/>
  <c r="W30" i="51" s="1"/>
  <c r="V41" i="51"/>
  <c r="V34" i="51" s="1"/>
  <c r="V30" i="51" s="1"/>
  <c r="U41" i="51"/>
  <c r="U34" i="51" s="1"/>
  <c r="U30" i="51" s="1"/>
  <c r="T41" i="51"/>
  <c r="R29" i="51"/>
  <c r="Q29" i="51"/>
  <c r="P29" i="51"/>
  <c r="O29" i="51"/>
  <c r="N29" i="51"/>
  <c r="M29" i="51"/>
  <c r="R21" i="51"/>
  <c r="Q21" i="51"/>
  <c r="P21" i="51"/>
  <c r="O21" i="51"/>
  <c r="N21" i="51"/>
  <c r="M21" i="51"/>
  <c r="R48" i="51"/>
  <c r="Q48" i="51"/>
  <c r="P48" i="51"/>
  <c r="O48" i="51"/>
  <c r="N48" i="51"/>
  <c r="M48" i="51"/>
  <c r="R46" i="51"/>
  <c r="Q46" i="51"/>
  <c r="P46" i="51"/>
  <c r="O46" i="51"/>
  <c r="N46" i="51"/>
  <c r="M46" i="51"/>
  <c r="R47" i="51"/>
  <c r="Q47" i="51"/>
  <c r="P47" i="51"/>
  <c r="O47" i="51"/>
  <c r="N47" i="51"/>
  <c r="M47" i="51"/>
  <c r="R58" i="51"/>
  <c r="Q58" i="51"/>
  <c r="P58" i="51"/>
  <c r="O58" i="51"/>
  <c r="N58" i="51"/>
  <c r="M58" i="51"/>
  <c r="R28" i="51"/>
  <c r="R25" i="51" s="1"/>
  <c r="Q28" i="51"/>
  <c r="Q25" i="51" s="1"/>
  <c r="P28" i="51"/>
  <c r="P25" i="51" s="1"/>
  <c r="O28" i="51"/>
  <c r="O25" i="51" s="1"/>
  <c r="N28" i="51"/>
  <c r="N25" i="51" s="1"/>
  <c r="M28" i="51"/>
  <c r="R41" i="51"/>
  <c r="Q41" i="51"/>
  <c r="P41" i="51"/>
  <c r="O41" i="51"/>
  <c r="N41" i="51"/>
  <c r="M41" i="51"/>
  <c r="K29" i="51"/>
  <c r="J29" i="51"/>
  <c r="I29" i="51"/>
  <c r="H29" i="51"/>
  <c r="G29" i="51"/>
  <c r="F29" i="51"/>
  <c r="K21" i="51"/>
  <c r="J21" i="51"/>
  <c r="I21" i="51"/>
  <c r="H21" i="51"/>
  <c r="G21" i="51"/>
  <c r="F21" i="51"/>
  <c r="K48" i="51"/>
  <c r="J48" i="51"/>
  <c r="I48" i="51"/>
  <c r="H48" i="51"/>
  <c r="G48" i="51"/>
  <c r="F48" i="51"/>
  <c r="K46" i="51"/>
  <c r="J46" i="51"/>
  <c r="I46" i="51"/>
  <c r="H46" i="51"/>
  <c r="G46" i="51"/>
  <c r="F46" i="51"/>
  <c r="K47" i="51"/>
  <c r="J47" i="51"/>
  <c r="I47" i="51"/>
  <c r="H47" i="51"/>
  <c r="G47" i="51"/>
  <c r="F47" i="51"/>
  <c r="K28" i="51"/>
  <c r="J28" i="51"/>
  <c r="I28" i="51"/>
  <c r="H28" i="51"/>
  <c r="G28" i="51"/>
  <c r="F28" i="51"/>
  <c r="K58" i="51"/>
  <c r="J58" i="51"/>
  <c r="I58" i="51"/>
  <c r="H58" i="51"/>
  <c r="G58" i="51"/>
  <c r="F58" i="51"/>
  <c r="J27" i="51"/>
  <c r="F27" i="51"/>
  <c r="K23" i="51"/>
  <c r="K22" i="51" s="1"/>
  <c r="J23" i="51"/>
  <c r="J22" i="51" s="1"/>
  <c r="I23" i="51"/>
  <c r="I22" i="51" s="1"/>
  <c r="H23" i="51"/>
  <c r="H22" i="51" s="1"/>
  <c r="G23" i="51"/>
  <c r="G22" i="51" s="1"/>
  <c r="F23" i="51"/>
  <c r="K17" i="51"/>
  <c r="K15" i="51" s="1"/>
  <c r="J17" i="51"/>
  <c r="J15" i="51" s="1"/>
  <c r="I17" i="51"/>
  <c r="I15" i="51" s="1"/>
  <c r="H17" i="51"/>
  <c r="H15" i="51" s="1"/>
  <c r="G17" i="51"/>
  <c r="G15" i="51" s="1"/>
  <c r="F17" i="51"/>
  <c r="K38" i="51"/>
  <c r="J38" i="51"/>
  <c r="I38" i="51"/>
  <c r="H38" i="51"/>
  <c r="G38" i="51"/>
  <c r="F38" i="51"/>
  <c r="K36" i="51"/>
  <c r="J36" i="51"/>
  <c r="I36" i="51"/>
  <c r="H36" i="51"/>
  <c r="G36" i="51"/>
  <c r="F36" i="51"/>
  <c r="AM56" i="53" l="1"/>
  <c r="X102" i="67" s="1"/>
  <c r="F85" i="67"/>
  <c r="AH35" i="50"/>
  <c r="AF26" i="7" s="1"/>
  <c r="AF27" i="7" s="1"/>
  <c r="AH60" i="51"/>
  <c r="AJ60" i="51"/>
  <c r="AC157" i="50"/>
  <c r="AB177" i="50"/>
  <c r="AK28" i="7"/>
  <c r="G90" i="67"/>
  <c r="AK26" i="7"/>
  <c r="AK27" i="7" s="1"/>
  <c r="G85" i="67"/>
  <c r="AB28" i="7"/>
  <c r="E66" i="67"/>
  <c r="AI26" i="7"/>
  <c r="AI27" i="7" s="1"/>
  <c r="E85" i="67"/>
  <c r="AH26" i="7"/>
  <c r="AH27" i="7" s="1"/>
  <c r="D85" i="67"/>
  <c r="AC28" i="7"/>
  <c r="F66" i="67"/>
  <c r="AC26" i="7"/>
  <c r="AC27" i="7" s="1"/>
  <c r="F61" i="67"/>
  <c r="AA28" i="7"/>
  <c r="D66" i="67"/>
  <c r="AJ28" i="7"/>
  <c r="F90" i="67"/>
  <c r="AD28" i="7"/>
  <c r="G66" i="67"/>
  <c r="Z28" i="7"/>
  <c r="C66" i="67"/>
  <c r="AD26" i="7"/>
  <c r="AD27" i="7" s="1"/>
  <c r="G61" i="67"/>
  <c r="AH28" i="7"/>
  <c r="D90" i="67"/>
  <c r="AI28" i="7"/>
  <c r="E90" i="67"/>
  <c r="AA26" i="7"/>
  <c r="AA27" i="7" s="1"/>
  <c r="D61" i="67"/>
  <c r="AB26" i="7"/>
  <c r="AB27" i="7" s="1"/>
  <c r="E61" i="67"/>
  <c r="AE156" i="50"/>
  <c r="AD56" i="53"/>
  <c r="W81" i="67" s="1"/>
  <c r="AB56" i="53"/>
  <c r="Z26" i="7"/>
  <c r="Z27" i="7" s="1"/>
  <c r="AJ56" i="53"/>
  <c r="AG26" i="7"/>
  <c r="AG27" i="7" s="1"/>
  <c r="AK60" i="51"/>
  <c r="AA60" i="51"/>
  <c r="AF156" i="50"/>
  <c r="BC56" i="73"/>
  <c r="AB281" i="50"/>
  <c r="AB60" i="51"/>
  <c r="AD281" i="50"/>
  <c r="AC60" i="51"/>
  <c r="AI60" i="51"/>
  <c r="AE60" i="51"/>
  <c r="AC281" i="50"/>
  <c r="AC56" i="53"/>
  <c r="V81" i="67" s="1"/>
  <c r="AD60" i="51"/>
  <c r="AM60" i="51"/>
  <c r="P18" i="51"/>
  <c r="J39" i="51"/>
  <c r="G26" i="51"/>
  <c r="K26" i="51"/>
  <c r="J45" i="51"/>
  <c r="N40" i="51"/>
  <c r="N34" i="51" s="1"/>
  <c r="N30" i="51" s="1"/>
  <c r="R40" i="51"/>
  <c r="R34" i="51" s="1"/>
  <c r="R30" i="51" s="1"/>
  <c r="Q18" i="51"/>
  <c r="P45" i="51"/>
  <c r="U18" i="51"/>
  <c r="Y18" i="51"/>
  <c r="W45" i="51"/>
  <c r="AR26" i="51"/>
  <c r="AR25" i="51" s="1"/>
  <c r="AR18" i="51" s="1"/>
  <c r="AQ58" i="51"/>
  <c r="AF60" i="51"/>
  <c r="AD57" i="53"/>
  <c r="W82" i="67" s="1"/>
  <c r="F39" i="51"/>
  <c r="F88" i="51" s="1"/>
  <c r="F35" i="51"/>
  <c r="J35" i="51"/>
  <c r="H35" i="51"/>
  <c r="F20" i="51"/>
  <c r="F69" i="51" s="1"/>
  <c r="J20" i="51"/>
  <c r="I35" i="51"/>
  <c r="I39" i="51"/>
  <c r="F41" i="51"/>
  <c r="F90" i="51" s="1"/>
  <c r="J41" i="51"/>
  <c r="I27" i="51"/>
  <c r="F26" i="51"/>
  <c r="F25" i="51" s="1"/>
  <c r="J26" i="51"/>
  <c r="J25" i="51" s="1"/>
  <c r="G20" i="51"/>
  <c r="K20" i="51"/>
  <c r="M40" i="51"/>
  <c r="M34" i="51" s="1"/>
  <c r="M30" i="51" s="1"/>
  <c r="Q40" i="51"/>
  <c r="Q34" i="51" s="1"/>
  <c r="Q30" i="51" s="1"/>
  <c r="AQ26" i="51"/>
  <c r="AQ25" i="51" s="1"/>
  <c r="AQ18" i="51" s="1"/>
  <c r="AP58" i="51"/>
  <c r="AT58" i="51"/>
  <c r="H20" i="51"/>
  <c r="G35" i="51"/>
  <c r="K35" i="51"/>
  <c r="G27" i="51"/>
  <c r="G76" i="51" s="1"/>
  <c r="K27" i="51"/>
  <c r="F69" i="62"/>
  <c r="I20" i="51"/>
  <c r="AJ156" i="50"/>
  <c r="AK156" i="50" s="1"/>
  <c r="AL156" i="50" s="1"/>
  <c r="AM156" i="50" s="1"/>
  <c r="AK57" i="53"/>
  <c r="V103" i="67" s="1"/>
  <c r="AL57" i="53"/>
  <c r="W103" i="67" s="1"/>
  <c r="AN57" i="53"/>
  <c r="Y103" i="67" s="1"/>
  <c r="AA103" i="67" s="1"/>
  <c r="G41" i="51"/>
  <c r="I107" i="51"/>
  <c r="H107" i="51"/>
  <c r="J107" i="51"/>
  <c r="G107" i="51"/>
  <c r="F107" i="51"/>
  <c r="K107" i="51"/>
  <c r="G39" i="51"/>
  <c r="K39" i="51"/>
  <c r="H41" i="51"/>
  <c r="H26" i="51"/>
  <c r="H96" i="51"/>
  <c r="F96" i="51"/>
  <c r="K96" i="51"/>
  <c r="J96" i="51"/>
  <c r="G96" i="51"/>
  <c r="I96" i="51"/>
  <c r="G45" i="51"/>
  <c r="K45" i="51"/>
  <c r="E21" i="51"/>
  <c r="F70" i="62"/>
  <c r="G70" i="62" s="1"/>
  <c r="H70" i="62" s="1"/>
  <c r="I70" i="62" s="1"/>
  <c r="J70" i="62" s="1"/>
  <c r="K70" i="62" s="1"/>
  <c r="K78" i="51"/>
  <c r="J78" i="51"/>
  <c r="H78" i="51"/>
  <c r="F78" i="51"/>
  <c r="G78" i="51"/>
  <c r="I78" i="51"/>
  <c r="O40" i="51"/>
  <c r="O34" i="51" s="1"/>
  <c r="O30" i="51" s="1"/>
  <c r="N18" i="51"/>
  <c r="R18" i="51"/>
  <c r="M45" i="51"/>
  <c r="P95" i="51"/>
  <c r="Q95" i="51"/>
  <c r="M95" i="51"/>
  <c r="R95" i="51"/>
  <c r="O95" i="51"/>
  <c r="N95" i="51"/>
  <c r="Q45" i="51"/>
  <c r="P97" i="51"/>
  <c r="Y90" i="51"/>
  <c r="Y83" i="51" s="1"/>
  <c r="Y79" i="51" s="1"/>
  <c r="T34" i="51"/>
  <c r="T30" i="51" s="1"/>
  <c r="X90" i="51"/>
  <c r="X83" i="51" s="1"/>
  <c r="X79" i="51" s="1"/>
  <c r="T90" i="51"/>
  <c r="T83" i="51" s="1"/>
  <c r="T79" i="51" s="1"/>
  <c r="W90" i="51"/>
  <c r="W83" i="51" s="1"/>
  <c r="W79" i="51" s="1"/>
  <c r="U90" i="51"/>
  <c r="U83" i="51" s="1"/>
  <c r="U79" i="51" s="1"/>
  <c r="V90" i="51"/>
  <c r="V83" i="51" s="1"/>
  <c r="V79" i="51" s="1"/>
  <c r="V18" i="51"/>
  <c r="T45" i="51"/>
  <c r="U95" i="51"/>
  <c r="W95" i="51"/>
  <c r="V95" i="51"/>
  <c r="T95" i="51"/>
  <c r="Y95" i="51"/>
  <c r="X95" i="51"/>
  <c r="X45" i="51"/>
  <c r="AO26" i="51"/>
  <c r="AS26" i="51"/>
  <c r="AS25" i="51" s="1"/>
  <c r="AS18" i="51" s="1"/>
  <c r="E52" i="51"/>
  <c r="E50" i="51" s="1"/>
  <c r="F101" i="62"/>
  <c r="E50" i="62"/>
  <c r="AQ96" i="51"/>
  <c r="AS96" i="51"/>
  <c r="AP96" i="51"/>
  <c r="AO96" i="51"/>
  <c r="AR96" i="51"/>
  <c r="AT96" i="51"/>
  <c r="AR58" i="51"/>
  <c r="AB176" i="50"/>
  <c r="AJ65" i="50"/>
  <c r="AI63" i="50"/>
  <c r="AI131" i="50"/>
  <c r="AH69" i="50"/>
  <c r="AH60" i="50" s="1"/>
  <c r="AI70" i="50"/>
  <c r="K41" i="51"/>
  <c r="F76" i="51"/>
  <c r="G95" i="51"/>
  <c r="J95" i="51"/>
  <c r="K95" i="51"/>
  <c r="F95" i="51"/>
  <c r="H95" i="51"/>
  <c r="I95" i="51"/>
  <c r="F45" i="51"/>
  <c r="J66" i="51"/>
  <c r="J64" i="51" s="1"/>
  <c r="F15" i="51"/>
  <c r="K66" i="51"/>
  <c r="K64" i="51" s="1"/>
  <c r="G66" i="51"/>
  <c r="G64" i="51" s="1"/>
  <c r="F66" i="51"/>
  <c r="F64" i="51" s="1"/>
  <c r="I66" i="51"/>
  <c r="I64" i="51" s="1"/>
  <c r="H66" i="51"/>
  <c r="H64" i="51" s="1"/>
  <c r="K87" i="51"/>
  <c r="J87" i="51"/>
  <c r="I87" i="51"/>
  <c r="G87" i="51"/>
  <c r="H87" i="51"/>
  <c r="F87" i="51"/>
  <c r="H39" i="51"/>
  <c r="I41" i="51"/>
  <c r="H27" i="51"/>
  <c r="I26" i="51"/>
  <c r="H45" i="51"/>
  <c r="H70" i="51"/>
  <c r="K70" i="51"/>
  <c r="J70" i="51"/>
  <c r="I70" i="51"/>
  <c r="F70" i="51"/>
  <c r="G70" i="51"/>
  <c r="P40" i="51"/>
  <c r="P34" i="51" s="1"/>
  <c r="P30" i="51" s="1"/>
  <c r="O18" i="51"/>
  <c r="M96" i="51"/>
  <c r="P96" i="51"/>
  <c r="R96" i="51"/>
  <c r="O96" i="51"/>
  <c r="Q96" i="51"/>
  <c r="N96" i="51"/>
  <c r="N45" i="51"/>
  <c r="R45" i="51"/>
  <c r="Q78" i="51"/>
  <c r="M78" i="51"/>
  <c r="R78" i="51"/>
  <c r="P78" i="51"/>
  <c r="N78" i="51"/>
  <c r="O78" i="51"/>
  <c r="W18" i="51"/>
  <c r="T96" i="51"/>
  <c r="V96" i="51"/>
  <c r="W96" i="51"/>
  <c r="U96" i="51"/>
  <c r="X96" i="51"/>
  <c r="Y96" i="51"/>
  <c r="U45" i="51"/>
  <c r="Y45" i="51"/>
  <c r="V78" i="51"/>
  <c r="W78" i="51"/>
  <c r="Y78" i="51"/>
  <c r="T78" i="51"/>
  <c r="U78" i="51"/>
  <c r="X78" i="51"/>
  <c r="AP26" i="51"/>
  <c r="AP25" i="51" s="1"/>
  <c r="AP18" i="51" s="1"/>
  <c r="AT26" i="51"/>
  <c r="AT25" i="51" s="1"/>
  <c r="AT18" i="51" s="1"/>
  <c r="AQ100" i="51"/>
  <c r="AQ99" i="51" s="1"/>
  <c r="AO50" i="51"/>
  <c r="AT100" i="51"/>
  <c r="AT99" i="51" s="1"/>
  <c r="AR100" i="51"/>
  <c r="AR99" i="51" s="1"/>
  <c r="AO100" i="51"/>
  <c r="AO99" i="51" s="1"/>
  <c r="AS100" i="51"/>
  <c r="AS99" i="51" s="1"/>
  <c r="AP100" i="51"/>
  <c r="AP99" i="51" s="1"/>
  <c r="AO58" i="51"/>
  <c r="AS58" i="51"/>
  <c r="AL56" i="53"/>
  <c r="W102" i="67" s="1"/>
  <c r="AK281" i="50"/>
  <c r="AN56" i="53"/>
  <c r="Y102" i="67" s="1"/>
  <c r="AA102" i="67" s="1"/>
  <c r="AM281" i="50"/>
  <c r="AL60" i="51"/>
  <c r="AH281" i="50"/>
  <c r="F22" i="51"/>
  <c r="H72" i="51"/>
  <c r="H71" i="51" s="1"/>
  <c r="J72" i="51"/>
  <c r="J71" i="51" s="1"/>
  <c r="I72" i="51"/>
  <c r="I71" i="51" s="1"/>
  <c r="F72" i="51"/>
  <c r="F71" i="51" s="1"/>
  <c r="G72" i="51"/>
  <c r="G71" i="51" s="1"/>
  <c r="K72" i="51"/>
  <c r="K71" i="51" s="1"/>
  <c r="G77" i="51"/>
  <c r="F77" i="51"/>
  <c r="J77" i="51"/>
  <c r="H77" i="51"/>
  <c r="I77" i="51"/>
  <c r="K77" i="51"/>
  <c r="I45" i="51"/>
  <c r="G97" i="51"/>
  <c r="J97" i="51"/>
  <c r="K97" i="51"/>
  <c r="F97" i="51"/>
  <c r="H97" i="51"/>
  <c r="I97" i="51"/>
  <c r="M107" i="51"/>
  <c r="R107" i="51"/>
  <c r="P107" i="51"/>
  <c r="N107" i="51"/>
  <c r="O107" i="51"/>
  <c r="Q107" i="51"/>
  <c r="O45" i="51"/>
  <c r="M70" i="51"/>
  <c r="R70" i="51"/>
  <c r="O70" i="51"/>
  <c r="N70" i="51"/>
  <c r="Q70" i="51"/>
  <c r="P70" i="51"/>
  <c r="T77" i="51"/>
  <c r="T74" i="51" s="1"/>
  <c r="U77" i="51"/>
  <c r="U74" i="51" s="1"/>
  <c r="T25" i="51"/>
  <c r="T18" i="51" s="1"/>
  <c r="W77" i="51"/>
  <c r="W74" i="51" s="1"/>
  <c r="Y77" i="51"/>
  <c r="Y74" i="51" s="1"/>
  <c r="X77" i="51"/>
  <c r="X74" i="51" s="1"/>
  <c r="V77" i="51"/>
  <c r="V74" i="51" s="1"/>
  <c r="X18" i="51"/>
  <c r="V45" i="51"/>
  <c r="X70" i="51"/>
  <c r="U70" i="51"/>
  <c r="Y70" i="51"/>
  <c r="V70" i="51"/>
  <c r="T70" i="51"/>
  <c r="W70" i="51"/>
  <c r="AQ65" i="51"/>
  <c r="AQ64" i="51" s="1"/>
  <c r="AO65" i="51"/>
  <c r="AO64" i="51" s="1"/>
  <c r="AR65" i="51"/>
  <c r="AR64" i="51" s="1"/>
  <c r="AT65" i="51"/>
  <c r="AT64" i="51" s="1"/>
  <c r="AO15" i="51"/>
  <c r="AP65" i="51"/>
  <c r="AP64" i="51" s="1"/>
  <c r="AS65" i="51"/>
  <c r="AS64" i="51" s="1"/>
  <c r="AQ105" i="51"/>
  <c r="AT105" i="51"/>
  <c r="AS105" i="51"/>
  <c r="AR105" i="51"/>
  <c r="AP105" i="51"/>
  <c r="AO105" i="51"/>
  <c r="AM57" i="53"/>
  <c r="X103" i="67" s="1"/>
  <c r="AL281" i="50"/>
  <c r="K85" i="51"/>
  <c r="J85" i="51"/>
  <c r="I85" i="51"/>
  <c r="G85" i="51"/>
  <c r="F85" i="51"/>
  <c r="H85" i="51"/>
  <c r="E29" i="51"/>
  <c r="F78" i="62"/>
  <c r="G78" i="62" s="1"/>
  <c r="H78" i="62" s="1"/>
  <c r="I78" i="62" s="1"/>
  <c r="J78" i="62" s="1"/>
  <c r="K78" i="62" s="1"/>
  <c r="O90" i="51"/>
  <c r="P90" i="51"/>
  <c r="R90" i="51"/>
  <c r="N90" i="51"/>
  <c r="Q90" i="51"/>
  <c r="M90" i="51"/>
  <c r="P77" i="51"/>
  <c r="P74" i="51" s="1"/>
  <c r="N77" i="51"/>
  <c r="N74" i="51" s="1"/>
  <c r="R77" i="51"/>
  <c r="R74" i="51" s="1"/>
  <c r="Q77" i="51"/>
  <c r="Q74" i="51" s="1"/>
  <c r="M25" i="51"/>
  <c r="M18" i="51" s="1"/>
  <c r="M77" i="51"/>
  <c r="M74" i="51" s="1"/>
  <c r="O77" i="51"/>
  <c r="O74" i="51" s="1"/>
  <c r="R97" i="51"/>
  <c r="O97" i="51"/>
  <c r="N97" i="51"/>
  <c r="Q97" i="51"/>
  <c r="M97" i="51"/>
  <c r="Y69" i="51"/>
  <c r="X69" i="51"/>
  <c r="U69" i="51"/>
  <c r="T69" i="51"/>
  <c r="W69" i="51"/>
  <c r="V69" i="51"/>
  <c r="W97" i="51"/>
  <c r="T97" i="51"/>
  <c r="V97" i="51"/>
  <c r="Y97" i="51"/>
  <c r="U97" i="51"/>
  <c r="X97" i="51"/>
  <c r="AT97" i="51"/>
  <c r="AS97" i="51"/>
  <c r="AQ97" i="51"/>
  <c r="AR97" i="51"/>
  <c r="AO97" i="51"/>
  <c r="AP97" i="51"/>
  <c r="AP103" i="51"/>
  <c r="AR103" i="51"/>
  <c r="AO103" i="51"/>
  <c r="AQ103" i="51"/>
  <c r="AS103" i="51"/>
  <c r="AT103" i="51"/>
  <c r="AI153" i="50"/>
  <c r="AH151" i="50"/>
  <c r="AK56" i="53"/>
  <c r="V102" i="67" s="1"/>
  <c r="AJ281" i="50"/>
  <c r="AA281" i="50"/>
  <c r="AF57" i="53"/>
  <c r="Y82" i="67" s="1"/>
  <c r="AA82" i="67" s="1"/>
  <c r="AE121" i="50"/>
  <c r="AF56" i="53"/>
  <c r="Y81" i="67" s="1"/>
  <c r="AA81" i="67" s="1"/>
  <c r="AF281" i="50"/>
  <c r="AC161" i="50"/>
  <c r="AB181" i="50"/>
  <c r="AC65" i="50"/>
  <c r="AB63" i="50"/>
  <c r="AE124" i="50"/>
  <c r="AD184" i="50"/>
  <c r="AC57" i="53"/>
  <c r="V82" i="67" s="1"/>
  <c r="AE118" i="50"/>
  <c r="AD178" i="50"/>
  <c r="AE56" i="53"/>
  <c r="X81" i="67" s="1"/>
  <c r="AE281" i="50"/>
  <c r="AA69" i="50"/>
  <c r="AA60" i="50" s="1"/>
  <c r="AB70" i="50"/>
  <c r="AD113" i="50"/>
  <c r="AE114" i="50"/>
  <c r="AE117" i="50"/>
  <c r="AE122" i="50"/>
  <c r="AD182" i="50"/>
  <c r="AB57" i="53"/>
  <c r="U82" i="67" s="1"/>
  <c r="Z82" i="67" s="1"/>
  <c r="AE57" i="53"/>
  <c r="X82" i="67" s="1"/>
  <c r="AD130" i="50"/>
  <c r="AC190" i="50"/>
  <c r="AC125" i="50"/>
  <c r="AB185" i="50"/>
  <c r="AC127" i="50"/>
  <c r="AB187" i="50"/>
  <c r="AB111" i="50"/>
  <c r="C65" i="67" s="1"/>
  <c r="AB153" i="50"/>
  <c r="AA151" i="50"/>
  <c r="AA173" i="50"/>
  <c r="AA171" i="50" s="1"/>
  <c r="AD116" i="50"/>
  <c r="AC176" i="50"/>
  <c r="AC154" i="50"/>
  <c r="AB174" i="50"/>
  <c r="C14" i="60"/>
  <c r="BB56" i="73" l="1"/>
  <c r="P11" i="51"/>
  <c r="AP56" i="73"/>
  <c r="C5" i="79"/>
  <c r="C25" i="60"/>
  <c r="AO56" i="73"/>
  <c r="AD157" i="50"/>
  <c r="AC177" i="50"/>
  <c r="F75" i="51"/>
  <c r="F74" i="51" s="1"/>
  <c r="F67" i="51" s="1"/>
  <c r="H88" i="51"/>
  <c r="G90" i="51"/>
  <c r="F34" i="51"/>
  <c r="F30" i="51" s="1"/>
  <c r="AK56" i="73"/>
  <c r="U81" i="67"/>
  <c r="Z81" i="67" s="1"/>
  <c r="C70" i="49"/>
  <c r="C56" i="49"/>
  <c r="AG28" i="7"/>
  <c r="C90" i="67"/>
  <c r="AV56" i="73"/>
  <c r="U102" i="67"/>
  <c r="Z102" i="67" s="1"/>
  <c r="M89" i="51"/>
  <c r="AW56" i="73"/>
  <c r="AL56" i="73"/>
  <c r="I25" i="51"/>
  <c r="I18" i="51" s="1"/>
  <c r="H84" i="51"/>
  <c r="AR57" i="73"/>
  <c r="AQ57" i="73"/>
  <c r="AT56" i="73"/>
  <c r="AS56" i="73"/>
  <c r="AY56" i="73"/>
  <c r="AX56" i="73"/>
  <c r="BE56" i="73"/>
  <c r="BD56" i="73"/>
  <c r="AQ56" i="73"/>
  <c r="AR56" i="73"/>
  <c r="AS57" i="73"/>
  <c r="AT57" i="73"/>
  <c r="BC57" i="73"/>
  <c r="BB57" i="73"/>
  <c r="BA56" i="73"/>
  <c r="AZ56" i="73"/>
  <c r="BA57" i="73"/>
  <c r="AZ57" i="73"/>
  <c r="AM56" i="73"/>
  <c r="AN56" i="73"/>
  <c r="AK57" i="73"/>
  <c r="AL57" i="73"/>
  <c r="AN57" i="73"/>
  <c r="AM57" i="73"/>
  <c r="BE57" i="73"/>
  <c r="BD57" i="73"/>
  <c r="AY57" i="73"/>
  <c r="AX57" i="73"/>
  <c r="N89" i="51"/>
  <c r="N83" i="51" s="1"/>
  <c r="N79" i="51" s="1"/>
  <c r="AO57" i="73"/>
  <c r="AP57" i="73"/>
  <c r="Y11" i="51"/>
  <c r="AH56" i="53"/>
  <c r="AG56" i="53"/>
  <c r="AP56" i="53"/>
  <c r="AO56" i="53"/>
  <c r="AO57" i="53"/>
  <c r="AP57" i="53"/>
  <c r="AH57" i="53"/>
  <c r="AG57" i="53"/>
  <c r="I69" i="51"/>
  <c r="I75" i="51"/>
  <c r="G84" i="51"/>
  <c r="U11" i="51"/>
  <c r="H90" i="51"/>
  <c r="P67" i="51"/>
  <c r="T11" i="51"/>
  <c r="G88" i="51"/>
  <c r="E18" i="62"/>
  <c r="E11" i="62" s="1"/>
  <c r="F84" i="51"/>
  <c r="F83" i="51" s="1"/>
  <c r="F79" i="51" s="1"/>
  <c r="I90" i="51"/>
  <c r="O67" i="51"/>
  <c r="R67" i="51"/>
  <c r="G34" i="51"/>
  <c r="G30" i="51" s="1"/>
  <c r="H75" i="51"/>
  <c r="J18" i="51"/>
  <c r="J69" i="51"/>
  <c r="J34" i="51"/>
  <c r="J30" i="51" s="1"/>
  <c r="G75" i="51"/>
  <c r="G74" i="51" s="1"/>
  <c r="I84" i="51"/>
  <c r="Q11" i="51"/>
  <c r="K76" i="51"/>
  <c r="J84" i="51"/>
  <c r="K84" i="51"/>
  <c r="P89" i="51"/>
  <c r="P83" i="51" s="1"/>
  <c r="P79" i="51" s="1"/>
  <c r="Q89" i="51"/>
  <c r="Q83" i="51" s="1"/>
  <c r="Q79" i="51" s="1"/>
  <c r="W11" i="51"/>
  <c r="K69" i="51"/>
  <c r="H69" i="51"/>
  <c r="I34" i="51"/>
  <c r="I30" i="51" s="1"/>
  <c r="E20" i="51"/>
  <c r="E18" i="51" s="1"/>
  <c r="E11" i="51" s="1"/>
  <c r="K25" i="51"/>
  <c r="K18" i="51" s="1"/>
  <c r="Q67" i="51"/>
  <c r="O89" i="51"/>
  <c r="O83" i="51" s="1"/>
  <c r="O79" i="51" s="1"/>
  <c r="X11" i="51"/>
  <c r="R89" i="51"/>
  <c r="R83" i="51" s="1"/>
  <c r="R79" i="51" s="1"/>
  <c r="K75" i="51"/>
  <c r="G69" i="51"/>
  <c r="G25" i="51"/>
  <c r="G18" i="51" s="1"/>
  <c r="M83" i="51"/>
  <c r="M79" i="51" s="1"/>
  <c r="F94" i="51"/>
  <c r="H76" i="51"/>
  <c r="K34" i="51"/>
  <c r="K30" i="51" s="1"/>
  <c r="T67" i="51"/>
  <c r="J76" i="51"/>
  <c r="N11" i="51"/>
  <c r="K88" i="51"/>
  <c r="I76" i="51"/>
  <c r="H25" i="51"/>
  <c r="H18" i="51" s="1"/>
  <c r="M67" i="51"/>
  <c r="N67" i="51"/>
  <c r="V67" i="51"/>
  <c r="F18" i="51"/>
  <c r="J75" i="51"/>
  <c r="J90" i="51"/>
  <c r="H34" i="51"/>
  <c r="H30" i="51" s="1"/>
  <c r="H94" i="51"/>
  <c r="G94" i="51"/>
  <c r="AJ70" i="50"/>
  <c r="AI69" i="50"/>
  <c r="AI60" i="50" s="1"/>
  <c r="AK65" i="50"/>
  <c r="AJ63" i="50"/>
  <c r="Y94" i="51"/>
  <c r="U94" i="51"/>
  <c r="M94" i="51"/>
  <c r="R11" i="51"/>
  <c r="X67" i="51"/>
  <c r="U67" i="51"/>
  <c r="M11" i="51"/>
  <c r="J88" i="51"/>
  <c r="AQ75" i="51"/>
  <c r="AQ74" i="51" s="1"/>
  <c r="AQ67" i="51" s="1"/>
  <c r="AS75" i="51"/>
  <c r="AS74" i="51" s="1"/>
  <c r="AS67" i="51" s="1"/>
  <c r="AR75" i="51"/>
  <c r="AR74" i="51" s="1"/>
  <c r="AR67" i="51" s="1"/>
  <c r="AT75" i="51"/>
  <c r="AT74" i="51" s="1"/>
  <c r="AT67" i="51" s="1"/>
  <c r="AO25" i="51"/>
  <c r="AO18" i="51" s="1"/>
  <c r="AP75" i="51"/>
  <c r="AP74" i="51" s="1"/>
  <c r="AP67" i="51" s="1"/>
  <c r="AO75" i="51"/>
  <c r="AO74" i="51" s="1"/>
  <c r="AO67" i="51" s="1"/>
  <c r="T94" i="51"/>
  <c r="N94" i="51"/>
  <c r="Q94" i="51"/>
  <c r="G69" i="62"/>
  <c r="F67" i="62"/>
  <c r="AJ153" i="50"/>
  <c r="AI151" i="50"/>
  <c r="C91" i="67" s="1"/>
  <c r="K94" i="51"/>
  <c r="I88" i="51"/>
  <c r="AJ57" i="53"/>
  <c r="U103" i="67" s="1"/>
  <c r="Z103" i="67" s="1"/>
  <c r="AI281" i="50"/>
  <c r="G101" i="62"/>
  <c r="F99" i="62"/>
  <c r="V94" i="51"/>
  <c r="V11" i="51"/>
  <c r="O94" i="51"/>
  <c r="P94" i="51"/>
  <c r="Y67" i="51"/>
  <c r="AA282" i="50"/>
  <c r="AH282" i="50"/>
  <c r="W67" i="51"/>
  <c r="K90" i="51"/>
  <c r="AP107" i="51"/>
  <c r="AQ107" i="51"/>
  <c r="AS107" i="51"/>
  <c r="AO107" i="51"/>
  <c r="AT107" i="51"/>
  <c r="AR107" i="51"/>
  <c r="O11" i="51"/>
  <c r="I94" i="51"/>
  <c r="J94" i="51"/>
  <c r="X94" i="51"/>
  <c r="W94" i="51"/>
  <c r="R94" i="51"/>
  <c r="AC153" i="50"/>
  <c r="AB151" i="50"/>
  <c r="C67" i="67" s="1"/>
  <c r="AB173" i="50"/>
  <c r="AB171" i="50" s="1"/>
  <c r="C68" i="67" s="1"/>
  <c r="AF117" i="50"/>
  <c r="AF114" i="50"/>
  <c r="AD65" i="50"/>
  <c r="AC63" i="50"/>
  <c r="AE116" i="50"/>
  <c r="AD176" i="50"/>
  <c r="AD125" i="50"/>
  <c r="AC185" i="50"/>
  <c r="AE130" i="50"/>
  <c r="AD190" i="50"/>
  <c r="AC111" i="50"/>
  <c r="D65" i="67" s="1"/>
  <c r="AC70" i="50"/>
  <c r="AB69" i="50"/>
  <c r="AB60" i="50" s="1"/>
  <c r="AF118" i="50"/>
  <c r="AF178" i="50" s="1"/>
  <c r="AE178" i="50"/>
  <c r="AF124" i="50"/>
  <c r="AF184" i="50" s="1"/>
  <c r="AE184" i="50"/>
  <c r="AD161" i="50"/>
  <c r="AC181" i="50"/>
  <c r="AD154" i="50"/>
  <c r="AC174" i="50"/>
  <c r="AD127" i="50"/>
  <c r="AC187" i="50"/>
  <c r="AF122" i="50"/>
  <c r="AF182" i="50" s="1"/>
  <c r="AE182" i="50"/>
  <c r="AE113" i="50"/>
  <c r="AF121" i="50"/>
  <c r="AS16" i="60"/>
  <c r="AR69" i="60"/>
  <c r="AQ69" i="60"/>
  <c r="AP69" i="60"/>
  <c r="AO69" i="60"/>
  <c r="AN69" i="60"/>
  <c r="AM69" i="60"/>
  <c r="AR61" i="60"/>
  <c r="AQ61" i="60"/>
  <c r="AP61" i="60"/>
  <c r="AO61" i="60"/>
  <c r="AN61" i="60"/>
  <c r="AR60" i="60"/>
  <c r="AQ60" i="60"/>
  <c r="AP60" i="60"/>
  <c r="AO60" i="60"/>
  <c r="AN60" i="60"/>
  <c r="AR59" i="60"/>
  <c r="AQ59" i="60"/>
  <c r="AP59" i="60"/>
  <c r="AO59" i="60"/>
  <c r="AN59" i="60"/>
  <c r="AR58" i="60"/>
  <c r="AQ58" i="60"/>
  <c r="AP58" i="60"/>
  <c r="AO58" i="60"/>
  <c r="AR57" i="60"/>
  <c r="AQ57" i="60"/>
  <c r="AP57" i="60"/>
  <c r="AO57" i="60"/>
  <c r="AN57" i="60"/>
  <c r="AR56" i="60"/>
  <c r="AQ56" i="60"/>
  <c r="AP56" i="60"/>
  <c r="AO56" i="60"/>
  <c r="AN56" i="60"/>
  <c r="AR55" i="60"/>
  <c r="AQ55" i="60"/>
  <c r="AP55" i="60"/>
  <c r="AO55" i="60"/>
  <c r="AN55" i="60"/>
  <c r="AR54" i="60"/>
  <c r="AQ54" i="60"/>
  <c r="AP54" i="60"/>
  <c r="AO54" i="60"/>
  <c r="AQ53" i="60"/>
  <c r="AP53" i="60"/>
  <c r="AO53" i="60"/>
  <c r="AL29" i="60"/>
  <c r="AK29" i="60"/>
  <c r="AU60" i="53" s="1"/>
  <c r="AJ29" i="60"/>
  <c r="AT60" i="53" s="1"/>
  <c r="AI29" i="60"/>
  <c r="AS60" i="53" s="1"/>
  <c r="AH29" i="60"/>
  <c r="AR60" i="53" s="1"/>
  <c r="AG29" i="60"/>
  <c r="AQ60" i="53" s="1"/>
  <c r="AF29" i="60"/>
  <c r="AN60" i="53" s="1"/>
  <c r="AE29" i="60"/>
  <c r="AM60" i="53" s="1"/>
  <c r="AD29" i="60"/>
  <c r="AL60" i="53" s="1"/>
  <c r="AC29" i="60"/>
  <c r="AK60" i="53" s="1"/>
  <c r="AB29" i="60"/>
  <c r="AJ60" i="53" s="1"/>
  <c r="AA29" i="60"/>
  <c r="AI60" i="53" s="1"/>
  <c r="AU60" i="73" s="1"/>
  <c r="Z29" i="60"/>
  <c r="AF60" i="53" s="1"/>
  <c r="Y29" i="60"/>
  <c r="AE60" i="53" s="1"/>
  <c r="X29" i="60"/>
  <c r="AD60" i="53" s="1"/>
  <c r="W29" i="60"/>
  <c r="AC60" i="53" s="1"/>
  <c r="V29" i="60"/>
  <c r="AB60" i="53" s="1"/>
  <c r="U29" i="60"/>
  <c r="AA60" i="53" s="1"/>
  <c r="AJ60" i="73" s="1"/>
  <c r="T29" i="60"/>
  <c r="S29" i="60"/>
  <c r="R29" i="60"/>
  <c r="Q29" i="60"/>
  <c r="P29" i="60"/>
  <c r="O29" i="60"/>
  <c r="S60" i="53" s="1"/>
  <c r="Y60" i="73" s="1"/>
  <c r="N29" i="60"/>
  <c r="M29" i="60"/>
  <c r="L29" i="60"/>
  <c r="K29" i="60"/>
  <c r="J29" i="60"/>
  <c r="I29" i="60"/>
  <c r="H29" i="60"/>
  <c r="G29" i="60"/>
  <c r="F29" i="60"/>
  <c r="E29" i="60"/>
  <c r="D29" i="60"/>
  <c r="C29" i="60"/>
  <c r="AL14" i="60"/>
  <c r="AL25" i="60" s="1"/>
  <c r="AK14" i="60"/>
  <c r="AK25" i="60" s="1"/>
  <c r="AJ14" i="60"/>
  <c r="AJ25" i="60" s="1"/>
  <c r="AI14" i="60"/>
  <c r="AI25" i="60" s="1"/>
  <c r="AH14" i="60"/>
  <c r="AH25" i="60" s="1"/>
  <c r="AG14" i="60"/>
  <c r="AG25" i="60" s="1"/>
  <c r="AF14" i="60"/>
  <c r="AF24" i="60" s="1"/>
  <c r="AE14" i="60"/>
  <c r="AE24" i="60" s="1"/>
  <c r="AD14" i="60"/>
  <c r="AD24" i="60" s="1"/>
  <c r="AC14" i="60"/>
  <c r="AC24" i="60" s="1"/>
  <c r="AB14" i="60"/>
  <c r="AB24" i="60" s="1"/>
  <c r="AA14" i="60"/>
  <c r="AA24" i="60" s="1"/>
  <c r="Z14" i="60"/>
  <c r="Z24" i="60" s="1"/>
  <c r="Y14" i="60"/>
  <c r="Y24" i="60" s="1"/>
  <c r="X14" i="60"/>
  <c r="X24" i="60" s="1"/>
  <c r="W14" i="60"/>
  <c r="W24" i="60" s="1"/>
  <c r="V14" i="60"/>
  <c r="V24" i="60" s="1"/>
  <c r="U14" i="60"/>
  <c r="U24" i="60" s="1"/>
  <c r="T14" i="60"/>
  <c r="S14" i="60"/>
  <c r="R14" i="60"/>
  <c r="Q14" i="60"/>
  <c r="P14" i="60"/>
  <c r="O14" i="60"/>
  <c r="N14" i="60"/>
  <c r="M14" i="60"/>
  <c r="L14" i="60"/>
  <c r="K14" i="60"/>
  <c r="J14" i="60"/>
  <c r="I14" i="60"/>
  <c r="H14" i="60"/>
  <c r="G14" i="60"/>
  <c r="F14" i="60"/>
  <c r="E14" i="60"/>
  <c r="D14" i="60"/>
  <c r="AR65" i="60"/>
  <c r="AS65" i="60" s="1"/>
  <c r="AQ65" i="60"/>
  <c r="AP65" i="60"/>
  <c r="AO65" i="60"/>
  <c r="AN65" i="60"/>
  <c r="N9" i="60"/>
  <c r="T9" i="60" s="1"/>
  <c r="AL9" i="60" s="1"/>
  <c r="M9" i="60"/>
  <c r="S9" i="60" s="1"/>
  <c r="AK9" i="60" s="1"/>
  <c r="L9" i="60"/>
  <c r="R9" i="60" s="1"/>
  <c r="AJ9" i="60" s="1"/>
  <c r="K9" i="60"/>
  <c r="Q9" i="60" s="1"/>
  <c r="AI9" i="60" s="1"/>
  <c r="J9" i="60"/>
  <c r="P9" i="60" s="1"/>
  <c r="AH9" i="60" s="1"/>
  <c r="I9" i="60"/>
  <c r="O9" i="60" s="1"/>
  <c r="AG9" i="60" s="1"/>
  <c r="AM24" i="60" l="1"/>
  <c r="AT24" i="60"/>
  <c r="N27" i="79"/>
  <c r="K27" i="79"/>
  <c r="H5" i="79"/>
  <c r="H25" i="60"/>
  <c r="D16" i="79"/>
  <c r="P25" i="60"/>
  <c r="F27" i="79"/>
  <c r="J27" i="79"/>
  <c r="D60" i="53"/>
  <c r="D44" i="79"/>
  <c r="D45" i="79"/>
  <c r="J23" i="79"/>
  <c r="J22" i="79"/>
  <c r="N60" i="53"/>
  <c r="L44" i="79"/>
  <c r="L45" i="79"/>
  <c r="AE157" i="50"/>
  <c r="AD177" i="50"/>
  <c r="I5" i="79"/>
  <c r="I25" i="60"/>
  <c r="C27" i="79"/>
  <c r="E60" i="53"/>
  <c r="E45" i="79"/>
  <c r="K23" i="79"/>
  <c r="K22" i="79"/>
  <c r="E44" i="79"/>
  <c r="O60" i="53"/>
  <c r="M44" i="79"/>
  <c r="M45" i="79"/>
  <c r="F5" i="79"/>
  <c r="F25" i="60"/>
  <c r="J5" i="79"/>
  <c r="J25" i="60"/>
  <c r="N5" i="79"/>
  <c r="N25" i="60"/>
  <c r="F16" i="79"/>
  <c r="R25" i="60"/>
  <c r="D27" i="79"/>
  <c r="H27" i="79"/>
  <c r="L27" i="79"/>
  <c r="F60" i="53"/>
  <c r="F45" i="79"/>
  <c r="F44" i="79"/>
  <c r="L22" i="79"/>
  <c r="L23" i="79"/>
  <c r="L60" i="53"/>
  <c r="J45" i="79"/>
  <c r="J44" i="79"/>
  <c r="N45" i="79"/>
  <c r="N44" i="79"/>
  <c r="D27" i="60"/>
  <c r="D5" i="79"/>
  <c r="D25" i="60"/>
  <c r="L5" i="79"/>
  <c r="L25" i="60"/>
  <c r="H16" i="79"/>
  <c r="T25" i="60"/>
  <c r="H60" i="53"/>
  <c r="H45" i="79"/>
  <c r="N23" i="79"/>
  <c r="N22" i="79"/>
  <c r="H44" i="79"/>
  <c r="E5" i="79"/>
  <c r="E25" i="60"/>
  <c r="M5" i="79"/>
  <c r="M25" i="60"/>
  <c r="Q25" i="60"/>
  <c r="E16" i="79"/>
  <c r="G27" i="79"/>
  <c r="K60" i="53"/>
  <c r="N60" i="73" s="1"/>
  <c r="I45" i="79"/>
  <c r="I44" i="79"/>
  <c r="G27" i="60"/>
  <c r="G5" i="79"/>
  <c r="G25" i="60"/>
  <c r="K27" i="60"/>
  <c r="K5" i="79"/>
  <c r="K25" i="60"/>
  <c r="O27" i="60"/>
  <c r="C16" i="79"/>
  <c r="O25" i="60"/>
  <c r="G16" i="79"/>
  <c r="S25" i="60"/>
  <c r="E27" i="79"/>
  <c r="I27" i="79"/>
  <c r="M27" i="79"/>
  <c r="C60" i="53"/>
  <c r="C60" i="73" s="1"/>
  <c r="C45" i="79"/>
  <c r="I23" i="79"/>
  <c r="C44" i="79"/>
  <c r="I22" i="79"/>
  <c r="G60" i="53"/>
  <c r="G44" i="79"/>
  <c r="M22" i="79"/>
  <c r="G45" i="79"/>
  <c r="M23" i="79"/>
  <c r="M60" i="53"/>
  <c r="K44" i="79"/>
  <c r="K45" i="79"/>
  <c r="F11" i="51"/>
  <c r="J74" i="51"/>
  <c r="J67" i="51" s="1"/>
  <c r="I74" i="51"/>
  <c r="I67" i="51" s="1"/>
  <c r="D56" i="49"/>
  <c r="C62" i="67"/>
  <c r="I11" i="51"/>
  <c r="D70" i="49"/>
  <c r="C86" i="67"/>
  <c r="L27" i="60"/>
  <c r="H27" i="60"/>
  <c r="AR24" i="60"/>
  <c r="P27" i="60"/>
  <c r="E27" i="60"/>
  <c r="I27" i="60"/>
  <c r="M27" i="60"/>
  <c r="Q27" i="60"/>
  <c r="AG27" i="60"/>
  <c r="AK27" i="60"/>
  <c r="S27" i="60"/>
  <c r="AI27" i="60"/>
  <c r="T27" i="60"/>
  <c r="AJ27" i="60"/>
  <c r="F27" i="60"/>
  <c r="J27" i="60"/>
  <c r="N27" i="60"/>
  <c r="R27" i="60"/>
  <c r="AH27" i="60"/>
  <c r="AL27" i="60"/>
  <c r="H83" i="51"/>
  <c r="H79" i="51" s="1"/>
  <c r="C50" i="60"/>
  <c r="C8" i="79" s="1"/>
  <c r="AN24" i="60"/>
  <c r="AO24" i="60"/>
  <c r="AP24" i="60"/>
  <c r="AQ24" i="60"/>
  <c r="AU14" i="60"/>
  <c r="AM27" i="60"/>
  <c r="AX60" i="73"/>
  <c r="AY60" i="73"/>
  <c r="AL60" i="73"/>
  <c r="AK60" i="73"/>
  <c r="AT60" i="73"/>
  <c r="AS60" i="73"/>
  <c r="BA60" i="73"/>
  <c r="AZ60" i="73"/>
  <c r="AR60" i="73"/>
  <c r="AQ60" i="73"/>
  <c r="AM60" i="73"/>
  <c r="AN60" i="73"/>
  <c r="BB60" i="73"/>
  <c r="BC60" i="73"/>
  <c r="AP60" i="73"/>
  <c r="AO60" i="73"/>
  <c r="AW60" i="73"/>
  <c r="AV60" i="73"/>
  <c r="BE60" i="73"/>
  <c r="BD60" i="73"/>
  <c r="AW57" i="73"/>
  <c r="AV57" i="73"/>
  <c r="H74" i="51"/>
  <c r="H67" i="51" s="1"/>
  <c r="AT14" i="60"/>
  <c r="T60" i="51"/>
  <c r="J11" i="51"/>
  <c r="Q62" i="60"/>
  <c r="E22" i="79" s="1"/>
  <c r="U60" i="53"/>
  <c r="AU29" i="60"/>
  <c r="P60" i="53"/>
  <c r="R62" i="60"/>
  <c r="F22" i="79" s="1"/>
  <c r="V60" i="53"/>
  <c r="AL63" i="60"/>
  <c r="AV60" i="53"/>
  <c r="S62" i="60"/>
  <c r="G22" i="79" s="1"/>
  <c r="W60" i="53"/>
  <c r="P62" i="60"/>
  <c r="D22" i="79" s="1"/>
  <c r="T60" i="53"/>
  <c r="T62" i="60"/>
  <c r="H22" i="79" s="1"/>
  <c r="X60" i="53"/>
  <c r="AT29" i="60"/>
  <c r="AL50" i="60"/>
  <c r="F63" i="60"/>
  <c r="F12" i="79" s="1"/>
  <c r="F62" i="60"/>
  <c r="F11" i="79" s="1"/>
  <c r="J63" i="60"/>
  <c r="J12" i="79" s="1"/>
  <c r="J62" i="60"/>
  <c r="J11" i="79" s="1"/>
  <c r="N63" i="60"/>
  <c r="N12" i="79" s="1"/>
  <c r="N62" i="60"/>
  <c r="N11" i="79" s="1"/>
  <c r="R63" i="60"/>
  <c r="F23" i="79" s="1"/>
  <c r="V63" i="60"/>
  <c r="D34" i="79" s="1"/>
  <c r="V62" i="60"/>
  <c r="D33" i="79" s="1"/>
  <c r="Z63" i="60"/>
  <c r="H34" i="79" s="1"/>
  <c r="Z62" i="60"/>
  <c r="H33" i="79" s="1"/>
  <c r="AD63" i="60"/>
  <c r="L34" i="79" s="1"/>
  <c r="AD62" i="60"/>
  <c r="L33" i="79" s="1"/>
  <c r="AK63" i="60"/>
  <c r="AK62" i="60"/>
  <c r="C63" i="60"/>
  <c r="C12" i="79" s="1"/>
  <c r="C62" i="60"/>
  <c r="C11" i="79" s="1"/>
  <c r="G63" i="60"/>
  <c r="G12" i="79" s="1"/>
  <c r="G62" i="60"/>
  <c r="G11" i="79" s="1"/>
  <c r="K63" i="60"/>
  <c r="K12" i="79" s="1"/>
  <c r="K62" i="60"/>
  <c r="K11" i="79" s="1"/>
  <c r="O63" i="60"/>
  <c r="C23" i="79" s="1"/>
  <c r="O62" i="60"/>
  <c r="C22" i="79" s="1"/>
  <c r="S63" i="60"/>
  <c r="G23" i="79" s="1"/>
  <c r="W63" i="60"/>
  <c r="E34" i="79" s="1"/>
  <c r="W62" i="60"/>
  <c r="E33" i="79" s="1"/>
  <c r="AA63" i="60"/>
  <c r="I34" i="79" s="1"/>
  <c r="AA62" i="60"/>
  <c r="I33" i="79" s="1"/>
  <c r="AE63" i="60"/>
  <c r="M34" i="79" s="1"/>
  <c r="AE62" i="60"/>
  <c r="M33" i="79" s="1"/>
  <c r="AH63" i="60"/>
  <c r="AH62" i="60"/>
  <c r="AL62" i="60"/>
  <c r="D62" i="60"/>
  <c r="D11" i="79" s="1"/>
  <c r="D63" i="60"/>
  <c r="D12" i="79" s="1"/>
  <c r="H62" i="60"/>
  <c r="H11" i="79" s="1"/>
  <c r="H63" i="60"/>
  <c r="H12" i="79" s="1"/>
  <c r="L62" i="60"/>
  <c r="L11" i="79" s="1"/>
  <c r="L63" i="60"/>
  <c r="L12" i="79" s="1"/>
  <c r="P63" i="60"/>
  <c r="D23" i="79" s="1"/>
  <c r="T63" i="60"/>
  <c r="H23" i="79" s="1"/>
  <c r="X62" i="60"/>
  <c r="F33" i="79" s="1"/>
  <c r="X63" i="60"/>
  <c r="F34" i="79" s="1"/>
  <c r="AB62" i="60"/>
  <c r="J33" i="79" s="1"/>
  <c r="AB63" i="60"/>
  <c r="J34" i="79" s="1"/>
  <c r="AF62" i="60"/>
  <c r="N33" i="79" s="1"/>
  <c r="AF63" i="60"/>
  <c r="N34" i="79" s="1"/>
  <c r="AI62" i="60"/>
  <c r="AI63" i="60"/>
  <c r="E63" i="60"/>
  <c r="E12" i="79" s="1"/>
  <c r="E62" i="60"/>
  <c r="E11" i="79" s="1"/>
  <c r="I63" i="60"/>
  <c r="I12" i="79" s="1"/>
  <c r="I62" i="60"/>
  <c r="I11" i="79" s="1"/>
  <c r="M63" i="60"/>
  <c r="M12" i="79" s="1"/>
  <c r="M62" i="60"/>
  <c r="M11" i="79" s="1"/>
  <c r="Q63" i="60"/>
  <c r="E23" i="79" s="1"/>
  <c r="U63" i="60"/>
  <c r="C34" i="79" s="1"/>
  <c r="U62" i="60"/>
  <c r="C33" i="79" s="1"/>
  <c r="Y63" i="60"/>
  <c r="G34" i="79" s="1"/>
  <c r="Y62" i="60"/>
  <c r="G33" i="79" s="1"/>
  <c r="AC63" i="60"/>
  <c r="K34" i="79" s="1"/>
  <c r="AC62" i="60"/>
  <c r="K33" i="79" s="1"/>
  <c r="AG63" i="60"/>
  <c r="AG62" i="60"/>
  <c r="AJ63" i="60"/>
  <c r="AJ62" i="60"/>
  <c r="AN54" i="60"/>
  <c r="AR53" i="60"/>
  <c r="AS53" i="60" s="1"/>
  <c r="D50" i="60"/>
  <c r="D8" i="79" s="1"/>
  <c r="AS22" i="60"/>
  <c r="AS20" i="60"/>
  <c r="AS57" i="60"/>
  <c r="H50" i="60"/>
  <c r="H8" i="79" s="1"/>
  <c r="K50" i="60"/>
  <c r="K8" i="79" s="1"/>
  <c r="O50" i="60"/>
  <c r="C19" i="79" s="1"/>
  <c r="R50" i="60"/>
  <c r="F19" i="79" s="1"/>
  <c r="Y50" i="60"/>
  <c r="G30" i="79" s="1"/>
  <c r="AB50" i="60"/>
  <c r="J30" i="79" s="1"/>
  <c r="AF50" i="60"/>
  <c r="N30" i="79" s="1"/>
  <c r="F50" i="60"/>
  <c r="F8" i="79" s="1"/>
  <c r="M50" i="60"/>
  <c r="M8" i="79" s="1"/>
  <c r="P50" i="60"/>
  <c r="D19" i="79" s="1"/>
  <c r="T50" i="60"/>
  <c r="H19" i="79" s="1"/>
  <c r="W50" i="60"/>
  <c r="E30" i="79" s="1"/>
  <c r="AA50" i="60"/>
  <c r="I30" i="79" s="1"/>
  <c r="AD50" i="60"/>
  <c r="L30" i="79" s="1"/>
  <c r="G50" i="60"/>
  <c r="G8" i="79" s="1"/>
  <c r="J50" i="60"/>
  <c r="J8" i="79" s="1"/>
  <c r="N50" i="60"/>
  <c r="N8" i="79" s="1"/>
  <c r="Q50" i="60"/>
  <c r="E19" i="79" s="1"/>
  <c r="U50" i="60"/>
  <c r="C30" i="79" s="1"/>
  <c r="X50" i="60"/>
  <c r="F30" i="79" s="1"/>
  <c r="AE50" i="60"/>
  <c r="M30" i="79" s="1"/>
  <c r="AH50" i="60"/>
  <c r="AI50" i="60"/>
  <c r="E50" i="60"/>
  <c r="E8" i="79" s="1"/>
  <c r="I50" i="60"/>
  <c r="I8" i="79" s="1"/>
  <c r="L50" i="60"/>
  <c r="L8" i="79" s="1"/>
  <c r="S50" i="60"/>
  <c r="G19" i="79" s="1"/>
  <c r="V50" i="60"/>
  <c r="D30" i="79" s="1"/>
  <c r="Z50" i="60"/>
  <c r="H30" i="79" s="1"/>
  <c r="AC50" i="60"/>
  <c r="K30" i="79" s="1"/>
  <c r="AG50" i="60"/>
  <c r="AJ50" i="60"/>
  <c r="AK50" i="60"/>
  <c r="AS56" i="60"/>
  <c r="AS60" i="60"/>
  <c r="E114" i="1"/>
  <c r="E38" i="2" s="1"/>
  <c r="AB33" i="78" s="1"/>
  <c r="H114" i="1"/>
  <c r="H38" i="2" s="1"/>
  <c r="AE33" i="78" s="1"/>
  <c r="AS17" i="60"/>
  <c r="AS19" i="60"/>
  <c r="AS21" i="60"/>
  <c r="I113" i="1"/>
  <c r="I37" i="2" s="1"/>
  <c r="AF32" i="78" s="1"/>
  <c r="AS61" i="60"/>
  <c r="AO14" i="60"/>
  <c r="K11" i="51"/>
  <c r="G83" i="51"/>
  <c r="G79" i="51" s="1"/>
  <c r="I83" i="51"/>
  <c r="I79" i="51" s="1"/>
  <c r="K74" i="51"/>
  <c r="K67" i="51" s="1"/>
  <c r="G67" i="51"/>
  <c r="U60" i="51"/>
  <c r="H11" i="51"/>
  <c r="G11" i="51"/>
  <c r="M60" i="51"/>
  <c r="O60" i="51"/>
  <c r="P60" i="51"/>
  <c r="J83" i="51"/>
  <c r="J79" i="51" s="1"/>
  <c r="Q60" i="51"/>
  <c r="Y60" i="51"/>
  <c r="K83" i="51"/>
  <c r="K79" i="51" s="1"/>
  <c r="W60" i="51"/>
  <c r="X60" i="51"/>
  <c r="F60" i="51"/>
  <c r="E113" i="1"/>
  <c r="E37" i="2" s="1"/>
  <c r="AB32" i="78" s="1"/>
  <c r="AJ59" i="53"/>
  <c r="U105" i="67" s="1"/>
  <c r="AS55" i="60"/>
  <c r="AS59" i="60"/>
  <c r="AB59" i="53"/>
  <c r="U84" i="67" s="1"/>
  <c r="AK59" i="53"/>
  <c r="V105" i="67" s="1"/>
  <c r="AS54" i="60"/>
  <c r="AS58" i="60"/>
  <c r="AK70" i="50"/>
  <c r="AJ69" i="50"/>
  <c r="AJ60" i="50" s="1"/>
  <c r="N60" i="51"/>
  <c r="AS18" i="60"/>
  <c r="AE59" i="53"/>
  <c r="X84" i="67" s="1"/>
  <c r="G113" i="1"/>
  <c r="G37" i="2" s="1"/>
  <c r="AD32" i="78" s="1"/>
  <c r="AC59" i="53"/>
  <c r="V84" i="67" s="1"/>
  <c r="AI59" i="53"/>
  <c r="AL59" i="53"/>
  <c r="W105" i="67" s="1"/>
  <c r="AQ14" i="60"/>
  <c r="H101" i="62"/>
  <c r="G99" i="62"/>
  <c r="F60" i="62"/>
  <c r="R60" i="51"/>
  <c r="AA59" i="53"/>
  <c r="AM59" i="53"/>
  <c r="X105" i="67" s="1"/>
  <c r="AI282" i="50"/>
  <c r="C69" i="49"/>
  <c r="AL38" i="67" s="1"/>
  <c r="H69" i="62"/>
  <c r="G67" i="62"/>
  <c r="AL65" i="50"/>
  <c r="AK63" i="50"/>
  <c r="AD59" i="53"/>
  <c r="W84" i="67" s="1"/>
  <c r="AK153" i="50"/>
  <c r="AJ151" i="50"/>
  <c r="D91" i="67" s="1"/>
  <c r="V60" i="51"/>
  <c r="AB282" i="50"/>
  <c r="C55" i="49"/>
  <c r="AL30" i="67" s="1"/>
  <c r="AE127" i="50"/>
  <c r="AD187" i="50"/>
  <c r="AD111" i="50"/>
  <c r="E65" i="67" s="1"/>
  <c r="AF130" i="50"/>
  <c r="AF190" i="50" s="1"/>
  <c r="AE190" i="50"/>
  <c r="AF116" i="50"/>
  <c r="AF176" i="50" s="1"/>
  <c r="AE176" i="50"/>
  <c r="AE65" i="50"/>
  <c r="AD63" i="50"/>
  <c r="AF113" i="50"/>
  <c r="AE154" i="50"/>
  <c r="AD174" i="50"/>
  <c r="AE161" i="50"/>
  <c r="AD181" i="50"/>
  <c r="AD70" i="50"/>
  <c r="AC69" i="50"/>
  <c r="AC60" i="50" s="1"/>
  <c r="AD153" i="50"/>
  <c r="AC151" i="50"/>
  <c r="D67" i="67" s="1"/>
  <c r="AC173" i="50"/>
  <c r="AC171" i="50" s="1"/>
  <c r="D68" i="67" s="1"/>
  <c r="AE125" i="50"/>
  <c r="AD185" i="50"/>
  <c r="G114" i="1"/>
  <c r="G38" i="2" s="1"/>
  <c r="AD33" i="78" s="1"/>
  <c r="H113" i="1"/>
  <c r="I114" i="1"/>
  <c r="AS33" i="60"/>
  <c r="AS37" i="60"/>
  <c r="AS40" i="60"/>
  <c r="F114" i="1"/>
  <c r="J114" i="1"/>
  <c r="J38" i="2" s="1"/>
  <c r="AG33" i="78" s="1"/>
  <c r="AS32" i="60"/>
  <c r="AS36" i="60"/>
  <c r="AN14" i="60"/>
  <c r="AR14" i="60"/>
  <c r="AP14" i="60"/>
  <c r="AS15" i="60"/>
  <c r="F113" i="1"/>
  <c r="F37" i="2" s="1"/>
  <c r="J113" i="1"/>
  <c r="J37" i="2" s="1"/>
  <c r="AG32" i="78" s="1"/>
  <c r="AS31" i="60"/>
  <c r="AS35" i="60"/>
  <c r="AS48" i="60"/>
  <c r="AS30" i="60"/>
  <c r="AS34" i="60"/>
  <c r="AS38" i="60"/>
  <c r="AS44" i="60"/>
  <c r="AN9" i="60"/>
  <c r="V9" i="60"/>
  <c r="AB9" i="60" s="1"/>
  <c r="AP9" i="60"/>
  <c r="X9" i="60"/>
  <c r="AD9" i="60" s="1"/>
  <c r="AM9" i="60"/>
  <c r="U9" i="60"/>
  <c r="AA9" i="60" s="1"/>
  <c r="AO9" i="60"/>
  <c r="W9" i="60"/>
  <c r="AC9" i="60" s="1"/>
  <c r="Y9" i="60"/>
  <c r="AE9" i="60" s="1"/>
  <c r="AQ9" i="60"/>
  <c r="AR9" i="60"/>
  <c r="Z9" i="60"/>
  <c r="AF9" i="60" s="1"/>
  <c r="AQ29" i="60"/>
  <c r="AN29" i="60"/>
  <c r="AR29" i="60"/>
  <c r="AO29" i="60"/>
  <c r="AM29" i="60"/>
  <c r="AP29" i="60"/>
  <c r="AS24" i="60" l="1"/>
  <c r="R60" i="73"/>
  <c r="D28" i="79"/>
  <c r="C38" i="79"/>
  <c r="C41" i="79" s="1"/>
  <c r="AM25" i="60"/>
  <c r="Q60" i="73"/>
  <c r="V60" i="73"/>
  <c r="M60" i="73"/>
  <c r="K60" i="73"/>
  <c r="L60" i="73"/>
  <c r="J60" i="51"/>
  <c r="J110" i="51" s="1"/>
  <c r="G60" i="73"/>
  <c r="S60" i="73"/>
  <c r="D60" i="73"/>
  <c r="J60" i="73"/>
  <c r="U60" i="73"/>
  <c r="H60" i="73"/>
  <c r="F60" i="73"/>
  <c r="P60" i="73"/>
  <c r="T60" i="73"/>
  <c r="E60" i="73"/>
  <c r="I60" i="73"/>
  <c r="I16" i="79"/>
  <c r="I19" i="79" s="1"/>
  <c r="H31" i="79"/>
  <c r="H32" i="79"/>
  <c r="M32" i="79"/>
  <c r="M31" i="79"/>
  <c r="H9" i="79"/>
  <c r="H10" i="79"/>
  <c r="G29" i="79"/>
  <c r="G28" i="79"/>
  <c r="N6" i="79"/>
  <c r="N7" i="79"/>
  <c r="N38" i="79"/>
  <c r="L16" i="79"/>
  <c r="F38" i="79"/>
  <c r="F7" i="79"/>
  <c r="F6" i="79"/>
  <c r="J28" i="79"/>
  <c r="J29" i="79"/>
  <c r="K28" i="79"/>
  <c r="K29" i="79"/>
  <c r="D31" i="79"/>
  <c r="D32" i="79"/>
  <c r="E10" i="79"/>
  <c r="E9" i="79"/>
  <c r="F31" i="79"/>
  <c r="F32" i="79"/>
  <c r="J9" i="79"/>
  <c r="J10" i="79"/>
  <c r="E32" i="79"/>
  <c r="E31" i="79"/>
  <c r="F9" i="79"/>
  <c r="F10" i="79"/>
  <c r="F20" i="79"/>
  <c r="F21" i="79"/>
  <c r="O60" i="73"/>
  <c r="AQ25" i="60"/>
  <c r="M7" i="79"/>
  <c r="M6" i="79"/>
  <c r="M38" i="79"/>
  <c r="L7" i="79"/>
  <c r="L6" i="79"/>
  <c r="L38" i="79"/>
  <c r="H29" i="79"/>
  <c r="H28" i="79"/>
  <c r="I38" i="79"/>
  <c r="I41" i="79" s="1"/>
  <c r="D17" i="79"/>
  <c r="D18" i="79"/>
  <c r="Q37" i="2"/>
  <c r="AC32" i="78"/>
  <c r="N10" i="79"/>
  <c r="N9" i="79"/>
  <c r="M9" i="79"/>
  <c r="M10" i="79"/>
  <c r="D10" i="79"/>
  <c r="D9" i="79"/>
  <c r="G20" i="79"/>
  <c r="G21" i="79"/>
  <c r="G9" i="79"/>
  <c r="G10" i="79"/>
  <c r="H21" i="79"/>
  <c r="H20" i="79"/>
  <c r="N31" i="79"/>
  <c r="N32" i="79"/>
  <c r="G17" i="79"/>
  <c r="G18" i="79"/>
  <c r="G6" i="79"/>
  <c r="G7" i="79"/>
  <c r="M16" i="79"/>
  <c r="G38" i="79"/>
  <c r="E18" i="79"/>
  <c r="E17" i="79"/>
  <c r="AO25" i="60"/>
  <c r="AN25" i="60"/>
  <c r="F17" i="79"/>
  <c r="F18" i="79"/>
  <c r="J38" i="79"/>
  <c r="J6" i="79"/>
  <c r="J7" i="79"/>
  <c r="D29" i="79"/>
  <c r="F28" i="79"/>
  <c r="F29" i="79"/>
  <c r="AT25" i="60"/>
  <c r="AR25" i="60"/>
  <c r="AS25" i="60" s="1"/>
  <c r="N28" i="79"/>
  <c r="N29" i="79"/>
  <c r="G32" i="79"/>
  <c r="G31" i="79"/>
  <c r="K32" i="79"/>
  <c r="K31" i="79"/>
  <c r="L10" i="79"/>
  <c r="L9" i="79"/>
  <c r="E21" i="79"/>
  <c r="E20" i="79"/>
  <c r="L31" i="79"/>
  <c r="L32" i="79"/>
  <c r="D21" i="79"/>
  <c r="D20" i="79"/>
  <c r="J31" i="79"/>
  <c r="J32" i="79"/>
  <c r="K9" i="79"/>
  <c r="K10" i="79"/>
  <c r="M29" i="79"/>
  <c r="M28" i="79"/>
  <c r="E29" i="79"/>
  <c r="E28" i="79"/>
  <c r="K6" i="79"/>
  <c r="K7" i="79"/>
  <c r="K38" i="79"/>
  <c r="K16" i="79"/>
  <c r="E38" i="79"/>
  <c r="E6" i="79"/>
  <c r="E7" i="79"/>
  <c r="H17" i="79"/>
  <c r="H18" i="79"/>
  <c r="D7" i="79"/>
  <c r="J16" i="79"/>
  <c r="D38" i="79"/>
  <c r="D6" i="79"/>
  <c r="L29" i="79"/>
  <c r="L28" i="79"/>
  <c r="AU25" i="60"/>
  <c r="AP25" i="60"/>
  <c r="AF157" i="50"/>
  <c r="AF177" i="50" s="1"/>
  <c r="AE177" i="50"/>
  <c r="N16" i="79"/>
  <c r="H6" i="79"/>
  <c r="H38" i="79"/>
  <c r="H7" i="79"/>
  <c r="I60" i="51"/>
  <c r="I112" i="51" s="1"/>
  <c r="W132" i="50" s="1"/>
  <c r="AU59" i="73"/>
  <c r="T105" i="67"/>
  <c r="AJ59" i="73"/>
  <c r="T84" i="67"/>
  <c r="Z84" i="67" s="1"/>
  <c r="E70" i="49"/>
  <c r="D86" i="67"/>
  <c r="H60" i="51"/>
  <c r="H112" i="51" s="1"/>
  <c r="V136" i="50" s="1"/>
  <c r="E56" i="49"/>
  <c r="D62" i="67"/>
  <c r="R37" i="2"/>
  <c r="V38" i="2"/>
  <c r="U37" i="2"/>
  <c r="V37" i="2"/>
  <c r="S38" i="2"/>
  <c r="H37" i="2"/>
  <c r="F38" i="2"/>
  <c r="I38" i="2"/>
  <c r="D51" i="60"/>
  <c r="AP27" i="60"/>
  <c r="AQ27" i="60"/>
  <c r="AO27" i="60"/>
  <c r="AR27" i="60"/>
  <c r="AT27" i="60"/>
  <c r="AN27" i="60"/>
  <c r="AU27" i="60"/>
  <c r="AY59" i="73"/>
  <c r="AX59" i="73"/>
  <c r="AV59" i="73"/>
  <c r="AW59" i="73"/>
  <c r="Z60" i="73"/>
  <c r="AA60" i="73"/>
  <c r="X60" i="73"/>
  <c r="W60" i="73"/>
  <c r="AZ59" i="73"/>
  <c r="BA59" i="73"/>
  <c r="AR59" i="73"/>
  <c r="AQ59" i="73"/>
  <c r="AL59" i="73"/>
  <c r="AK59" i="73"/>
  <c r="BC59" i="73"/>
  <c r="BB59" i="73"/>
  <c r="AI60" i="73"/>
  <c r="AH60" i="73"/>
  <c r="AG60" i="73"/>
  <c r="AF60" i="73"/>
  <c r="AD60" i="73"/>
  <c r="AE60" i="73"/>
  <c r="AC60" i="73"/>
  <c r="AB60" i="73"/>
  <c r="AO59" i="73"/>
  <c r="AP59" i="73"/>
  <c r="AN59" i="73"/>
  <c r="AM59" i="73"/>
  <c r="F112" i="51"/>
  <c r="T141" i="50" s="1"/>
  <c r="T161" i="50" s="1"/>
  <c r="AI51" i="60"/>
  <c r="AI52" i="60"/>
  <c r="G52" i="60"/>
  <c r="G51" i="60"/>
  <c r="T52" i="60"/>
  <c r="T51" i="60"/>
  <c r="AF51" i="60"/>
  <c r="AF52" i="60"/>
  <c r="AL51" i="60"/>
  <c r="AL52" i="60"/>
  <c r="AK51" i="60"/>
  <c r="AK52" i="60"/>
  <c r="L52" i="60"/>
  <c r="L51" i="60"/>
  <c r="Q51" i="60"/>
  <c r="Q52" i="60"/>
  <c r="AD52" i="60"/>
  <c r="AD51" i="60"/>
  <c r="P52" i="60"/>
  <c r="P51" i="60"/>
  <c r="K52" i="60"/>
  <c r="K51" i="60"/>
  <c r="S51" i="60"/>
  <c r="S52" i="60"/>
  <c r="AC51" i="60"/>
  <c r="AC52" i="60"/>
  <c r="AH52" i="60"/>
  <c r="AH51" i="60"/>
  <c r="AB51" i="60"/>
  <c r="AB52" i="60"/>
  <c r="Z52" i="60"/>
  <c r="Z51" i="60"/>
  <c r="AE51" i="60"/>
  <c r="AE52" i="60"/>
  <c r="N51" i="60"/>
  <c r="N52" i="60"/>
  <c r="M52" i="60"/>
  <c r="M51" i="60"/>
  <c r="Y52" i="60"/>
  <c r="Y51" i="60"/>
  <c r="H51" i="60"/>
  <c r="H52" i="60"/>
  <c r="D52" i="60"/>
  <c r="AJ52" i="60"/>
  <c r="AJ51" i="60"/>
  <c r="V52" i="60"/>
  <c r="V51" i="60"/>
  <c r="E51" i="60"/>
  <c r="E52" i="60"/>
  <c r="X52" i="60"/>
  <c r="X51" i="60"/>
  <c r="J52" i="60"/>
  <c r="J51" i="60"/>
  <c r="W51" i="60"/>
  <c r="W52" i="60"/>
  <c r="F51" i="60"/>
  <c r="F52" i="60"/>
  <c r="R51" i="60"/>
  <c r="R52" i="60"/>
  <c r="AP50" i="60"/>
  <c r="AP63" i="60"/>
  <c r="AM50" i="60"/>
  <c r="AM63" i="60"/>
  <c r="AQ50" i="60"/>
  <c r="AQ63" i="60"/>
  <c r="AR50" i="60"/>
  <c r="AR63" i="60"/>
  <c r="AN50" i="60"/>
  <c r="AN63" i="60"/>
  <c r="AO50" i="60"/>
  <c r="AO63" i="60"/>
  <c r="AS14" i="60"/>
  <c r="BF60" i="53"/>
  <c r="BF59" i="53" s="1"/>
  <c r="AZ60" i="53"/>
  <c r="AZ59" i="53" s="1"/>
  <c r="BH60" i="53"/>
  <c r="BH59" i="53" s="1"/>
  <c r="BB60" i="53"/>
  <c r="BB59" i="53" s="1"/>
  <c r="BE60" i="53"/>
  <c r="BE59" i="53" s="1"/>
  <c r="AY60" i="53"/>
  <c r="AY59" i="53" s="1"/>
  <c r="BG60" i="53"/>
  <c r="BG59" i="53" s="1"/>
  <c r="BA60" i="53"/>
  <c r="BA59" i="53" s="1"/>
  <c r="BC60" i="53"/>
  <c r="BC59" i="53" s="1"/>
  <c r="AW60" i="53"/>
  <c r="AW59" i="53" s="1"/>
  <c r="BD60" i="53"/>
  <c r="BD59" i="53" s="1"/>
  <c r="AX60" i="53"/>
  <c r="AX59" i="53" s="1"/>
  <c r="AN59" i="53"/>
  <c r="Y105" i="67" s="1"/>
  <c r="AP60" i="53"/>
  <c r="AO60" i="53"/>
  <c r="AF59" i="53"/>
  <c r="Y84" i="67" s="1"/>
  <c r="AH60" i="53"/>
  <c r="AG60" i="53"/>
  <c r="J60" i="53"/>
  <c r="I60" i="53"/>
  <c r="Y60" i="53"/>
  <c r="Z60" i="53"/>
  <c r="R60" i="53"/>
  <c r="Q60" i="53"/>
  <c r="G60" i="51"/>
  <c r="G111" i="51" s="1"/>
  <c r="K60" i="51"/>
  <c r="K110" i="51" s="1"/>
  <c r="F110" i="51"/>
  <c r="F39" i="50" s="1"/>
  <c r="F64" i="50" s="1"/>
  <c r="F111" i="51"/>
  <c r="M136" i="50" s="1"/>
  <c r="M156" i="50" s="1"/>
  <c r="AL153" i="50"/>
  <c r="AK151" i="50"/>
  <c r="E91" i="67" s="1"/>
  <c r="G60" i="62"/>
  <c r="AJ282" i="50"/>
  <c r="D69" i="49"/>
  <c r="AM38" i="67" s="1"/>
  <c r="I69" i="62"/>
  <c r="H67" i="62"/>
  <c r="H99" i="62"/>
  <c r="I101" i="62"/>
  <c r="AL70" i="50"/>
  <c r="AK69" i="50"/>
  <c r="AK60" i="50" s="1"/>
  <c r="AM65" i="50"/>
  <c r="AL63" i="50"/>
  <c r="AC282" i="50"/>
  <c r="D55" i="49"/>
  <c r="AM30" i="67" s="1"/>
  <c r="AF125" i="50"/>
  <c r="AF185" i="50" s="1"/>
  <c r="AE185" i="50"/>
  <c r="AE153" i="50"/>
  <c r="AD151" i="50"/>
  <c r="E67" i="67" s="1"/>
  <c r="AD173" i="50"/>
  <c r="AD171" i="50" s="1"/>
  <c r="E68" i="67" s="1"/>
  <c r="AD69" i="50"/>
  <c r="AD60" i="50" s="1"/>
  <c r="AE70" i="50"/>
  <c r="AF161" i="50"/>
  <c r="AF181" i="50" s="1"/>
  <c r="AE181" i="50"/>
  <c r="AF127" i="50"/>
  <c r="AF187" i="50" s="1"/>
  <c r="AE187" i="50"/>
  <c r="AF154" i="50"/>
  <c r="AF174" i="50" s="1"/>
  <c r="AE174" i="50"/>
  <c r="AE111" i="50"/>
  <c r="F65" i="67" s="1"/>
  <c r="AF65" i="50"/>
  <c r="AF63" i="50" s="1"/>
  <c r="AE63" i="50"/>
  <c r="AN62" i="60"/>
  <c r="AS29" i="60"/>
  <c r="AQ62" i="60"/>
  <c r="F146" i="50" l="1"/>
  <c r="F166" i="50" s="1"/>
  <c r="F50" i="50"/>
  <c r="F75" i="50" s="1"/>
  <c r="F147" i="50"/>
  <c r="F167" i="50" s="1"/>
  <c r="J111" i="51"/>
  <c r="Q140" i="50" s="1"/>
  <c r="J112" i="51"/>
  <c r="X136" i="50" s="1"/>
  <c r="J145" i="50"/>
  <c r="J142" i="50"/>
  <c r="N19" i="79"/>
  <c r="N17" i="79"/>
  <c r="N18" i="79"/>
  <c r="D41" i="79"/>
  <c r="D39" i="79"/>
  <c r="D40" i="79"/>
  <c r="K19" i="79"/>
  <c r="K17" i="79"/>
  <c r="K18" i="79"/>
  <c r="G40" i="79"/>
  <c r="G39" i="79"/>
  <c r="G41" i="79"/>
  <c r="L19" i="79"/>
  <c r="L18" i="79"/>
  <c r="L17" i="79"/>
  <c r="F56" i="50"/>
  <c r="F81" i="50" s="1"/>
  <c r="J19" i="79"/>
  <c r="J17" i="79"/>
  <c r="J18" i="79"/>
  <c r="K39" i="79"/>
  <c r="K40" i="79"/>
  <c r="K41" i="79"/>
  <c r="J41" i="79"/>
  <c r="J43" i="79" s="1"/>
  <c r="J39" i="79"/>
  <c r="J40" i="79"/>
  <c r="M17" i="79"/>
  <c r="M18" i="79"/>
  <c r="M19" i="79"/>
  <c r="N39" i="79"/>
  <c r="N40" i="79"/>
  <c r="N41" i="79"/>
  <c r="S37" i="2"/>
  <c r="AE32" i="78"/>
  <c r="T38" i="2"/>
  <c r="AF33" i="78"/>
  <c r="T37" i="2"/>
  <c r="H39" i="79"/>
  <c r="H40" i="79"/>
  <c r="H41" i="79"/>
  <c r="M41" i="79"/>
  <c r="M39" i="79"/>
  <c r="M40" i="79"/>
  <c r="F46" i="50"/>
  <c r="F71" i="50" s="1"/>
  <c r="I110" i="51"/>
  <c r="I137" i="50" s="1"/>
  <c r="F59" i="50"/>
  <c r="F84" i="50" s="1"/>
  <c r="I111" i="51"/>
  <c r="P54" i="50" s="1"/>
  <c r="F140" i="50"/>
  <c r="F160" i="50" s="1"/>
  <c r="F40" i="50"/>
  <c r="F65" i="50" s="1"/>
  <c r="F37" i="50"/>
  <c r="F62" i="50" s="1"/>
  <c r="Q38" i="2"/>
  <c r="AC33" i="78"/>
  <c r="E39" i="79"/>
  <c r="E40" i="79"/>
  <c r="E41" i="79"/>
  <c r="L41" i="79"/>
  <c r="L40" i="79"/>
  <c r="L39" i="79"/>
  <c r="F39" i="79"/>
  <c r="F40" i="79"/>
  <c r="F41" i="79"/>
  <c r="T140" i="50"/>
  <c r="T160" i="50" s="1"/>
  <c r="T59" i="50"/>
  <c r="T84" i="50" s="1"/>
  <c r="H111" i="51"/>
  <c r="O144" i="50" s="1"/>
  <c r="H110" i="51"/>
  <c r="H142" i="50" s="1"/>
  <c r="J140" i="50"/>
  <c r="J41" i="50"/>
  <c r="J47" i="50"/>
  <c r="AA84" i="67"/>
  <c r="AA105" i="67"/>
  <c r="Z105" i="67"/>
  <c r="F56" i="49"/>
  <c r="E62" i="67"/>
  <c r="F70" i="49"/>
  <c r="E86" i="67"/>
  <c r="U38" i="2"/>
  <c r="R38" i="2"/>
  <c r="T39" i="50"/>
  <c r="T64" i="50" s="1"/>
  <c r="T146" i="50"/>
  <c r="T166" i="50" s="1"/>
  <c r="T143" i="50"/>
  <c r="T163" i="50" s="1"/>
  <c r="T149" i="50"/>
  <c r="T169" i="50" s="1"/>
  <c r="V48" i="50"/>
  <c r="V142" i="50"/>
  <c r="T50" i="50"/>
  <c r="T75" i="50" s="1"/>
  <c r="M143" i="50"/>
  <c r="M163" i="50" s="1"/>
  <c r="V36" i="50"/>
  <c r="T52" i="50"/>
  <c r="T77" i="50" s="1"/>
  <c r="T133" i="50"/>
  <c r="T153" i="50" s="1"/>
  <c r="T49" i="50"/>
  <c r="T74" i="50" s="1"/>
  <c r="M57" i="50"/>
  <c r="M82" i="50" s="1"/>
  <c r="V52" i="50"/>
  <c r="V147" i="50"/>
  <c r="V144" i="50"/>
  <c r="V148" i="50"/>
  <c r="V135" i="50"/>
  <c r="K111" i="51"/>
  <c r="R143" i="50" s="1"/>
  <c r="V139" i="50"/>
  <c r="V146" i="50"/>
  <c r="V133" i="50"/>
  <c r="V137" i="50"/>
  <c r="I149" i="50"/>
  <c r="V51" i="50"/>
  <c r="V56" i="50"/>
  <c r="V41" i="50"/>
  <c r="V47" i="50"/>
  <c r="T56" i="50"/>
  <c r="T81" i="50" s="1"/>
  <c r="T53" i="50"/>
  <c r="T78" i="50" s="1"/>
  <c r="T41" i="50"/>
  <c r="T66" i="50" s="1"/>
  <c r="T40" i="50"/>
  <c r="T65" i="50" s="1"/>
  <c r="T135" i="50"/>
  <c r="T155" i="50" s="1"/>
  <c r="T138" i="50"/>
  <c r="T158" i="50" s="1"/>
  <c r="T137" i="50"/>
  <c r="T157" i="50" s="1"/>
  <c r="T42" i="50"/>
  <c r="T67" i="50" s="1"/>
  <c r="T150" i="50"/>
  <c r="T170" i="50" s="1"/>
  <c r="T58" i="50"/>
  <c r="T83" i="50" s="1"/>
  <c r="T51" i="50"/>
  <c r="T76" i="50" s="1"/>
  <c r="T148" i="50"/>
  <c r="T168" i="50" s="1"/>
  <c r="T145" i="50"/>
  <c r="T165" i="50" s="1"/>
  <c r="T57" i="50"/>
  <c r="T82" i="50" s="1"/>
  <c r="T36" i="50"/>
  <c r="T61" i="50" s="1"/>
  <c r="T46" i="50"/>
  <c r="T71" i="50" s="1"/>
  <c r="T139" i="50"/>
  <c r="T159" i="50" s="1"/>
  <c r="T37" i="50"/>
  <c r="T62" i="50" s="1"/>
  <c r="T142" i="50"/>
  <c r="T162" i="50" s="1"/>
  <c r="T43" i="50"/>
  <c r="T68" i="50" s="1"/>
  <c r="T48" i="50"/>
  <c r="T73" i="50" s="1"/>
  <c r="T147" i="50"/>
  <c r="T167" i="50" s="1"/>
  <c r="T54" i="50"/>
  <c r="T79" i="50" s="1"/>
  <c r="T132" i="50"/>
  <c r="T152" i="50" s="1"/>
  <c r="T55" i="50"/>
  <c r="T80" i="50" s="1"/>
  <c r="T47" i="50"/>
  <c r="T72" i="50" s="1"/>
  <c r="T134" i="50"/>
  <c r="T154" i="50" s="1"/>
  <c r="T136" i="50"/>
  <c r="T156" i="50" s="1"/>
  <c r="T144" i="50"/>
  <c r="T164" i="50" s="1"/>
  <c r="AS27" i="60"/>
  <c r="BD59" i="73"/>
  <c r="BE59" i="73"/>
  <c r="AT59" i="73"/>
  <c r="AS59" i="73"/>
  <c r="V42" i="50"/>
  <c r="V141" i="50"/>
  <c r="V143" i="50"/>
  <c r="V145" i="50"/>
  <c r="V40" i="50"/>
  <c r="V149" i="50"/>
  <c r="V59" i="50"/>
  <c r="J56" i="50"/>
  <c r="J54" i="50"/>
  <c r="V49" i="50"/>
  <c r="V50" i="50"/>
  <c r="V53" i="50"/>
  <c r="V39" i="50"/>
  <c r="V57" i="50"/>
  <c r="V37" i="50"/>
  <c r="V134" i="50"/>
  <c r="J59" i="50"/>
  <c r="J138" i="50"/>
  <c r="J150" i="50"/>
  <c r="H60" i="62"/>
  <c r="W136" i="50"/>
  <c r="AN52" i="60"/>
  <c r="AN51" i="60"/>
  <c r="AQ52" i="60"/>
  <c r="AQ51" i="60"/>
  <c r="AP51" i="60"/>
  <c r="AP52" i="60"/>
  <c r="M148" i="50"/>
  <c r="M168" i="50" s="1"/>
  <c r="V43" i="50"/>
  <c r="V132" i="50"/>
  <c r="V140" i="50"/>
  <c r="V58" i="50"/>
  <c r="V138" i="50"/>
  <c r="V55" i="50"/>
  <c r="V54" i="50"/>
  <c r="V150" i="50"/>
  <c r="V46" i="50"/>
  <c r="J52" i="50"/>
  <c r="J132" i="50"/>
  <c r="J50" i="50"/>
  <c r="J53" i="50"/>
  <c r="J137" i="50"/>
  <c r="J43" i="50"/>
  <c r="J143" i="50"/>
  <c r="J55" i="50"/>
  <c r="J147" i="50"/>
  <c r="M53" i="50"/>
  <c r="M78" i="50" s="1"/>
  <c r="J46" i="50"/>
  <c r="J49" i="50"/>
  <c r="J133" i="50"/>
  <c r="J42" i="50"/>
  <c r="J146" i="50"/>
  <c r="J58" i="50"/>
  <c r="J57" i="50"/>
  <c r="J141" i="50"/>
  <c r="J48" i="50"/>
  <c r="J148" i="50"/>
  <c r="AO51" i="60"/>
  <c r="AO52" i="60"/>
  <c r="AR52" i="60"/>
  <c r="AR51" i="60"/>
  <c r="J37" i="50"/>
  <c r="J135" i="50"/>
  <c r="J149" i="50"/>
  <c r="J39" i="50"/>
  <c r="J136" i="50"/>
  <c r="J36" i="50"/>
  <c r="J139" i="50"/>
  <c r="J144" i="50"/>
  <c r="J134" i="50"/>
  <c r="G112" i="51"/>
  <c r="U134" i="50" s="1"/>
  <c r="G110" i="51"/>
  <c r="G43" i="50" s="1"/>
  <c r="W54" i="50"/>
  <c r="N144" i="50"/>
  <c r="N46" i="50"/>
  <c r="N139" i="50"/>
  <c r="N47" i="50"/>
  <c r="N48" i="50"/>
  <c r="N42" i="50"/>
  <c r="N150" i="50"/>
  <c r="N37" i="50"/>
  <c r="N136" i="50"/>
  <c r="N156" i="50" s="1"/>
  <c r="N36" i="50"/>
  <c r="N43" i="50"/>
  <c r="N145" i="50"/>
  <c r="N148" i="50"/>
  <c r="N53" i="50"/>
  <c r="N141" i="50"/>
  <c r="N49" i="50"/>
  <c r="N133" i="50"/>
  <c r="N147" i="50"/>
  <c r="N55" i="50"/>
  <c r="N41" i="50"/>
  <c r="N59" i="50"/>
  <c r="N132" i="50"/>
  <c r="N50" i="50"/>
  <c r="N140" i="50"/>
  <c r="N137" i="50"/>
  <c r="N135" i="50"/>
  <c r="N146" i="50"/>
  <c r="N149" i="50"/>
  <c r="N52" i="50"/>
  <c r="N58" i="50"/>
  <c r="N57" i="50"/>
  <c r="N143" i="50"/>
  <c r="N51" i="50"/>
  <c r="N54" i="50"/>
  <c r="N138" i="50"/>
  <c r="N40" i="50"/>
  <c r="N134" i="50"/>
  <c r="N39" i="50"/>
  <c r="N142" i="50"/>
  <c r="N56" i="50"/>
  <c r="K112" i="51"/>
  <c r="Y149" i="50" s="1"/>
  <c r="AP62" i="60"/>
  <c r="AR62" i="60"/>
  <c r="AM62" i="60"/>
  <c r="AO59" i="53"/>
  <c r="AP59" i="53"/>
  <c r="AH59" i="53"/>
  <c r="AG59" i="53"/>
  <c r="M142" i="50"/>
  <c r="M162" i="50" s="1"/>
  <c r="M36" i="50"/>
  <c r="M61" i="50" s="1"/>
  <c r="F148" i="50"/>
  <c r="F168" i="50" s="1"/>
  <c r="F134" i="50"/>
  <c r="F154" i="50" s="1"/>
  <c r="F132" i="50"/>
  <c r="F152" i="50" s="1"/>
  <c r="F135" i="50"/>
  <c r="F155" i="50" s="1"/>
  <c r="M48" i="50"/>
  <c r="M73" i="50" s="1"/>
  <c r="M54" i="50"/>
  <c r="M79" i="50" s="1"/>
  <c r="M37" i="50"/>
  <c r="M62" i="50" s="1"/>
  <c r="F133" i="50"/>
  <c r="F153" i="50" s="1"/>
  <c r="F54" i="50"/>
  <c r="F79" i="50" s="1"/>
  <c r="F58" i="50"/>
  <c r="F83" i="50" s="1"/>
  <c r="F144" i="50"/>
  <c r="F164" i="50" s="1"/>
  <c r="F145" i="50"/>
  <c r="F165" i="50" s="1"/>
  <c r="F142" i="50"/>
  <c r="F162" i="50" s="1"/>
  <c r="F150" i="50"/>
  <c r="F170" i="50" s="1"/>
  <c r="F41" i="50"/>
  <c r="F66" i="50" s="1"/>
  <c r="M150" i="50"/>
  <c r="M170" i="50" s="1"/>
  <c r="F57" i="50"/>
  <c r="F82" i="50" s="1"/>
  <c r="F52" i="50"/>
  <c r="F77" i="50" s="1"/>
  <c r="F36" i="50"/>
  <c r="F61" i="50" s="1"/>
  <c r="F48" i="50"/>
  <c r="F73" i="50" s="1"/>
  <c r="F137" i="50"/>
  <c r="F157" i="50" s="1"/>
  <c r="F113" i="51"/>
  <c r="M41" i="50"/>
  <c r="M66" i="50" s="1"/>
  <c r="M133" i="50"/>
  <c r="M153" i="50" s="1"/>
  <c r="M144" i="50"/>
  <c r="M164" i="50" s="1"/>
  <c r="M40" i="50"/>
  <c r="M65" i="50" s="1"/>
  <c r="F51" i="50"/>
  <c r="F76" i="50" s="1"/>
  <c r="F141" i="50"/>
  <c r="F161" i="50" s="1"/>
  <c r="F55" i="50"/>
  <c r="F80" i="50" s="1"/>
  <c r="F43" i="50"/>
  <c r="F68" i="50" s="1"/>
  <c r="F42" i="50"/>
  <c r="F67" i="50" s="1"/>
  <c r="F49" i="50"/>
  <c r="F74" i="50" s="1"/>
  <c r="F143" i="50"/>
  <c r="F163" i="50" s="1"/>
  <c r="F139" i="50"/>
  <c r="F159" i="50" s="1"/>
  <c r="F47" i="50"/>
  <c r="F72" i="50" s="1"/>
  <c r="F138" i="50"/>
  <c r="F158" i="50" s="1"/>
  <c r="F136" i="50"/>
  <c r="F156" i="50" s="1"/>
  <c r="F149" i="50"/>
  <c r="F169" i="50" s="1"/>
  <c r="F53" i="50"/>
  <c r="F78" i="50" s="1"/>
  <c r="W39" i="50"/>
  <c r="W53" i="50"/>
  <c r="M42" i="50"/>
  <c r="M67" i="50" s="1"/>
  <c r="M137" i="50"/>
  <c r="M157" i="50" s="1"/>
  <c r="M51" i="50"/>
  <c r="M76" i="50" s="1"/>
  <c r="M140" i="50"/>
  <c r="M160" i="50" s="1"/>
  <c r="M55" i="50"/>
  <c r="M80" i="50" s="1"/>
  <c r="M145" i="50"/>
  <c r="M165" i="50" s="1"/>
  <c r="M39" i="50"/>
  <c r="M149" i="50"/>
  <c r="M169" i="50" s="1"/>
  <c r="W42" i="50"/>
  <c r="W46" i="50"/>
  <c r="W133" i="50"/>
  <c r="W144" i="50"/>
  <c r="M43" i="50"/>
  <c r="M68" i="50" s="1"/>
  <c r="M141" i="50"/>
  <c r="M161" i="50" s="1"/>
  <c r="M47" i="50"/>
  <c r="M72" i="50" s="1"/>
  <c r="M147" i="50"/>
  <c r="M167" i="50" s="1"/>
  <c r="M52" i="50"/>
  <c r="M77" i="50" s="1"/>
  <c r="M134" i="50"/>
  <c r="M154" i="50" s="1"/>
  <c r="M132" i="50"/>
  <c r="M152" i="50" s="1"/>
  <c r="M138" i="50"/>
  <c r="M158" i="50" s="1"/>
  <c r="W138" i="50"/>
  <c r="W141" i="50"/>
  <c r="W43" i="50"/>
  <c r="W142" i="50"/>
  <c r="W148" i="50"/>
  <c r="W49" i="50"/>
  <c r="M46" i="50"/>
  <c r="M71" i="50" s="1"/>
  <c r="M135" i="50"/>
  <c r="M155" i="50" s="1"/>
  <c r="M50" i="50"/>
  <c r="M75" i="50" s="1"/>
  <c r="M49" i="50"/>
  <c r="M74" i="50" s="1"/>
  <c r="M146" i="50"/>
  <c r="M166" i="50" s="1"/>
  <c r="M56" i="50"/>
  <c r="M81" i="50" s="1"/>
  <c r="M139" i="50"/>
  <c r="M159" i="50" s="1"/>
  <c r="M59" i="50"/>
  <c r="M84" i="50" s="1"/>
  <c r="M58" i="50"/>
  <c r="M83" i="50" s="1"/>
  <c r="W57" i="50"/>
  <c r="W137" i="50"/>
  <c r="W40" i="50"/>
  <c r="W140" i="50"/>
  <c r="W135" i="50"/>
  <c r="W147" i="50"/>
  <c r="W149" i="50"/>
  <c r="W56" i="50"/>
  <c r="W55" i="50"/>
  <c r="W150" i="50"/>
  <c r="W145" i="50"/>
  <c r="W59" i="50"/>
  <c r="W47" i="50"/>
  <c r="W48" i="50"/>
  <c r="W37" i="50"/>
  <c r="W134" i="50"/>
  <c r="W36" i="50"/>
  <c r="W58" i="50"/>
  <c r="W139" i="50"/>
  <c r="W41" i="50"/>
  <c r="W143" i="50"/>
  <c r="W50" i="50"/>
  <c r="W51" i="50"/>
  <c r="W146" i="50"/>
  <c r="W52" i="50"/>
  <c r="AO62" i="60"/>
  <c r="AM63" i="50"/>
  <c r="J101" i="62"/>
  <c r="I99" i="62"/>
  <c r="J69" i="62"/>
  <c r="I67" i="62"/>
  <c r="K138" i="50"/>
  <c r="K141" i="50"/>
  <c r="K140" i="50"/>
  <c r="K49" i="50"/>
  <c r="K139" i="50"/>
  <c r="K43" i="50"/>
  <c r="K59" i="50"/>
  <c r="K37" i="50"/>
  <c r="K143" i="50"/>
  <c r="K41" i="50"/>
  <c r="K150" i="50"/>
  <c r="K134" i="50"/>
  <c r="K137" i="50"/>
  <c r="K132" i="50"/>
  <c r="K56" i="50"/>
  <c r="K39" i="50"/>
  <c r="K55" i="50"/>
  <c r="K54" i="50"/>
  <c r="K46" i="50"/>
  <c r="K146" i="50"/>
  <c r="K149" i="50"/>
  <c r="K133" i="50"/>
  <c r="K57" i="50"/>
  <c r="K52" i="50"/>
  <c r="K144" i="50"/>
  <c r="K47" i="50"/>
  <c r="K36" i="50"/>
  <c r="K58" i="50"/>
  <c r="K142" i="50"/>
  <c r="K145" i="50"/>
  <c r="K148" i="50"/>
  <c r="K53" i="50"/>
  <c r="K147" i="50"/>
  <c r="K48" i="50"/>
  <c r="K136" i="50"/>
  <c r="K42" i="50"/>
  <c r="K50" i="50"/>
  <c r="K135" i="50"/>
  <c r="AK282" i="50"/>
  <c r="E69" i="49"/>
  <c r="AN38" i="67" s="1"/>
  <c r="AM153" i="50"/>
  <c r="AM151" i="50" s="1"/>
  <c r="G91" i="67" s="1"/>
  <c r="AL151" i="50"/>
  <c r="F91" i="67" s="1"/>
  <c r="AM70" i="50"/>
  <c r="AM69" i="50" s="1"/>
  <c r="AL69" i="50"/>
  <c r="AL60" i="50" s="1"/>
  <c r="O135" i="50"/>
  <c r="AD282" i="50"/>
  <c r="E55" i="49"/>
  <c r="AN30" i="67" s="1"/>
  <c r="AF70" i="50"/>
  <c r="AE69" i="50"/>
  <c r="AE60" i="50" s="1"/>
  <c r="AF153" i="50"/>
  <c r="AE151" i="50"/>
  <c r="F67" i="67" s="1"/>
  <c r="AE173" i="50"/>
  <c r="AE171" i="50" s="1"/>
  <c r="F68" i="67" s="1"/>
  <c r="AF111" i="50"/>
  <c r="G65" i="67" s="1"/>
  <c r="O50" i="50" l="1"/>
  <c r="X40" i="50"/>
  <c r="X134" i="50"/>
  <c r="X55" i="50"/>
  <c r="X145" i="50"/>
  <c r="X46" i="50"/>
  <c r="X148" i="50"/>
  <c r="X42" i="50"/>
  <c r="X36" i="50"/>
  <c r="X51" i="50"/>
  <c r="X53" i="50"/>
  <c r="P150" i="50"/>
  <c r="P46" i="50"/>
  <c r="O46" i="50"/>
  <c r="O49" i="50"/>
  <c r="O58" i="50"/>
  <c r="O148" i="50"/>
  <c r="O42" i="50"/>
  <c r="O37" i="50"/>
  <c r="X54" i="50"/>
  <c r="X150" i="50"/>
  <c r="X48" i="50"/>
  <c r="X147" i="50"/>
  <c r="X57" i="50"/>
  <c r="X143" i="50"/>
  <c r="X56" i="50"/>
  <c r="X37" i="50"/>
  <c r="X146" i="50"/>
  <c r="X43" i="50"/>
  <c r="P144" i="50"/>
  <c r="P36" i="50"/>
  <c r="P140" i="50"/>
  <c r="P37" i="50"/>
  <c r="P42" i="50"/>
  <c r="P145" i="50"/>
  <c r="X141" i="50"/>
  <c r="X49" i="50"/>
  <c r="X47" i="50"/>
  <c r="X149" i="50"/>
  <c r="X137" i="50"/>
  <c r="X142" i="50"/>
  <c r="X140" i="50"/>
  <c r="X39" i="50"/>
  <c r="X58" i="50"/>
  <c r="X139" i="50"/>
  <c r="X138" i="50"/>
  <c r="X59" i="50"/>
  <c r="X50" i="50"/>
  <c r="X132" i="50"/>
  <c r="X133" i="50"/>
  <c r="X144" i="50"/>
  <c r="X52" i="50"/>
  <c r="X41" i="50"/>
  <c r="X135" i="50"/>
  <c r="N163" i="50"/>
  <c r="I132" i="50"/>
  <c r="I39" i="50"/>
  <c r="I146" i="50"/>
  <c r="O40" i="50"/>
  <c r="O145" i="50"/>
  <c r="O132" i="50"/>
  <c r="O47" i="50"/>
  <c r="O52" i="50"/>
  <c r="I42" i="50"/>
  <c r="O134" i="50"/>
  <c r="O147" i="50"/>
  <c r="R142" i="50"/>
  <c r="U136" i="50"/>
  <c r="Q139" i="50"/>
  <c r="I150" i="50"/>
  <c r="I40" i="50"/>
  <c r="Q46" i="50"/>
  <c r="I148" i="50"/>
  <c r="I55" i="50"/>
  <c r="Q51" i="50"/>
  <c r="Q39" i="50"/>
  <c r="J113" i="51"/>
  <c r="Q52" i="50"/>
  <c r="Q59" i="50"/>
  <c r="Q134" i="50"/>
  <c r="Q47" i="50"/>
  <c r="Q141" i="50"/>
  <c r="R39" i="50"/>
  <c r="Q40" i="50"/>
  <c r="Q132" i="50"/>
  <c r="Q50" i="50"/>
  <c r="Q143" i="50"/>
  <c r="Q49" i="50"/>
  <c r="Q48" i="50"/>
  <c r="Q137" i="50"/>
  <c r="Q142" i="50"/>
  <c r="Q150" i="50"/>
  <c r="Q42" i="50"/>
  <c r="Q37" i="50"/>
  <c r="Q149" i="50"/>
  <c r="Q36" i="50"/>
  <c r="Q135" i="50"/>
  <c r="Q41" i="50"/>
  <c r="Q55" i="50"/>
  <c r="Q54" i="50"/>
  <c r="Q145" i="50"/>
  <c r="Q133" i="50"/>
  <c r="Q57" i="50"/>
  <c r="Q138" i="50"/>
  <c r="Q58" i="50"/>
  <c r="Q147" i="50"/>
  <c r="Q146" i="50"/>
  <c r="Q148" i="50"/>
  <c r="Q136" i="50"/>
  <c r="Q43" i="50"/>
  <c r="N82" i="50"/>
  <c r="Q53" i="50"/>
  <c r="Q144" i="50"/>
  <c r="Q56" i="50"/>
  <c r="I41" i="50"/>
  <c r="I141" i="50"/>
  <c r="I135" i="50"/>
  <c r="I37" i="50"/>
  <c r="I58" i="50"/>
  <c r="I140" i="50"/>
  <c r="I54" i="50"/>
  <c r="I53" i="50"/>
  <c r="I57" i="50"/>
  <c r="I52" i="50"/>
  <c r="I139" i="50"/>
  <c r="I36" i="50"/>
  <c r="I138" i="50"/>
  <c r="I144" i="50"/>
  <c r="I49" i="50"/>
  <c r="I134" i="50"/>
  <c r="I50" i="50"/>
  <c r="I133" i="50"/>
  <c r="I51" i="50"/>
  <c r="I48" i="50"/>
  <c r="I147" i="50"/>
  <c r="I56" i="50"/>
  <c r="I59" i="50"/>
  <c r="I46" i="50"/>
  <c r="I43" i="50"/>
  <c r="I145" i="50"/>
  <c r="I143" i="50"/>
  <c r="I47" i="50"/>
  <c r="P137" i="50"/>
  <c r="P139" i="50"/>
  <c r="P51" i="50"/>
  <c r="P52" i="50"/>
  <c r="P39" i="50"/>
  <c r="P50" i="50"/>
  <c r="P59" i="50"/>
  <c r="P41" i="50"/>
  <c r="P146" i="50"/>
  <c r="P56" i="50"/>
  <c r="P58" i="50"/>
  <c r="P142" i="50"/>
  <c r="P132" i="50"/>
  <c r="P136" i="50"/>
  <c r="P138" i="50"/>
  <c r="P149" i="50"/>
  <c r="P141" i="50"/>
  <c r="P43" i="50"/>
  <c r="P57" i="50"/>
  <c r="P49" i="50"/>
  <c r="P48" i="50"/>
  <c r="P135" i="50"/>
  <c r="P147" i="50"/>
  <c r="P53" i="50"/>
  <c r="P55" i="50"/>
  <c r="P47" i="50"/>
  <c r="P133" i="50"/>
  <c r="I113" i="51"/>
  <c r="P134" i="50"/>
  <c r="P148" i="50"/>
  <c r="P143" i="50"/>
  <c r="P40" i="50"/>
  <c r="I142" i="50"/>
  <c r="I136" i="50"/>
  <c r="L42" i="79"/>
  <c r="L43" i="79"/>
  <c r="H43" i="79"/>
  <c r="H42" i="79"/>
  <c r="N43" i="79"/>
  <c r="N42" i="79"/>
  <c r="G42" i="79"/>
  <c r="G43" i="79"/>
  <c r="D43" i="79"/>
  <c r="D42" i="79"/>
  <c r="E42" i="79"/>
  <c r="E43" i="79"/>
  <c r="K42" i="79"/>
  <c r="K43" i="79"/>
  <c r="K21" i="79"/>
  <c r="K20" i="79"/>
  <c r="J21" i="79"/>
  <c r="J20" i="79"/>
  <c r="L21" i="79"/>
  <c r="L20" i="79"/>
  <c r="F42" i="79"/>
  <c r="F43" i="79"/>
  <c r="M42" i="79"/>
  <c r="M43" i="79"/>
  <c r="M20" i="79"/>
  <c r="M21" i="79"/>
  <c r="J42" i="79"/>
  <c r="N21" i="79"/>
  <c r="N20" i="79"/>
  <c r="O139" i="50"/>
  <c r="O57" i="50"/>
  <c r="O36" i="50"/>
  <c r="O137" i="50"/>
  <c r="O150" i="50"/>
  <c r="O143" i="50"/>
  <c r="O163" i="50" s="1"/>
  <c r="O39" i="50"/>
  <c r="O149" i="50"/>
  <c r="H59" i="50"/>
  <c r="O54" i="50"/>
  <c r="O133" i="50"/>
  <c r="O59" i="50"/>
  <c r="O138" i="50"/>
  <c r="O56" i="50"/>
  <c r="O140" i="50"/>
  <c r="O141" i="50"/>
  <c r="H49" i="50"/>
  <c r="O43" i="50"/>
  <c r="O146" i="50"/>
  <c r="O41" i="50"/>
  <c r="O51" i="50"/>
  <c r="O136" i="50"/>
  <c r="O156" i="50" s="1"/>
  <c r="O55" i="50"/>
  <c r="O142" i="50"/>
  <c r="O48" i="50"/>
  <c r="O53" i="50"/>
  <c r="H146" i="50"/>
  <c r="U154" i="50"/>
  <c r="V154" i="50" s="1"/>
  <c r="W154" i="50" s="1"/>
  <c r="X154" i="50" s="1"/>
  <c r="H148" i="50"/>
  <c r="H50" i="50"/>
  <c r="N170" i="50"/>
  <c r="H43" i="50"/>
  <c r="H149" i="50"/>
  <c r="H141" i="50"/>
  <c r="H138" i="50"/>
  <c r="H36" i="50"/>
  <c r="H113" i="51"/>
  <c r="H53" i="50"/>
  <c r="H147" i="50"/>
  <c r="H144" i="50"/>
  <c r="H132" i="50"/>
  <c r="H143" i="50"/>
  <c r="H58" i="50"/>
  <c r="H51" i="50"/>
  <c r="H57" i="50"/>
  <c r="H39" i="50"/>
  <c r="H139" i="50"/>
  <c r="H56" i="50"/>
  <c r="H140" i="50"/>
  <c r="H46" i="50"/>
  <c r="H133" i="50"/>
  <c r="H52" i="50"/>
  <c r="H37" i="50"/>
  <c r="H150" i="50"/>
  <c r="H54" i="50"/>
  <c r="H134" i="50"/>
  <c r="H47" i="50"/>
  <c r="H41" i="50"/>
  <c r="H48" i="50"/>
  <c r="H137" i="50"/>
  <c r="H145" i="50"/>
  <c r="H40" i="50"/>
  <c r="H55" i="50"/>
  <c r="H135" i="50"/>
  <c r="H42" i="50"/>
  <c r="H136" i="50"/>
  <c r="U149" i="50"/>
  <c r="U169" i="50" s="1"/>
  <c r="V169" i="50" s="1"/>
  <c r="W169" i="50" s="1"/>
  <c r="U143" i="50"/>
  <c r="U163" i="50" s="1"/>
  <c r="V163" i="50" s="1"/>
  <c r="W163" i="50" s="1"/>
  <c r="X163" i="50" s="1"/>
  <c r="U141" i="50"/>
  <c r="U161" i="50" s="1"/>
  <c r="V161" i="50" s="1"/>
  <c r="W161" i="50" s="1"/>
  <c r="X161" i="50" s="1"/>
  <c r="R59" i="50"/>
  <c r="R137" i="50"/>
  <c r="R42" i="50"/>
  <c r="R138" i="50"/>
  <c r="Y135" i="50"/>
  <c r="R141" i="50"/>
  <c r="R145" i="50"/>
  <c r="R54" i="50"/>
  <c r="R146" i="50"/>
  <c r="R37" i="50"/>
  <c r="R52" i="50"/>
  <c r="R149" i="50"/>
  <c r="R43" i="50"/>
  <c r="R50" i="50"/>
  <c r="R40" i="50"/>
  <c r="R148" i="50"/>
  <c r="R55" i="50"/>
  <c r="R48" i="50"/>
  <c r="R49" i="50"/>
  <c r="V38" i="50"/>
  <c r="U40" i="50"/>
  <c r="U65" i="50" s="1"/>
  <c r="V65" i="50" s="1"/>
  <c r="W65" i="50" s="1"/>
  <c r="U135" i="50"/>
  <c r="U155" i="50" s="1"/>
  <c r="V155" i="50" s="1"/>
  <c r="W155" i="50" s="1"/>
  <c r="U54" i="50"/>
  <c r="U79" i="50" s="1"/>
  <c r="V79" i="50" s="1"/>
  <c r="W79" i="50" s="1"/>
  <c r="R144" i="50"/>
  <c r="R135" i="50"/>
  <c r="R57" i="50"/>
  <c r="R139" i="50"/>
  <c r="R133" i="50"/>
  <c r="R56" i="50"/>
  <c r="R41" i="50"/>
  <c r="R46" i="50"/>
  <c r="R132" i="50"/>
  <c r="R36" i="50"/>
  <c r="U41" i="50"/>
  <c r="U142" i="50"/>
  <c r="U162" i="50" s="1"/>
  <c r="V162" i="50" s="1"/>
  <c r="W162" i="50" s="1"/>
  <c r="X162" i="50" s="1"/>
  <c r="U37" i="50"/>
  <c r="U62" i="50" s="1"/>
  <c r="V62" i="50" s="1"/>
  <c r="W62" i="50" s="1"/>
  <c r="R140" i="50"/>
  <c r="R58" i="50"/>
  <c r="R136" i="50"/>
  <c r="R150" i="50"/>
  <c r="R47" i="50"/>
  <c r="R147" i="50"/>
  <c r="R53" i="50"/>
  <c r="R134" i="50"/>
  <c r="R51" i="50"/>
  <c r="G56" i="49"/>
  <c r="F62" i="67"/>
  <c r="G70" i="49"/>
  <c r="F86" i="67"/>
  <c r="U66" i="50"/>
  <c r="V66" i="50" s="1"/>
  <c r="W66" i="50" s="1"/>
  <c r="U42" i="50"/>
  <c r="U67" i="50" s="1"/>
  <c r="V67" i="50" s="1"/>
  <c r="W67" i="50" s="1"/>
  <c r="U43" i="50"/>
  <c r="U68" i="50" s="1"/>
  <c r="V68" i="50" s="1"/>
  <c r="W68" i="50" s="1"/>
  <c r="U53" i="50"/>
  <c r="U78" i="50" s="1"/>
  <c r="V78" i="50" s="1"/>
  <c r="W78" i="50" s="1"/>
  <c r="X78" i="50" s="1"/>
  <c r="U56" i="50"/>
  <c r="U81" i="50" s="1"/>
  <c r="V81" i="50" s="1"/>
  <c r="W81" i="50" s="1"/>
  <c r="X81" i="50" s="1"/>
  <c r="U146" i="50"/>
  <c r="U166" i="50" s="1"/>
  <c r="V166" i="50" s="1"/>
  <c r="W166" i="50" s="1"/>
  <c r="U59" i="50"/>
  <c r="U84" i="50" s="1"/>
  <c r="V84" i="50" s="1"/>
  <c r="W84" i="50" s="1"/>
  <c r="U139" i="50"/>
  <c r="U159" i="50" s="1"/>
  <c r="V159" i="50" s="1"/>
  <c r="W159" i="50" s="1"/>
  <c r="X159" i="50" s="1"/>
  <c r="U49" i="50"/>
  <c r="U74" i="50" s="1"/>
  <c r="V74" i="50" s="1"/>
  <c r="W74" i="50" s="1"/>
  <c r="U50" i="50"/>
  <c r="U75" i="50" s="1"/>
  <c r="V75" i="50" s="1"/>
  <c r="W75" i="50" s="1"/>
  <c r="U132" i="50"/>
  <c r="U152" i="50" s="1"/>
  <c r="N166" i="50"/>
  <c r="T131" i="50"/>
  <c r="R28" i="7" s="1"/>
  <c r="Y56" i="50"/>
  <c r="U156" i="50"/>
  <c r="V156" i="50" s="1"/>
  <c r="W156" i="50" s="1"/>
  <c r="X156" i="50" s="1"/>
  <c r="T38" i="50"/>
  <c r="G50" i="50"/>
  <c r="G75" i="50" s="1"/>
  <c r="Y40" i="50"/>
  <c r="G113" i="51"/>
  <c r="N83" i="50"/>
  <c r="N71" i="50"/>
  <c r="O71" i="50" s="1"/>
  <c r="N167" i="50"/>
  <c r="N61" i="50"/>
  <c r="N77" i="50"/>
  <c r="O77" i="50" s="1"/>
  <c r="F63" i="50"/>
  <c r="N73" i="50"/>
  <c r="G53" i="50"/>
  <c r="G78" i="50" s="1"/>
  <c r="G143" i="50"/>
  <c r="G163" i="50" s="1"/>
  <c r="G54" i="50"/>
  <c r="G79" i="50" s="1"/>
  <c r="N84" i="50"/>
  <c r="G36" i="50"/>
  <c r="G61" i="50" s="1"/>
  <c r="G51" i="50"/>
  <c r="G76" i="50" s="1"/>
  <c r="G150" i="50"/>
  <c r="G170" i="50" s="1"/>
  <c r="G49" i="50"/>
  <c r="G74" i="50" s="1"/>
  <c r="N78" i="50"/>
  <c r="N68" i="50"/>
  <c r="V131" i="50"/>
  <c r="J131" i="50"/>
  <c r="N168" i="50"/>
  <c r="Y134" i="50"/>
  <c r="Y132" i="50"/>
  <c r="G40" i="50"/>
  <c r="G65" i="50" s="1"/>
  <c r="G133" i="50"/>
  <c r="G153" i="50" s="1"/>
  <c r="G42" i="50"/>
  <c r="G67" i="50" s="1"/>
  <c r="G145" i="50"/>
  <c r="G165" i="50" s="1"/>
  <c r="Y48" i="50"/>
  <c r="Y138" i="50"/>
  <c r="U36" i="50"/>
  <c r="U61" i="50" s="1"/>
  <c r="V61" i="50" s="1"/>
  <c r="W61" i="50" s="1"/>
  <c r="X61" i="50" s="1"/>
  <c r="U145" i="50"/>
  <c r="U165" i="50" s="1"/>
  <c r="V165" i="50" s="1"/>
  <c r="W165" i="50" s="1"/>
  <c r="U46" i="50"/>
  <c r="U71" i="50" s="1"/>
  <c r="V71" i="50" s="1"/>
  <c r="W71" i="50" s="1"/>
  <c r="U47" i="50"/>
  <c r="U72" i="50" s="1"/>
  <c r="V72" i="50" s="1"/>
  <c r="W72" i="50" s="1"/>
  <c r="X72" i="50" s="1"/>
  <c r="U140" i="50"/>
  <c r="U160" i="50" s="1"/>
  <c r="V160" i="50" s="1"/>
  <c r="W160" i="50" s="1"/>
  <c r="U150" i="50"/>
  <c r="U170" i="50" s="1"/>
  <c r="V170" i="50" s="1"/>
  <c r="W170" i="50" s="1"/>
  <c r="U147" i="50"/>
  <c r="U167" i="50" s="1"/>
  <c r="V167" i="50" s="1"/>
  <c r="W167" i="50" s="1"/>
  <c r="X167" i="50" s="1"/>
  <c r="U57" i="50"/>
  <c r="U82" i="50" s="1"/>
  <c r="V82" i="50" s="1"/>
  <c r="W82" i="50" s="1"/>
  <c r="X82" i="50" s="1"/>
  <c r="U55" i="50"/>
  <c r="U80" i="50" s="1"/>
  <c r="V80" i="50" s="1"/>
  <c r="W80" i="50" s="1"/>
  <c r="U148" i="50"/>
  <c r="U168" i="50" s="1"/>
  <c r="V168" i="50" s="1"/>
  <c r="W168" i="50" s="1"/>
  <c r="G132" i="50"/>
  <c r="G152" i="50" s="1"/>
  <c r="G147" i="50"/>
  <c r="G167" i="50" s="1"/>
  <c r="G39" i="50"/>
  <c r="G64" i="50" s="1"/>
  <c r="G149" i="50"/>
  <c r="G169" i="50" s="1"/>
  <c r="G137" i="50"/>
  <c r="G157" i="50" s="1"/>
  <c r="G59" i="50"/>
  <c r="G84" i="50" s="1"/>
  <c r="G141" i="50"/>
  <c r="G161" i="50" s="1"/>
  <c r="G144" i="50"/>
  <c r="G164" i="50" s="1"/>
  <c r="N79" i="50"/>
  <c r="G58" i="50"/>
  <c r="G83" i="50" s="1"/>
  <c r="G41" i="50"/>
  <c r="G66" i="50" s="1"/>
  <c r="Y59" i="50"/>
  <c r="G46" i="50"/>
  <c r="G71" i="50" s="1"/>
  <c r="G48" i="50"/>
  <c r="G73" i="50" s="1"/>
  <c r="G140" i="50"/>
  <c r="G160" i="50" s="1"/>
  <c r="G37" i="50"/>
  <c r="G62" i="50" s="1"/>
  <c r="Y51" i="50"/>
  <c r="Y41" i="50"/>
  <c r="U39" i="50"/>
  <c r="U138" i="50"/>
  <c r="U158" i="50" s="1"/>
  <c r="V158" i="50" s="1"/>
  <c r="W158" i="50" s="1"/>
  <c r="X158" i="50" s="1"/>
  <c r="U137" i="50"/>
  <c r="U157" i="50" s="1"/>
  <c r="V157" i="50" s="1"/>
  <c r="W157" i="50" s="1"/>
  <c r="U48" i="50"/>
  <c r="U73" i="50" s="1"/>
  <c r="V73" i="50" s="1"/>
  <c r="W73" i="50" s="1"/>
  <c r="X73" i="50" s="1"/>
  <c r="U133" i="50"/>
  <c r="U153" i="50" s="1"/>
  <c r="V153" i="50" s="1"/>
  <c r="W153" i="50" s="1"/>
  <c r="U52" i="50"/>
  <c r="U77" i="50" s="1"/>
  <c r="V77" i="50" s="1"/>
  <c r="W77" i="50" s="1"/>
  <c r="X77" i="50" s="1"/>
  <c r="U51" i="50"/>
  <c r="U76" i="50" s="1"/>
  <c r="V76" i="50" s="1"/>
  <c r="W76" i="50" s="1"/>
  <c r="U144" i="50"/>
  <c r="U164" i="50" s="1"/>
  <c r="V164" i="50" s="1"/>
  <c r="W164" i="50" s="1"/>
  <c r="U58" i="50"/>
  <c r="U83" i="50" s="1"/>
  <c r="V83" i="50" s="1"/>
  <c r="W83" i="50" s="1"/>
  <c r="N155" i="50"/>
  <c r="O155" i="50" s="1"/>
  <c r="P155" i="50" s="1"/>
  <c r="G52" i="50"/>
  <c r="G77" i="50" s="1"/>
  <c r="G142" i="50"/>
  <c r="G162" i="50" s="1"/>
  <c r="H162" i="50" s="1"/>
  <c r="N161" i="50"/>
  <c r="G135" i="50"/>
  <c r="G155" i="50" s="1"/>
  <c r="G56" i="50"/>
  <c r="G81" i="50" s="1"/>
  <c r="G55" i="50"/>
  <c r="G80" i="50" s="1"/>
  <c r="G148" i="50"/>
  <c r="G168" i="50" s="1"/>
  <c r="N80" i="50"/>
  <c r="N67" i="50"/>
  <c r="G136" i="50"/>
  <c r="G156" i="50" s="1"/>
  <c r="G57" i="50"/>
  <c r="G82" i="50" s="1"/>
  <c r="G138" i="50"/>
  <c r="G158" i="50" s="1"/>
  <c r="G134" i="50"/>
  <c r="G154" i="50" s="1"/>
  <c r="G139" i="50"/>
  <c r="G159" i="50" s="1"/>
  <c r="N38" i="50"/>
  <c r="N62" i="50"/>
  <c r="G47" i="50"/>
  <c r="G72" i="50" s="1"/>
  <c r="G146" i="50"/>
  <c r="G166" i="50" s="1"/>
  <c r="Y141" i="50"/>
  <c r="Y57" i="50"/>
  <c r="Y36" i="50"/>
  <c r="Y145" i="50"/>
  <c r="Y49" i="50"/>
  <c r="N157" i="50"/>
  <c r="G68" i="50"/>
  <c r="N153" i="50"/>
  <c r="N131" i="50"/>
  <c r="N76" i="50"/>
  <c r="N164" i="50"/>
  <c r="O164" i="50" s="1"/>
  <c r="Y53" i="50"/>
  <c r="Y50" i="50"/>
  <c r="Y42" i="50"/>
  <c r="Y46" i="50"/>
  <c r="Y150" i="50"/>
  <c r="N154" i="50"/>
  <c r="N169" i="50"/>
  <c r="N159" i="50"/>
  <c r="N75" i="50"/>
  <c r="N158" i="50"/>
  <c r="N65" i="50"/>
  <c r="N74" i="50"/>
  <c r="O74" i="50" s="1"/>
  <c r="N160" i="50"/>
  <c r="N66" i="50"/>
  <c r="N81" i="50"/>
  <c r="N72" i="50"/>
  <c r="N165" i="50"/>
  <c r="O165" i="50" s="1"/>
  <c r="N162" i="50"/>
  <c r="K113" i="51"/>
  <c r="Y58" i="50"/>
  <c r="Y136" i="50"/>
  <c r="Y139" i="50"/>
  <c r="Y142" i="50"/>
  <c r="Y147" i="50"/>
  <c r="Y52" i="50"/>
  <c r="Y146" i="50"/>
  <c r="Y47" i="50"/>
  <c r="Y143" i="50"/>
  <c r="Y148" i="50"/>
  <c r="Y55" i="50"/>
  <c r="Y43" i="50"/>
  <c r="Y37" i="50"/>
  <c r="Y140" i="50"/>
  <c r="Y137" i="50"/>
  <c r="Y54" i="50"/>
  <c r="Y133" i="50"/>
  <c r="Y144" i="50"/>
  <c r="Y39" i="50"/>
  <c r="F151" i="50"/>
  <c r="F38" i="50"/>
  <c r="F131" i="50"/>
  <c r="D28" i="7" s="1"/>
  <c r="M38" i="50"/>
  <c r="W38" i="50"/>
  <c r="W131" i="50"/>
  <c r="M64" i="50"/>
  <c r="N64" i="50" s="1"/>
  <c r="M131" i="50"/>
  <c r="K28" i="7" s="1"/>
  <c r="K131" i="50"/>
  <c r="AL282" i="50"/>
  <c r="F69" i="49"/>
  <c r="AO38" i="67" s="1"/>
  <c r="K69" i="62"/>
  <c r="J67" i="62"/>
  <c r="J40" i="50"/>
  <c r="J38" i="50" s="1"/>
  <c r="I60" i="62"/>
  <c r="AM60" i="50"/>
  <c r="G86" i="67" s="1"/>
  <c r="J51" i="50"/>
  <c r="J99" i="62"/>
  <c r="K101" i="62"/>
  <c r="N152" i="50"/>
  <c r="M151" i="50"/>
  <c r="T63" i="50"/>
  <c r="T151" i="50"/>
  <c r="AE282" i="50"/>
  <c r="F55" i="49"/>
  <c r="AO30" i="67" s="1"/>
  <c r="AF151" i="50"/>
  <c r="G67" i="67" s="1"/>
  <c r="AF173" i="50"/>
  <c r="AF171" i="50" s="1"/>
  <c r="G68" i="67" s="1"/>
  <c r="AF69" i="50"/>
  <c r="AF60" i="50" s="1"/>
  <c r="G62" i="67" s="1"/>
  <c r="D35" i="58"/>
  <c r="O75" i="50" l="1"/>
  <c r="O67" i="50"/>
  <c r="P67" i="50" s="1"/>
  <c r="Q67" i="50" s="1"/>
  <c r="R67" i="50" s="1"/>
  <c r="X76" i="50"/>
  <c r="Y76" i="50" s="1"/>
  <c r="X80" i="50"/>
  <c r="Y80" i="50" s="1"/>
  <c r="X71" i="50"/>
  <c r="Y71" i="50" s="1"/>
  <c r="O83" i="50"/>
  <c r="P83" i="50" s="1"/>
  <c r="Q83" i="50" s="1"/>
  <c r="R83" i="50" s="1"/>
  <c r="X67" i="50"/>
  <c r="Y67" i="50" s="1"/>
  <c r="X65" i="50"/>
  <c r="Y65" i="50" s="1"/>
  <c r="X165" i="50"/>
  <c r="Y165" i="50" s="1"/>
  <c r="X155" i="50"/>
  <c r="Y155" i="50" s="1"/>
  <c r="X168" i="50"/>
  <c r="Y168" i="50" s="1"/>
  <c r="P71" i="50"/>
  <c r="Q71" i="50" s="1"/>
  <c r="R71" i="50" s="1"/>
  <c r="X38" i="50"/>
  <c r="X164" i="50"/>
  <c r="Y164" i="50" s="1"/>
  <c r="X170" i="50"/>
  <c r="Y170" i="50" s="1"/>
  <c r="X74" i="50"/>
  <c r="Y74" i="50" s="1"/>
  <c r="X68" i="50"/>
  <c r="Y68" i="50" s="1"/>
  <c r="X166" i="50"/>
  <c r="Y166" i="50" s="1"/>
  <c r="X79" i="50"/>
  <c r="Y79" i="50" s="1"/>
  <c r="O62" i="50"/>
  <c r="P62" i="50" s="1"/>
  <c r="Q62" i="50" s="1"/>
  <c r="R62" i="50" s="1"/>
  <c r="O168" i="50"/>
  <c r="P168" i="50" s="1"/>
  <c r="Q168" i="50" s="1"/>
  <c r="R168" i="50" s="1"/>
  <c r="X84" i="50"/>
  <c r="Y84" i="50" s="1"/>
  <c r="X66" i="50"/>
  <c r="Y66" i="50" s="1"/>
  <c r="X62" i="50"/>
  <c r="Y62" i="50" s="1"/>
  <c r="X169" i="50"/>
  <c r="Y169" i="50" s="1"/>
  <c r="P164" i="50"/>
  <c r="Q164" i="50" s="1"/>
  <c r="R164" i="50" s="1"/>
  <c r="P165" i="50"/>
  <c r="Q165" i="50" s="1"/>
  <c r="R165" i="50" s="1"/>
  <c r="X131" i="50"/>
  <c r="F48" i="67" s="1"/>
  <c r="X83" i="50"/>
  <c r="Y83" i="50" s="1"/>
  <c r="X153" i="50"/>
  <c r="Y153" i="50" s="1"/>
  <c r="X157" i="50"/>
  <c r="Y157" i="50" s="1"/>
  <c r="X160" i="50"/>
  <c r="Y160" i="50" s="1"/>
  <c r="X75" i="50"/>
  <c r="Y75" i="50" s="1"/>
  <c r="O72" i="50"/>
  <c r="P72" i="50" s="1"/>
  <c r="Q72" i="50" s="1"/>
  <c r="R72" i="50" s="1"/>
  <c r="P75" i="50"/>
  <c r="Q75" i="50" s="1"/>
  <c r="R75" i="50" s="1"/>
  <c r="Q38" i="50"/>
  <c r="O157" i="50"/>
  <c r="P157" i="50" s="1"/>
  <c r="Q157" i="50" s="1"/>
  <c r="R157" i="50" s="1"/>
  <c r="O154" i="50"/>
  <c r="P154" i="50" s="1"/>
  <c r="Q154" i="50" s="1"/>
  <c r="R154" i="50" s="1"/>
  <c r="O167" i="50"/>
  <c r="P167" i="50" s="1"/>
  <c r="Q167" i="50" s="1"/>
  <c r="R167" i="50" s="1"/>
  <c r="O169" i="50"/>
  <c r="P169" i="50" s="1"/>
  <c r="Q169" i="50" s="1"/>
  <c r="R169" i="50" s="1"/>
  <c r="Q155" i="50"/>
  <c r="R155" i="50" s="1"/>
  <c r="P163" i="50"/>
  <c r="Q163" i="50" s="1"/>
  <c r="R163" i="50" s="1"/>
  <c r="I131" i="50"/>
  <c r="E12" i="67" s="1"/>
  <c r="O82" i="50"/>
  <c r="P82" i="50" s="1"/>
  <c r="Q82" i="50" s="1"/>
  <c r="R82" i="50" s="1"/>
  <c r="Q131" i="50"/>
  <c r="O28" i="7" s="1"/>
  <c r="I38" i="50"/>
  <c r="O65" i="50"/>
  <c r="P65" i="50" s="1"/>
  <c r="Q65" i="50" s="1"/>
  <c r="R65" i="50" s="1"/>
  <c r="O166" i="50"/>
  <c r="P166" i="50" s="1"/>
  <c r="Q166" i="50" s="1"/>
  <c r="R166" i="50" s="1"/>
  <c r="O38" i="50"/>
  <c r="O162" i="50"/>
  <c r="P162" i="50" s="1"/>
  <c r="Q162" i="50" s="1"/>
  <c r="R162" i="50" s="1"/>
  <c r="O66" i="50"/>
  <c r="P66" i="50" s="1"/>
  <c r="Q66" i="50" s="1"/>
  <c r="R66" i="50" s="1"/>
  <c r="O161" i="50"/>
  <c r="P161" i="50" s="1"/>
  <c r="Q161" i="50" s="1"/>
  <c r="R161" i="50" s="1"/>
  <c r="H164" i="50"/>
  <c r="I164" i="50" s="1"/>
  <c r="J164" i="50" s="1"/>
  <c r="K164" i="50" s="1"/>
  <c r="O84" i="50"/>
  <c r="P84" i="50" s="1"/>
  <c r="Q84" i="50" s="1"/>
  <c r="R84" i="50" s="1"/>
  <c r="P156" i="50"/>
  <c r="Q156" i="50" s="1"/>
  <c r="R156" i="50" s="1"/>
  <c r="H170" i="50"/>
  <c r="I170" i="50" s="1"/>
  <c r="J170" i="50" s="1"/>
  <c r="K170" i="50" s="1"/>
  <c r="I162" i="50"/>
  <c r="J162" i="50" s="1"/>
  <c r="K162" i="50" s="1"/>
  <c r="P38" i="50"/>
  <c r="O68" i="50"/>
  <c r="P68" i="50" s="1"/>
  <c r="Q68" i="50" s="1"/>
  <c r="R68" i="50" s="1"/>
  <c r="H75" i="50"/>
  <c r="I75" i="50" s="1"/>
  <c r="J75" i="50" s="1"/>
  <c r="K75" i="50" s="1"/>
  <c r="O81" i="50"/>
  <c r="P81" i="50" s="1"/>
  <c r="Q81" i="50" s="1"/>
  <c r="R81" i="50" s="1"/>
  <c r="O79" i="50"/>
  <c r="P79" i="50" s="1"/>
  <c r="Q79" i="50" s="1"/>
  <c r="R79" i="50" s="1"/>
  <c r="O78" i="50"/>
  <c r="P78" i="50" s="1"/>
  <c r="Q78" i="50" s="1"/>
  <c r="R78" i="50" s="1"/>
  <c r="P131" i="50"/>
  <c r="N28" i="7" s="1"/>
  <c r="H72" i="50"/>
  <c r="I72" i="50" s="1"/>
  <c r="J72" i="50" s="1"/>
  <c r="K72" i="50" s="1"/>
  <c r="P77" i="50"/>
  <c r="Q77" i="50" s="1"/>
  <c r="R77" i="50" s="1"/>
  <c r="P74" i="50"/>
  <c r="Q74" i="50" s="1"/>
  <c r="R74" i="50" s="1"/>
  <c r="O76" i="50"/>
  <c r="P76" i="50" s="1"/>
  <c r="Q76" i="50" s="1"/>
  <c r="R76" i="50" s="1"/>
  <c r="H84" i="50"/>
  <c r="I84" i="50" s="1"/>
  <c r="J84" i="50" s="1"/>
  <c r="K84" i="50" s="1"/>
  <c r="H156" i="50"/>
  <c r="I156" i="50" s="1"/>
  <c r="J156" i="50" s="1"/>
  <c r="K156" i="50" s="1"/>
  <c r="H66" i="50"/>
  <c r="I66" i="50" s="1"/>
  <c r="J66" i="50" s="1"/>
  <c r="K66" i="50" s="1"/>
  <c r="H161" i="50"/>
  <c r="I161" i="50" s="1"/>
  <c r="J161" i="50" s="1"/>
  <c r="K161" i="50" s="1"/>
  <c r="H64" i="50"/>
  <c r="I64" i="50" s="1"/>
  <c r="H38" i="50"/>
  <c r="O159" i="50"/>
  <c r="P159" i="50" s="1"/>
  <c r="Q159" i="50" s="1"/>
  <c r="R159" i="50" s="1"/>
  <c r="H152" i="50"/>
  <c r="I152" i="50" s="1"/>
  <c r="H168" i="50"/>
  <c r="I168" i="50" s="1"/>
  <c r="J168" i="50" s="1"/>
  <c r="K168" i="50" s="1"/>
  <c r="H62" i="50"/>
  <c r="I62" i="50" s="1"/>
  <c r="J62" i="50" s="1"/>
  <c r="K62" i="50" s="1"/>
  <c r="H169" i="50"/>
  <c r="I169" i="50" s="1"/>
  <c r="J169" i="50" s="1"/>
  <c r="K169" i="50" s="1"/>
  <c r="H165" i="50"/>
  <c r="I165" i="50" s="1"/>
  <c r="J165" i="50" s="1"/>
  <c r="K165" i="50" s="1"/>
  <c r="H74" i="50"/>
  <c r="I74" i="50" s="1"/>
  <c r="J74" i="50" s="1"/>
  <c r="K74" i="50" s="1"/>
  <c r="O73" i="50"/>
  <c r="P73" i="50" s="1"/>
  <c r="Q73" i="50" s="1"/>
  <c r="R73" i="50" s="1"/>
  <c r="O170" i="50"/>
  <c r="P170" i="50" s="1"/>
  <c r="Q170" i="50" s="1"/>
  <c r="R170" i="50" s="1"/>
  <c r="O158" i="50"/>
  <c r="P158" i="50" s="1"/>
  <c r="Q158" i="50" s="1"/>
  <c r="R158" i="50" s="1"/>
  <c r="H160" i="50"/>
  <c r="I160" i="50" s="1"/>
  <c r="J160" i="50" s="1"/>
  <c r="K160" i="50" s="1"/>
  <c r="H67" i="50"/>
  <c r="I67" i="50" s="1"/>
  <c r="J67" i="50" s="1"/>
  <c r="K67" i="50" s="1"/>
  <c r="O160" i="50"/>
  <c r="P160" i="50" s="1"/>
  <c r="Q160" i="50" s="1"/>
  <c r="R160" i="50" s="1"/>
  <c r="O153" i="50"/>
  <c r="P153" i="50" s="1"/>
  <c r="Q153" i="50" s="1"/>
  <c r="R153" i="50" s="1"/>
  <c r="H166" i="50"/>
  <c r="I166" i="50" s="1"/>
  <c r="J166" i="50" s="1"/>
  <c r="K166" i="50" s="1"/>
  <c r="H159" i="50"/>
  <c r="I159" i="50" s="1"/>
  <c r="J159" i="50" s="1"/>
  <c r="K159" i="50" s="1"/>
  <c r="O61" i="50"/>
  <c r="P61" i="50" s="1"/>
  <c r="Q61" i="50" s="1"/>
  <c r="R61" i="50" s="1"/>
  <c r="O131" i="50"/>
  <c r="D30" i="67" s="1"/>
  <c r="H68" i="50"/>
  <c r="I68" i="50" s="1"/>
  <c r="J68" i="50" s="1"/>
  <c r="K68" i="50" s="1"/>
  <c r="H154" i="50"/>
  <c r="I154" i="50" s="1"/>
  <c r="J154" i="50" s="1"/>
  <c r="K154" i="50" s="1"/>
  <c r="H81" i="50"/>
  <c r="I81" i="50" s="1"/>
  <c r="J81" i="50" s="1"/>
  <c r="K81" i="50" s="1"/>
  <c r="H77" i="50"/>
  <c r="I77" i="50" s="1"/>
  <c r="J77" i="50" s="1"/>
  <c r="K77" i="50" s="1"/>
  <c r="H76" i="50"/>
  <c r="I76" i="50" s="1"/>
  <c r="J76" i="50" s="1"/>
  <c r="O80" i="50"/>
  <c r="P80" i="50" s="1"/>
  <c r="Q80" i="50" s="1"/>
  <c r="R80" i="50" s="1"/>
  <c r="H155" i="50"/>
  <c r="I155" i="50" s="1"/>
  <c r="J155" i="50" s="1"/>
  <c r="K155" i="50" s="1"/>
  <c r="H157" i="50"/>
  <c r="I157" i="50" s="1"/>
  <c r="J157" i="50" s="1"/>
  <c r="K157" i="50" s="1"/>
  <c r="H61" i="50"/>
  <c r="I61" i="50" s="1"/>
  <c r="J61" i="50" s="1"/>
  <c r="K61" i="50" s="1"/>
  <c r="H83" i="50"/>
  <c r="I83" i="50" s="1"/>
  <c r="J83" i="50" s="1"/>
  <c r="K83" i="50" s="1"/>
  <c r="H167" i="50"/>
  <c r="I167" i="50" s="1"/>
  <c r="J167" i="50" s="1"/>
  <c r="K167" i="50" s="1"/>
  <c r="H158" i="50"/>
  <c r="I158" i="50" s="1"/>
  <c r="J158" i="50" s="1"/>
  <c r="K158" i="50" s="1"/>
  <c r="H163" i="50"/>
  <c r="I163" i="50" s="1"/>
  <c r="J163" i="50" s="1"/>
  <c r="K163" i="50" s="1"/>
  <c r="H78" i="50"/>
  <c r="I78" i="50" s="1"/>
  <c r="J78" i="50" s="1"/>
  <c r="K78" i="50" s="1"/>
  <c r="H131" i="50"/>
  <c r="D12" i="67" s="1"/>
  <c r="H80" i="50"/>
  <c r="I80" i="50" s="1"/>
  <c r="J80" i="50" s="1"/>
  <c r="K80" i="50" s="1"/>
  <c r="H73" i="50"/>
  <c r="I73" i="50" s="1"/>
  <c r="J73" i="50" s="1"/>
  <c r="K73" i="50" s="1"/>
  <c r="H153" i="50"/>
  <c r="I153" i="50" s="1"/>
  <c r="J153" i="50" s="1"/>
  <c r="K153" i="50" s="1"/>
  <c r="H79" i="50"/>
  <c r="I79" i="50" s="1"/>
  <c r="J79" i="50" s="1"/>
  <c r="K79" i="50" s="1"/>
  <c r="H71" i="50"/>
  <c r="I71" i="50" s="1"/>
  <c r="J71" i="50" s="1"/>
  <c r="K71" i="50" s="1"/>
  <c r="H65" i="50"/>
  <c r="I65" i="50" s="1"/>
  <c r="J65" i="50" s="1"/>
  <c r="R38" i="50"/>
  <c r="R131" i="50"/>
  <c r="G30" i="67" s="1"/>
  <c r="T28" i="7"/>
  <c r="D48" i="67"/>
  <c r="U28" i="7"/>
  <c r="E48" i="67"/>
  <c r="L28" i="7"/>
  <c r="C30" i="67"/>
  <c r="I28" i="7"/>
  <c r="G12" i="67"/>
  <c r="H28" i="7"/>
  <c r="F12" i="67"/>
  <c r="U38" i="50"/>
  <c r="Y81" i="50"/>
  <c r="Y159" i="50"/>
  <c r="AM28" i="7"/>
  <c r="Y154" i="50"/>
  <c r="U64" i="50"/>
  <c r="U63" i="50" s="1"/>
  <c r="Y161" i="50"/>
  <c r="Y38" i="50"/>
  <c r="Y61" i="50"/>
  <c r="Y78" i="50"/>
  <c r="G131" i="50"/>
  <c r="U131" i="50"/>
  <c r="Y158" i="50"/>
  <c r="Y167" i="50"/>
  <c r="G63" i="50"/>
  <c r="Y73" i="50"/>
  <c r="Y82" i="50"/>
  <c r="G38" i="50"/>
  <c r="Y156" i="50"/>
  <c r="Y162" i="50"/>
  <c r="Y131" i="50"/>
  <c r="Y72" i="50"/>
  <c r="H82" i="50"/>
  <c r="I82" i="50" s="1"/>
  <c r="J82" i="50" s="1"/>
  <c r="K82" i="50" s="1"/>
  <c r="C15" i="49"/>
  <c r="Y163" i="50"/>
  <c r="Y77" i="50"/>
  <c r="G151" i="50"/>
  <c r="C13" i="67" s="1"/>
  <c r="M63" i="50"/>
  <c r="J60" i="62"/>
  <c r="K99" i="62"/>
  <c r="K51" i="50"/>
  <c r="K67" i="62"/>
  <c r="K40" i="50"/>
  <c r="K38" i="50" s="1"/>
  <c r="U151" i="50"/>
  <c r="C49" i="67" s="1"/>
  <c r="V152" i="50"/>
  <c r="O64" i="50"/>
  <c r="N63" i="50"/>
  <c r="O152" i="50"/>
  <c r="N151" i="50"/>
  <c r="C31" i="67" s="1"/>
  <c r="AM282" i="50"/>
  <c r="G69" i="49"/>
  <c r="AP38" i="67" s="1"/>
  <c r="G55" i="49"/>
  <c r="AP30" i="67" s="1"/>
  <c r="AF282" i="50"/>
  <c r="F36" i="58"/>
  <c r="G36" i="58"/>
  <c r="H36" i="58"/>
  <c r="I36" i="58"/>
  <c r="J36" i="58"/>
  <c r="D36" i="58"/>
  <c r="D34" i="58"/>
  <c r="V28" i="7" l="1"/>
  <c r="AQ28" i="7" s="1"/>
  <c r="F30" i="67"/>
  <c r="F108" i="67" s="1"/>
  <c r="G28" i="7"/>
  <c r="AP28" i="7" s="1"/>
  <c r="E30" i="67"/>
  <c r="E108" i="67" s="1"/>
  <c r="M28" i="7"/>
  <c r="P28" i="7"/>
  <c r="F28" i="7"/>
  <c r="H63" i="50"/>
  <c r="H151" i="50"/>
  <c r="D13" i="67" s="1"/>
  <c r="W28" i="7"/>
  <c r="G48" i="67"/>
  <c r="G108" i="67" s="1"/>
  <c r="S28" i="7"/>
  <c r="C48" i="67"/>
  <c r="C109" i="67"/>
  <c r="E28" i="7"/>
  <c r="C12" i="67"/>
  <c r="D108" i="67"/>
  <c r="V64" i="50"/>
  <c r="W64" i="50" s="1"/>
  <c r="K76" i="50"/>
  <c r="J64" i="50"/>
  <c r="I63" i="50"/>
  <c r="J152" i="50"/>
  <c r="I151" i="50"/>
  <c r="E13" i="67" s="1"/>
  <c r="K65" i="50"/>
  <c r="K60" i="62"/>
  <c r="O151" i="50"/>
  <c r="D31" i="67" s="1"/>
  <c r="P152" i="50"/>
  <c r="O63" i="50"/>
  <c r="P64" i="50"/>
  <c r="V151" i="50"/>
  <c r="D49" i="67" s="1"/>
  <c r="W152" i="50"/>
  <c r="C32" i="5"/>
  <c r="AO28" i="7" l="1"/>
  <c r="AR28" i="7"/>
  <c r="C108" i="67"/>
  <c r="AN28" i="7"/>
  <c r="V63" i="50"/>
  <c r="D109" i="67"/>
  <c r="W63" i="50"/>
  <c r="X64" i="50"/>
  <c r="P63" i="50"/>
  <c r="Q64" i="50"/>
  <c r="J151" i="50"/>
  <c r="F13" i="67" s="1"/>
  <c r="K152" i="50"/>
  <c r="K151" i="50" s="1"/>
  <c r="G13" i="67" s="1"/>
  <c r="X152" i="50"/>
  <c r="W151" i="50"/>
  <c r="E49" i="67" s="1"/>
  <c r="P151" i="50"/>
  <c r="E31" i="67" s="1"/>
  <c r="Q152" i="50"/>
  <c r="K64" i="50"/>
  <c r="K63" i="50" s="1"/>
  <c r="J63" i="50"/>
  <c r="E109" i="67" l="1"/>
  <c r="R64" i="50"/>
  <c r="R63" i="50" s="1"/>
  <c r="Q63" i="50"/>
  <c r="Q151" i="50"/>
  <c r="F31" i="67" s="1"/>
  <c r="R152" i="50"/>
  <c r="R151" i="50" s="1"/>
  <c r="G31" i="67" s="1"/>
  <c r="X63" i="50"/>
  <c r="Y64" i="50"/>
  <c r="Y63" i="50" s="1"/>
  <c r="Y152" i="50"/>
  <c r="Y151" i="50" s="1"/>
  <c r="G49" i="67" s="1"/>
  <c r="X151" i="50"/>
  <c r="F49" i="67" s="1"/>
  <c r="G109" i="67" l="1"/>
  <c r="F109" i="67"/>
  <c r="D33" i="58"/>
  <c r="I113" i="65" l="1"/>
  <c r="H113" i="65"/>
  <c r="G113" i="65"/>
  <c r="F113" i="65"/>
  <c r="E113" i="65"/>
  <c r="D113" i="65"/>
  <c r="I93" i="65"/>
  <c r="H63" i="39" s="1"/>
  <c r="H93" i="65"/>
  <c r="G63" i="39" s="1"/>
  <c r="G93" i="65"/>
  <c r="F63" i="39" s="1"/>
  <c r="F93" i="65"/>
  <c r="E63" i="39" s="1"/>
  <c r="E93" i="65"/>
  <c r="D63" i="39" s="1"/>
  <c r="D93" i="65"/>
  <c r="C63" i="39" s="1"/>
  <c r="I82" i="65"/>
  <c r="H82" i="65"/>
  <c r="G82" i="65"/>
  <c r="F82" i="65"/>
  <c r="E82" i="65"/>
  <c r="D82" i="65"/>
  <c r="I78" i="65"/>
  <c r="H78" i="65"/>
  <c r="G78" i="65"/>
  <c r="F78" i="65"/>
  <c r="E78" i="65"/>
  <c r="D78" i="65"/>
  <c r="I71" i="65"/>
  <c r="H71" i="65"/>
  <c r="G71" i="65"/>
  <c r="F71" i="65"/>
  <c r="E71" i="65"/>
  <c r="D71" i="65"/>
  <c r="I128" i="1"/>
  <c r="G128" i="1"/>
  <c r="I62" i="65"/>
  <c r="H51" i="39" s="1"/>
  <c r="H62" i="65"/>
  <c r="G51" i="39" s="1"/>
  <c r="G62" i="65"/>
  <c r="F51" i="39" s="1"/>
  <c r="F62" i="65"/>
  <c r="E51" i="39" s="1"/>
  <c r="E62" i="65"/>
  <c r="D51" i="39" s="1"/>
  <c r="D62" i="65"/>
  <c r="C51" i="39" s="1"/>
  <c r="E63" i="78" l="1"/>
  <c r="F63" i="78"/>
  <c r="D70" i="78"/>
  <c r="H70" i="78"/>
  <c r="C70" i="78"/>
  <c r="C63" i="78"/>
  <c r="G63" i="78"/>
  <c r="E70" i="78"/>
  <c r="G70" i="78"/>
  <c r="D63" i="78"/>
  <c r="H63" i="78"/>
  <c r="F70" i="78"/>
  <c r="G79" i="65"/>
  <c r="C31" i="5"/>
  <c r="F104" i="65"/>
  <c r="F110" i="65" s="1"/>
  <c r="E73" i="78" s="1"/>
  <c r="G67" i="65"/>
  <c r="G68" i="65" s="1"/>
  <c r="I75" i="65"/>
  <c r="I77" i="65" s="1"/>
  <c r="D67" i="65"/>
  <c r="D68" i="65" s="1"/>
  <c r="E75" i="65"/>
  <c r="E77" i="65" s="1"/>
  <c r="E127" i="1"/>
  <c r="I104" i="65"/>
  <c r="H127" i="1"/>
  <c r="I127" i="1"/>
  <c r="I83" i="65"/>
  <c r="F109" i="65"/>
  <c r="G127" i="1"/>
  <c r="F75" i="65"/>
  <c r="F77" i="65" s="1"/>
  <c r="H98" i="65"/>
  <c r="H99" i="65" s="1"/>
  <c r="F103" i="65"/>
  <c r="F98" i="65"/>
  <c r="F99" i="65" s="1"/>
  <c r="H128" i="1"/>
  <c r="I98" i="65"/>
  <c r="I99" i="65" s="1"/>
  <c r="E67" i="65"/>
  <c r="E68" i="65" s="1"/>
  <c r="I67" i="65"/>
  <c r="I68" i="65" s="1"/>
  <c r="F67" i="65"/>
  <c r="F68" i="65" s="1"/>
  <c r="D75" i="65"/>
  <c r="D77" i="65" s="1"/>
  <c r="G75" i="65"/>
  <c r="D101" i="65"/>
  <c r="C72" i="78" s="1"/>
  <c r="G101" i="65"/>
  <c r="F72" i="78" s="1"/>
  <c r="E128" i="1"/>
  <c r="J128" i="1"/>
  <c r="F128" i="1"/>
  <c r="J127" i="1"/>
  <c r="F127" i="1"/>
  <c r="H104" i="65"/>
  <c r="D103" i="65"/>
  <c r="G103" i="65"/>
  <c r="F107" i="65"/>
  <c r="F70" i="65"/>
  <c r="E65" i="78" s="1"/>
  <c r="E70" i="65"/>
  <c r="D65" i="78" s="1"/>
  <c r="F72" i="65"/>
  <c r="I72" i="65"/>
  <c r="F79" i="65"/>
  <c r="I79" i="65"/>
  <c r="F83" i="65"/>
  <c r="F101" i="65"/>
  <c r="E72" i="78" s="1"/>
  <c r="D107" i="65"/>
  <c r="G107" i="65"/>
  <c r="D109" i="65"/>
  <c r="G109" i="65"/>
  <c r="H70" i="65"/>
  <c r="G65" i="78" s="1"/>
  <c r="H72" i="65"/>
  <c r="H79" i="65"/>
  <c r="H83" i="65"/>
  <c r="E107" i="65"/>
  <c r="I107" i="65"/>
  <c r="E109" i="65"/>
  <c r="I109" i="65"/>
  <c r="E101" i="65"/>
  <c r="D72" i="78" s="1"/>
  <c r="I101" i="65"/>
  <c r="H72" i="78" s="1"/>
  <c r="E103" i="65"/>
  <c r="I103" i="65"/>
  <c r="G72" i="65"/>
  <c r="G70" i="65"/>
  <c r="F65" i="78" s="1"/>
  <c r="D83" i="65"/>
  <c r="E98" i="65"/>
  <c r="E99" i="65" s="1"/>
  <c r="H107" i="65"/>
  <c r="H67" i="65"/>
  <c r="H68" i="65" s="1"/>
  <c r="I70" i="65"/>
  <c r="H65" i="78" s="1"/>
  <c r="D72" i="65"/>
  <c r="H75" i="65"/>
  <c r="H77" i="65" s="1"/>
  <c r="D79" i="65"/>
  <c r="E83" i="65"/>
  <c r="G98" i="65"/>
  <c r="G99" i="65" s="1"/>
  <c r="H101" i="65"/>
  <c r="G72" i="78" s="1"/>
  <c r="D70" i="65"/>
  <c r="C65" i="78" s="1"/>
  <c r="E72" i="65"/>
  <c r="E79" i="65"/>
  <c r="G83" i="65"/>
  <c r="D98" i="65"/>
  <c r="D99" i="65" s="1"/>
  <c r="H103" i="65"/>
  <c r="G104" i="65"/>
  <c r="H109" i="65"/>
  <c r="D104" i="65"/>
  <c r="E104" i="65"/>
  <c r="F105" i="65" l="1"/>
  <c r="G76" i="65"/>
  <c r="G77" i="65"/>
  <c r="D76" i="65"/>
  <c r="I76" i="65"/>
  <c r="F88" i="65"/>
  <c r="E66" i="78" s="1"/>
  <c r="E84" i="78" s="1"/>
  <c r="H110" i="65"/>
  <c r="D110" i="65"/>
  <c r="E76" i="65"/>
  <c r="I110" i="65"/>
  <c r="E110" i="65"/>
  <c r="G110" i="65"/>
  <c r="H105" i="65"/>
  <c r="I105" i="65"/>
  <c r="I88" i="65"/>
  <c r="H66" i="78" s="1"/>
  <c r="H84" i="78" s="1"/>
  <c r="F76" i="65"/>
  <c r="E43" i="17"/>
  <c r="E88" i="65"/>
  <c r="D66" i="78" s="1"/>
  <c r="D84" i="78" s="1"/>
  <c r="D88" i="65"/>
  <c r="C66" i="78" s="1"/>
  <c r="G88" i="65"/>
  <c r="F66" i="78" s="1"/>
  <c r="F84" i="78" s="1"/>
  <c r="E105" i="65"/>
  <c r="D105" i="65"/>
  <c r="G105" i="65"/>
  <c r="H76" i="65"/>
  <c r="H88" i="65"/>
  <c r="G66" i="78" s="1"/>
  <c r="G84" i="78" s="1"/>
  <c r="F89" i="65" l="1"/>
  <c r="E67" i="78" s="1"/>
  <c r="F91" i="65"/>
  <c r="I111" i="65"/>
  <c r="H74" i="78" s="1"/>
  <c r="H73" i="78"/>
  <c r="E114" i="65"/>
  <c r="D73" i="78"/>
  <c r="H114" i="65"/>
  <c r="G73" i="78"/>
  <c r="G129" i="1"/>
  <c r="G40" i="2" s="1"/>
  <c r="G114" i="65"/>
  <c r="F73" i="78"/>
  <c r="D114" i="65"/>
  <c r="C73" i="78"/>
  <c r="I112" i="65"/>
  <c r="F37" i="17"/>
  <c r="G90" i="65"/>
  <c r="F68" i="78" s="1"/>
  <c r="G41" i="2"/>
  <c r="E129" i="1"/>
  <c r="D90" i="65"/>
  <c r="C68" i="78" s="1"/>
  <c r="H37" i="17"/>
  <c r="I90" i="65"/>
  <c r="H68" i="78" s="1"/>
  <c r="G37" i="17"/>
  <c r="H90" i="65"/>
  <c r="G68" i="78" s="1"/>
  <c r="E89" i="65"/>
  <c r="D67" i="78" s="1"/>
  <c r="E90" i="65"/>
  <c r="D68" i="78" s="1"/>
  <c r="E37" i="17"/>
  <c r="F90" i="65"/>
  <c r="E68" i="78" s="1"/>
  <c r="I91" i="65"/>
  <c r="H112" i="65"/>
  <c r="H111" i="65"/>
  <c r="G74" i="78" s="1"/>
  <c r="H43" i="17"/>
  <c r="G43" i="17"/>
  <c r="I114" i="65"/>
  <c r="J129" i="1"/>
  <c r="I89" i="65"/>
  <c r="H67" i="78" s="1"/>
  <c r="F112" i="65"/>
  <c r="F114" i="65"/>
  <c r="F111" i="65"/>
  <c r="E74" i="78" s="1"/>
  <c r="D91" i="65"/>
  <c r="E91" i="65"/>
  <c r="D37" i="17"/>
  <c r="F129" i="1"/>
  <c r="D89" i="65"/>
  <c r="C67" i="78" s="1"/>
  <c r="D43" i="17"/>
  <c r="F43" i="17"/>
  <c r="G89" i="65"/>
  <c r="F67" i="78" s="1"/>
  <c r="H129" i="1"/>
  <c r="G91" i="65"/>
  <c r="I129" i="1"/>
  <c r="H89" i="65"/>
  <c r="G67" i="78" s="1"/>
  <c r="H91" i="65"/>
  <c r="G111" i="65"/>
  <c r="F74" i="78" s="1"/>
  <c r="G112" i="65"/>
  <c r="D111" i="65"/>
  <c r="C74" i="78" s="1"/>
  <c r="D112" i="65"/>
  <c r="E111" i="65"/>
  <c r="D74" i="78" s="1"/>
  <c r="E112" i="65"/>
  <c r="AD37" i="78" l="1"/>
  <c r="AD38" i="78"/>
  <c r="I40" i="2"/>
  <c r="I41" i="2"/>
  <c r="H40" i="2"/>
  <c r="S40" i="2" s="1"/>
  <c r="H41" i="2"/>
  <c r="S41" i="2" s="1"/>
  <c r="F41" i="2"/>
  <c r="R41" i="2" s="1"/>
  <c r="F40" i="2"/>
  <c r="J41" i="2"/>
  <c r="J40" i="2"/>
  <c r="E40" i="2"/>
  <c r="AB37" i="78" s="1"/>
  <c r="E41" i="2"/>
  <c r="U41" i="2" l="1"/>
  <c r="AC37" i="78"/>
  <c r="Q40" i="2"/>
  <c r="AF38" i="78"/>
  <c r="T41" i="2"/>
  <c r="R40" i="2"/>
  <c r="AG37" i="78"/>
  <c r="U40" i="2"/>
  <c r="AC38" i="78"/>
  <c r="Q41" i="2"/>
  <c r="AF37" i="78"/>
  <c r="T40" i="2"/>
  <c r="AB38" i="78"/>
  <c r="AE38" i="78"/>
  <c r="AG38" i="78"/>
  <c r="AE37" i="78"/>
  <c r="AA67" i="53" l="1"/>
  <c r="AA90" i="53"/>
  <c r="AJ67" i="73" l="1"/>
  <c r="AA63" i="53"/>
  <c r="T85" i="67" s="1"/>
  <c r="T88" i="67" s="1"/>
  <c r="AJ90" i="73"/>
  <c r="T90" i="67"/>
  <c r="AI67" i="53"/>
  <c r="AJ90" i="53"/>
  <c r="U111" i="67" s="1"/>
  <c r="AI90" i="53"/>
  <c r="AL90" i="53"/>
  <c r="W111" i="67" s="1"/>
  <c r="AC67" i="53"/>
  <c r="AC63" i="53" s="1"/>
  <c r="AL67" i="53"/>
  <c r="AL63" i="53" s="1"/>
  <c r="AF67" i="53"/>
  <c r="AE67" i="53"/>
  <c r="AE63" i="53" s="1"/>
  <c r="AB67" i="53"/>
  <c r="AB63" i="53" s="1"/>
  <c r="AK67" i="53"/>
  <c r="AK63" i="53" s="1"/>
  <c r="AM67" i="53"/>
  <c r="AM63" i="53" s="1"/>
  <c r="AN67" i="53"/>
  <c r="AD90" i="53"/>
  <c r="W90" i="67" s="1"/>
  <c r="AE90" i="53"/>
  <c r="X90" i="67" s="1"/>
  <c r="AF90" i="53"/>
  <c r="Y90" i="67" s="1"/>
  <c r="AH67" i="53" l="1"/>
  <c r="AG67" i="53"/>
  <c r="AF63" i="53"/>
  <c r="Y85" i="67" s="1"/>
  <c r="AA85" i="67" s="1"/>
  <c r="AU67" i="73"/>
  <c r="AI63" i="53"/>
  <c r="AU63" i="73" s="1"/>
  <c r="AO67" i="53"/>
  <c r="AP67" i="53"/>
  <c r="AN63" i="53"/>
  <c r="Y106" i="67" s="1"/>
  <c r="AJ63" i="73"/>
  <c r="AA88" i="53"/>
  <c r="AJ88" i="73" s="1"/>
  <c r="AA90" i="67"/>
  <c r="AJ67" i="53"/>
  <c r="AJ63" i="53" s="1"/>
  <c r="AD67" i="53"/>
  <c r="AU90" i="73"/>
  <c r="T111" i="67"/>
  <c r="Z111" i="67" s="1"/>
  <c r="AN90" i="53"/>
  <c r="V106" i="67"/>
  <c r="AX67" i="73"/>
  <c r="AY67" i="73"/>
  <c r="AM67" i="73"/>
  <c r="AN67" i="73"/>
  <c r="AS90" i="73"/>
  <c r="AT90" i="73"/>
  <c r="AR90" i="73"/>
  <c r="AQ90" i="73"/>
  <c r="BE67" i="73"/>
  <c r="BD67" i="73"/>
  <c r="AB90" i="53"/>
  <c r="U90" i="67" s="1"/>
  <c r="Z90" i="67" s="1"/>
  <c r="X85" i="67"/>
  <c r="AR67" i="73"/>
  <c r="AQ67" i="73"/>
  <c r="AT67" i="73"/>
  <c r="AS67" i="73"/>
  <c r="AM90" i="53"/>
  <c r="X111" i="67" s="1"/>
  <c r="AZ90" i="73"/>
  <c r="BA90" i="73"/>
  <c r="U85" i="67"/>
  <c r="Z85" i="67" s="1"/>
  <c r="AL67" i="73"/>
  <c r="AK67" i="73"/>
  <c r="W106" i="67"/>
  <c r="BA67" i="73"/>
  <c r="AZ67" i="73"/>
  <c r="AP90" i="73"/>
  <c r="AO90" i="73"/>
  <c r="BB67" i="73"/>
  <c r="BC67" i="73"/>
  <c r="AK90" i="53"/>
  <c r="V111" i="67" s="1"/>
  <c r="AV90" i="73"/>
  <c r="AW90" i="73"/>
  <c r="X106" i="67"/>
  <c r="V85" i="67"/>
  <c r="AC90" i="53"/>
  <c r="V90" i="67" s="1"/>
  <c r="AH90" i="53"/>
  <c r="AG90" i="53"/>
  <c r="AI88" i="53" l="1"/>
  <c r="AI95" i="53" s="1"/>
  <c r="AU95" i="73" s="1"/>
  <c r="T106" i="67"/>
  <c r="T109" i="67" s="1"/>
  <c r="AW67" i="73"/>
  <c r="AP67" i="73"/>
  <c r="AD63" i="53"/>
  <c r="W85" i="67" s="1"/>
  <c r="AA91" i="53"/>
  <c r="AA93" i="53" s="1"/>
  <c r="AJ93" i="73" s="1"/>
  <c r="E133" i="1"/>
  <c r="E44" i="2" s="1"/>
  <c r="AB41" i="78" s="1"/>
  <c r="AA95" i="53"/>
  <c r="AJ95" i="73" s="1"/>
  <c r="AA106" i="67"/>
  <c r="AO67" i="73"/>
  <c r="U106" i="67"/>
  <c r="Z106" i="67" s="1"/>
  <c r="AW63" i="73"/>
  <c r="AV63" i="73"/>
  <c r="AV67" i="73"/>
  <c r="BD90" i="73"/>
  <c r="Y111" i="67"/>
  <c r="AA111" i="67" s="1"/>
  <c r="BE90" i="73"/>
  <c r="AP90" i="53"/>
  <c r="AO90" i="53"/>
  <c r="AJ92" i="73"/>
  <c r="AI91" i="53"/>
  <c r="AN90" i="73"/>
  <c r="AM90" i="73"/>
  <c r="AS63" i="73"/>
  <c r="AT63" i="73"/>
  <c r="AY90" i="73"/>
  <c r="AX90" i="73"/>
  <c r="AP63" i="53"/>
  <c r="BD63" i="73"/>
  <c r="BE63" i="73"/>
  <c r="BC63" i="73"/>
  <c r="BB63" i="73"/>
  <c r="BC90" i="73"/>
  <c r="BB90" i="73"/>
  <c r="AG63" i="53"/>
  <c r="AN63" i="73"/>
  <c r="AM63" i="73"/>
  <c r="AK63" i="73"/>
  <c r="AL63" i="73"/>
  <c r="AK90" i="73"/>
  <c r="AL90" i="73"/>
  <c r="AY63" i="73"/>
  <c r="AX63" i="73"/>
  <c r="AH63" i="53"/>
  <c r="AZ63" i="73"/>
  <c r="BA63" i="73"/>
  <c r="AR63" i="73"/>
  <c r="AQ63" i="73"/>
  <c r="AO63" i="53"/>
  <c r="X49" i="53"/>
  <c r="BB49" i="53" s="1"/>
  <c r="AU88" i="73" l="1"/>
  <c r="AJ91" i="73"/>
  <c r="AU92" i="73"/>
  <c r="AI93" i="53"/>
  <c r="AO63" i="73"/>
  <c r="AP63" i="73"/>
  <c r="AW92" i="53"/>
  <c r="AU91" i="73"/>
  <c r="BE92" i="53"/>
  <c r="AH49" i="73"/>
  <c r="AI49" i="73"/>
  <c r="Z49" i="53"/>
  <c r="Y49" i="53"/>
  <c r="AU93" i="73" l="1"/>
  <c r="T50" i="53"/>
  <c r="AX50" i="53" s="1"/>
  <c r="U50" i="53"/>
  <c r="AY50" i="53" s="1"/>
  <c r="V50" i="53"/>
  <c r="AZ50" i="53" s="1"/>
  <c r="X50" i="53"/>
  <c r="BB50" i="53" s="1"/>
  <c r="AY29" i="53" l="1"/>
  <c r="AY89" i="53"/>
  <c r="AZ29" i="53"/>
  <c r="AZ89" i="53"/>
  <c r="AX29" i="53"/>
  <c r="AX89" i="53"/>
  <c r="BB29" i="53"/>
  <c r="BB89" i="53"/>
  <c r="AH50" i="73"/>
  <c r="AI50" i="73"/>
  <c r="AD50" i="73"/>
  <c r="AE50" i="73"/>
  <c r="AB50" i="73"/>
  <c r="AC50" i="73"/>
  <c r="Z50" i="73"/>
  <c r="AA50" i="73"/>
  <c r="Y50" i="53"/>
  <c r="Z50" i="53"/>
  <c r="C67" i="53" l="1"/>
  <c r="Q17" i="79"/>
  <c r="Q24" i="79"/>
  <c r="Q23" i="79"/>
  <c r="Q22" i="79"/>
  <c r="Q29" i="79"/>
  <c r="Q20" i="79"/>
  <c r="Q21" i="79"/>
  <c r="Q28" i="79"/>
  <c r="Q27" i="79"/>
  <c r="Q19" i="79"/>
  <c r="Q26" i="79"/>
  <c r="Q18" i="79"/>
  <c r="Q25" i="79"/>
  <c r="Q30" i="79"/>
  <c r="G67" i="53"/>
  <c r="BG67" i="53" l="1"/>
  <c r="G63" i="53"/>
  <c r="C67" i="73"/>
  <c r="BC67" i="53"/>
  <c r="C63" i="53"/>
  <c r="K67" i="53"/>
  <c r="E67" i="53"/>
  <c r="S22" i="79"/>
  <c r="S30" i="79"/>
  <c r="S24" i="79"/>
  <c r="S21" i="79"/>
  <c r="S29" i="79"/>
  <c r="S18" i="79"/>
  <c r="S26" i="79"/>
  <c r="S23" i="79"/>
  <c r="S20" i="79"/>
  <c r="S28" i="79"/>
  <c r="S25" i="79"/>
  <c r="S19" i="79"/>
  <c r="S27" i="79"/>
  <c r="S17" i="79"/>
  <c r="U20" i="79"/>
  <c r="U28" i="79"/>
  <c r="U25" i="79"/>
  <c r="U22" i="79"/>
  <c r="U30" i="79"/>
  <c r="U19" i="79"/>
  <c r="U27" i="79"/>
  <c r="U29" i="79"/>
  <c r="U24" i="79"/>
  <c r="U21" i="79"/>
  <c r="U18" i="79"/>
  <c r="U26" i="79"/>
  <c r="U23" i="79"/>
  <c r="U17" i="79"/>
  <c r="F67" i="53"/>
  <c r="T25" i="79"/>
  <c r="T22" i="79"/>
  <c r="T19" i="79"/>
  <c r="T27" i="79"/>
  <c r="T24" i="79"/>
  <c r="T18" i="79"/>
  <c r="T26" i="79"/>
  <c r="T21" i="79"/>
  <c r="T29" i="79"/>
  <c r="T23" i="79"/>
  <c r="T20" i="79"/>
  <c r="T28" i="79"/>
  <c r="T30" i="79"/>
  <c r="T17" i="79"/>
  <c r="H67" i="53"/>
  <c r="V23" i="79"/>
  <c r="X23" i="79" s="1"/>
  <c r="V20" i="79"/>
  <c r="X20" i="79" s="1"/>
  <c r="V28" i="79"/>
  <c r="X28" i="79" s="1"/>
  <c r="V25" i="79"/>
  <c r="X25" i="79" s="1"/>
  <c r="V22" i="79"/>
  <c r="X22" i="79" s="1"/>
  <c r="V30" i="79"/>
  <c r="X30" i="79" s="1"/>
  <c r="V19" i="79"/>
  <c r="X19" i="79" s="1"/>
  <c r="V27" i="79"/>
  <c r="X27" i="79" s="1"/>
  <c r="V24" i="79"/>
  <c r="X24" i="79" s="1"/>
  <c r="V21" i="79"/>
  <c r="X21" i="79" s="1"/>
  <c r="V29" i="79"/>
  <c r="X29" i="79" s="1"/>
  <c r="V18" i="79"/>
  <c r="X18" i="79" s="1"/>
  <c r="V26" i="79"/>
  <c r="X26" i="79" s="1"/>
  <c r="X10" i="79"/>
  <c r="V17" i="79"/>
  <c r="X17" i="79" s="1"/>
  <c r="D67" i="53"/>
  <c r="R27" i="79"/>
  <c r="W27" i="79" s="1"/>
  <c r="R24" i="79"/>
  <c r="W24" i="79" s="1"/>
  <c r="R21" i="79"/>
  <c r="W21" i="79" s="1"/>
  <c r="R29" i="79"/>
  <c r="W29" i="79" s="1"/>
  <c r="R18" i="79"/>
  <c r="W18" i="79" s="1"/>
  <c r="R26" i="79"/>
  <c r="W26" i="79" s="1"/>
  <c r="W10" i="79"/>
  <c r="R23" i="79"/>
  <c r="W23" i="79" s="1"/>
  <c r="R20" i="79"/>
  <c r="W20" i="79" s="1"/>
  <c r="R28" i="79"/>
  <c r="W28" i="79" s="1"/>
  <c r="R25" i="79"/>
  <c r="W25" i="79" s="1"/>
  <c r="R22" i="79"/>
  <c r="W22" i="79" s="1"/>
  <c r="R30" i="79"/>
  <c r="W30" i="79" s="1"/>
  <c r="R19" i="79"/>
  <c r="W19" i="79" s="1"/>
  <c r="R17" i="79"/>
  <c r="W17" i="79" s="1"/>
  <c r="K90" i="53"/>
  <c r="T41" i="67" s="1"/>
  <c r="K67" i="73"/>
  <c r="J67" i="73"/>
  <c r="C90" i="53"/>
  <c r="BC90" i="53"/>
  <c r="O67" i="53"/>
  <c r="O63" i="53" s="1"/>
  <c r="L67" i="53"/>
  <c r="L63" i="53" s="1"/>
  <c r="P67" i="53"/>
  <c r="M67" i="53"/>
  <c r="M63" i="53" s="1"/>
  <c r="N67" i="53"/>
  <c r="N63" i="53" s="1"/>
  <c r="R35" i="2"/>
  <c r="S35" i="2"/>
  <c r="T35" i="2"/>
  <c r="E97" i="1"/>
  <c r="E34" i="2" s="1"/>
  <c r="AB29" i="78" s="1"/>
  <c r="Q67" i="53" l="1"/>
  <c r="R67" i="53"/>
  <c r="P63" i="53"/>
  <c r="N67" i="73"/>
  <c r="K63" i="53"/>
  <c r="BF67" i="53"/>
  <c r="F63" i="53"/>
  <c r="E67" i="73"/>
  <c r="BD67" i="53"/>
  <c r="BD63" i="53" s="1"/>
  <c r="D63" i="53"/>
  <c r="L67" i="73"/>
  <c r="BH67" i="53"/>
  <c r="H63" i="53"/>
  <c r="F67" i="73"/>
  <c r="BE67" i="53"/>
  <c r="E63" i="53"/>
  <c r="G67" i="73"/>
  <c r="D67" i="73"/>
  <c r="C101" i="53"/>
  <c r="C112" i="53" s="1"/>
  <c r="T20" i="67"/>
  <c r="M67" i="73"/>
  <c r="AT47" i="60"/>
  <c r="J67" i="53"/>
  <c r="H67" i="73"/>
  <c r="I67" i="73"/>
  <c r="I67" i="53"/>
  <c r="F97" i="1"/>
  <c r="F34" i="2" s="1"/>
  <c r="AC29" i="78" s="1"/>
  <c r="V35" i="2"/>
  <c r="U35" i="2"/>
  <c r="Q35" i="2"/>
  <c r="R67" i="73"/>
  <c r="Q67" i="73"/>
  <c r="O67" i="73"/>
  <c r="P67" i="73"/>
  <c r="G90" i="53"/>
  <c r="X20" i="67" s="1"/>
  <c r="F90" i="53"/>
  <c r="W20" i="67" s="1"/>
  <c r="M90" i="53"/>
  <c r="V41" i="67" s="1"/>
  <c r="L90" i="53"/>
  <c r="U41" i="67" s="1"/>
  <c r="Z41" i="67" s="1"/>
  <c r="T67" i="73"/>
  <c r="S67" i="73"/>
  <c r="W67" i="73"/>
  <c r="X67" i="73"/>
  <c r="V67" i="73"/>
  <c r="U67" i="73"/>
  <c r="N90" i="53"/>
  <c r="W41" i="67" s="1"/>
  <c r="O90" i="53"/>
  <c r="X41" i="67" s="1"/>
  <c r="D90" i="53"/>
  <c r="U20" i="67" s="1"/>
  <c r="E90" i="53"/>
  <c r="V20" i="67" s="1"/>
  <c r="K101" i="53"/>
  <c r="K112" i="53" s="1"/>
  <c r="N90" i="73"/>
  <c r="BC63" i="53"/>
  <c r="C90" i="73"/>
  <c r="BE90" i="53"/>
  <c r="BG63" i="53"/>
  <c r="P90" i="53"/>
  <c r="Y41" i="67" s="1"/>
  <c r="AA41" i="67" s="1"/>
  <c r="BF90" i="53" l="1"/>
  <c r="Z20" i="67"/>
  <c r="BH90" i="53"/>
  <c r="J68" i="53"/>
  <c r="H90" i="53"/>
  <c r="L90" i="73" s="1"/>
  <c r="I68" i="53"/>
  <c r="BD90" i="53"/>
  <c r="F101" i="53"/>
  <c r="I90" i="73"/>
  <c r="H90" i="73"/>
  <c r="O101" i="53"/>
  <c r="O112" i="53" s="1"/>
  <c r="V90" i="73"/>
  <c r="U90" i="73"/>
  <c r="D101" i="53"/>
  <c r="E90" i="73"/>
  <c r="D90" i="73"/>
  <c r="N101" i="53"/>
  <c r="N112" i="53" s="1"/>
  <c r="S90" i="73"/>
  <c r="T90" i="73"/>
  <c r="M101" i="53"/>
  <c r="M112" i="53" s="1"/>
  <c r="R90" i="73"/>
  <c r="Q90" i="73"/>
  <c r="W90" i="73"/>
  <c r="X90" i="73"/>
  <c r="E101" i="53"/>
  <c r="G90" i="73"/>
  <c r="F90" i="73"/>
  <c r="L101" i="53"/>
  <c r="L112" i="53" s="1"/>
  <c r="P90" i="73"/>
  <c r="O90" i="73"/>
  <c r="G101" i="53"/>
  <c r="K90" i="73"/>
  <c r="J90" i="73"/>
  <c r="BE63" i="53"/>
  <c r="BG90" i="53"/>
  <c r="P101" i="53"/>
  <c r="P112" i="53" s="1"/>
  <c r="Q90" i="53"/>
  <c r="R90" i="53"/>
  <c r="BH63" i="53" l="1"/>
  <c r="I90" i="53"/>
  <c r="Y20" i="67"/>
  <c r="BF63" i="53"/>
  <c r="H101" i="53"/>
  <c r="J90" i="53"/>
  <c r="M90" i="73"/>
  <c r="D104" i="53"/>
  <c r="D112" i="53" s="1"/>
  <c r="E104" i="53"/>
  <c r="E112" i="53" s="1"/>
  <c r="AA20" i="67" l="1"/>
  <c r="F104" i="53"/>
  <c r="F112" i="53" s="1"/>
  <c r="G104" i="53" l="1"/>
  <c r="G112" i="53" s="1"/>
  <c r="H104" i="53" l="1"/>
  <c r="H112" i="53" s="1"/>
  <c r="C35" i="78" l="1"/>
  <c r="D17" i="39" l="1"/>
  <c r="AA4" i="79"/>
  <c r="D35" i="78"/>
  <c r="C17" i="39"/>
  <c r="S13" i="2"/>
  <c r="R13" i="2"/>
  <c r="Q13" i="2"/>
  <c r="T13" i="2" l="1"/>
  <c r="V13" i="2" l="1"/>
  <c r="U13" i="2"/>
  <c r="F19" i="58"/>
  <c r="D19" i="58"/>
  <c r="J14" i="58"/>
  <c r="J38" i="58" s="1"/>
  <c r="J41" i="58" s="1"/>
  <c r="I14" i="58"/>
  <c r="H14" i="58"/>
  <c r="G14" i="58"/>
  <c r="F14" i="58"/>
  <c r="D14" i="58"/>
  <c r="D39" i="58" l="1"/>
  <c r="C78" i="78"/>
  <c r="G38" i="58"/>
  <c r="F79" i="78"/>
  <c r="H38" i="58"/>
  <c r="G79" i="78"/>
  <c r="F39" i="58"/>
  <c r="F42" i="58" s="1"/>
  <c r="E85" i="78" s="1"/>
  <c r="E78" i="78"/>
  <c r="D38" i="58"/>
  <c r="C86" i="78" s="1"/>
  <c r="C79" i="78"/>
  <c r="I38" i="58"/>
  <c r="H79" i="78"/>
  <c r="F38" i="58"/>
  <c r="E86" i="78" s="1"/>
  <c r="E79" i="78"/>
  <c r="L7" i="2"/>
  <c r="F41" i="58" l="1"/>
  <c r="F40" i="58" s="1"/>
  <c r="D37" i="58"/>
  <c r="D41" i="58"/>
  <c r="C87" i="78" s="1"/>
  <c r="I41" i="58"/>
  <c r="H87" i="78" s="1"/>
  <c r="H86" i="78"/>
  <c r="G41" i="58"/>
  <c r="F87" i="78" s="1"/>
  <c r="F86" i="78"/>
  <c r="C80" i="78"/>
  <c r="H41" i="58"/>
  <c r="G87" i="78" s="1"/>
  <c r="G86" i="78"/>
  <c r="D42" i="58"/>
  <c r="C85" i="78" s="1"/>
  <c r="C84" i="78"/>
  <c r="F37" i="58"/>
  <c r="E80" i="78"/>
  <c r="E9" i="65"/>
  <c r="F9" i="65"/>
  <c r="G9" i="65"/>
  <c r="H9" i="65"/>
  <c r="I9" i="65"/>
  <c r="D9" i="65"/>
  <c r="E87" i="78" l="1"/>
  <c r="G32" i="78"/>
  <c r="D40" i="58"/>
  <c r="F32" i="78"/>
  <c r="H32" i="78"/>
  <c r="C32" i="78"/>
  <c r="E32" i="78"/>
  <c r="D32" i="78"/>
  <c r="C16" i="39"/>
  <c r="L7" i="78" s="1"/>
  <c r="D34" i="65"/>
  <c r="C43" i="78" s="1"/>
  <c r="D21" i="65"/>
  <c r="C36" i="78" s="1"/>
  <c r="H16" i="39"/>
  <c r="Q7" i="78" s="1"/>
  <c r="I21" i="65"/>
  <c r="H36" i="78" s="1"/>
  <c r="G16" i="39"/>
  <c r="P7" i="78" s="1"/>
  <c r="H21" i="65"/>
  <c r="G36" i="78" s="1"/>
  <c r="F16" i="39"/>
  <c r="O7" i="78" s="1"/>
  <c r="G21" i="65"/>
  <c r="F36" i="78" s="1"/>
  <c r="E16" i="39"/>
  <c r="N7" i="78" s="1"/>
  <c r="F21" i="65"/>
  <c r="E36" i="78" s="1"/>
  <c r="D16" i="39"/>
  <c r="M7" i="78" s="1"/>
  <c r="E21" i="65"/>
  <c r="D36" i="78" s="1"/>
  <c r="G106" i="53"/>
  <c r="F106" i="53"/>
  <c r="E106" i="53"/>
  <c r="C28" i="5"/>
  <c r="C106" i="53"/>
  <c r="H106" i="53"/>
  <c r="D106" i="53"/>
  <c r="E34" i="1" l="1"/>
  <c r="F34" i="1"/>
  <c r="F71" i="1" l="1"/>
  <c r="G71" i="1"/>
  <c r="H71" i="1"/>
  <c r="I71" i="1"/>
  <c r="J71" i="1"/>
  <c r="E71" i="1"/>
  <c r="D29" i="17" l="1"/>
  <c r="E29" i="17"/>
  <c r="F29" i="17"/>
  <c r="G29" i="17"/>
  <c r="H29" i="17"/>
  <c r="D30" i="17"/>
  <c r="E30" i="17"/>
  <c r="F30" i="17"/>
  <c r="G30" i="17"/>
  <c r="H30" i="17"/>
  <c r="D31" i="17"/>
  <c r="E31" i="17"/>
  <c r="F31" i="17"/>
  <c r="G31" i="17"/>
  <c r="H31" i="17"/>
  <c r="T67" i="53" l="1"/>
  <c r="G8" i="1"/>
  <c r="G98" i="1"/>
  <c r="H98" i="1"/>
  <c r="I98" i="1"/>
  <c r="J98" i="1"/>
  <c r="T63" i="53" l="1"/>
  <c r="AX67" i="53"/>
  <c r="V67" i="53"/>
  <c r="W67" i="53"/>
  <c r="U67" i="53"/>
  <c r="X67" i="53"/>
  <c r="AP47" i="60"/>
  <c r="AN47" i="60"/>
  <c r="V90" i="53"/>
  <c r="W62" i="67" s="1"/>
  <c r="W131" i="67" s="1"/>
  <c r="W90" i="53"/>
  <c r="X62" i="67" s="1"/>
  <c r="X131" i="67" s="1"/>
  <c r="J8" i="1"/>
  <c r="P8" i="1" s="1"/>
  <c r="R8" i="1" s="1"/>
  <c r="I8" i="1"/>
  <c r="O8" i="1" s="1"/>
  <c r="H8" i="1"/>
  <c r="N8" i="1" s="1"/>
  <c r="M8" i="1"/>
  <c r="F8" i="1"/>
  <c r="L8" i="1" s="1"/>
  <c r="E8" i="1"/>
  <c r="K8" i="1" s="1"/>
  <c r="Q8" i="1" s="1"/>
  <c r="W63" i="53" l="1"/>
  <c r="BA67" i="53"/>
  <c r="BA63" i="53" s="1"/>
  <c r="X63" i="53"/>
  <c r="BB67" i="53"/>
  <c r="V63" i="53"/>
  <c r="AZ67" i="53"/>
  <c r="AZ63" i="53" s="1"/>
  <c r="U63" i="53"/>
  <c r="AY67" i="53"/>
  <c r="AY63" i="53" s="1"/>
  <c r="AO47" i="60"/>
  <c r="AM47" i="60"/>
  <c r="S67" i="53"/>
  <c r="Y67" i="53" s="1"/>
  <c r="V101" i="53"/>
  <c r="V112" i="53" s="1"/>
  <c r="BB90" i="53"/>
  <c r="T90" i="53"/>
  <c r="U62" i="67" s="1"/>
  <c r="W101" i="53"/>
  <c r="W112" i="53" s="1"/>
  <c r="AW90" i="53"/>
  <c r="U90" i="53"/>
  <c r="V62" i="67" s="1"/>
  <c r="V131" i="67" s="1"/>
  <c r="AU47" i="60"/>
  <c r="AR47" i="60"/>
  <c r="AQ47" i="60"/>
  <c r="S90" i="53"/>
  <c r="X90" i="53"/>
  <c r="Y62" i="67" s="1"/>
  <c r="AX90" i="53"/>
  <c r="BA90" i="53"/>
  <c r="AZ90" i="53"/>
  <c r="AY90" i="53"/>
  <c r="AS47" i="60" l="1"/>
  <c r="Z67" i="53"/>
  <c r="AC67" i="73"/>
  <c r="S63" i="53"/>
  <c r="AW67" i="53"/>
  <c r="AW63" i="53" s="1"/>
  <c r="Y131" i="67"/>
  <c r="AE90" i="73"/>
  <c r="T62" i="67"/>
  <c r="T131" i="67" s="1"/>
  <c r="U131" i="67"/>
  <c r="Y90" i="53"/>
  <c r="AE67" i="73"/>
  <c r="AF67" i="73"/>
  <c r="AF90" i="73"/>
  <c r="AH67" i="73"/>
  <c r="BB63" i="53"/>
  <c r="Y67" i="73"/>
  <c r="U101" i="53"/>
  <c r="U112" i="53" s="1"/>
  <c r="AC90" i="73"/>
  <c r="AB90" i="73"/>
  <c r="AG67" i="73"/>
  <c r="AD67" i="73"/>
  <c r="AA67" i="73"/>
  <c r="X101" i="53"/>
  <c r="X112" i="53" s="1"/>
  <c r="AI90" i="73"/>
  <c r="AH90" i="73"/>
  <c r="AG90" i="73"/>
  <c r="Z67" i="73"/>
  <c r="S101" i="53"/>
  <c r="S112" i="53" s="1"/>
  <c r="Y90" i="73"/>
  <c r="AB67" i="73"/>
  <c r="AI67" i="73"/>
  <c r="T101" i="53"/>
  <c r="T112" i="53" s="1"/>
  <c r="Z90" i="73"/>
  <c r="AA90" i="73"/>
  <c r="AD90" i="73"/>
  <c r="AX63" i="53"/>
  <c r="Z90" i="53"/>
  <c r="C16" i="16"/>
  <c r="AK25" i="79" s="1"/>
  <c r="Z131" i="67" l="1"/>
  <c r="AA131" i="67"/>
  <c r="Z62" i="67"/>
  <c r="AA62" i="67"/>
  <c r="F27" i="58"/>
  <c r="G27" i="58"/>
  <c r="H27" i="58"/>
  <c r="I27" i="58"/>
  <c r="J27" i="58"/>
  <c r="D27" i="58"/>
  <c r="H7" i="22" l="1"/>
  <c r="G7" i="22"/>
  <c r="F7" i="22"/>
  <c r="E7" i="22"/>
  <c r="D7" i="22"/>
  <c r="G9" i="49"/>
  <c r="F9" i="49"/>
  <c r="E9" i="49"/>
  <c r="D9" i="49"/>
  <c r="C9" i="49"/>
  <c r="J7" i="58"/>
  <c r="I7" i="58"/>
  <c r="H7" i="58"/>
  <c r="G7" i="58"/>
  <c r="F7" i="58"/>
  <c r="D7" i="58"/>
  <c r="I7" i="65" l="1"/>
  <c r="H7" i="65"/>
  <c r="G7" i="65"/>
  <c r="F7" i="65"/>
  <c r="E7" i="65"/>
  <c r="D7" i="65"/>
  <c r="E20" i="17"/>
  <c r="F20" i="17"/>
  <c r="G20" i="17"/>
  <c r="H20" i="17"/>
  <c r="D20" i="17"/>
  <c r="D19" i="17"/>
  <c r="E19" i="17"/>
  <c r="F19" i="17"/>
  <c r="G19" i="17"/>
  <c r="H19" i="17"/>
  <c r="H27" i="17"/>
  <c r="G27" i="17"/>
  <c r="F27" i="17"/>
  <c r="E27" i="17"/>
  <c r="D27" i="17"/>
  <c r="I37" i="65"/>
  <c r="H37" i="65"/>
  <c r="G37" i="65"/>
  <c r="F37" i="65"/>
  <c r="E37" i="65"/>
  <c r="D37" i="65"/>
  <c r="I33" i="65"/>
  <c r="H33" i="65"/>
  <c r="G33" i="65"/>
  <c r="F33" i="65"/>
  <c r="E33" i="65"/>
  <c r="I26" i="65"/>
  <c r="H26" i="65"/>
  <c r="G26" i="65"/>
  <c r="F26" i="65"/>
  <c r="E26" i="65"/>
  <c r="D26" i="65"/>
  <c r="F34" i="65" l="1"/>
  <c r="E43" i="78" s="1"/>
  <c r="E42" i="78"/>
  <c r="H38" i="65"/>
  <c r="G45" i="78" s="1"/>
  <c r="G44" i="78"/>
  <c r="H27" i="65"/>
  <c r="G38" i="78" s="1"/>
  <c r="G37" i="78"/>
  <c r="E38" i="65"/>
  <c r="D45" i="78" s="1"/>
  <c r="D44" i="78"/>
  <c r="E34" i="65"/>
  <c r="D43" i="78" s="1"/>
  <c r="D42" i="78"/>
  <c r="I34" i="65"/>
  <c r="H43" i="78" s="1"/>
  <c r="H42" i="78"/>
  <c r="G38" i="65"/>
  <c r="F45" i="78" s="1"/>
  <c r="F44" i="78"/>
  <c r="G27" i="65"/>
  <c r="F38" i="78" s="1"/>
  <c r="F37" i="78"/>
  <c r="G34" i="65"/>
  <c r="F43" i="78" s="1"/>
  <c r="F42" i="78"/>
  <c r="I38" i="65"/>
  <c r="H45" i="78" s="1"/>
  <c r="H44" i="78"/>
  <c r="E27" i="65"/>
  <c r="D38" i="78" s="1"/>
  <c r="D37" i="78"/>
  <c r="I27" i="65"/>
  <c r="H38" i="78" s="1"/>
  <c r="H37" i="78"/>
  <c r="H34" i="65"/>
  <c r="G43" i="78" s="1"/>
  <c r="G42" i="78"/>
  <c r="F38" i="65"/>
  <c r="E45" i="78" s="1"/>
  <c r="E44" i="78"/>
  <c r="D27" i="65"/>
  <c r="C38" i="78" s="1"/>
  <c r="C37" i="78"/>
  <c r="F27" i="65"/>
  <c r="E38" i="78" s="1"/>
  <c r="E37" i="78"/>
  <c r="D38" i="65"/>
  <c r="C45" i="78" s="1"/>
  <c r="C44" i="78"/>
  <c r="F57" i="65"/>
  <c r="G57" i="65"/>
  <c r="H57" i="65"/>
  <c r="I57" i="65"/>
  <c r="J40" i="74"/>
  <c r="H40" i="74"/>
  <c r="I40" i="74"/>
  <c r="K40" i="74"/>
  <c r="D28" i="17"/>
  <c r="E53" i="65"/>
  <c r="H28" i="17"/>
  <c r="I53" i="65"/>
  <c r="E28" i="17"/>
  <c r="F53" i="65"/>
  <c r="F28" i="17"/>
  <c r="G53" i="65"/>
  <c r="G28" i="17"/>
  <c r="H53" i="65"/>
  <c r="E30" i="65"/>
  <c r="D39" i="78" s="1"/>
  <c r="D30" i="65"/>
  <c r="C39" i="78" s="1"/>
  <c r="I48" i="65"/>
  <c r="L130" i="41" s="1"/>
  <c r="L147" i="41" s="1"/>
  <c r="E48" i="65"/>
  <c r="F48" i="65"/>
  <c r="I30" i="65"/>
  <c r="H39" i="78" s="1"/>
  <c r="G30" i="65"/>
  <c r="F39" i="78" s="1"/>
  <c r="D53" i="65"/>
  <c r="D48" i="65"/>
  <c r="G48" i="65"/>
  <c r="J130" i="41" s="1"/>
  <c r="J147" i="41" s="1"/>
  <c r="H48" i="65"/>
  <c r="H30" i="65"/>
  <c r="G39" i="78" s="1"/>
  <c r="F30" i="65"/>
  <c r="E39" i="78" s="1"/>
  <c r="F130" i="41" l="1"/>
  <c r="F147" i="41" s="1"/>
  <c r="I130" i="41"/>
  <c r="Q130" i="41" s="1"/>
  <c r="Q147" i="41" s="1"/>
  <c r="K130" i="41"/>
  <c r="K147" i="41" s="1"/>
  <c r="J131" i="41"/>
  <c r="F50" i="78"/>
  <c r="J132" i="41"/>
  <c r="J149" i="41" s="1"/>
  <c r="F55" i="78"/>
  <c r="L132" i="41"/>
  <c r="L149" i="41" s="1"/>
  <c r="H55" i="78"/>
  <c r="F132" i="41"/>
  <c r="F149" i="41" s="1"/>
  <c r="C55" i="78"/>
  <c r="K132" i="41"/>
  <c r="K149" i="41" s="1"/>
  <c r="G55" i="78"/>
  <c r="I132" i="41"/>
  <c r="I149" i="41" s="1"/>
  <c r="E55" i="78"/>
  <c r="K131" i="41"/>
  <c r="G50" i="78"/>
  <c r="L131" i="41"/>
  <c r="H50" i="78"/>
  <c r="F131" i="41"/>
  <c r="F148" i="41" s="1"/>
  <c r="C50" i="78"/>
  <c r="I131" i="41"/>
  <c r="E50" i="78"/>
  <c r="H132" i="41"/>
  <c r="H149" i="41" s="1"/>
  <c r="D55" i="78"/>
  <c r="H131" i="41"/>
  <c r="D50" i="78"/>
  <c r="H130" i="41"/>
  <c r="H147" i="41" s="1"/>
  <c r="E28" i="39"/>
  <c r="F49" i="65"/>
  <c r="E51" i="78" s="1"/>
  <c r="F28" i="39"/>
  <c r="G49" i="65"/>
  <c r="F51" i="78" s="1"/>
  <c r="I32" i="65"/>
  <c r="H41" i="78" s="1"/>
  <c r="I31" i="65"/>
  <c r="H40" i="78" s="1"/>
  <c r="D32" i="65"/>
  <c r="C41" i="78" s="1"/>
  <c r="D31" i="65"/>
  <c r="C40" i="78" s="1"/>
  <c r="F40" i="39"/>
  <c r="G54" i="65"/>
  <c r="F56" i="78" s="1"/>
  <c r="H40" i="39"/>
  <c r="I54" i="65"/>
  <c r="H56" i="78" s="1"/>
  <c r="F32" i="65"/>
  <c r="E41" i="78" s="1"/>
  <c r="F31" i="65"/>
  <c r="E40" i="78" s="1"/>
  <c r="C28" i="39"/>
  <c r="D49" i="65"/>
  <c r="C51" i="78" s="1"/>
  <c r="C40" i="39"/>
  <c r="D54" i="65"/>
  <c r="C56" i="78" s="1"/>
  <c r="D28" i="39"/>
  <c r="E49" i="65"/>
  <c r="D51" i="78" s="1"/>
  <c r="G40" i="39"/>
  <c r="H54" i="65"/>
  <c r="G56" i="78" s="1"/>
  <c r="E40" i="39"/>
  <c r="F54" i="65"/>
  <c r="E56" i="78" s="1"/>
  <c r="D40" i="39"/>
  <c r="E54" i="65"/>
  <c r="D56" i="78" s="1"/>
  <c r="H32" i="65"/>
  <c r="G41" i="78" s="1"/>
  <c r="H31" i="65"/>
  <c r="G40" i="78" s="1"/>
  <c r="G28" i="39"/>
  <c r="H49" i="65"/>
  <c r="G51" i="78" s="1"/>
  <c r="G32" i="65"/>
  <c r="F41" i="78" s="1"/>
  <c r="G31" i="65"/>
  <c r="F40" i="78" s="1"/>
  <c r="H28" i="39"/>
  <c r="I49" i="65"/>
  <c r="H51" i="78" s="1"/>
  <c r="E32" i="65"/>
  <c r="D41" i="78" s="1"/>
  <c r="E31" i="65"/>
  <c r="D40" i="78" s="1"/>
  <c r="C29" i="5"/>
  <c r="K107" i="53"/>
  <c r="C30" i="5"/>
  <c r="P107" i="53"/>
  <c r="O107" i="53"/>
  <c r="M107" i="53"/>
  <c r="N107" i="53"/>
  <c r="L107" i="53"/>
  <c r="I64" i="1"/>
  <c r="G64" i="1"/>
  <c r="J64" i="1"/>
  <c r="E64" i="1"/>
  <c r="H64" i="1"/>
  <c r="F64" i="1"/>
  <c r="D43" i="65"/>
  <c r="C46" i="78" s="1"/>
  <c r="G18" i="65"/>
  <c r="F18" i="65"/>
  <c r="H18" i="65"/>
  <c r="G43" i="65"/>
  <c r="F46" i="78" s="1"/>
  <c r="I43" i="65"/>
  <c r="H46" i="78" s="1"/>
  <c r="E43" i="65"/>
  <c r="D46" i="78" s="1"/>
  <c r="E18" i="65"/>
  <c r="H63" i="1"/>
  <c r="J63" i="1"/>
  <c r="I63" i="1"/>
  <c r="E63" i="1"/>
  <c r="F63" i="1"/>
  <c r="G63" i="1"/>
  <c r="I18" i="65"/>
  <c r="D18" i="65"/>
  <c r="H43" i="65"/>
  <c r="G46" i="78" s="1"/>
  <c r="F43" i="65"/>
  <c r="E46" i="78" s="1"/>
  <c r="AB130" i="41" l="1"/>
  <c r="AB147" i="41" s="1"/>
  <c r="U130" i="41"/>
  <c r="U147" i="41" s="1"/>
  <c r="I147" i="41"/>
  <c r="M147" i="41" s="1"/>
  <c r="G19" i="65"/>
  <c r="F34" i="78" s="1"/>
  <c r="F33" i="78"/>
  <c r="H19" i="65"/>
  <c r="G34" i="78" s="1"/>
  <c r="G33" i="78"/>
  <c r="I19" i="65"/>
  <c r="H34" i="78" s="1"/>
  <c r="H33" i="78"/>
  <c r="P135" i="41"/>
  <c r="P130" i="41"/>
  <c r="P147" i="41" s="1"/>
  <c r="W130" i="41"/>
  <c r="W147" i="41" s="1"/>
  <c r="H135" i="41"/>
  <c r="AD130" i="41"/>
  <c r="AD147" i="41" s="1"/>
  <c r="E19" i="65"/>
  <c r="D34" i="78" s="1"/>
  <c r="D33" i="78"/>
  <c r="D19" i="65"/>
  <c r="C34" i="78" s="1"/>
  <c r="C33" i="78"/>
  <c r="F19" i="65"/>
  <c r="E34" i="78" s="1"/>
  <c r="E33" i="78"/>
  <c r="D46" i="65"/>
  <c r="G129" i="74"/>
  <c r="G128" i="74"/>
  <c r="G12" i="17"/>
  <c r="H45" i="65"/>
  <c r="G48" i="78" s="1"/>
  <c r="H44" i="65"/>
  <c r="G47" i="78" s="1"/>
  <c r="F12" i="17"/>
  <c r="G45" i="65"/>
  <c r="F48" i="78" s="1"/>
  <c r="G44" i="65"/>
  <c r="F47" i="78" s="1"/>
  <c r="D45" i="65"/>
  <c r="C48" i="78" s="1"/>
  <c r="D44" i="65"/>
  <c r="C47" i="78" s="1"/>
  <c r="F45" i="65"/>
  <c r="E48" i="78" s="1"/>
  <c r="F44" i="65"/>
  <c r="E47" i="78" s="1"/>
  <c r="I45" i="65"/>
  <c r="H48" i="78" s="1"/>
  <c r="I44" i="65"/>
  <c r="H47" i="78" s="1"/>
  <c r="D12" i="17"/>
  <c r="E44" i="65"/>
  <c r="D47" i="78" s="1"/>
  <c r="E45" i="65"/>
  <c r="D48" i="78" s="1"/>
  <c r="I129" i="74"/>
  <c r="I128" i="74"/>
  <c r="J129" i="74"/>
  <c r="J128" i="74"/>
  <c r="H129" i="74"/>
  <c r="H128" i="74"/>
  <c r="K129" i="74"/>
  <c r="K128" i="74"/>
  <c r="E65" i="1"/>
  <c r="H65" i="1"/>
  <c r="H15" i="2" s="1"/>
  <c r="AE10" i="78" s="1"/>
  <c r="G46" i="65"/>
  <c r="E46" i="65"/>
  <c r="F46" i="65"/>
  <c r="E12" i="17"/>
  <c r="H12" i="17"/>
  <c r="J65" i="1"/>
  <c r="J14" i="2" s="1"/>
  <c r="AG9" i="78" s="1"/>
  <c r="I46" i="65"/>
  <c r="I65" i="1"/>
  <c r="I15" i="2" s="1"/>
  <c r="AF10" i="78" s="1"/>
  <c r="G65" i="1"/>
  <c r="G14" i="2" s="1"/>
  <c r="AD9" i="78" s="1"/>
  <c r="H46" i="65"/>
  <c r="F65" i="1"/>
  <c r="E14" i="2" l="1"/>
  <c r="AB9" i="78" s="1"/>
  <c r="E15" i="2"/>
  <c r="AB10" i="78" s="1"/>
  <c r="G15" i="2"/>
  <c r="I14" i="2"/>
  <c r="H14" i="2"/>
  <c r="J15" i="2"/>
  <c r="AG10" i="78" s="1"/>
  <c r="F14" i="2"/>
  <c r="F15" i="2"/>
  <c r="AC10" i="78" s="1"/>
  <c r="V14" i="2"/>
  <c r="W132" i="41"/>
  <c r="W149" i="41" s="1"/>
  <c r="AD137" i="41"/>
  <c r="AD142" i="41" s="1"/>
  <c r="P137" i="41"/>
  <c r="P142" i="41" s="1"/>
  <c r="W137" i="41"/>
  <c r="W142" i="41" s="1"/>
  <c r="J35" i="67"/>
  <c r="AD132" i="41"/>
  <c r="AD149" i="41" s="1"/>
  <c r="P132" i="41"/>
  <c r="H137" i="41"/>
  <c r="K129" i="41"/>
  <c r="S130" i="41"/>
  <c r="S147" i="41" s="1"/>
  <c r="AG135" i="41"/>
  <c r="AG140" i="41" s="1"/>
  <c r="AG130" i="41"/>
  <c r="AG147" i="41" s="1"/>
  <c r="Z135" i="41"/>
  <c r="Z140" i="41" s="1"/>
  <c r="M29" i="67"/>
  <c r="S135" i="41"/>
  <c r="S140" i="41" s="1"/>
  <c r="K135" i="41"/>
  <c r="K140" i="41" s="1"/>
  <c r="Z130" i="41"/>
  <c r="Z147" i="41" s="1"/>
  <c r="U137" i="41"/>
  <c r="U142" i="41" s="1"/>
  <c r="N137" i="41"/>
  <c r="N142" i="41" s="1"/>
  <c r="N132" i="41"/>
  <c r="AB137" i="41"/>
  <c r="AB142" i="41" s="1"/>
  <c r="AB132" i="41"/>
  <c r="AB149" i="41" s="1"/>
  <c r="U132" i="41"/>
  <c r="U149" i="41" s="1"/>
  <c r="Q10" i="7"/>
  <c r="F137" i="41"/>
  <c r="F142" i="41" s="1"/>
  <c r="H148" i="41"/>
  <c r="J32" i="67" s="1"/>
  <c r="AD131" i="41"/>
  <c r="AD148" i="41" s="1"/>
  <c r="W131" i="41"/>
  <c r="W148" i="41" s="1"/>
  <c r="AD136" i="41"/>
  <c r="AD141" i="41" s="1"/>
  <c r="W136" i="41"/>
  <c r="W141" i="41" s="1"/>
  <c r="P131" i="41"/>
  <c r="P148" i="41" s="1"/>
  <c r="L15" i="7" s="1"/>
  <c r="H136" i="41"/>
  <c r="P136" i="41"/>
  <c r="P141" i="41" s="1"/>
  <c r="AC137" i="41"/>
  <c r="AC142" i="41" s="1"/>
  <c r="V137" i="41"/>
  <c r="V142" i="41" s="1"/>
  <c r="R10" i="7"/>
  <c r="G137" i="41"/>
  <c r="G142" i="41" s="1"/>
  <c r="R15" i="7"/>
  <c r="O137" i="41"/>
  <c r="O142" i="41" s="1"/>
  <c r="AC136" i="41"/>
  <c r="AC141" i="41" s="1"/>
  <c r="V148" i="41"/>
  <c r="O148" i="41"/>
  <c r="K15" i="7" s="1"/>
  <c r="AC148" i="41"/>
  <c r="G148" i="41"/>
  <c r="K10" i="7" s="1"/>
  <c r="V136" i="41"/>
  <c r="V141" i="41" s="1"/>
  <c r="G136" i="41"/>
  <c r="G141" i="41" s="1"/>
  <c r="O136" i="41"/>
  <c r="O141" i="41" s="1"/>
  <c r="H129" i="41"/>
  <c r="AD135" i="41"/>
  <c r="AD140" i="41" s="1"/>
  <c r="J29" i="67"/>
  <c r="W135" i="41"/>
  <c r="W140" i="41" s="1"/>
  <c r="P140" i="41"/>
  <c r="F129" i="41"/>
  <c r="N130" i="41"/>
  <c r="N147" i="41" s="1"/>
  <c r="F135" i="41"/>
  <c r="F140" i="41" s="1"/>
  <c r="U135" i="41"/>
  <c r="U140" i="41" s="1"/>
  <c r="N135" i="41"/>
  <c r="N140" i="41" s="1"/>
  <c r="AB135" i="41"/>
  <c r="AB140" i="41" s="1"/>
  <c r="I129" i="41"/>
  <c r="X135" i="41"/>
  <c r="X140" i="41" s="1"/>
  <c r="X130" i="41"/>
  <c r="X147" i="41" s="1"/>
  <c r="AE135" i="41"/>
  <c r="AE140" i="41" s="1"/>
  <c r="K29" i="67"/>
  <c r="Q135" i="41"/>
  <c r="Q140" i="41" s="1"/>
  <c r="AE130" i="41"/>
  <c r="AE147" i="41" s="1"/>
  <c r="I135" i="41"/>
  <c r="I140" i="41" s="1"/>
  <c r="AH131" i="41"/>
  <c r="AH148" i="41" s="1"/>
  <c r="AA131" i="41"/>
  <c r="AA148" i="41" s="1"/>
  <c r="T131" i="41"/>
  <c r="T148" i="41" s="1"/>
  <c r="P15" i="7" s="1"/>
  <c r="T136" i="41"/>
  <c r="T141" i="41" s="1"/>
  <c r="L148" i="41"/>
  <c r="L136" i="41"/>
  <c r="L141" i="41" s="1"/>
  <c r="AH136" i="41"/>
  <c r="AH141" i="41" s="1"/>
  <c r="AA136" i="41"/>
  <c r="AA141" i="41" s="1"/>
  <c r="T130" i="41"/>
  <c r="T147" i="41" s="1"/>
  <c r="L129" i="41"/>
  <c r="AH135" i="41"/>
  <c r="AH140" i="41" s="1"/>
  <c r="T135" i="41"/>
  <c r="T140" i="41" s="1"/>
  <c r="AH130" i="41"/>
  <c r="AH147" i="41" s="1"/>
  <c r="AA135" i="41"/>
  <c r="AA140" i="41" s="1"/>
  <c r="AA130" i="41"/>
  <c r="AA147" i="41" s="1"/>
  <c r="N29" i="67"/>
  <c r="L135" i="41"/>
  <c r="L140" i="41" s="1"/>
  <c r="J129" i="41"/>
  <c r="Y130" i="41"/>
  <c r="Y147" i="41" s="1"/>
  <c r="R135" i="41"/>
  <c r="R140" i="41" s="1"/>
  <c r="J135" i="41"/>
  <c r="J140" i="41" s="1"/>
  <c r="L29" i="67"/>
  <c r="Y135" i="41"/>
  <c r="Y140" i="41" s="1"/>
  <c r="R130" i="41"/>
  <c r="R147" i="41" s="1"/>
  <c r="AF130" i="41"/>
  <c r="AF147" i="41" s="1"/>
  <c r="AF135" i="41"/>
  <c r="AF140" i="41" s="1"/>
  <c r="Q131" i="41"/>
  <c r="Q148" i="41" s="1"/>
  <c r="M15" i="7" s="1"/>
  <c r="Q136" i="41"/>
  <c r="Q141" i="41" s="1"/>
  <c r="I148" i="41"/>
  <c r="AE131" i="41"/>
  <c r="AE148" i="41" s="1"/>
  <c r="X131" i="41"/>
  <c r="X148" i="41" s="1"/>
  <c r="X136" i="41"/>
  <c r="X141" i="41" s="1"/>
  <c r="AE136" i="41"/>
  <c r="AE141" i="41" s="1"/>
  <c r="I136" i="41"/>
  <c r="I141" i="41" s="1"/>
  <c r="G129" i="41"/>
  <c r="V135" i="41"/>
  <c r="V140" i="41" s="1"/>
  <c r="AC140" i="41"/>
  <c r="G140" i="41"/>
  <c r="O140" i="41"/>
  <c r="K148" i="41"/>
  <c r="K136" i="41"/>
  <c r="K141" i="41" s="1"/>
  <c r="S131" i="41"/>
  <c r="S148" i="41" s="1"/>
  <c r="O15" i="7" s="1"/>
  <c r="Z131" i="41"/>
  <c r="Z148" i="41" s="1"/>
  <c r="AG136" i="41"/>
  <c r="AG141" i="41" s="1"/>
  <c r="Z136" i="41"/>
  <c r="Z141" i="41" s="1"/>
  <c r="S136" i="41"/>
  <c r="S141" i="41" s="1"/>
  <c r="AG131" i="41"/>
  <c r="AG148" i="41" s="1"/>
  <c r="Z132" i="41"/>
  <c r="Z149" i="41" s="1"/>
  <c r="S137" i="41"/>
  <c r="S142" i="41" s="1"/>
  <c r="S132" i="41"/>
  <c r="AG137" i="41"/>
  <c r="AG142" i="41" s="1"/>
  <c r="Z137" i="41"/>
  <c r="Z142" i="41" s="1"/>
  <c r="AG132" i="41"/>
  <c r="AG149" i="41" s="1"/>
  <c r="K137" i="41"/>
  <c r="K142" i="41" s="1"/>
  <c r="Y132" i="41"/>
  <c r="Y149" i="41" s="1"/>
  <c r="Y137" i="41"/>
  <c r="Y142" i="41" s="1"/>
  <c r="R137" i="41"/>
  <c r="R142" i="41" s="1"/>
  <c r="AF137" i="41"/>
  <c r="AF142" i="41" s="1"/>
  <c r="AF132" i="41"/>
  <c r="AF149" i="41" s="1"/>
  <c r="J137" i="41"/>
  <c r="J142" i="41" s="1"/>
  <c r="R132" i="41"/>
  <c r="U131" i="41"/>
  <c r="U148" i="41" s="1"/>
  <c r="J10" i="7"/>
  <c r="U136" i="41"/>
  <c r="U141" i="41" s="1"/>
  <c r="N131" i="41"/>
  <c r="N148" i="41" s="1"/>
  <c r="J15" i="7" s="1"/>
  <c r="F136" i="41"/>
  <c r="F141" i="41" s="1"/>
  <c r="AB131" i="41"/>
  <c r="AB148" i="41" s="1"/>
  <c r="N136" i="41"/>
  <c r="N141" i="41" s="1"/>
  <c r="AB136" i="41"/>
  <c r="AB141" i="41" s="1"/>
  <c r="T132" i="41"/>
  <c r="L137" i="41"/>
  <c r="L142" i="41" s="1"/>
  <c r="AA132" i="41"/>
  <c r="AA149" i="41" s="1"/>
  <c r="AH137" i="41"/>
  <c r="AH142" i="41" s="1"/>
  <c r="T137" i="41"/>
  <c r="T142" i="41" s="1"/>
  <c r="AH132" i="41"/>
  <c r="AH149" i="41" s="1"/>
  <c r="AA137" i="41"/>
  <c r="AA142" i="41" s="1"/>
  <c r="Y136" i="41"/>
  <c r="Y141" i="41" s="1"/>
  <c r="R136" i="41"/>
  <c r="R141" i="41" s="1"/>
  <c r="Y131" i="41"/>
  <c r="Y148" i="41" s="1"/>
  <c r="AF136" i="41"/>
  <c r="AF141" i="41" s="1"/>
  <c r="J148" i="41"/>
  <c r="J136" i="41"/>
  <c r="J141" i="41" s="1"/>
  <c r="AF131" i="41"/>
  <c r="AF148" i="41" s="1"/>
  <c r="R131" i="41"/>
  <c r="R148" i="41" s="1"/>
  <c r="N15" i="7" s="1"/>
  <c r="X137" i="41"/>
  <c r="X142" i="41" s="1"/>
  <c r="X132" i="41"/>
  <c r="X149" i="41" s="1"/>
  <c r="AE132" i="41"/>
  <c r="AE149" i="41" s="1"/>
  <c r="Q132" i="41"/>
  <c r="Q149" i="41" s="1"/>
  <c r="Q137" i="41"/>
  <c r="Q142" i="41" s="1"/>
  <c r="I137" i="41"/>
  <c r="I142" i="41" s="1"/>
  <c r="AE137" i="41"/>
  <c r="AE142" i="41" s="1"/>
  <c r="S154" i="41" l="1"/>
  <c r="O18" i="7" s="1"/>
  <c r="R149" i="41"/>
  <c r="U15" i="7" s="1"/>
  <c r="P149" i="41"/>
  <c r="S15" i="7" s="1"/>
  <c r="T149" i="41"/>
  <c r="W15" i="7" s="1"/>
  <c r="S149" i="41"/>
  <c r="V15" i="7" s="1"/>
  <c r="N149" i="41"/>
  <c r="Q15" i="7" s="1"/>
  <c r="Q27" i="7" s="1"/>
  <c r="AB154" i="41"/>
  <c r="U14" i="2"/>
  <c r="AF9" i="78"/>
  <c r="Q14" i="2"/>
  <c r="AC9" i="78"/>
  <c r="S14" i="2"/>
  <c r="AE9" i="78"/>
  <c r="S15" i="2"/>
  <c r="AD10" i="78"/>
  <c r="W10" i="7"/>
  <c r="N35" i="67"/>
  <c r="J44" i="67"/>
  <c r="O29" i="67"/>
  <c r="Q19" i="67" s="1"/>
  <c r="T10" i="7"/>
  <c r="K35" i="67"/>
  <c r="V10" i="7"/>
  <c r="M35" i="67"/>
  <c r="M10" i="7"/>
  <c r="K32" i="67"/>
  <c r="P10" i="7"/>
  <c r="N32" i="67"/>
  <c r="N10" i="7"/>
  <c r="L32" i="67"/>
  <c r="U10" i="7"/>
  <c r="L35" i="67"/>
  <c r="O10" i="7"/>
  <c r="M32" i="67"/>
  <c r="R14" i="2"/>
  <c r="Q15" i="2"/>
  <c r="T14" i="2"/>
  <c r="R15" i="2"/>
  <c r="T15" i="2"/>
  <c r="V15" i="2"/>
  <c r="U15" i="2"/>
  <c r="P16" i="7"/>
  <c r="J16" i="7"/>
  <c r="K16" i="7"/>
  <c r="R16" i="7"/>
  <c r="Q16" i="7"/>
  <c r="N155" i="41"/>
  <c r="Q18" i="7" s="1"/>
  <c r="Q29" i="7" s="1"/>
  <c r="U154" i="41"/>
  <c r="W60" i="7"/>
  <c r="AA155" i="41"/>
  <c r="J27" i="7"/>
  <c r="D71" i="7"/>
  <c r="AC139" i="41"/>
  <c r="AE129" i="41"/>
  <c r="X129" i="41"/>
  <c r="X153" i="41"/>
  <c r="E60" i="7"/>
  <c r="W139" i="41"/>
  <c r="I155" i="41"/>
  <c r="T9" i="7"/>
  <c r="N154" i="41"/>
  <c r="J18" i="7" s="1"/>
  <c r="J29" i="7" s="1"/>
  <c r="J155" i="41"/>
  <c r="U9" i="7"/>
  <c r="AC129" i="41"/>
  <c r="G10" i="7"/>
  <c r="J146" i="41"/>
  <c r="L98" i="67" s="1"/>
  <c r="C10" i="7"/>
  <c r="AL10" i="7" s="1"/>
  <c r="F146" i="41"/>
  <c r="N153" i="41"/>
  <c r="N129" i="41"/>
  <c r="E10" i="7"/>
  <c r="H146" i="41"/>
  <c r="J98" i="67" s="1"/>
  <c r="P153" i="41"/>
  <c r="P129" i="41"/>
  <c r="K71" i="7"/>
  <c r="AC154" i="41"/>
  <c r="R71" i="7"/>
  <c r="AC155" i="41"/>
  <c r="Q129" i="41"/>
  <c r="T15" i="7"/>
  <c r="T60" i="7"/>
  <c r="X155" i="41"/>
  <c r="N60" i="7"/>
  <c r="Y154" i="41"/>
  <c r="F154" i="41"/>
  <c r="J11" i="7" s="1"/>
  <c r="J9" i="7"/>
  <c r="U71" i="7"/>
  <c r="AF155" i="41"/>
  <c r="V60" i="7"/>
  <c r="Z155" i="41"/>
  <c r="V16" i="7"/>
  <c r="O71" i="7"/>
  <c r="AG154" i="41"/>
  <c r="V129" i="41"/>
  <c r="V153" i="41"/>
  <c r="M60" i="7"/>
  <c r="X154" i="41"/>
  <c r="Q154" i="41"/>
  <c r="M18" i="7" s="1"/>
  <c r="R153" i="41"/>
  <c r="R129" i="41"/>
  <c r="R139" i="41"/>
  <c r="I10" i="7"/>
  <c r="L146" i="41"/>
  <c r="N98" i="67" s="1"/>
  <c r="T139" i="41"/>
  <c r="P60" i="7"/>
  <c r="AA154" i="41"/>
  <c r="T154" i="41"/>
  <c r="P18" i="7" s="1"/>
  <c r="F9" i="7"/>
  <c r="I139" i="41"/>
  <c r="I153" i="41"/>
  <c r="K28" i="67" s="1"/>
  <c r="K10" i="67" s="1"/>
  <c r="F71" i="7"/>
  <c r="AE139" i="41"/>
  <c r="F15" i="7"/>
  <c r="U139" i="41"/>
  <c r="AB146" i="41"/>
  <c r="AB129" i="41"/>
  <c r="AD153" i="41"/>
  <c r="AD129" i="41"/>
  <c r="W129" i="41"/>
  <c r="K9" i="7"/>
  <c r="G154" i="41"/>
  <c r="K11" i="7" s="1"/>
  <c r="M136" i="41"/>
  <c r="H141" i="41"/>
  <c r="L16" i="7"/>
  <c r="H9" i="7"/>
  <c r="K139" i="41"/>
  <c r="K153" i="41"/>
  <c r="M28" i="67" s="1"/>
  <c r="M10" i="67" s="1"/>
  <c r="AG129" i="41"/>
  <c r="AG153" i="41"/>
  <c r="H142" i="41"/>
  <c r="M137" i="41"/>
  <c r="S60" i="7"/>
  <c r="W155" i="41"/>
  <c r="T71" i="7"/>
  <c r="AE155" i="41"/>
  <c r="N71" i="7"/>
  <c r="AF154" i="41"/>
  <c r="V71" i="7"/>
  <c r="AG155" i="41"/>
  <c r="I71" i="7"/>
  <c r="AH139" i="41"/>
  <c r="AB139" i="41"/>
  <c r="K60" i="7"/>
  <c r="V154" i="41"/>
  <c r="R9" i="7"/>
  <c r="G155" i="41"/>
  <c r="R11" i="7" s="1"/>
  <c r="S139" i="41"/>
  <c r="H71" i="7"/>
  <c r="AG139" i="41"/>
  <c r="F60" i="7"/>
  <c r="X139" i="41"/>
  <c r="L10" i="7"/>
  <c r="M148" i="41"/>
  <c r="H10" i="7"/>
  <c r="K146" i="41"/>
  <c r="M98" i="67" s="1"/>
  <c r="S129" i="41"/>
  <c r="S71" i="7"/>
  <c r="AD155" i="41"/>
  <c r="W71" i="7"/>
  <c r="AH155" i="41"/>
  <c r="V9" i="7"/>
  <c r="K155" i="41"/>
  <c r="O16" i="7"/>
  <c r="O139" i="41"/>
  <c r="O129" i="41"/>
  <c r="M16" i="7"/>
  <c r="G60" i="7"/>
  <c r="Y139" i="41"/>
  <c r="Y153" i="41"/>
  <c r="Y129" i="41"/>
  <c r="AA129" i="41"/>
  <c r="P71" i="7"/>
  <c r="AH154" i="41"/>
  <c r="C9" i="7"/>
  <c r="F153" i="41"/>
  <c r="F139" i="41"/>
  <c r="T16" i="7"/>
  <c r="N16" i="7"/>
  <c r="W16" i="7"/>
  <c r="U60" i="7"/>
  <c r="Y155" i="41"/>
  <c r="D10" i="7"/>
  <c r="AM10" i="7" s="1"/>
  <c r="G146" i="41"/>
  <c r="M9" i="7"/>
  <c r="I154" i="41"/>
  <c r="G71" i="7"/>
  <c r="AF139" i="41"/>
  <c r="I60" i="7"/>
  <c r="AA139" i="41"/>
  <c r="P9" i="7"/>
  <c r="L154" i="41"/>
  <c r="Q139" i="41"/>
  <c r="Q153" i="41"/>
  <c r="P139" i="41"/>
  <c r="L60" i="7"/>
  <c r="W154" i="41"/>
  <c r="U155" i="41"/>
  <c r="N9" i="7"/>
  <c r="J154" i="41"/>
  <c r="R154" i="41"/>
  <c r="N18" i="7" s="1"/>
  <c r="L155" i="41"/>
  <c r="W9" i="7"/>
  <c r="U16" i="7"/>
  <c r="O60" i="7"/>
  <c r="Z154" i="41"/>
  <c r="K154" i="41"/>
  <c r="O9" i="7"/>
  <c r="D9" i="7"/>
  <c r="G153" i="41"/>
  <c r="G139" i="41"/>
  <c r="D60" i="7"/>
  <c r="V139" i="41"/>
  <c r="M71" i="7"/>
  <c r="AE154" i="41"/>
  <c r="AF129" i="41"/>
  <c r="G9" i="7"/>
  <c r="J139" i="41"/>
  <c r="J153" i="41"/>
  <c r="L28" i="67" s="1"/>
  <c r="L10" i="67" s="1"/>
  <c r="I9" i="7"/>
  <c r="L139" i="41"/>
  <c r="L153" i="41"/>
  <c r="N28" i="67" s="1"/>
  <c r="N10" i="67" s="1"/>
  <c r="AH129" i="41"/>
  <c r="T129" i="41"/>
  <c r="F10" i="7"/>
  <c r="I146" i="41"/>
  <c r="K98" i="67" s="1"/>
  <c r="N139" i="41"/>
  <c r="U129" i="41"/>
  <c r="M135" i="41"/>
  <c r="H140" i="41"/>
  <c r="E71" i="7"/>
  <c r="AD139" i="41"/>
  <c r="O154" i="41"/>
  <c r="K18" i="7" s="1"/>
  <c r="O155" i="41"/>
  <c r="R18" i="7" s="1"/>
  <c r="V155" i="41"/>
  <c r="R60" i="7"/>
  <c r="P154" i="41"/>
  <c r="L18" i="7" s="1"/>
  <c r="L71" i="7"/>
  <c r="AD154" i="41"/>
  <c r="Q9" i="7"/>
  <c r="F155" i="41"/>
  <c r="Q11" i="7" s="1"/>
  <c r="AB155" i="41"/>
  <c r="Z129" i="41"/>
  <c r="H60" i="7"/>
  <c r="Z139" i="41"/>
  <c r="S10" i="7"/>
  <c r="M149" i="41"/>
  <c r="S16" i="7"/>
  <c r="P155" i="41" l="1"/>
  <c r="S18" i="7" s="1"/>
  <c r="K44" i="67"/>
  <c r="AM71" i="7"/>
  <c r="R155" i="41"/>
  <c r="U18" i="7" s="1"/>
  <c r="O77" i="7"/>
  <c r="O78" i="7" s="1"/>
  <c r="N66" i="7"/>
  <c r="N67" i="7" s="1"/>
  <c r="L77" i="7"/>
  <c r="L78" i="7" s="1"/>
  <c r="N77" i="7"/>
  <c r="N78" i="7" s="1"/>
  <c r="M66" i="7"/>
  <c r="M67" i="7" s="1"/>
  <c r="K77" i="7"/>
  <c r="K78" i="7" s="1"/>
  <c r="M77" i="7"/>
  <c r="M78" i="7" s="1"/>
  <c r="P66" i="7"/>
  <c r="P67" i="7" s="1"/>
  <c r="R77" i="7"/>
  <c r="R78" i="7" s="1"/>
  <c r="W77" i="7"/>
  <c r="W78" i="7" s="1"/>
  <c r="S77" i="7"/>
  <c r="S78" i="7" s="1"/>
  <c r="U77" i="7"/>
  <c r="U78" i="7" s="1"/>
  <c r="T77" i="7"/>
  <c r="T78" i="7" s="1"/>
  <c r="V77" i="7"/>
  <c r="V78" i="7" s="1"/>
  <c r="S66" i="7"/>
  <c r="S67" i="7" s="1"/>
  <c r="U66" i="7"/>
  <c r="U67" i="7" s="1"/>
  <c r="W66" i="7"/>
  <c r="W67" i="7" s="1"/>
  <c r="V66" i="7"/>
  <c r="V67" i="7" s="1"/>
  <c r="T66" i="7"/>
  <c r="T67" i="7" s="1"/>
  <c r="G77" i="7"/>
  <c r="G78" i="7" s="1"/>
  <c r="E77" i="7"/>
  <c r="F77" i="7"/>
  <c r="F78" i="7" s="1"/>
  <c r="H77" i="7"/>
  <c r="H78" i="7" s="1"/>
  <c r="I77" i="7"/>
  <c r="I78" i="7" s="1"/>
  <c r="P77" i="7"/>
  <c r="P78" i="7" s="1"/>
  <c r="L66" i="7"/>
  <c r="L67" i="7" s="1"/>
  <c r="O66" i="7"/>
  <c r="O67" i="7" s="1"/>
  <c r="S155" i="41"/>
  <c r="V18" i="7" s="1"/>
  <c r="T155" i="41"/>
  <c r="W18" i="7" s="1"/>
  <c r="G66" i="7"/>
  <c r="H66" i="7"/>
  <c r="F66" i="7"/>
  <c r="I66" i="7"/>
  <c r="E66" i="7"/>
  <c r="AO10" i="7"/>
  <c r="AR10" i="7"/>
  <c r="AQ10" i="7"/>
  <c r="AP10" i="7"/>
  <c r="N44" i="67"/>
  <c r="M44" i="67"/>
  <c r="L44" i="67"/>
  <c r="O35" i="67"/>
  <c r="Q21" i="67" s="1"/>
  <c r="O32" i="67"/>
  <c r="Q20" i="67" s="1"/>
  <c r="N27" i="67"/>
  <c r="N19" i="67" s="1"/>
  <c r="O11" i="7"/>
  <c r="M31" i="67"/>
  <c r="N11" i="7"/>
  <c r="L31" i="67"/>
  <c r="P11" i="7"/>
  <c r="N31" i="67"/>
  <c r="O98" i="67"/>
  <c r="U11" i="7"/>
  <c r="L34" i="67"/>
  <c r="W11" i="7"/>
  <c r="N34" i="67"/>
  <c r="M11" i="7"/>
  <c r="K31" i="67"/>
  <c r="L27" i="67"/>
  <c r="L19" i="67" s="1"/>
  <c r="V11" i="7"/>
  <c r="M34" i="67"/>
  <c r="K27" i="67"/>
  <c r="K19" i="67" s="1"/>
  <c r="M27" i="67"/>
  <c r="M19" i="67" s="1"/>
  <c r="T11" i="7"/>
  <c r="K34" i="67"/>
  <c r="U14" i="7"/>
  <c r="Q14" i="7"/>
  <c r="J14" i="7"/>
  <c r="R14" i="7"/>
  <c r="S14" i="7"/>
  <c r="K14" i="7"/>
  <c r="P14" i="7"/>
  <c r="O14" i="7"/>
  <c r="AB153" i="41"/>
  <c r="AB152" i="41" s="1"/>
  <c r="J19" i="7"/>
  <c r="J22" i="7" s="1"/>
  <c r="AP71" i="7"/>
  <c r="AQ60" i="7"/>
  <c r="AP60" i="7"/>
  <c r="AO9" i="7"/>
  <c r="AR60" i="7"/>
  <c r="Q155" i="41"/>
  <c r="T18" i="7" s="1"/>
  <c r="Q146" i="41"/>
  <c r="H16" i="7"/>
  <c r="Z146" i="41"/>
  <c r="R66" i="7"/>
  <c r="R67" i="7" s="1"/>
  <c r="H139" i="41"/>
  <c r="M139" i="41" s="1"/>
  <c r="M140" i="41"/>
  <c r="E9" i="7"/>
  <c r="H153" i="41"/>
  <c r="J28" i="67" s="1"/>
  <c r="J10" i="67" s="1"/>
  <c r="L152" i="41"/>
  <c r="N122" i="67" s="1"/>
  <c r="I11" i="7"/>
  <c r="AM60" i="7"/>
  <c r="AL9" i="7"/>
  <c r="AA146" i="41"/>
  <c r="I16" i="7"/>
  <c r="Y152" i="41"/>
  <c r="H15" i="7"/>
  <c r="S146" i="41"/>
  <c r="Z153" i="41"/>
  <c r="R19" i="7"/>
  <c r="R22" i="7" s="1"/>
  <c r="AD152" i="41"/>
  <c r="C18" i="7"/>
  <c r="N152" i="41"/>
  <c r="I15" i="7"/>
  <c r="T146" i="41"/>
  <c r="E18" i="7"/>
  <c r="U19" i="7"/>
  <c r="W14" i="7"/>
  <c r="D15" i="7"/>
  <c r="O146" i="41"/>
  <c r="X152" i="41"/>
  <c r="AG152" i="41"/>
  <c r="S153" i="41"/>
  <c r="T19" i="7"/>
  <c r="T22" i="7" s="1"/>
  <c r="K152" i="41"/>
  <c r="M122" i="67" s="1"/>
  <c r="H11" i="7"/>
  <c r="AD146" i="41"/>
  <c r="G18" i="7"/>
  <c r="V14" i="7"/>
  <c r="AN10" i="7"/>
  <c r="AC146" i="41"/>
  <c r="D77" i="7"/>
  <c r="AN60" i="7"/>
  <c r="AE146" i="41"/>
  <c r="AH146" i="41"/>
  <c r="V152" i="41"/>
  <c r="G152" i="41"/>
  <c r="D11" i="7"/>
  <c r="AM11" i="7" s="1"/>
  <c r="O19" i="7"/>
  <c r="O22" i="7" s="1"/>
  <c r="Q19" i="7"/>
  <c r="Q22" i="7" s="1"/>
  <c r="G16" i="7"/>
  <c r="Y146" i="41"/>
  <c r="O153" i="41"/>
  <c r="K19" i="7"/>
  <c r="K22" i="7" s="1"/>
  <c r="AH153" i="41"/>
  <c r="S9" i="7"/>
  <c r="H155" i="41"/>
  <c r="J34" i="67" s="1"/>
  <c r="J12" i="67" s="1"/>
  <c r="M142" i="41"/>
  <c r="AO71" i="7"/>
  <c r="T153" i="41"/>
  <c r="M19" i="7"/>
  <c r="M17" i="7" s="1"/>
  <c r="V19" i="7"/>
  <c r="E15" i="7"/>
  <c r="P146" i="41"/>
  <c r="AP9" i="7"/>
  <c r="X146" i="41"/>
  <c r="F16" i="7"/>
  <c r="M14" i="7"/>
  <c r="W19" i="7"/>
  <c r="AN71" i="7"/>
  <c r="C16" i="7"/>
  <c r="U146" i="41"/>
  <c r="G11" i="7"/>
  <c r="J152" i="41"/>
  <c r="L122" i="67" s="1"/>
  <c r="AF146" i="41"/>
  <c r="AM9" i="7"/>
  <c r="AR9" i="7"/>
  <c r="L19" i="7"/>
  <c r="L22" i="7" s="1"/>
  <c r="F18" i="7"/>
  <c r="AA153" i="41"/>
  <c r="AF153" i="41"/>
  <c r="F152" i="41"/>
  <c r="C11" i="7"/>
  <c r="AL11" i="7" s="1"/>
  <c r="AO60" i="7"/>
  <c r="AQ71" i="7"/>
  <c r="Q33" i="7"/>
  <c r="K66" i="7"/>
  <c r="K67" i="7" s="1"/>
  <c r="S19" i="7"/>
  <c r="S22" i="7" s="1"/>
  <c r="AG146" i="41"/>
  <c r="AQ9" i="7"/>
  <c r="W146" i="41"/>
  <c r="E16" i="7"/>
  <c r="AO15" i="7"/>
  <c r="K99" i="67" s="1"/>
  <c r="F11" i="7"/>
  <c r="I152" i="41"/>
  <c r="K122" i="67" s="1"/>
  <c r="P19" i="7"/>
  <c r="P22" i="7" s="1"/>
  <c r="N19" i="7"/>
  <c r="N17" i="7" s="1"/>
  <c r="T14" i="7"/>
  <c r="M146" i="41"/>
  <c r="C15" i="7"/>
  <c r="N146" i="41"/>
  <c r="AC153" i="41"/>
  <c r="L14" i="7"/>
  <c r="AR71" i="7"/>
  <c r="L9" i="7"/>
  <c r="H154" i="41"/>
  <c r="J31" i="67" s="1"/>
  <c r="J11" i="67" s="1"/>
  <c r="M141" i="41"/>
  <c r="U153" i="41"/>
  <c r="AE153" i="41"/>
  <c r="F19" i="7" s="1"/>
  <c r="G15" i="7"/>
  <c r="R146" i="41"/>
  <c r="D66" i="7"/>
  <c r="D67" i="7" s="1"/>
  <c r="D16" i="7"/>
  <c r="V146" i="41"/>
  <c r="J33" i="7"/>
  <c r="W153" i="41"/>
  <c r="N14" i="7"/>
  <c r="E81" i="1"/>
  <c r="E24" i="2" s="1"/>
  <c r="AB19" i="78" s="1"/>
  <c r="J81" i="1"/>
  <c r="J24" i="2" s="1"/>
  <c r="F81" i="1"/>
  <c r="I81" i="1"/>
  <c r="H81" i="1"/>
  <c r="G81" i="1"/>
  <c r="G24" i="2" s="1"/>
  <c r="G80" i="1"/>
  <c r="J80" i="1"/>
  <c r="J23" i="2" s="1"/>
  <c r="AG18" i="78" s="1"/>
  <c r="F80" i="1"/>
  <c r="F23" i="2" s="1"/>
  <c r="AC18" i="78" s="1"/>
  <c r="I80" i="1"/>
  <c r="I23" i="2" s="1"/>
  <c r="AF18" i="78" s="1"/>
  <c r="H80" i="1"/>
  <c r="H10" i="53"/>
  <c r="H98" i="53" s="1"/>
  <c r="G10" i="53"/>
  <c r="G98" i="53" s="1"/>
  <c r="F10" i="53"/>
  <c r="F98" i="53" s="1"/>
  <c r="E10" i="53"/>
  <c r="E98" i="53" s="1"/>
  <c r="D10" i="53"/>
  <c r="D98" i="53" s="1"/>
  <c r="C10" i="53"/>
  <c r="C98" i="53" s="1"/>
  <c r="P152" i="41" l="1"/>
  <c r="AP18" i="7"/>
  <c r="L123" i="67" s="1"/>
  <c r="L127" i="67" s="1"/>
  <c r="R152" i="41"/>
  <c r="U17" i="7"/>
  <c r="U13" i="7" s="1"/>
  <c r="U21" i="7" s="1"/>
  <c r="V17" i="7"/>
  <c r="V13" i="7" s="1"/>
  <c r="V21" i="7" s="1"/>
  <c r="AR66" i="7"/>
  <c r="AR67" i="7" s="1"/>
  <c r="AQ66" i="7"/>
  <c r="AQ67" i="7" s="1"/>
  <c r="AN66" i="7"/>
  <c r="AN67" i="7" s="1"/>
  <c r="AP66" i="7"/>
  <c r="AP67" i="7" s="1"/>
  <c r="AO66" i="7"/>
  <c r="AO67" i="7" s="1"/>
  <c r="K139" i="67" s="1"/>
  <c r="AM66" i="7"/>
  <c r="AM67" i="7" s="1"/>
  <c r="AR77" i="7"/>
  <c r="AR78" i="7" s="1"/>
  <c r="N147" i="67" s="1"/>
  <c r="AP77" i="7"/>
  <c r="AP78" i="7" s="1"/>
  <c r="AN77" i="7"/>
  <c r="AN78" i="7" s="1"/>
  <c r="AM77" i="7"/>
  <c r="AM78" i="7" s="1"/>
  <c r="AO77" i="7"/>
  <c r="AO78" i="7" s="1"/>
  <c r="AQ77" i="7"/>
  <c r="AQ78" i="7" s="1"/>
  <c r="M147" i="67" s="1"/>
  <c r="D78" i="7"/>
  <c r="E78" i="7"/>
  <c r="W17" i="7"/>
  <c r="W13" i="7" s="1"/>
  <c r="W21" i="7" s="1"/>
  <c r="F67" i="7"/>
  <c r="H67" i="7"/>
  <c r="G67" i="7"/>
  <c r="AP11" i="7"/>
  <c r="I67" i="7"/>
  <c r="D61" i="7"/>
  <c r="D65" i="7" s="1"/>
  <c r="E59" i="7" s="1"/>
  <c r="E67" i="7"/>
  <c r="AQ11" i="7"/>
  <c r="AR11" i="7"/>
  <c r="AD19" i="78"/>
  <c r="AG19" i="78"/>
  <c r="V24" i="2"/>
  <c r="N30" i="67"/>
  <c r="N20" i="67" s="1"/>
  <c r="N11" i="67"/>
  <c r="M30" i="67"/>
  <c r="M20" i="67" s="1"/>
  <c r="M11" i="67"/>
  <c r="K30" i="67"/>
  <c r="K20" i="67" s="1"/>
  <c r="K11" i="67"/>
  <c r="L33" i="67"/>
  <c r="L21" i="67" s="1"/>
  <c r="L12" i="67"/>
  <c r="K33" i="67"/>
  <c r="K21" i="67" s="1"/>
  <c r="K12" i="67"/>
  <c r="M33" i="67"/>
  <c r="M21" i="67" s="1"/>
  <c r="M12" i="67"/>
  <c r="L30" i="67"/>
  <c r="L20" i="67" s="1"/>
  <c r="L11" i="67"/>
  <c r="J15" i="67"/>
  <c r="J16" i="67" s="1"/>
  <c r="O10" i="67"/>
  <c r="N33" i="67"/>
  <c r="N21" i="67" s="1"/>
  <c r="N12" i="67"/>
  <c r="L43" i="67"/>
  <c r="O44" i="67"/>
  <c r="Q24" i="67" s="1"/>
  <c r="M43" i="67"/>
  <c r="AO11" i="7"/>
  <c r="O31" i="67"/>
  <c r="P20" i="67" s="1"/>
  <c r="J30" i="67"/>
  <c r="J20" i="67" s="1"/>
  <c r="O28" i="67"/>
  <c r="P19" i="67" s="1"/>
  <c r="J43" i="67"/>
  <c r="J27" i="67"/>
  <c r="J19" i="67" s="1"/>
  <c r="O19" i="67" s="1"/>
  <c r="N43" i="67"/>
  <c r="J33" i="67"/>
  <c r="J21" i="67" s="1"/>
  <c r="O34" i="67"/>
  <c r="P21" i="67" s="1"/>
  <c r="K43" i="67"/>
  <c r="I24" i="2"/>
  <c r="U24" i="2" s="1"/>
  <c r="F24" i="2"/>
  <c r="H24" i="2"/>
  <c r="H23" i="2"/>
  <c r="AE18" i="78" s="1"/>
  <c r="G23" i="2"/>
  <c r="AM16" i="7"/>
  <c r="AL16" i="7"/>
  <c r="N22" i="7"/>
  <c r="M22" i="7"/>
  <c r="W22" i="7"/>
  <c r="F14" i="7"/>
  <c r="F22" i="7"/>
  <c r="AQ16" i="7"/>
  <c r="M100" i="67" s="1"/>
  <c r="V22" i="7"/>
  <c r="U22" i="7"/>
  <c r="V23" i="2"/>
  <c r="U23" i="2"/>
  <c r="J17" i="7"/>
  <c r="J13" i="7" s="1"/>
  <c r="J21" i="7" s="1"/>
  <c r="Q152" i="41"/>
  <c r="L61" i="7"/>
  <c r="T17" i="7"/>
  <c r="T13" i="7" s="1"/>
  <c r="T21" i="7" s="1"/>
  <c r="O72" i="7"/>
  <c r="L72" i="7"/>
  <c r="N13" i="7"/>
  <c r="N21" i="7" s="1"/>
  <c r="N72" i="7"/>
  <c r="S61" i="7"/>
  <c r="K72" i="7"/>
  <c r="K76" i="7" s="1"/>
  <c r="L70" i="7" s="1"/>
  <c r="R72" i="7"/>
  <c r="R76" i="7" s="1"/>
  <c r="S70" i="7" s="1"/>
  <c r="S17" i="7"/>
  <c r="S13" i="7" s="1"/>
  <c r="S21" i="7" s="1"/>
  <c r="H72" i="7"/>
  <c r="AO19" i="7"/>
  <c r="K124" i="67" s="1"/>
  <c r="K61" i="7"/>
  <c r="V72" i="7"/>
  <c r="E72" i="7"/>
  <c r="E61" i="7"/>
  <c r="M72" i="7"/>
  <c r="F61" i="7"/>
  <c r="U61" i="7"/>
  <c r="P17" i="7"/>
  <c r="P13" i="7" s="1"/>
  <c r="P21" i="7" s="1"/>
  <c r="W152" i="41"/>
  <c r="E19" i="7"/>
  <c r="AN19" i="7" s="1"/>
  <c r="J124" i="67" s="1"/>
  <c r="C19" i="7"/>
  <c r="C22" i="7" s="1"/>
  <c r="U152" i="41"/>
  <c r="AN16" i="7"/>
  <c r="J100" i="67" s="1"/>
  <c r="AF152" i="41"/>
  <c r="L17" i="7"/>
  <c r="L13" i="7" s="1"/>
  <c r="L21" i="7" s="1"/>
  <c r="M155" i="41"/>
  <c r="S11" i="7"/>
  <c r="S152" i="41"/>
  <c r="H18" i="7"/>
  <c r="R17" i="7"/>
  <c r="R13" i="7" s="1"/>
  <c r="R21" i="7" s="1"/>
  <c r="AQ15" i="7"/>
  <c r="H14" i="7"/>
  <c r="I61" i="7"/>
  <c r="P72" i="7"/>
  <c r="AC152" i="41"/>
  <c r="P61" i="7"/>
  <c r="M61" i="7"/>
  <c r="AA152" i="41"/>
  <c r="AO16" i="7"/>
  <c r="E14" i="7"/>
  <c r="AN15" i="7"/>
  <c r="J99" i="67" s="1"/>
  <c r="S72" i="7"/>
  <c r="M13" i="7"/>
  <c r="M21" i="7" s="1"/>
  <c r="T72" i="7"/>
  <c r="D18" i="7"/>
  <c r="O152" i="41"/>
  <c r="AP16" i="7"/>
  <c r="L100" i="67" s="1"/>
  <c r="G72" i="7"/>
  <c r="C29" i="7"/>
  <c r="AL18" i="7"/>
  <c r="AR16" i="7"/>
  <c r="N100" i="67" s="1"/>
  <c r="G61" i="7"/>
  <c r="H61" i="7"/>
  <c r="E11" i="7"/>
  <c r="H152" i="41"/>
  <c r="M153" i="41"/>
  <c r="J32" i="7"/>
  <c r="K58" i="53"/>
  <c r="G14" i="7"/>
  <c r="AP15" i="7"/>
  <c r="L99" i="67" s="1"/>
  <c r="L11" i="7"/>
  <c r="M154" i="41"/>
  <c r="O61" i="7"/>
  <c r="Q32" i="7"/>
  <c r="S58" i="53"/>
  <c r="U72" i="7"/>
  <c r="I18" i="7"/>
  <c r="T152" i="41"/>
  <c r="I19" i="7"/>
  <c r="AR19" i="7" s="1"/>
  <c r="N124" i="67" s="1"/>
  <c r="AH152" i="41"/>
  <c r="Q17" i="7"/>
  <c r="Q13" i="7" s="1"/>
  <c r="Q21" i="7" s="1"/>
  <c r="I72" i="7"/>
  <c r="D72" i="7"/>
  <c r="D76" i="7" s="1"/>
  <c r="E70" i="7" s="1"/>
  <c r="AF72" i="7"/>
  <c r="AF76" i="7" s="1"/>
  <c r="AG70" i="7" s="1"/>
  <c r="AG72" i="7"/>
  <c r="AM76" i="7"/>
  <c r="AN70" i="7" s="1"/>
  <c r="Z72" i="7"/>
  <c r="Y72" i="7"/>
  <c r="Y76" i="7" s="1"/>
  <c r="Z70" i="7" s="1"/>
  <c r="AJ72" i="7"/>
  <c r="AB72" i="7"/>
  <c r="AH72" i="7"/>
  <c r="AA72" i="7"/>
  <c r="AI72" i="7"/>
  <c r="AK72" i="7"/>
  <c r="AD72" i="7"/>
  <c r="AC72" i="7"/>
  <c r="H19" i="7"/>
  <c r="H22" i="7" s="1"/>
  <c r="Z152" i="41"/>
  <c r="G19" i="7"/>
  <c r="G22" i="7" s="1"/>
  <c r="V61" i="7"/>
  <c r="AC61" i="7"/>
  <c r="Y61" i="7"/>
  <c r="AJ61" i="7"/>
  <c r="AM65" i="7"/>
  <c r="AN59" i="7" s="1"/>
  <c r="AH61" i="7"/>
  <c r="Z61" i="7"/>
  <c r="AF61" i="7"/>
  <c r="AB61" i="7"/>
  <c r="AG61" i="7"/>
  <c r="AI61" i="7"/>
  <c r="AA61" i="7"/>
  <c r="AK61" i="7"/>
  <c r="AD61" i="7"/>
  <c r="AN9" i="7"/>
  <c r="W61" i="7"/>
  <c r="T61" i="7"/>
  <c r="AE152" i="41"/>
  <c r="C27" i="7"/>
  <c r="AL15" i="7"/>
  <c r="C14" i="7"/>
  <c r="N61" i="7"/>
  <c r="AO18" i="7"/>
  <c r="K123" i="67" s="1"/>
  <c r="K127" i="67" s="1"/>
  <c r="F17" i="7"/>
  <c r="W72" i="7"/>
  <c r="K17" i="7"/>
  <c r="K13" i="7" s="1"/>
  <c r="K21" i="7" s="1"/>
  <c r="O17" i="7"/>
  <c r="O13" i="7" s="1"/>
  <c r="O21" i="7" s="1"/>
  <c r="D19" i="7"/>
  <c r="D22" i="7" s="1"/>
  <c r="F72" i="7"/>
  <c r="AM15" i="7"/>
  <c r="D14" i="7"/>
  <c r="AN18" i="7"/>
  <c r="J123" i="67" s="1"/>
  <c r="AR15" i="7"/>
  <c r="N99" i="67" s="1"/>
  <c r="I14" i="7"/>
  <c r="R61" i="7"/>
  <c r="N24" i="67" l="1"/>
  <c r="J114" i="67"/>
  <c r="M114" i="67"/>
  <c r="T23" i="2"/>
  <c r="AM74" i="7"/>
  <c r="R74" i="7" s="1"/>
  <c r="R73" i="7" s="1"/>
  <c r="R75" i="7" s="1"/>
  <c r="L106" i="67"/>
  <c r="N106" i="67"/>
  <c r="M139" i="67"/>
  <c r="S24" i="7"/>
  <c r="S29" i="7" s="1"/>
  <c r="AM63" i="7"/>
  <c r="AF63" i="7" s="1"/>
  <c r="K42" i="67"/>
  <c r="J105" i="67"/>
  <c r="K24" i="67"/>
  <c r="L24" i="67"/>
  <c r="N115" i="67"/>
  <c r="N116" i="67"/>
  <c r="N118" i="67"/>
  <c r="J113" i="67"/>
  <c r="K108" i="67"/>
  <c r="K107" i="67"/>
  <c r="K110" i="67"/>
  <c r="N58" i="73"/>
  <c r="T31" i="67"/>
  <c r="J108" i="67"/>
  <c r="J107" i="67"/>
  <c r="J110" i="67"/>
  <c r="Y58" i="73"/>
  <c r="T52" i="67"/>
  <c r="L107" i="67"/>
  <c r="L108" i="67"/>
  <c r="L110" i="67"/>
  <c r="AE19" i="78"/>
  <c r="S24" i="2"/>
  <c r="K106" i="67"/>
  <c r="M115" i="67"/>
  <c r="M116" i="67"/>
  <c r="M118" i="67"/>
  <c r="K115" i="67"/>
  <c r="K116" i="67"/>
  <c r="K118" i="67"/>
  <c r="M108" i="67"/>
  <c r="M107" i="67"/>
  <c r="M110" i="67"/>
  <c r="AC19" i="78"/>
  <c r="Q24" i="2"/>
  <c r="K114" i="67"/>
  <c r="J106" i="67"/>
  <c r="N114" i="67"/>
  <c r="R24" i="2"/>
  <c r="J115" i="67"/>
  <c r="J116" i="67"/>
  <c r="J118" i="67"/>
  <c r="N107" i="67"/>
  <c r="N108" i="67"/>
  <c r="N110" i="67"/>
  <c r="L115" i="67"/>
  <c r="L116" i="67"/>
  <c r="L118" i="67"/>
  <c r="AF19" i="78"/>
  <c r="T24" i="2"/>
  <c r="M106" i="67"/>
  <c r="L114" i="67"/>
  <c r="O20" i="67"/>
  <c r="M24" i="67"/>
  <c r="O21" i="67"/>
  <c r="J24" i="67"/>
  <c r="M42" i="67"/>
  <c r="O30" i="67"/>
  <c r="O33" i="67"/>
  <c r="L42" i="67"/>
  <c r="N42" i="67"/>
  <c r="M15" i="67"/>
  <c r="M16" i="67" s="1"/>
  <c r="L15" i="67"/>
  <c r="L16" i="67" s="1"/>
  <c r="O12" i="67"/>
  <c r="K15" i="67"/>
  <c r="K16" i="67" s="1"/>
  <c r="N15" i="67"/>
  <c r="N16" i="67" s="1"/>
  <c r="O11" i="67"/>
  <c r="J138" i="67"/>
  <c r="R23" i="2"/>
  <c r="AD18" i="78"/>
  <c r="J146" i="67"/>
  <c r="M152" i="41"/>
  <c r="J122" i="67"/>
  <c r="O122" i="67" s="1"/>
  <c r="K151" i="67"/>
  <c r="K149" i="67"/>
  <c r="K148" i="67"/>
  <c r="N143" i="67"/>
  <c r="N141" i="67"/>
  <c r="N140" i="67"/>
  <c r="J141" i="67"/>
  <c r="J140" i="67"/>
  <c r="J143" i="67"/>
  <c r="L143" i="67"/>
  <c r="L141" i="67"/>
  <c r="L140" i="67"/>
  <c r="N139" i="67"/>
  <c r="L151" i="67"/>
  <c r="L149" i="67"/>
  <c r="L148" i="67"/>
  <c r="J149" i="67"/>
  <c r="J148" i="67"/>
  <c r="J151" i="67"/>
  <c r="J127" i="67"/>
  <c r="M143" i="67"/>
  <c r="M141" i="67"/>
  <c r="M140" i="67"/>
  <c r="AQ14" i="7"/>
  <c r="M99" i="67"/>
  <c r="O99" i="67" s="1"/>
  <c r="J139" i="67"/>
  <c r="J42" i="67"/>
  <c r="O27" i="67"/>
  <c r="K147" i="67"/>
  <c r="AO22" i="7"/>
  <c r="K100" i="67"/>
  <c r="O100" i="67" s="1"/>
  <c r="K143" i="67"/>
  <c r="K141" i="67"/>
  <c r="K140" i="67"/>
  <c r="L139" i="67"/>
  <c r="L147" i="67"/>
  <c r="J147" i="67"/>
  <c r="N151" i="67"/>
  <c r="N149" i="67"/>
  <c r="N148" i="67"/>
  <c r="M151" i="67"/>
  <c r="M149" i="67"/>
  <c r="M148" i="67"/>
  <c r="O43" i="67"/>
  <c r="P24" i="67" s="1"/>
  <c r="AN22" i="7"/>
  <c r="AM14" i="7"/>
  <c r="R24" i="7"/>
  <c r="R29" i="7" s="1"/>
  <c r="S23" i="2"/>
  <c r="E65" i="7"/>
  <c r="F59" i="7" s="1"/>
  <c r="F65" i="7" s="1"/>
  <c r="G59" i="7" s="1"/>
  <c r="G65" i="7" s="1"/>
  <c r="H59" i="7" s="1"/>
  <c r="H65" i="7" s="1"/>
  <c r="I59" i="7" s="1"/>
  <c r="I65" i="7" s="1"/>
  <c r="F13" i="7"/>
  <c r="F21" i="7" s="1"/>
  <c r="G24" i="7"/>
  <c r="F24" i="7"/>
  <c r="H24" i="7"/>
  <c r="D24" i="7"/>
  <c r="I24" i="7"/>
  <c r="E24" i="7"/>
  <c r="AR22" i="7"/>
  <c r="K24" i="7"/>
  <c r="K29" i="7" s="1"/>
  <c r="K32" i="7" s="1"/>
  <c r="E22" i="7"/>
  <c r="I22" i="7"/>
  <c r="T24" i="7"/>
  <c r="T29" i="7" s="1"/>
  <c r="T32" i="7" s="1"/>
  <c r="L24" i="7"/>
  <c r="L29" i="7" s="1"/>
  <c r="L32" i="7" s="1"/>
  <c r="U24" i="7"/>
  <c r="U29" i="7" s="1"/>
  <c r="U32" i="7" s="1"/>
  <c r="M24" i="7"/>
  <c r="M29" i="7" s="1"/>
  <c r="M32" i="7" s="1"/>
  <c r="L76" i="7"/>
  <c r="M70" i="7" s="1"/>
  <c r="M76" i="7" s="1"/>
  <c r="N70" i="7" s="1"/>
  <c r="N76" i="7" s="1"/>
  <c r="O70" i="7" s="1"/>
  <c r="O76" i="7" s="1"/>
  <c r="P70" i="7" s="1"/>
  <c r="P76" i="7" s="1"/>
  <c r="V24" i="7"/>
  <c r="V29" i="7" s="1"/>
  <c r="V32" i="7" s="1"/>
  <c r="AG76" i="7"/>
  <c r="AH70" i="7" s="1"/>
  <c r="AH76" i="7" s="1"/>
  <c r="AI70" i="7" s="1"/>
  <c r="AI76" i="7" s="1"/>
  <c r="N24" i="7"/>
  <c r="N29" i="7" s="1"/>
  <c r="N32" i="7" s="1"/>
  <c r="AD24" i="7"/>
  <c r="AD29" i="7" s="1"/>
  <c r="AD33" i="7" s="1"/>
  <c r="AG24" i="7"/>
  <c r="AG29" i="7" s="1"/>
  <c r="AJ58" i="53" s="1"/>
  <c r="U104" i="67" s="1"/>
  <c r="Z104" i="67" s="1"/>
  <c r="Z24" i="7"/>
  <c r="Z29" i="7" s="1"/>
  <c r="Z76" i="7"/>
  <c r="AA70" i="7" s="1"/>
  <c r="AA76" i="7" s="1"/>
  <c r="AO14" i="7"/>
  <c r="AO17" i="7"/>
  <c r="O24" i="7"/>
  <c r="O29" i="7" s="1"/>
  <c r="O32" i="7" s="1"/>
  <c r="K65" i="7"/>
  <c r="L59" i="7" s="1"/>
  <c r="L65" i="7" s="1"/>
  <c r="M59" i="7" s="1"/>
  <c r="M65" i="7" s="1"/>
  <c r="N59" i="7" s="1"/>
  <c r="N65" i="7" s="1"/>
  <c r="O59" i="7" s="1"/>
  <c r="O65" i="7" s="1"/>
  <c r="P59" i="7" s="1"/>
  <c r="P65" i="7" s="1"/>
  <c r="AJ24" i="7"/>
  <c r="AJ29" i="7" s="1"/>
  <c r="AM58" i="53" s="1"/>
  <c r="X104" i="67" s="1"/>
  <c r="AN17" i="7"/>
  <c r="AN14" i="7"/>
  <c r="E76" i="7"/>
  <c r="F70" i="7" s="1"/>
  <c r="F76" i="7" s="1"/>
  <c r="G70" i="7" s="1"/>
  <c r="G76" i="7" s="1"/>
  <c r="H70" i="7" s="1"/>
  <c r="H76" i="7" s="1"/>
  <c r="I70" i="7" s="1"/>
  <c r="I76" i="7" s="1"/>
  <c r="E17" i="7"/>
  <c r="E13" i="7" s="1"/>
  <c r="E21" i="7" s="1"/>
  <c r="AC24" i="7"/>
  <c r="AC29" i="7" s="1"/>
  <c r="AC33" i="7" s="1"/>
  <c r="AR14" i="7"/>
  <c r="AP19" i="7"/>
  <c r="AP14" i="7"/>
  <c r="G17" i="7"/>
  <c r="G13" i="7" s="1"/>
  <c r="G21" i="7" s="1"/>
  <c r="P24" i="7"/>
  <c r="P29" i="7" s="1"/>
  <c r="P32" i="7" s="1"/>
  <c r="S32" i="7"/>
  <c r="R65" i="7"/>
  <c r="AM18" i="7"/>
  <c r="D17" i="7"/>
  <c r="D13" i="7" s="1"/>
  <c r="D21" i="7" s="1"/>
  <c r="AM19" i="7"/>
  <c r="AM22" i="7" s="1"/>
  <c r="AI24" i="7"/>
  <c r="AI29" i="7" s="1"/>
  <c r="AF74" i="7"/>
  <c r="AF73" i="7" s="1"/>
  <c r="AF75" i="7" s="1"/>
  <c r="AR18" i="7"/>
  <c r="I17" i="7"/>
  <c r="I13" i="7" s="1"/>
  <c r="I21" i="7" s="1"/>
  <c r="AL29" i="7"/>
  <c r="C33" i="7"/>
  <c r="AL14" i="7"/>
  <c r="AL27" i="7"/>
  <c r="Y65" i="7"/>
  <c r="Y24" i="7"/>
  <c r="Y29" i="7" s="1"/>
  <c r="AL19" i="7"/>
  <c r="AL22" i="7" s="1"/>
  <c r="AK24" i="7"/>
  <c r="AK29" i="7" s="1"/>
  <c r="AB24" i="7"/>
  <c r="AB29" i="7" s="1"/>
  <c r="AN65" i="7"/>
  <c r="J111" i="67" s="1"/>
  <c r="R63" i="7"/>
  <c r="AN76" i="7"/>
  <c r="J119" i="67" s="1"/>
  <c r="S76" i="7"/>
  <c r="AN11" i="7"/>
  <c r="AQ18" i="7"/>
  <c r="M123" i="67" s="1"/>
  <c r="M127" i="67" s="1"/>
  <c r="H17" i="7"/>
  <c r="H13" i="7" s="1"/>
  <c r="H21" i="7" s="1"/>
  <c r="W24" i="7"/>
  <c r="W29" i="7" s="1"/>
  <c r="AA24" i="7"/>
  <c r="AA29" i="7" s="1"/>
  <c r="AF24" i="7"/>
  <c r="AF29" i="7" s="1"/>
  <c r="AF65" i="7"/>
  <c r="AQ19" i="7"/>
  <c r="AH24" i="7"/>
  <c r="AH29" i="7" s="1"/>
  <c r="C17" i="7"/>
  <c r="C13" i="7" s="1"/>
  <c r="C21" i="7" s="1"/>
  <c r="C10" i="5"/>
  <c r="K63" i="7" l="1"/>
  <c r="K62" i="7" s="1"/>
  <c r="K64" i="7" s="1"/>
  <c r="D74" i="7"/>
  <c r="D73" i="7" s="1"/>
  <c r="D75" i="7" s="1"/>
  <c r="Y74" i="7"/>
  <c r="Y73" i="7" s="1"/>
  <c r="Y75" i="7" s="1"/>
  <c r="Y63" i="7"/>
  <c r="Y62" i="7" s="1"/>
  <c r="Y64" i="7" s="1"/>
  <c r="K74" i="7"/>
  <c r="K73" i="7" s="1"/>
  <c r="K75" i="7" s="1"/>
  <c r="D63" i="7"/>
  <c r="D62" i="7" s="1"/>
  <c r="D64" i="7" s="1"/>
  <c r="AN74" i="7"/>
  <c r="J150" i="67" s="1"/>
  <c r="O24" i="67"/>
  <c r="O15" i="67"/>
  <c r="O16" i="67" s="1"/>
  <c r="D29" i="7"/>
  <c r="AM29" i="7" s="1"/>
  <c r="AM24" i="7"/>
  <c r="H29" i="7"/>
  <c r="H33" i="7" s="1"/>
  <c r="AQ24" i="7"/>
  <c r="M128" i="67" s="1"/>
  <c r="M129" i="67" s="1"/>
  <c r="AO70" i="7"/>
  <c r="AO76" i="7" s="1"/>
  <c r="K119" i="67" s="1"/>
  <c r="J152" i="67"/>
  <c r="AR17" i="7"/>
  <c r="AR13" i="7" s="1"/>
  <c r="AR21" i="7" s="1"/>
  <c r="N123" i="67"/>
  <c r="N127" i="67" s="1"/>
  <c r="O127" i="67" s="1"/>
  <c r="AP22" i="7"/>
  <c r="L124" i="67"/>
  <c r="E29" i="7"/>
  <c r="AN29" i="7" s="1"/>
  <c r="AN24" i="7"/>
  <c r="J128" i="67" s="1"/>
  <c r="F29" i="7"/>
  <c r="F33" i="7" s="1"/>
  <c r="AO24" i="7"/>
  <c r="K128" i="67" s="1"/>
  <c r="K129" i="67" s="1"/>
  <c r="O42" i="67"/>
  <c r="P27" i="67" s="1"/>
  <c r="AQ22" i="7"/>
  <c r="M124" i="67"/>
  <c r="AO59" i="7"/>
  <c r="AO65" i="7" s="1"/>
  <c r="K111" i="67" s="1"/>
  <c r="J144" i="67"/>
  <c r="I29" i="7"/>
  <c r="AR29" i="7" s="1"/>
  <c r="AR24" i="7"/>
  <c r="N128" i="67" s="1"/>
  <c r="G29" i="7"/>
  <c r="AP29" i="7" s="1"/>
  <c r="AP24" i="7"/>
  <c r="L128" i="67" s="1"/>
  <c r="L129" i="67" s="1"/>
  <c r="AG32" i="7"/>
  <c r="AG33" i="7"/>
  <c r="AO13" i="7"/>
  <c r="AO21" i="7" s="1"/>
  <c r="L33" i="7"/>
  <c r="AJ33" i="7"/>
  <c r="AJ32" i="7"/>
  <c r="AN13" i="7"/>
  <c r="AN21" i="7" s="1"/>
  <c r="N33" i="7"/>
  <c r="S33" i="7"/>
  <c r="K33" i="7"/>
  <c r="V33" i="7"/>
  <c r="AP17" i="7"/>
  <c r="AP13" i="7" s="1"/>
  <c r="AP21" i="7" s="1"/>
  <c r="T70" i="7"/>
  <c r="T76" i="7" s="1"/>
  <c r="Z59" i="7"/>
  <c r="Z65" i="7" s="1"/>
  <c r="AA59" i="7" s="1"/>
  <c r="AA65" i="7" s="1"/>
  <c r="AB59" i="7" s="1"/>
  <c r="AB65" i="7" s="1"/>
  <c r="AC59" i="7" s="1"/>
  <c r="AC65" i="7" s="1"/>
  <c r="AD59" i="7" s="1"/>
  <c r="AD65" i="7" s="1"/>
  <c r="AI33" i="7"/>
  <c r="AI32" i="7"/>
  <c r="AL58" i="53"/>
  <c r="W104" i="67" s="1"/>
  <c r="AM17" i="7"/>
  <c r="AM13" i="7" s="1"/>
  <c r="AM21" i="7" s="1"/>
  <c r="Z32" i="7"/>
  <c r="AB58" i="53"/>
  <c r="U83" i="67" s="1"/>
  <c r="Z83" i="67" s="1"/>
  <c r="M33" i="7"/>
  <c r="U33" i="7"/>
  <c r="W32" i="7"/>
  <c r="AC32" i="7"/>
  <c r="AE58" i="53"/>
  <c r="X83" i="67" s="1"/>
  <c r="AB33" i="7"/>
  <c r="AL31" i="7"/>
  <c r="C32" i="7"/>
  <c r="AM55" i="53"/>
  <c r="X101" i="67" s="1"/>
  <c r="X109" i="67" s="1"/>
  <c r="X110" i="67" s="1"/>
  <c r="BB58" i="73"/>
  <c r="BC58" i="73"/>
  <c r="AJ55" i="53"/>
  <c r="U101" i="67" s="1"/>
  <c r="AW58" i="73"/>
  <c r="AV58" i="73"/>
  <c r="AD32" i="7"/>
  <c r="AF58" i="53"/>
  <c r="Y83" i="67" s="1"/>
  <c r="AA83" i="67" s="1"/>
  <c r="Z33" i="7"/>
  <c r="AN31" i="7"/>
  <c r="E32" i="7"/>
  <c r="F32" i="7"/>
  <c r="AK33" i="7"/>
  <c r="AK32" i="7"/>
  <c r="AN58" i="53"/>
  <c r="Y104" i="67" s="1"/>
  <c r="AA104" i="67" s="1"/>
  <c r="R62" i="7"/>
  <c r="R64" i="7" s="1"/>
  <c r="S59" i="7"/>
  <c r="S65" i="7" s="1"/>
  <c r="T59" i="7" s="1"/>
  <c r="T65" i="7" s="1"/>
  <c r="U59" i="7" s="1"/>
  <c r="U65" i="7" s="1"/>
  <c r="V59" i="7" s="1"/>
  <c r="V65" i="7" s="1"/>
  <c r="W59" i="7" s="1"/>
  <c r="W65" i="7" s="1"/>
  <c r="AQ17" i="7"/>
  <c r="AQ13" i="7" s="1"/>
  <c r="AQ21" i="7" s="1"/>
  <c r="AF62" i="7"/>
  <c r="AF64" i="7" s="1"/>
  <c r="AG59" i="7"/>
  <c r="AG65" i="7" s="1"/>
  <c r="AH59" i="7" s="1"/>
  <c r="AH65" i="7" s="1"/>
  <c r="AI59" i="7" s="1"/>
  <c r="AI65" i="7" s="1"/>
  <c r="AL17" i="7"/>
  <c r="AL13" i="7" s="1"/>
  <c r="AL21" i="7" s="1"/>
  <c r="AJ70" i="7"/>
  <c r="AJ76" i="7" s="1"/>
  <c r="O33" i="7"/>
  <c r="AH33" i="7"/>
  <c r="AH32" i="7"/>
  <c r="AK58" i="53"/>
  <c r="V104" i="67" s="1"/>
  <c r="AF32" i="7"/>
  <c r="AB70" i="7"/>
  <c r="AB76" i="7" s="1"/>
  <c r="AC70" i="7" s="1"/>
  <c r="AC76" i="7" s="1"/>
  <c r="AD70" i="7" s="1"/>
  <c r="AD76" i="7" s="1"/>
  <c r="AN63" i="7"/>
  <c r="T33" i="7"/>
  <c r="Y32" i="7"/>
  <c r="P33" i="7"/>
  <c r="R32" i="7"/>
  <c r="C51" i="53"/>
  <c r="C51" i="73" s="1"/>
  <c r="K18" i="53"/>
  <c r="N18" i="73" s="1"/>
  <c r="S18" i="53"/>
  <c r="Y18" i="73" s="1"/>
  <c r="W18" i="53"/>
  <c r="X18" i="53"/>
  <c r="O18" i="53"/>
  <c r="P18" i="53"/>
  <c r="L74" i="7" l="1"/>
  <c r="L73" i="7" s="1"/>
  <c r="L75" i="7" s="1"/>
  <c r="S74" i="7"/>
  <c r="S73" i="7" s="1"/>
  <c r="S75" i="7" s="1"/>
  <c r="E74" i="7"/>
  <c r="E73" i="7" s="1"/>
  <c r="E75" i="7" s="1"/>
  <c r="AG74" i="7"/>
  <c r="AG73" i="7" s="1"/>
  <c r="AG75" i="7" s="1"/>
  <c r="Z74" i="7"/>
  <c r="Z73" i="7" s="1"/>
  <c r="Z75" i="7" s="1"/>
  <c r="J117" i="67"/>
  <c r="AO29" i="7"/>
  <c r="E33" i="7"/>
  <c r="AN32" i="7"/>
  <c r="J133" i="67"/>
  <c r="J142" i="67"/>
  <c r="J109" i="67"/>
  <c r="K138" i="67"/>
  <c r="K105" i="67"/>
  <c r="K146" i="67"/>
  <c r="K113" i="67"/>
  <c r="I33" i="7"/>
  <c r="AQ29" i="7"/>
  <c r="AP59" i="7"/>
  <c r="K144" i="67"/>
  <c r="P42" i="67"/>
  <c r="P38" i="67"/>
  <c r="P40" i="67"/>
  <c r="P39" i="67"/>
  <c r="P36" i="67"/>
  <c r="P37" i="67"/>
  <c r="P41" i="67"/>
  <c r="P32" i="67"/>
  <c r="P29" i="67"/>
  <c r="P35" i="67"/>
  <c r="P44" i="67"/>
  <c r="P28" i="67"/>
  <c r="P33" i="67"/>
  <c r="P31" i="67"/>
  <c r="P30" i="67"/>
  <c r="P34" i="67"/>
  <c r="O123" i="67"/>
  <c r="O124" i="67"/>
  <c r="P43" i="67"/>
  <c r="AP70" i="7"/>
  <c r="K152" i="67"/>
  <c r="O128" i="67"/>
  <c r="N129" i="67"/>
  <c r="J129" i="67"/>
  <c r="U109" i="67"/>
  <c r="Z101" i="67"/>
  <c r="Y33" i="7"/>
  <c r="AO74" i="7"/>
  <c r="K117" i="67" s="1"/>
  <c r="AF33" i="7"/>
  <c r="G32" i="7"/>
  <c r="AP31" i="7"/>
  <c r="AA32" i="7"/>
  <c r="AC58" i="53"/>
  <c r="V83" i="67" s="1"/>
  <c r="R33" i="7"/>
  <c r="AJ59" i="7"/>
  <c r="AJ65" i="7" s="1"/>
  <c r="AK59" i="7" s="1"/>
  <c r="AK65" i="7" s="1"/>
  <c r="AO31" i="7"/>
  <c r="D32" i="7"/>
  <c r="AM31" i="7"/>
  <c r="AM32" i="7" s="1"/>
  <c r="BB55" i="73"/>
  <c r="G24" i="20"/>
  <c r="BC55" i="73"/>
  <c r="AM88" i="53"/>
  <c r="AB32" i="7"/>
  <c r="AD58" i="53"/>
  <c r="W83" i="67" s="1"/>
  <c r="W33" i="7"/>
  <c r="AN33" i="7"/>
  <c r="U70" i="7"/>
  <c r="U76" i="7" s="1"/>
  <c r="V70" i="7" s="1"/>
  <c r="V76" i="7" s="1"/>
  <c r="W70" i="7" s="1"/>
  <c r="W76" i="7" s="1"/>
  <c r="AK55" i="53"/>
  <c r="V101" i="67" s="1"/>
  <c r="V109" i="67" s="1"/>
  <c r="V110" i="67" s="1"/>
  <c r="AX58" i="73"/>
  <c r="AY58" i="73"/>
  <c r="AR31" i="7"/>
  <c r="I32" i="7"/>
  <c r="AK70" i="7"/>
  <c r="AK76" i="7" s="1"/>
  <c r="G33" i="7"/>
  <c r="AN55" i="53"/>
  <c r="Y101" i="67" s="1"/>
  <c r="AP58" i="53"/>
  <c r="AO58" i="53"/>
  <c r="BD58" i="73"/>
  <c r="BE58" i="73"/>
  <c r="AH58" i="53"/>
  <c r="AS58" i="73"/>
  <c r="AT58" i="73"/>
  <c r="AF55" i="53"/>
  <c r="Y80" i="67" s="1"/>
  <c r="AG58" i="53"/>
  <c r="AV55" i="73"/>
  <c r="D24" i="20"/>
  <c r="AW55" i="73"/>
  <c r="AJ88" i="53"/>
  <c r="AR58" i="73"/>
  <c r="AQ58" i="73"/>
  <c r="AE55" i="53"/>
  <c r="X80" i="67" s="1"/>
  <c r="X88" i="67" s="1"/>
  <c r="X89" i="67" s="1"/>
  <c r="AB55" i="53"/>
  <c r="U80" i="67" s="1"/>
  <c r="AL58" i="73"/>
  <c r="AK58" i="73"/>
  <c r="AL55" i="53"/>
  <c r="W101" i="67" s="1"/>
  <c r="W109" i="67" s="1"/>
  <c r="W110" i="67" s="1"/>
  <c r="BA58" i="73"/>
  <c r="AZ58" i="73"/>
  <c r="AQ31" i="7"/>
  <c r="H32" i="7"/>
  <c r="L63" i="7"/>
  <c r="L62" i="7" s="1"/>
  <c r="L64" i="7" s="1"/>
  <c r="Z63" i="7"/>
  <c r="Z62" i="7" s="1"/>
  <c r="Z64" i="7" s="1"/>
  <c r="S63" i="7"/>
  <c r="S62" i="7" s="1"/>
  <c r="S64" i="7" s="1"/>
  <c r="E63" i="7"/>
  <c r="E62" i="7" s="1"/>
  <c r="E64" i="7" s="1"/>
  <c r="AG63" i="7"/>
  <c r="AG62" i="7" s="1"/>
  <c r="AG64" i="7" s="1"/>
  <c r="D33" i="7"/>
  <c r="AL33" i="7"/>
  <c r="AL32" i="7"/>
  <c r="AO63" i="7"/>
  <c r="AA33" i="7"/>
  <c r="AF18" i="73"/>
  <c r="AG18" i="73"/>
  <c r="X18" i="73"/>
  <c r="W18" i="73"/>
  <c r="V18" i="73"/>
  <c r="U18" i="73"/>
  <c r="AH18" i="73"/>
  <c r="AI18" i="73"/>
  <c r="R18" i="53"/>
  <c r="Q18" i="53"/>
  <c r="Y18" i="53"/>
  <c r="Z18" i="53"/>
  <c r="L18" i="53"/>
  <c r="T18" i="53"/>
  <c r="H18" i="53"/>
  <c r="C18" i="53"/>
  <c r="C18" i="73" s="1"/>
  <c r="M18" i="53"/>
  <c r="N18" i="53"/>
  <c r="U18" i="53"/>
  <c r="V18" i="53"/>
  <c r="T12" i="67"/>
  <c r="E18" i="53"/>
  <c r="G18" i="53"/>
  <c r="AR32" i="7" l="1"/>
  <c r="N133" i="67"/>
  <c r="N134" i="67" s="1"/>
  <c r="AO32" i="7"/>
  <c r="K133" i="67"/>
  <c r="K134" i="67" s="1"/>
  <c r="L146" i="67"/>
  <c r="L113" i="67"/>
  <c r="AP32" i="7"/>
  <c r="L133" i="67"/>
  <c r="L134" i="67" s="1"/>
  <c r="L138" i="67"/>
  <c r="L105" i="67"/>
  <c r="AQ32" i="7"/>
  <c r="M133" i="67"/>
  <c r="M134" i="67" s="1"/>
  <c r="J134" i="67"/>
  <c r="K142" i="67"/>
  <c r="K109" i="67"/>
  <c r="AP33" i="7"/>
  <c r="AP76" i="7"/>
  <c r="L119" i="67" s="1"/>
  <c r="AP65" i="7"/>
  <c r="AP63" i="7" s="1"/>
  <c r="F74" i="7"/>
  <c r="F73" i="7" s="1"/>
  <c r="F75" i="7" s="1"/>
  <c r="K150" i="67"/>
  <c r="O129" i="67"/>
  <c r="Z80" i="67"/>
  <c r="U88" i="67"/>
  <c r="Y88" i="67"/>
  <c r="AA80" i="67"/>
  <c r="AA101" i="67"/>
  <c r="Y109" i="67"/>
  <c r="U110" i="67"/>
  <c r="Z110" i="67" s="1"/>
  <c r="Z109" i="67"/>
  <c r="T74" i="7"/>
  <c r="T73" i="7" s="1"/>
  <c r="T75" i="7" s="1"/>
  <c r="AA74" i="7"/>
  <c r="AA73" i="7" s="1"/>
  <c r="AA75" i="7" s="1"/>
  <c r="M74" i="7"/>
  <c r="M73" i="7" s="1"/>
  <c r="M75" i="7" s="1"/>
  <c r="AH74" i="7"/>
  <c r="AH73" i="7" s="1"/>
  <c r="AH75" i="7" s="1"/>
  <c r="AQ33" i="7"/>
  <c r="AR33" i="7"/>
  <c r="T63" i="7"/>
  <c r="T62" i="7" s="1"/>
  <c r="T64" i="7" s="1"/>
  <c r="AA63" i="7"/>
  <c r="AA62" i="7" s="1"/>
  <c r="AA64" i="7" s="1"/>
  <c r="F63" i="7"/>
  <c r="F62" i="7" s="1"/>
  <c r="F64" i="7" s="1"/>
  <c r="AH63" i="7"/>
  <c r="AH62" i="7" s="1"/>
  <c r="AH64" i="7" s="1"/>
  <c r="M63" i="7"/>
  <c r="M62" i="7" s="1"/>
  <c r="M64" i="7" s="1"/>
  <c r="AP58" i="73"/>
  <c r="AO58" i="73"/>
  <c r="AD55" i="53"/>
  <c r="W80" i="67" s="1"/>
  <c r="W88" i="67" s="1"/>
  <c r="W89" i="67" s="1"/>
  <c r="AK55" i="73"/>
  <c r="D21" i="20"/>
  <c r="AL55" i="73"/>
  <c r="AB88" i="53"/>
  <c r="AJ91" i="53"/>
  <c r="AJ93" i="53" s="1"/>
  <c r="D41" i="17"/>
  <c r="AS26" i="67" s="1"/>
  <c r="AW88" i="73"/>
  <c r="AJ95" i="53"/>
  <c r="AV88" i="73"/>
  <c r="D23" i="20"/>
  <c r="D22" i="20" s="1"/>
  <c r="D29" i="20" s="1"/>
  <c r="BC88" i="73"/>
  <c r="G41" i="17"/>
  <c r="AV26" i="67" s="1"/>
  <c r="BB88" i="73"/>
  <c r="G23" i="20"/>
  <c r="G22" i="20" s="1"/>
  <c r="G29" i="20" s="1"/>
  <c r="AM95" i="53"/>
  <c r="AM91" i="53"/>
  <c r="AM93" i="53" s="1"/>
  <c r="BA55" i="73"/>
  <c r="AZ55" i="73"/>
  <c r="F24" i="20"/>
  <c r="AL88" i="53"/>
  <c r="AR55" i="73"/>
  <c r="G21" i="20"/>
  <c r="AQ55" i="73"/>
  <c r="AE88" i="53"/>
  <c r="AS55" i="73"/>
  <c r="H21" i="20"/>
  <c r="AT55" i="73"/>
  <c r="AG55" i="53"/>
  <c r="AH55" i="53"/>
  <c r="AF88" i="53"/>
  <c r="H24" i="20"/>
  <c r="BD55" i="73"/>
  <c r="AO55" i="53"/>
  <c r="AP55" i="53"/>
  <c r="BE55" i="73"/>
  <c r="AN88" i="53"/>
  <c r="AY55" i="73"/>
  <c r="AX55" i="73"/>
  <c r="E24" i="20"/>
  <c r="AK88" i="53"/>
  <c r="AM58" i="73"/>
  <c r="AN58" i="73"/>
  <c r="AC55" i="53"/>
  <c r="V80" i="67" s="1"/>
  <c r="V88" i="67" s="1"/>
  <c r="V89" i="67" s="1"/>
  <c r="AM33" i="7"/>
  <c r="AO33" i="7"/>
  <c r="C63" i="73"/>
  <c r="AE18" i="73"/>
  <c r="AD18" i="73"/>
  <c r="AB18" i="73"/>
  <c r="AC18" i="73"/>
  <c r="T18" i="73"/>
  <c r="S18" i="73"/>
  <c r="Z18" i="73"/>
  <c r="AA18" i="73"/>
  <c r="Q18" i="73"/>
  <c r="R18" i="73"/>
  <c r="P18" i="73"/>
  <c r="O18" i="73"/>
  <c r="J18" i="73"/>
  <c r="K18" i="73"/>
  <c r="M18" i="73"/>
  <c r="L18" i="73"/>
  <c r="F18" i="73"/>
  <c r="G18" i="73"/>
  <c r="J18" i="53"/>
  <c r="I18" i="53"/>
  <c r="D18" i="53"/>
  <c r="F18" i="53"/>
  <c r="AP74" i="7" l="1"/>
  <c r="L150" i="67" s="1"/>
  <c r="AQ70" i="7"/>
  <c r="M146" i="67" s="1"/>
  <c r="L142" i="67"/>
  <c r="L109" i="67"/>
  <c r="AQ59" i="7"/>
  <c r="L111" i="67"/>
  <c r="O133" i="67"/>
  <c r="O134" i="67" s="1"/>
  <c r="L152" i="67"/>
  <c r="BC93" i="73"/>
  <c r="BB93" i="73"/>
  <c r="AV93" i="73"/>
  <c r="AW93" i="73"/>
  <c r="L144" i="67"/>
  <c r="Y89" i="67"/>
  <c r="AA89" i="67" s="1"/>
  <c r="AA88" i="67"/>
  <c r="Y110" i="67"/>
  <c r="AA110" i="67" s="1"/>
  <c r="AA109" i="67"/>
  <c r="U89" i="67"/>
  <c r="Z89" i="67" s="1"/>
  <c r="Z88" i="67"/>
  <c r="BB95" i="73"/>
  <c r="BC95" i="73"/>
  <c r="AV95" i="73"/>
  <c r="AW95" i="73"/>
  <c r="F133" i="1"/>
  <c r="D20" i="20"/>
  <c r="D19" i="20" s="1"/>
  <c r="D28" i="20" s="1"/>
  <c r="AL88" i="73"/>
  <c r="D35" i="17"/>
  <c r="AS21" i="67" s="1"/>
  <c r="AK88" i="73"/>
  <c r="AB95" i="53"/>
  <c r="AB91" i="53"/>
  <c r="AB93" i="53" s="1"/>
  <c r="AI63" i="7"/>
  <c r="AI62" i="7" s="1"/>
  <c r="AI64" i="7" s="1"/>
  <c r="AB63" i="7"/>
  <c r="AB62" i="7" s="1"/>
  <c r="AB64" i="7" s="1"/>
  <c r="N63" i="7"/>
  <c r="N62" i="7" s="1"/>
  <c r="N64" i="7" s="1"/>
  <c r="U63" i="7"/>
  <c r="U62" i="7" s="1"/>
  <c r="U64" i="7" s="1"/>
  <c r="G63" i="7"/>
  <c r="G62" i="7" s="1"/>
  <c r="G64" i="7" s="1"/>
  <c r="AN55" i="73"/>
  <c r="AM55" i="73"/>
  <c r="E21" i="20"/>
  <c r="AC88" i="53"/>
  <c r="AY88" i="73"/>
  <c r="E23" i="20"/>
  <c r="E22" i="20" s="1"/>
  <c r="E29" i="20" s="1"/>
  <c r="E41" i="17"/>
  <c r="AT26" i="67" s="1"/>
  <c r="AK95" i="53"/>
  <c r="AK91" i="53"/>
  <c r="AK93" i="53" s="1"/>
  <c r="AX88" i="73"/>
  <c r="AN95" i="53"/>
  <c r="BE88" i="73"/>
  <c r="H23" i="20"/>
  <c r="H22" i="20" s="1"/>
  <c r="H29" i="20" s="1"/>
  <c r="AO88" i="53"/>
  <c r="BD88" i="73"/>
  <c r="AP88" i="53"/>
  <c r="AN91" i="53"/>
  <c r="AN93" i="53" s="1"/>
  <c r="H41" i="17"/>
  <c r="AW26" i="67" s="1"/>
  <c r="AR88" i="73"/>
  <c r="I133" i="1"/>
  <c r="AE91" i="53"/>
  <c r="AE93" i="53" s="1"/>
  <c r="G35" i="17"/>
  <c r="AV21" i="67" s="1"/>
  <c r="G20" i="20"/>
  <c r="G19" i="20" s="1"/>
  <c r="G28" i="20" s="1"/>
  <c r="AQ88" i="73"/>
  <c r="AE95" i="53"/>
  <c r="AL95" i="53"/>
  <c r="BA88" i="73"/>
  <c r="AZ88" i="73"/>
  <c r="F23" i="20"/>
  <c r="F22" i="20" s="1"/>
  <c r="F29" i="20" s="1"/>
  <c r="F41" i="17"/>
  <c r="AU26" i="67" s="1"/>
  <c r="AL91" i="53"/>
  <c r="AL93" i="53" s="1"/>
  <c r="AT88" i="73"/>
  <c r="H35" i="17"/>
  <c r="AW21" i="67" s="1"/>
  <c r="AG88" i="53"/>
  <c r="AF91" i="53"/>
  <c r="AF93" i="53" s="1"/>
  <c r="AH88" i="53"/>
  <c r="AS88" i="73"/>
  <c r="J133" i="1"/>
  <c r="H20" i="20"/>
  <c r="H19" i="20" s="1"/>
  <c r="H28" i="20" s="1"/>
  <c r="AF95" i="53"/>
  <c r="BC91" i="73"/>
  <c r="BB91" i="73"/>
  <c r="AV91" i="73"/>
  <c r="AW91" i="73"/>
  <c r="AP55" i="73"/>
  <c r="AO55" i="73"/>
  <c r="F21" i="20"/>
  <c r="AD88" i="53"/>
  <c r="I18" i="73"/>
  <c r="H18" i="73"/>
  <c r="E18" i="73"/>
  <c r="D18" i="73"/>
  <c r="U74" i="7" l="1"/>
  <c r="U73" i="7" s="1"/>
  <c r="U75" i="7" s="1"/>
  <c r="AB74" i="7"/>
  <c r="AB73" i="7" s="1"/>
  <c r="AB75" i="7" s="1"/>
  <c r="AI74" i="7"/>
  <c r="AI73" i="7" s="1"/>
  <c r="AI75" i="7" s="1"/>
  <c r="N74" i="7"/>
  <c r="N73" i="7" s="1"/>
  <c r="N75" i="7" s="1"/>
  <c r="L117" i="67"/>
  <c r="G74" i="7"/>
  <c r="G73" i="7" s="1"/>
  <c r="G75" i="7" s="1"/>
  <c r="AQ76" i="7"/>
  <c r="AQ74" i="7" s="1"/>
  <c r="M117" i="67" s="1"/>
  <c r="M113" i="67"/>
  <c r="M138" i="67"/>
  <c r="M105" i="67"/>
  <c r="AQ65" i="7"/>
  <c r="AR59" i="7" s="1"/>
  <c r="AR65" i="7" s="1"/>
  <c r="N111" i="67" s="1"/>
  <c r="BA93" i="73"/>
  <c r="AZ93" i="73"/>
  <c r="BE93" i="73"/>
  <c r="AO93" i="53"/>
  <c r="BD93" i="73"/>
  <c r="AP93" i="53"/>
  <c r="AX93" i="73"/>
  <c r="AY93" i="73"/>
  <c r="AR93" i="73"/>
  <c r="AQ93" i="73"/>
  <c r="AS93" i="73"/>
  <c r="AG93" i="53"/>
  <c r="AH93" i="53"/>
  <c r="AT93" i="73"/>
  <c r="AL93" i="73"/>
  <c r="AK93" i="73"/>
  <c r="AP88" i="73"/>
  <c r="AD95" i="53"/>
  <c r="AD91" i="53"/>
  <c r="AD93" i="53" s="1"/>
  <c r="H133" i="1"/>
  <c r="F20" i="20"/>
  <c r="F19" i="20" s="1"/>
  <c r="F28" i="20" s="1"/>
  <c r="F35" i="17"/>
  <c r="AU21" i="67" s="1"/>
  <c r="AO88" i="73"/>
  <c r="AX95" i="73"/>
  <c r="AY95" i="73"/>
  <c r="AM88" i="73"/>
  <c r="G133" i="1"/>
  <c r="E20" i="20"/>
  <c r="E19" i="20" s="1"/>
  <c r="E28" i="20" s="1"/>
  <c r="AC91" i="53"/>
  <c r="AC93" i="53" s="1"/>
  <c r="AC95" i="53"/>
  <c r="E35" i="17"/>
  <c r="AT21" i="67" s="1"/>
  <c r="AN88" i="73"/>
  <c r="AV92" i="73"/>
  <c r="AW92" i="73"/>
  <c r="BC92" i="73"/>
  <c r="BB92" i="73"/>
  <c r="BA91" i="73"/>
  <c r="AZ91" i="73"/>
  <c r="AO95" i="53"/>
  <c r="BE95" i="73"/>
  <c r="BD95" i="73"/>
  <c r="AP95" i="53"/>
  <c r="AK91" i="73"/>
  <c r="AL91" i="73"/>
  <c r="AH95" i="53"/>
  <c r="AS95" i="73"/>
  <c r="AT95" i="73"/>
  <c r="AG95" i="53"/>
  <c r="BA95" i="73"/>
  <c r="AZ95" i="73"/>
  <c r="AL95" i="73"/>
  <c r="AK95" i="73"/>
  <c r="AG91" i="53"/>
  <c r="AT91" i="73"/>
  <c r="AS91" i="73"/>
  <c r="AH91" i="53"/>
  <c r="AR95" i="73"/>
  <c r="AQ95" i="73"/>
  <c r="AQ91" i="73"/>
  <c r="AR91" i="73"/>
  <c r="AP91" i="53"/>
  <c r="AO91" i="53"/>
  <c r="BE91" i="73"/>
  <c r="BD91" i="73"/>
  <c r="AY91" i="73"/>
  <c r="AX91" i="73"/>
  <c r="F82" i="1"/>
  <c r="I82" i="1"/>
  <c r="J82" i="1"/>
  <c r="F83" i="1"/>
  <c r="I83" i="1"/>
  <c r="J83" i="1"/>
  <c r="D26" i="58"/>
  <c r="D25" i="58"/>
  <c r="D9" i="58"/>
  <c r="AC74" i="7" l="1"/>
  <c r="AC73" i="7" s="1"/>
  <c r="AC75" i="7" s="1"/>
  <c r="M152" i="67"/>
  <c r="M119" i="67"/>
  <c r="AJ74" i="7"/>
  <c r="AJ73" i="7" s="1"/>
  <c r="AJ75" i="7" s="1"/>
  <c r="AR70" i="7"/>
  <c r="N113" i="67" s="1"/>
  <c r="V74" i="7"/>
  <c r="V73" i="7" s="1"/>
  <c r="V75" i="7" s="1"/>
  <c r="M150" i="67"/>
  <c r="H74" i="7"/>
  <c r="H73" i="7" s="1"/>
  <c r="H75" i="7" s="1"/>
  <c r="O74" i="7"/>
  <c r="O73" i="7" s="1"/>
  <c r="O75" i="7" s="1"/>
  <c r="AQ63" i="7"/>
  <c r="F25" i="2"/>
  <c r="AC20" i="78" s="1"/>
  <c r="AR63" i="7"/>
  <c r="N109" i="67" s="1"/>
  <c r="J25" i="2"/>
  <c r="N144" i="67"/>
  <c r="N138" i="67"/>
  <c r="N105" i="67"/>
  <c r="I25" i="2"/>
  <c r="M144" i="67"/>
  <c r="M111" i="67"/>
  <c r="AO93" i="73"/>
  <c r="AP93" i="73"/>
  <c r="AM93" i="73"/>
  <c r="AN93" i="73"/>
  <c r="AN95" i="73"/>
  <c r="AM95" i="73"/>
  <c r="AK92" i="73"/>
  <c r="AL92" i="73"/>
  <c r="BF92" i="53"/>
  <c r="AX92" i="53"/>
  <c r="AN91" i="73"/>
  <c r="AM91" i="73"/>
  <c r="AP91" i="73"/>
  <c r="AO91" i="73"/>
  <c r="AQ92" i="73"/>
  <c r="BA92" i="53"/>
  <c r="AR92" i="73"/>
  <c r="AP95" i="73"/>
  <c r="AO95" i="73"/>
  <c r="BA92" i="73"/>
  <c r="AZ92" i="73"/>
  <c r="AY92" i="73"/>
  <c r="AX92" i="73"/>
  <c r="BD92" i="73"/>
  <c r="AP92" i="53"/>
  <c r="AO92" i="53"/>
  <c r="BE92" i="73"/>
  <c r="BB92" i="53"/>
  <c r="AS92" i="73"/>
  <c r="AT92" i="73"/>
  <c r="E11" i="58"/>
  <c r="F10" i="58"/>
  <c r="F34" i="58" s="1"/>
  <c r="E10" i="58"/>
  <c r="D32" i="58"/>
  <c r="C81" i="78" s="1"/>
  <c r="D24" i="58"/>
  <c r="F32" i="58"/>
  <c r="E81" i="78" s="1"/>
  <c r="N146" i="67" l="1"/>
  <c r="AR76" i="7"/>
  <c r="N119" i="67" s="1"/>
  <c r="AJ63" i="7"/>
  <c r="AJ62" i="7" s="1"/>
  <c r="AJ64" i="7" s="1"/>
  <c r="M142" i="67"/>
  <c r="AC63" i="7"/>
  <c r="AC62" i="7" s="1"/>
  <c r="AC64" i="7" s="1"/>
  <c r="M109" i="67"/>
  <c r="V63" i="7"/>
  <c r="V62" i="7" s="1"/>
  <c r="V64" i="7" s="1"/>
  <c r="O63" i="7"/>
  <c r="O62" i="7" s="1"/>
  <c r="O64" i="7" s="1"/>
  <c r="H63" i="7"/>
  <c r="H62" i="7" s="1"/>
  <c r="H64" i="7" s="1"/>
  <c r="Q25" i="2"/>
  <c r="R25" i="2"/>
  <c r="W63" i="7"/>
  <c r="W62" i="7" s="1"/>
  <c r="W64" i="7" s="1"/>
  <c r="AK63" i="7"/>
  <c r="AK62" i="7" s="1"/>
  <c r="AK64" i="7" s="1"/>
  <c r="I63" i="7"/>
  <c r="I62" i="7" s="1"/>
  <c r="I64" i="7" s="1"/>
  <c r="N142" i="67"/>
  <c r="AD63" i="7"/>
  <c r="AD62" i="7" s="1"/>
  <c r="AD64" i="7" s="1"/>
  <c r="P63" i="7"/>
  <c r="P62" i="7" s="1"/>
  <c r="P64" i="7" s="1"/>
  <c r="AF20" i="78"/>
  <c r="T25" i="2"/>
  <c r="AG20" i="78"/>
  <c r="U25" i="2"/>
  <c r="V25" i="2"/>
  <c r="BD92" i="53"/>
  <c r="BC92" i="53"/>
  <c r="AP92" i="73"/>
  <c r="BH92" i="53"/>
  <c r="AZ92" i="53"/>
  <c r="AO92" i="73"/>
  <c r="AN92" i="73"/>
  <c r="BG92" i="53"/>
  <c r="AY92" i="53"/>
  <c r="AM92" i="73"/>
  <c r="E9" i="58"/>
  <c r="E24" i="58" s="1"/>
  <c r="E25" i="58"/>
  <c r="E34" i="58"/>
  <c r="E35" i="58"/>
  <c r="E26" i="58"/>
  <c r="F11" i="58" s="1"/>
  <c r="F35" i="58" s="1"/>
  <c r="F33" i="58" s="1"/>
  <c r="F25" i="58"/>
  <c r="G10" i="58" s="1"/>
  <c r="G34" i="58" s="1"/>
  <c r="N152" i="67" l="1"/>
  <c r="AR74" i="7"/>
  <c r="N117" i="67" s="1"/>
  <c r="F26" i="58"/>
  <c r="G11" i="58" s="1"/>
  <c r="G35" i="58" s="1"/>
  <c r="G33" i="58" s="1"/>
  <c r="F9" i="58"/>
  <c r="F24" i="58" s="1"/>
  <c r="E33" i="58"/>
  <c r="G25" i="58"/>
  <c r="H10" i="58" s="1"/>
  <c r="H34" i="58" s="1"/>
  <c r="G9" i="58" l="1"/>
  <c r="N150" i="67"/>
  <c r="I74" i="7"/>
  <c r="I73" i="7" s="1"/>
  <c r="I75" i="7" s="1"/>
  <c r="AK74" i="7"/>
  <c r="AK73" i="7" s="1"/>
  <c r="AK75" i="7" s="1"/>
  <c r="W74" i="7"/>
  <c r="W73" i="7" s="1"/>
  <c r="W75" i="7" s="1"/>
  <c r="AD74" i="7"/>
  <c r="AD73" i="7" s="1"/>
  <c r="AD75" i="7" s="1"/>
  <c r="P74" i="7"/>
  <c r="P73" i="7" s="1"/>
  <c r="P75" i="7" s="1"/>
  <c r="H25" i="58"/>
  <c r="I10" i="58" s="1"/>
  <c r="I34" i="58" s="1"/>
  <c r="G19" i="58" l="1"/>
  <c r="G26" i="58"/>
  <c r="H11" i="58" s="1"/>
  <c r="I25" i="58"/>
  <c r="J10" i="58" s="1"/>
  <c r="J34" i="58" s="1"/>
  <c r="G39" i="58" l="1"/>
  <c r="G42" i="58" s="1"/>
  <c r="F85" i="78" s="1"/>
  <c r="F78" i="78"/>
  <c r="F80" i="78" s="1"/>
  <c r="H9" i="58"/>
  <c r="H26" i="58" s="1"/>
  <c r="I11" i="58" s="1"/>
  <c r="H35" i="58"/>
  <c r="H33" i="58" s="1"/>
  <c r="G32" i="58"/>
  <c r="F81" i="78" s="1"/>
  <c r="G24" i="58"/>
  <c r="H19" i="58"/>
  <c r="J25" i="58"/>
  <c r="H39" i="58" l="1"/>
  <c r="H42" i="58" s="1"/>
  <c r="G85" i="78" s="1"/>
  <c r="G78" i="78"/>
  <c r="G80" i="78" s="1"/>
  <c r="I9" i="58"/>
  <c r="I26" i="58" s="1"/>
  <c r="J11" i="58" s="1"/>
  <c r="J35" i="58" s="1"/>
  <c r="J33" i="58" s="1"/>
  <c r="I35" i="58"/>
  <c r="I33" i="58" s="1"/>
  <c r="G37" i="58"/>
  <c r="G40" i="58"/>
  <c r="H32" i="58"/>
  <c r="G81" i="78" s="1"/>
  <c r="H24" i="58"/>
  <c r="D14" i="16"/>
  <c r="AL23" i="79" s="1"/>
  <c r="H37" i="58" l="1"/>
  <c r="H40" i="58"/>
  <c r="I19" i="58"/>
  <c r="I32" i="58" s="1"/>
  <c r="H81" i="78" s="1"/>
  <c r="J9" i="58"/>
  <c r="E14" i="16"/>
  <c r="AM23" i="79" s="1"/>
  <c r="D16" i="16"/>
  <c r="AL25" i="79" s="1"/>
  <c r="I39" i="58" l="1"/>
  <c r="I42" i="58" s="1"/>
  <c r="H78" i="78"/>
  <c r="H80" i="78" s="1"/>
  <c r="I24" i="58"/>
  <c r="F14" i="16"/>
  <c r="AN23" i="79" s="1"/>
  <c r="E16" i="16"/>
  <c r="AM25" i="79" s="1"/>
  <c r="I37" i="58" l="1"/>
  <c r="I40" i="58"/>
  <c r="H85" i="78"/>
  <c r="J19" i="58"/>
  <c r="J39" i="58" s="1"/>
  <c r="J42" i="58" s="1"/>
  <c r="J26" i="58"/>
  <c r="G14" i="16"/>
  <c r="AO23" i="79" s="1"/>
  <c r="F16" i="16"/>
  <c r="AN25" i="79" s="1"/>
  <c r="J40" i="58" l="1"/>
  <c r="J37" i="58"/>
  <c r="J32" i="58"/>
  <c r="J24" i="58"/>
  <c r="H14" i="16"/>
  <c r="AP23" i="79" s="1"/>
  <c r="G16" i="16"/>
  <c r="AO25" i="79" s="1"/>
  <c r="I14" i="16" l="1"/>
  <c r="H16" i="16"/>
  <c r="AP25" i="79" s="1"/>
  <c r="I16" i="16" l="1"/>
  <c r="AQ25" i="79" s="1"/>
  <c r="AQ23" i="79"/>
  <c r="G1" i="49"/>
  <c r="H1" i="20" s="1"/>
  <c r="H1" i="21" s="1"/>
  <c r="H1" i="22" s="1"/>
  <c r="U83" i="53" l="1"/>
  <c r="F83" i="53"/>
  <c r="W83" i="53"/>
  <c r="T83" i="53"/>
  <c r="W70" i="53"/>
  <c r="X55" i="67" s="1"/>
  <c r="D70" i="53"/>
  <c r="U13" i="67" s="1"/>
  <c r="P70" i="53"/>
  <c r="Y34" i="67" s="1"/>
  <c r="O70" i="53"/>
  <c r="X34" i="67" s="1"/>
  <c r="F70" i="53"/>
  <c r="W13" i="67" s="1"/>
  <c r="V51" i="53"/>
  <c r="U51" i="53"/>
  <c r="F51" i="53"/>
  <c r="W51" i="53"/>
  <c r="N51" i="53"/>
  <c r="U38" i="53"/>
  <c r="O38" i="53"/>
  <c r="F38" i="53"/>
  <c r="U25" i="53"/>
  <c r="W25" i="53"/>
  <c r="T25" i="53"/>
  <c r="H25" i="53"/>
  <c r="V12" i="53"/>
  <c r="P12" i="53"/>
  <c r="W12" i="53"/>
  <c r="N12" i="53"/>
  <c r="E12" i="53"/>
  <c r="M83" i="53"/>
  <c r="AV83" i="53"/>
  <c r="AV76" i="53" s="1"/>
  <c r="AU83" i="53"/>
  <c r="AU76" i="53" s="1"/>
  <c r="AT83" i="53"/>
  <c r="AT76" i="53" s="1"/>
  <c r="AS83" i="53"/>
  <c r="AS76" i="53" s="1"/>
  <c r="AR83" i="53"/>
  <c r="AR76" i="53" s="1"/>
  <c r="AQ83" i="53"/>
  <c r="AQ76" i="53" s="1"/>
  <c r="S83" i="53"/>
  <c r="K83" i="53"/>
  <c r="C83" i="53"/>
  <c r="V70" i="53"/>
  <c r="W55" i="67" s="1"/>
  <c r="AV70" i="53"/>
  <c r="AU70" i="53"/>
  <c r="AT70" i="53"/>
  <c r="AS70" i="53"/>
  <c r="AR70" i="53"/>
  <c r="AQ70" i="53"/>
  <c r="S70" i="53"/>
  <c r="K70" i="53"/>
  <c r="C70" i="53"/>
  <c r="T13" i="67" s="1"/>
  <c r="X54" i="67"/>
  <c r="T33" i="67"/>
  <c r="AV59" i="53"/>
  <c r="AU59" i="53"/>
  <c r="AT59" i="53"/>
  <c r="AS59" i="53"/>
  <c r="AR59" i="53"/>
  <c r="AQ59" i="53"/>
  <c r="S59" i="53"/>
  <c r="AV55" i="53"/>
  <c r="AU55" i="53"/>
  <c r="AT55" i="53"/>
  <c r="AS55" i="53"/>
  <c r="AR55" i="53"/>
  <c r="AQ55" i="53"/>
  <c r="E51" i="53"/>
  <c r="AV51" i="53"/>
  <c r="AU51" i="53"/>
  <c r="AT51" i="53"/>
  <c r="AS51" i="53"/>
  <c r="AR51" i="53"/>
  <c r="AQ51" i="53"/>
  <c r="S51" i="53"/>
  <c r="Y51" i="73" s="1"/>
  <c r="K51" i="53"/>
  <c r="N51" i="73" s="1"/>
  <c r="M38" i="53"/>
  <c r="AV38" i="53"/>
  <c r="AU38" i="53"/>
  <c r="AT38" i="53"/>
  <c r="AS38" i="53"/>
  <c r="AR38" i="53"/>
  <c r="AQ38" i="53"/>
  <c r="S38" i="53"/>
  <c r="Y38" i="73" s="1"/>
  <c r="K38" i="53"/>
  <c r="N38" i="73" s="1"/>
  <c r="D38" i="53"/>
  <c r="C38" i="53"/>
  <c r="AV25" i="53"/>
  <c r="AU25" i="53"/>
  <c r="AT25" i="53"/>
  <c r="AS25" i="53"/>
  <c r="AR25" i="53"/>
  <c r="S25" i="53"/>
  <c r="Y25" i="73" s="1"/>
  <c r="K25" i="53"/>
  <c r="N25" i="73" s="1"/>
  <c r="C25" i="53"/>
  <c r="C25" i="73" s="1"/>
  <c r="AV12" i="53"/>
  <c r="AU12" i="53"/>
  <c r="AT12" i="53"/>
  <c r="AS12" i="53"/>
  <c r="AR12" i="53"/>
  <c r="AQ12" i="53"/>
  <c r="AQ89" i="53" s="1"/>
  <c r="S12" i="53"/>
  <c r="Y12" i="73" s="1"/>
  <c r="K12" i="53"/>
  <c r="N12" i="73" s="1"/>
  <c r="C12" i="53"/>
  <c r="C12" i="73" s="1"/>
  <c r="P10" i="53"/>
  <c r="O10" i="53"/>
  <c r="N10" i="53"/>
  <c r="M10" i="53"/>
  <c r="L10" i="53"/>
  <c r="K10" i="53"/>
  <c r="Y70" i="73" l="1"/>
  <c r="T55" i="67"/>
  <c r="Z13" i="67"/>
  <c r="N70" i="73"/>
  <c r="T34" i="67"/>
  <c r="AA34" i="67" s="1"/>
  <c r="Y59" i="73"/>
  <c r="T53" i="67"/>
  <c r="Y63" i="73"/>
  <c r="T54" i="67"/>
  <c r="T123" i="67" s="1"/>
  <c r="C70" i="73"/>
  <c r="B30" i="47"/>
  <c r="N63" i="73"/>
  <c r="B26" i="47"/>
  <c r="B24" i="48" s="1"/>
  <c r="E38" i="73"/>
  <c r="D38" i="73"/>
  <c r="C76" i="53"/>
  <c r="T14" i="67" s="1"/>
  <c r="C83" i="73"/>
  <c r="AF12" i="73"/>
  <c r="AG12" i="73"/>
  <c r="V38" i="73"/>
  <c r="U38" i="73"/>
  <c r="I51" i="73"/>
  <c r="H51" i="73"/>
  <c r="U70" i="73"/>
  <c r="V104" i="73" s="1"/>
  <c r="V70" i="73"/>
  <c r="Z83" i="73"/>
  <c r="AA83" i="73"/>
  <c r="R38" i="73"/>
  <c r="Q38" i="73"/>
  <c r="K76" i="53"/>
  <c r="N83" i="73"/>
  <c r="M76" i="53"/>
  <c r="V35" i="67" s="1"/>
  <c r="Q83" i="73"/>
  <c r="R83" i="73"/>
  <c r="W12" i="73"/>
  <c r="X12" i="73"/>
  <c r="AB38" i="73"/>
  <c r="AC38" i="73"/>
  <c r="AB51" i="73"/>
  <c r="AC51" i="73"/>
  <c r="X70" i="73"/>
  <c r="W70" i="73"/>
  <c r="X104" i="73" s="1"/>
  <c r="AF83" i="73"/>
  <c r="AG83" i="73"/>
  <c r="G51" i="73"/>
  <c r="F51" i="73"/>
  <c r="AD70" i="73"/>
  <c r="AE104" i="73" s="1"/>
  <c r="AE70" i="73"/>
  <c r="S76" i="53"/>
  <c r="Y83" i="73"/>
  <c r="AD12" i="73"/>
  <c r="AE12" i="73"/>
  <c r="T51" i="73"/>
  <c r="S51" i="73"/>
  <c r="AD51" i="73"/>
  <c r="AE51" i="73"/>
  <c r="E70" i="73"/>
  <c r="D70" i="73"/>
  <c r="E104" i="73" s="1"/>
  <c r="I83" i="73"/>
  <c r="H83" i="73"/>
  <c r="C29" i="53"/>
  <c r="C38" i="73"/>
  <c r="S12" i="73"/>
  <c r="T12" i="73"/>
  <c r="I38" i="73"/>
  <c r="H38" i="73"/>
  <c r="AF51" i="73"/>
  <c r="AG51" i="73"/>
  <c r="I70" i="73"/>
  <c r="H70" i="73"/>
  <c r="I104" i="73" s="1"/>
  <c r="AF70" i="73"/>
  <c r="AG104" i="73" s="1"/>
  <c r="AG70" i="73"/>
  <c r="U76" i="53"/>
  <c r="V56" i="67" s="1"/>
  <c r="AB83" i="73"/>
  <c r="AC83" i="73"/>
  <c r="AA25" i="73"/>
  <c r="Z25" i="73"/>
  <c r="AF25" i="73"/>
  <c r="AG25" i="73"/>
  <c r="AB25" i="73"/>
  <c r="AC25" i="73"/>
  <c r="AF63" i="73"/>
  <c r="AG103" i="73" s="1"/>
  <c r="AG63" i="73"/>
  <c r="C89" i="53"/>
  <c r="T21" i="67" s="1"/>
  <c r="N89" i="53"/>
  <c r="W42" i="67" s="1"/>
  <c r="M25" i="73"/>
  <c r="L25" i="73"/>
  <c r="F12" i="73"/>
  <c r="G12" i="73"/>
  <c r="F29" i="53"/>
  <c r="W6" i="67" s="1"/>
  <c r="S100" i="53"/>
  <c r="S111" i="53" s="1"/>
  <c r="J25" i="53"/>
  <c r="I25" i="53"/>
  <c r="R70" i="53"/>
  <c r="Q70" i="53"/>
  <c r="R12" i="53"/>
  <c r="Q12" i="53"/>
  <c r="AR29" i="53"/>
  <c r="AV29" i="53"/>
  <c r="AU29" i="53"/>
  <c r="K29" i="53"/>
  <c r="U29" i="53"/>
  <c r="V48" i="67" s="1"/>
  <c r="S29" i="53"/>
  <c r="AQ29" i="53"/>
  <c r="AT29" i="53"/>
  <c r="AS29" i="53"/>
  <c r="K89" i="53"/>
  <c r="S89" i="53"/>
  <c r="S57" i="53"/>
  <c r="C57" i="53"/>
  <c r="K57" i="53"/>
  <c r="V10" i="53"/>
  <c r="AD10" i="53" s="1"/>
  <c r="N98" i="53"/>
  <c r="W10" i="53"/>
  <c r="AE10" i="53" s="1"/>
  <c r="O98" i="53"/>
  <c r="U10" i="53"/>
  <c r="AC10" i="53" s="1"/>
  <c r="M98" i="53"/>
  <c r="S10" i="53"/>
  <c r="AA10" i="53" s="1"/>
  <c r="K98" i="53"/>
  <c r="T10" i="53"/>
  <c r="AB10" i="53" s="1"/>
  <c r="L98" i="53"/>
  <c r="X10" i="53"/>
  <c r="AF10" i="53" s="1"/>
  <c r="P98" i="53"/>
  <c r="S11" i="53"/>
  <c r="O12" i="53"/>
  <c r="U12" i="53"/>
  <c r="M12" i="53"/>
  <c r="E25" i="53"/>
  <c r="O25" i="53"/>
  <c r="M25" i="53"/>
  <c r="G38" i="53"/>
  <c r="W38" i="53"/>
  <c r="E38" i="53"/>
  <c r="O51" i="53"/>
  <c r="G51" i="53"/>
  <c r="M51" i="53"/>
  <c r="V33" i="67"/>
  <c r="X33" i="67"/>
  <c r="V54" i="67"/>
  <c r="G70" i="53"/>
  <c r="M70" i="53"/>
  <c r="V34" i="67" s="1"/>
  <c r="E70" i="53"/>
  <c r="V13" i="67" s="1"/>
  <c r="U70" i="53"/>
  <c r="V55" i="67" s="1"/>
  <c r="E83" i="53"/>
  <c r="O83" i="53"/>
  <c r="G83" i="53"/>
  <c r="AQ11" i="53"/>
  <c r="F12" i="53"/>
  <c r="L12" i="53"/>
  <c r="D12" i="53"/>
  <c r="H12" i="53"/>
  <c r="T12" i="53"/>
  <c r="X12" i="53"/>
  <c r="F25" i="53"/>
  <c r="L25" i="53"/>
  <c r="P25" i="53"/>
  <c r="V25" i="53"/>
  <c r="D25" i="53"/>
  <c r="T38" i="53"/>
  <c r="U54" i="67"/>
  <c r="N70" i="53"/>
  <c r="N25" i="53"/>
  <c r="X25" i="53"/>
  <c r="P89" i="53"/>
  <c r="Y42" i="67" s="1"/>
  <c r="H38" i="53"/>
  <c r="N38" i="53"/>
  <c r="X38" i="53"/>
  <c r="L38" i="53"/>
  <c r="P38" i="53"/>
  <c r="V38" i="53"/>
  <c r="L51" i="53"/>
  <c r="P51" i="53"/>
  <c r="D51" i="53"/>
  <c r="H51" i="53"/>
  <c r="T51" i="53"/>
  <c r="X51" i="53"/>
  <c r="W33" i="67"/>
  <c r="Y54" i="67"/>
  <c r="U33" i="67"/>
  <c r="Z33" i="67" s="1"/>
  <c r="Y33" i="67"/>
  <c r="AA33" i="67" s="1"/>
  <c r="W54" i="67"/>
  <c r="H70" i="53"/>
  <c r="Y13" i="67" s="1"/>
  <c r="T70" i="53"/>
  <c r="U55" i="67" s="1"/>
  <c r="Z55" i="67" s="1"/>
  <c r="X70" i="53"/>
  <c r="Y55" i="67" s="1"/>
  <c r="L70" i="53"/>
  <c r="U34" i="67" s="1"/>
  <c r="Z34" i="67" s="1"/>
  <c r="T76" i="53"/>
  <c r="U56" i="67" s="1"/>
  <c r="F76" i="53"/>
  <c r="W14" i="67" s="1"/>
  <c r="L83" i="53"/>
  <c r="P83" i="53"/>
  <c r="V83" i="53"/>
  <c r="D83" i="53"/>
  <c r="H83" i="53"/>
  <c r="N83" i="53"/>
  <c r="X83" i="53"/>
  <c r="G25" i="53"/>
  <c r="G12" i="53"/>
  <c r="W76" i="53"/>
  <c r="X56" i="67" s="1"/>
  <c r="AA55" i="67" l="1"/>
  <c r="V124" i="67"/>
  <c r="F30" i="47"/>
  <c r="X13" i="67"/>
  <c r="X124" i="67" s="1"/>
  <c r="Y89" i="73"/>
  <c r="T63" i="67"/>
  <c r="T124" i="67"/>
  <c r="N57" i="73"/>
  <c r="T30" i="67"/>
  <c r="N89" i="73"/>
  <c r="T42" i="67"/>
  <c r="AA42" i="67" s="1"/>
  <c r="Y124" i="67"/>
  <c r="AA13" i="67"/>
  <c r="C57" i="73"/>
  <c r="T9" i="67"/>
  <c r="N76" i="73"/>
  <c r="T35" i="67"/>
  <c r="U124" i="67"/>
  <c r="E30" i="47"/>
  <c r="W34" i="67"/>
  <c r="W124" i="67" s="1"/>
  <c r="Y57" i="73"/>
  <c r="T51" i="67"/>
  <c r="Y76" i="73"/>
  <c r="T56" i="67"/>
  <c r="Z56" i="67" s="1"/>
  <c r="Z54" i="67"/>
  <c r="AA54" i="67"/>
  <c r="Y29" i="73"/>
  <c r="T48" i="67"/>
  <c r="Y11" i="73"/>
  <c r="T47" i="67"/>
  <c r="N29" i="73"/>
  <c r="T27" i="67"/>
  <c r="C29" i="73"/>
  <c r="T6" i="67"/>
  <c r="C76" i="73"/>
  <c r="B31" i="47"/>
  <c r="B28" i="48" s="1"/>
  <c r="C30" i="47"/>
  <c r="G30" i="47"/>
  <c r="D30" i="47"/>
  <c r="B24" i="47"/>
  <c r="B22" i="48" s="1"/>
  <c r="C99" i="53"/>
  <c r="C110" i="53" s="1"/>
  <c r="D29" i="53"/>
  <c r="E51" i="73"/>
  <c r="D51" i="73"/>
  <c r="T70" i="73"/>
  <c r="S70" i="73"/>
  <c r="T104" i="73" s="1"/>
  <c r="AH12" i="73"/>
  <c r="AI12" i="73"/>
  <c r="O76" i="53"/>
  <c r="X35" i="67" s="1"/>
  <c r="U83" i="73"/>
  <c r="V83" i="73"/>
  <c r="M83" i="73"/>
  <c r="L83" i="73"/>
  <c r="L76" i="53"/>
  <c r="U35" i="67" s="1"/>
  <c r="P83" i="73"/>
  <c r="O83" i="73"/>
  <c r="AH70" i="73"/>
  <c r="AI104" i="73" s="1"/>
  <c r="AI70" i="73"/>
  <c r="AH51" i="73"/>
  <c r="AI51" i="73"/>
  <c r="X51" i="73"/>
  <c r="W51" i="73"/>
  <c r="O38" i="73"/>
  <c r="P38" i="73"/>
  <c r="W89" i="73"/>
  <c r="X89" i="73"/>
  <c r="Z12" i="73"/>
  <c r="AA12" i="73"/>
  <c r="E76" i="53"/>
  <c r="G83" i="73"/>
  <c r="F83" i="73"/>
  <c r="K70" i="73"/>
  <c r="J70" i="73"/>
  <c r="K104" i="73" s="1"/>
  <c r="Q51" i="73"/>
  <c r="R51" i="73"/>
  <c r="W29" i="53"/>
  <c r="AF38" i="73"/>
  <c r="AG38" i="73"/>
  <c r="AB76" i="73"/>
  <c r="AC105" i="73" s="1"/>
  <c r="AC76" i="73"/>
  <c r="N76" i="53"/>
  <c r="W35" i="67" s="1"/>
  <c r="T83" i="73"/>
  <c r="S83" i="73"/>
  <c r="R76" i="73"/>
  <c r="Q76" i="73"/>
  <c r="R105" i="73" s="1"/>
  <c r="P70" i="73"/>
  <c r="O70" i="73"/>
  <c r="P104" i="73" s="1"/>
  <c r="W38" i="73"/>
  <c r="X38" i="73"/>
  <c r="D76" i="53"/>
  <c r="E83" i="73"/>
  <c r="D83" i="73"/>
  <c r="H76" i="73"/>
  <c r="I105" i="73" s="1"/>
  <c r="I76" i="73"/>
  <c r="Z70" i="73"/>
  <c r="AA104" i="73" s="1"/>
  <c r="AA70" i="73"/>
  <c r="Z51" i="73"/>
  <c r="AA51" i="73"/>
  <c r="P51" i="73"/>
  <c r="O51" i="73"/>
  <c r="AH38" i="73"/>
  <c r="AI38" i="73"/>
  <c r="Z38" i="73"/>
  <c r="AA38" i="73"/>
  <c r="AB70" i="73"/>
  <c r="AC104" i="73" s="1"/>
  <c r="AC70" i="73"/>
  <c r="J51" i="73"/>
  <c r="K51" i="73"/>
  <c r="K38" i="73"/>
  <c r="J38" i="73"/>
  <c r="R12" i="73"/>
  <c r="Q12" i="73"/>
  <c r="AF76" i="73"/>
  <c r="AG105" i="73" s="1"/>
  <c r="AG76" i="73"/>
  <c r="AH83" i="73"/>
  <c r="AI83" i="73"/>
  <c r="V76" i="53"/>
  <c r="W56" i="67" s="1"/>
  <c r="AD83" i="73"/>
  <c r="AE83" i="73"/>
  <c r="Z76" i="73"/>
  <c r="AA105" i="73" s="1"/>
  <c r="AA76" i="73"/>
  <c r="M70" i="73"/>
  <c r="L70" i="73"/>
  <c r="M104" i="73" s="1"/>
  <c r="M51" i="73"/>
  <c r="L51" i="73"/>
  <c r="V29" i="53"/>
  <c r="AD38" i="73"/>
  <c r="AE38" i="73"/>
  <c r="S38" i="73"/>
  <c r="T38" i="73"/>
  <c r="G76" i="53"/>
  <c r="X14" i="67" s="1"/>
  <c r="X125" i="67" s="1"/>
  <c r="K83" i="73"/>
  <c r="J83" i="73"/>
  <c r="F70" i="73"/>
  <c r="G104" i="73" s="1"/>
  <c r="G70" i="73"/>
  <c r="U51" i="73"/>
  <c r="V51" i="73"/>
  <c r="AC12" i="73"/>
  <c r="AB12" i="73"/>
  <c r="N102" i="53"/>
  <c r="N113" i="53" s="1"/>
  <c r="S89" i="73"/>
  <c r="T89" i="73"/>
  <c r="X83" i="73"/>
  <c r="W83" i="73"/>
  <c r="M38" i="73"/>
  <c r="L38" i="73"/>
  <c r="O12" i="73"/>
  <c r="P12" i="73"/>
  <c r="Q70" i="73"/>
  <c r="R104" i="73" s="1"/>
  <c r="R70" i="73"/>
  <c r="F38" i="73"/>
  <c r="G38" i="73"/>
  <c r="V12" i="73"/>
  <c r="U12" i="73"/>
  <c r="T25" i="73"/>
  <c r="S25" i="73"/>
  <c r="Q25" i="73"/>
  <c r="R25" i="73"/>
  <c r="AE25" i="73"/>
  <c r="AD25" i="73"/>
  <c r="U25" i="73"/>
  <c r="V25" i="73"/>
  <c r="W25" i="73"/>
  <c r="X25" i="73"/>
  <c r="AI25" i="73"/>
  <c r="AH25" i="73"/>
  <c r="O25" i="73"/>
  <c r="P25" i="73"/>
  <c r="W63" i="73"/>
  <c r="X103" i="73" s="1"/>
  <c r="X63" i="73"/>
  <c r="AA63" i="73"/>
  <c r="Z63" i="73"/>
  <c r="AA103" i="73" s="1"/>
  <c r="F99" i="53"/>
  <c r="F110" i="53" s="1"/>
  <c r="I29" i="73"/>
  <c r="H29" i="73"/>
  <c r="I101" i="73" s="1"/>
  <c r="AI63" i="73"/>
  <c r="AH63" i="73"/>
  <c r="AI103" i="73" s="1"/>
  <c r="U63" i="73"/>
  <c r="V103" i="73" s="1"/>
  <c r="V63" i="73"/>
  <c r="AB29" i="73"/>
  <c r="AC101" i="73" s="1"/>
  <c r="AC29" i="73"/>
  <c r="O63" i="73"/>
  <c r="P103" i="73" s="1"/>
  <c r="P63" i="73"/>
  <c r="AB63" i="73"/>
  <c r="AC103" i="73" s="1"/>
  <c r="AC63" i="73"/>
  <c r="AE63" i="73"/>
  <c r="AD63" i="73"/>
  <c r="AE103" i="73" s="1"/>
  <c r="S63" i="73"/>
  <c r="T103" i="73" s="1"/>
  <c r="T63" i="73"/>
  <c r="Q63" i="73"/>
  <c r="R103" i="73" s="1"/>
  <c r="R63" i="73"/>
  <c r="C102" i="53"/>
  <c r="C113" i="53" s="1"/>
  <c r="C89" i="73"/>
  <c r="J12" i="73"/>
  <c r="K12" i="73"/>
  <c r="F25" i="73"/>
  <c r="G25" i="73"/>
  <c r="I12" i="73"/>
  <c r="H12" i="73"/>
  <c r="M12" i="73"/>
  <c r="L12" i="73"/>
  <c r="J25" i="73"/>
  <c r="K25" i="73"/>
  <c r="I25" i="73"/>
  <c r="H25" i="73"/>
  <c r="BC57" i="53"/>
  <c r="AW57" i="53"/>
  <c r="X76" i="53"/>
  <c r="Y56" i="67" s="1"/>
  <c r="Z83" i="53"/>
  <c r="Y83" i="53"/>
  <c r="Z63" i="53"/>
  <c r="Y63" i="53"/>
  <c r="Z25" i="53"/>
  <c r="Y25" i="53"/>
  <c r="J12" i="53"/>
  <c r="I12" i="53"/>
  <c r="P76" i="53"/>
  <c r="Y35" i="67" s="1"/>
  <c r="AA35" i="67" s="1"/>
  <c r="R83" i="53"/>
  <c r="Q83" i="53"/>
  <c r="R38" i="53"/>
  <c r="Q38" i="53"/>
  <c r="J38" i="53"/>
  <c r="I38" i="53"/>
  <c r="D25" i="73"/>
  <c r="E25" i="73"/>
  <c r="E12" i="73"/>
  <c r="D12" i="73"/>
  <c r="J70" i="53"/>
  <c r="I70" i="53"/>
  <c r="J51" i="53"/>
  <c r="I51" i="53"/>
  <c r="H76" i="53"/>
  <c r="Y14" i="67" s="1"/>
  <c r="J83" i="53"/>
  <c r="I83" i="53"/>
  <c r="Y70" i="53"/>
  <c r="Z70" i="53"/>
  <c r="R63" i="53"/>
  <c r="Q63" i="53"/>
  <c r="Z51" i="53"/>
  <c r="Y51" i="53"/>
  <c r="R51" i="53"/>
  <c r="Q51" i="53"/>
  <c r="P102" i="53"/>
  <c r="P113" i="53" s="1"/>
  <c r="R89" i="53"/>
  <c r="Q89" i="53"/>
  <c r="Y12" i="53"/>
  <c r="Z12" i="53"/>
  <c r="Y38" i="53"/>
  <c r="Z38" i="53"/>
  <c r="R25" i="53"/>
  <c r="Q25" i="53"/>
  <c r="U99" i="53"/>
  <c r="U110" i="53" s="1"/>
  <c r="S102" i="53"/>
  <c r="S113" i="53" s="1"/>
  <c r="K99" i="53"/>
  <c r="K110" i="53" s="1"/>
  <c r="K102" i="53"/>
  <c r="K113" i="53" s="1"/>
  <c r="S99" i="53"/>
  <c r="S110" i="53" s="1"/>
  <c r="AJ10" i="53"/>
  <c r="AK10" i="53"/>
  <c r="AN10" i="53"/>
  <c r="AI10" i="53"/>
  <c r="AM10" i="53"/>
  <c r="AL10" i="53"/>
  <c r="L29" i="53"/>
  <c r="U27" i="67" s="1"/>
  <c r="G29" i="53"/>
  <c r="X6" i="67" s="1"/>
  <c r="O29" i="53"/>
  <c r="X27" i="67" s="1"/>
  <c r="N29" i="53"/>
  <c r="W27" i="67" s="1"/>
  <c r="M29" i="53"/>
  <c r="V27" i="67" s="1"/>
  <c r="X29" i="53"/>
  <c r="Y48" i="67" s="1"/>
  <c r="P29" i="53"/>
  <c r="Y27" i="67" s="1"/>
  <c r="H29" i="53"/>
  <c r="Y6" i="67" s="1"/>
  <c r="T29" i="53"/>
  <c r="U48" i="67" s="1"/>
  <c r="E29" i="53"/>
  <c r="V6" i="67" s="1"/>
  <c r="L89" i="53"/>
  <c r="U42" i="67" s="1"/>
  <c r="Z42" i="67" s="1"/>
  <c r="M89" i="53"/>
  <c r="V42" i="67" s="1"/>
  <c r="O89" i="53"/>
  <c r="X42" i="67" s="1"/>
  <c r="K56" i="53"/>
  <c r="T29" i="67" s="1"/>
  <c r="S56" i="53"/>
  <c r="C56" i="53"/>
  <c r="AV10" i="53"/>
  <c r="X98" i="53"/>
  <c r="AQ10" i="53"/>
  <c r="S98" i="53"/>
  <c r="AU10" i="53"/>
  <c r="W98" i="53"/>
  <c r="AT10" i="53"/>
  <c r="V98" i="53"/>
  <c r="AR10" i="53"/>
  <c r="T98" i="53"/>
  <c r="AS10" i="53"/>
  <c r="U98" i="53"/>
  <c r="AQ88" i="53"/>
  <c r="C46" i="5"/>
  <c r="AK145" i="41" s="1"/>
  <c r="A3" i="35"/>
  <c r="A4" i="5" s="1"/>
  <c r="C42" i="5"/>
  <c r="AK141" i="41" s="1"/>
  <c r="Z35" i="67" l="1"/>
  <c r="Z48" i="67"/>
  <c r="Z124" i="67"/>
  <c r="AA56" i="67"/>
  <c r="W125" i="67"/>
  <c r="T125" i="67"/>
  <c r="T120" i="67"/>
  <c r="AA14" i="67"/>
  <c r="Y125" i="67"/>
  <c r="D31" i="47"/>
  <c r="D28" i="48" s="1"/>
  <c r="V14" i="67"/>
  <c r="V125" i="67" s="1"/>
  <c r="C56" i="73"/>
  <c r="T8" i="67"/>
  <c r="T132" i="67"/>
  <c r="C31" i="47"/>
  <c r="C28" i="48" s="1"/>
  <c r="U14" i="67"/>
  <c r="AA124" i="67"/>
  <c r="Z27" i="67"/>
  <c r="AA27" i="67"/>
  <c r="Y117" i="67"/>
  <c r="AA6" i="67"/>
  <c r="AF29" i="73"/>
  <c r="AG101" i="73" s="1"/>
  <c r="X48" i="67"/>
  <c r="X117" i="67" s="1"/>
  <c r="V117" i="67"/>
  <c r="AA48" i="67"/>
  <c r="AD29" i="73"/>
  <c r="AE101" i="73" s="1"/>
  <c r="W48" i="67"/>
  <c r="W117" i="67" s="1"/>
  <c r="E29" i="73"/>
  <c r="U6" i="67"/>
  <c r="T117" i="67"/>
  <c r="Y56" i="73"/>
  <c r="T50" i="67"/>
  <c r="E24" i="47"/>
  <c r="E22" i="48" s="1"/>
  <c r="W99" i="53"/>
  <c r="W110" i="53" s="1"/>
  <c r="F31" i="47"/>
  <c r="F28" i="48" s="1"/>
  <c r="G31" i="47"/>
  <c r="G28" i="48" s="1"/>
  <c r="E31" i="47"/>
  <c r="E28" i="48" s="1"/>
  <c r="D29" i="73"/>
  <c r="E101" i="73" s="1"/>
  <c r="AQ95" i="53"/>
  <c r="B32" i="47"/>
  <c r="B29" i="48" s="1"/>
  <c r="A4" i="39"/>
  <c r="A4" i="41"/>
  <c r="A5" i="7"/>
  <c r="A4" i="47"/>
  <c r="D24" i="47"/>
  <c r="D22" i="48" s="1"/>
  <c r="F24" i="47"/>
  <c r="F22" i="48" s="1"/>
  <c r="AE29" i="73"/>
  <c r="AG29" i="73"/>
  <c r="G24" i="47"/>
  <c r="G22" i="48" s="1"/>
  <c r="D99" i="53"/>
  <c r="D110" i="53" s="1"/>
  <c r="C24" i="47"/>
  <c r="C22" i="48" s="1"/>
  <c r="A4" i="74"/>
  <c r="A4" i="73"/>
  <c r="A4" i="77"/>
  <c r="A4" i="48"/>
  <c r="V99" i="53"/>
  <c r="V110" i="53" s="1"/>
  <c r="V89" i="73"/>
  <c r="U89" i="73"/>
  <c r="R89" i="73"/>
  <c r="Q89" i="73"/>
  <c r="K76" i="73"/>
  <c r="J76" i="73"/>
  <c r="K105" i="73" s="1"/>
  <c r="E76" i="73"/>
  <c r="D76" i="73"/>
  <c r="E105" i="73" s="1"/>
  <c r="O89" i="73"/>
  <c r="P89" i="73"/>
  <c r="W76" i="73"/>
  <c r="X105" i="73" s="1"/>
  <c r="X76" i="73"/>
  <c r="AD76" i="73"/>
  <c r="AE105" i="73" s="1"/>
  <c r="AE76" i="73"/>
  <c r="S76" i="73"/>
  <c r="T105" i="73" s="1"/>
  <c r="T76" i="73"/>
  <c r="O76" i="73"/>
  <c r="P105" i="73" s="1"/>
  <c r="P76" i="73"/>
  <c r="M76" i="73"/>
  <c r="L76" i="73"/>
  <c r="M105" i="73" s="1"/>
  <c r="AH76" i="73"/>
  <c r="AI105" i="73" s="1"/>
  <c r="AI76" i="73"/>
  <c r="G76" i="73"/>
  <c r="F76" i="73"/>
  <c r="G105" i="73" s="1"/>
  <c r="V76" i="73"/>
  <c r="U76" i="73"/>
  <c r="V105" i="73" s="1"/>
  <c r="K55" i="53"/>
  <c r="N56" i="73"/>
  <c r="AI29" i="73"/>
  <c r="AH29" i="73"/>
  <c r="AI101" i="73" s="1"/>
  <c r="G99" i="53"/>
  <c r="G110" i="53" s="1"/>
  <c r="K29" i="73"/>
  <c r="J29" i="73"/>
  <c r="K101" i="73" s="1"/>
  <c r="Q29" i="73"/>
  <c r="R101" i="73" s="1"/>
  <c r="R29" i="73"/>
  <c r="W29" i="73"/>
  <c r="X101" i="73" s="1"/>
  <c r="X29" i="73"/>
  <c r="N99" i="53"/>
  <c r="N110" i="53" s="1"/>
  <c r="S29" i="73"/>
  <c r="T101" i="73" s="1"/>
  <c r="T29" i="73"/>
  <c r="AA29" i="73"/>
  <c r="Z29" i="73"/>
  <c r="AA101" i="73" s="1"/>
  <c r="M29" i="73"/>
  <c r="L29" i="73"/>
  <c r="M101" i="73" s="1"/>
  <c r="O29" i="73"/>
  <c r="P101" i="73" s="1"/>
  <c r="P29" i="73"/>
  <c r="E99" i="53"/>
  <c r="E110" i="53" s="1"/>
  <c r="G29" i="73"/>
  <c r="F29" i="73"/>
  <c r="G101" i="73" s="1"/>
  <c r="U29" i="73"/>
  <c r="V101" i="73" s="1"/>
  <c r="V29" i="73"/>
  <c r="A4" i="76"/>
  <c r="BC56" i="53"/>
  <c r="AW56" i="53"/>
  <c r="I76" i="53"/>
  <c r="J76" i="53"/>
  <c r="Z76" i="53"/>
  <c r="Y76" i="53"/>
  <c r="Z29" i="53"/>
  <c r="Y29" i="53"/>
  <c r="H99" i="53"/>
  <c r="H110" i="53" s="1"/>
  <c r="J29" i="53"/>
  <c r="I29" i="53"/>
  <c r="R29" i="53"/>
  <c r="Q29" i="53"/>
  <c r="Q76" i="53"/>
  <c r="R76" i="53"/>
  <c r="O102" i="53"/>
  <c r="O113" i="53" s="1"/>
  <c r="P99" i="53"/>
  <c r="P110" i="53" s="1"/>
  <c r="L99" i="53"/>
  <c r="L110" i="53" s="1"/>
  <c r="M102" i="53"/>
  <c r="M113" i="53" s="1"/>
  <c r="T99" i="53"/>
  <c r="T110" i="53" s="1"/>
  <c r="X99" i="53"/>
  <c r="X110" i="53" s="1"/>
  <c r="O99" i="53"/>
  <c r="O110" i="53" s="1"/>
  <c r="L102" i="53"/>
  <c r="L113" i="53" s="1"/>
  <c r="M99" i="53"/>
  <c r="M110" i="53" s="1"/>
  <c r="A4" i="50"/>
  <c r="A4" i="62"/>
  <c r="A4" i="51"/>
  <c r="AQ91" i="53"/>
  <c r="AQ93" i="53" s="1"/>
  <c r="A4" i="1"/>
  <c r="A4" i="58"/>
  <c r="A4" i="2"/>
  <c r="A4" i="65"/>
  <c r="A4" i="22"/>
  <c r="A4" i="20"/>
  <c r="A4" i="17"/>
  <c r="A4" i="21"/>
  <c r="A4" i="49"/>
  <c r="A3" i="16"/>
  <c r="A4" i="53"/>
  <c r="A4" i="60"/>
  <c r="D23" i="49"/>
  <c r="D37" i="49" s="1"/>
  <c r="D51" i="49" s="1"/>
  <c r="D65" i="49" s="1"/>
  <c r="G23" i="49"/>
  <c r="G37" i="49" s="1"/>
  <c r="G51" i="49" s="1"/>
  <c r="G65" i="49" s="1"/>
  <c r="F23" i="49"/>
  <c r="F37" i="49" s="1"/>
  <c r="F51" i="49" s="1"/>
  <c r="F65" i="49" s="1"/>
  <c r="E23" i="49"/>
  <c r="E37" i="49" s="1"/>
  <c r="E51" i="49" s="1"/>
  <c r="E65" i="49" s="1"/>
  <c r="C23" i="49"/>
  <c r="C37" i="49" s="1"/>
  <c r="C51" i="49" s="1"/>
  <c r="C65" i="49" s="1"/>
  <c r="AA125" i="67" l="1"/>
  <c r="T119" i="67"/>
  <c r="Z14" i="67"/>
  <c r="U125" i="67"/>
  <c r="Z125" i="67" s="1"/>
  <c r="AA117" i="67"/>
  <c r="Z6" i="67"/>
  <c r="U117" i="67"/>
  <c r="Z117" i="67" s="1"/>
  <c r="N55" i="73"/>
  <c r="T28" i="67"/>
  <c r="T57" i="53"/>
  <c r="U51" i="67" s="1"/>
  <c r="Z51" i="67" s="1"/>
  <c r="W57" i="53"/>
  <c r="X51" i="67" s="1"/>
  <c r="O57" i="53"/>
  <c r="X30" i="67" s="1"/>
  <c r="M57" i="53"/>
  <c r="V30" i="67" s="1"/>
  <c r="H57" i="53"/>
  <c r="Y9" i="67" s="1"/>
  <c r="X57" i="53"/>
  <c r="Y51" i="67" s="1"/>
  <c r="AA51" i="67" s="1"/>
  <c r="F57" i="53"/>
  <c r="W9" i="67" s="1"/>
  <c r="L57" i="53"/>
  <c r="U30" i="67" s="1"/>
  <c r="Z30" i="67" s="1"/>
  <c r="E57" i="53"/>
  <c r="V9" i="67" s="1"/>
  <c r="V57" i="53"/>
  <c r="W51" i="67" s="1"/>
  <c r="U57" i="53"/>
  <c r="V51" i="67" s="1"/>
  <c r="G57" i="53"/>
  <c r="X9" i="67" s="1"/>
  <c r="D57" i="53"/>
  <c r="U9" i="67" s="1"/>
  <c r="V120" i="67" l="1"/>
  <c r="X120" i="67"/>
  <c r="Z9" i="67"/>
  <c r="U120" i="67"/>
  <c r="Z120" i="67" s="1"/>
  <c r="AA9" i="67"/>
  <c r="E57" i="73"/>
  <c r="D57" i="73"/>
  <c r="G57" i="73"/>
  <c r="F57" i="73"/>
  <c r="K57" i="73"/>
  <c r="J57" i="73"/>
  <c r="O57" i="73"/>
  <c r="P57" i="73"/>
  <c r="Q57" i="73"/>
  <c r="R57" i="73"/>
  <c r="U57" i="73"/>
  <c r="V57" i="73"/>
  <c r="AC57" i="73"/>
  <c r="AB57" i="73"/>
  <c r="I57" i="73"/>
  <c r="H57" i="73"/>
  <c r="AE57" i="73"/>
  <c r="AD57" i="73"/>
  <c r="AI57" i="73"/>
  <c r="AH57" i="73"/>
  <c r="AG57" i="73"/>
  <c r="AF57" i="73"/>
  <c r="M57" i="73"/>
  <c r="L57" i="73"/>
  <c r="AA57" i="73"/>
  <c r="Z57" i="73"/>
  <c r="BG57" i="53"/>
  <c r="BA57" i="53"/>
  <c r="M130" i="67" s="1"/>
  <c r="M131" i="67" s="1"/>
  <c r="M135" i="67" s="1"/>
  <c r="BF57" i="53"/>
  <c r="BD57" i="53"/>
  <c r="AX57" i="53"/>
  <c r="J130" i="67" s="1"/>
  <c r="BE57" i="53"/>
  <c r="AY57" i="53"/>
  <c r="K130" i="67" s="1"/>
  <c r="K131" i="67" s="1"/>
  <c r="K135" i="67" s="1"/>
  <c r="BH57" i="53"/>
  <c r="Z57" i="53"/>
  <c r="Y57" i="53"/>
  <c r="J57" i="53"/>
  <c r="I57" i="53"/>
  <c r="N57" i="53"/>
  <c r="W30" i="67" s="1"/>
  <c r="W120" i="67" s="1"/>
  <c r="P57" i="53"/>
  <c r="Y30" i="67" s="1"/>
  <c r="AA30" i="67" s="1"/>
  <c r="D43" i="49"/>
  <c r="C43" i="49"/>
  <c r="C29" i="49"/>
  <c r="J131" i="67" l="1"/>
  <c r="Y120" i="67"/>
  <c r="AA120" i="67" s="1"/>
  <c r="BB57" i="53"/>
  <c r="N130" i="67" s="1"/>
  <c r="N131" i="67" s="1"/>
  <c r="N135" i="67" s="1"/>
  <c r="W57" i="73"/>
  <c r="X57" i="73"/>
  <c r="AZ57" i="53"/>
  <c r="L130" i="67" s="1"/>
  <c r="L131" i="67" s="1"/>
  <c r="L135" i="67" s="1"/>
  <c r="S57" i="73"/>
  <c r="T57" i="73"/>
  <c r="R57" i="53"/>
  <c r="Q57" i="53"/>
  <c r="D15" i="49"/>
  <c r="E15" i="49"/>
  <c r="D29" i="49"/>
  <c r="J135" i="67" l="1"/>
  <c r="O135" i="67" s="1"/>
  <c r="O131" i="67"/>
  <c r="O130" i="67"/>
  <c r="E43" i="49"/>
  <c r="E29" i="49"/>
  <c r="G43" i="49"/>
  <c r="F43" i="49"/>
  <c r="F15" i="49" l="1"/>
  <c r="G15" i="49"/>
  <c r="F29" i="49"/>
  <c r="G29" i="49" l="1"/>
  <c r="H10" i="21" l="1"/>
  <c r="G10" i="21"/>
  <c r="F10" i="21"/>
  <c r="E10" i="21"/>
  <c r="D10" i="21"/>
  <c r="H7" i="20"/>
  <c r="G7" i="20"/>
  <c r="F7" i="20"/>
  <c r="E7" i="20"/>
  <c r="D7" i="20"/>
  <c r="H8" i="17"/>
  <c r="H14" i="17" s="1"/>
  <c r="H22" i="17" s="1"/>
  <c r="H33" i="17" s="1"/>
  <c r="H39" i="17" s="1"/>
  <c r="G8" i="17"/>
  <c r="G14" i="17" s="1"/>
  <c r="G22" i="17" s="1"/>
  <c r="G33" i="17" s="1"/>
  <c r="G39" i="17" s="1"/>
  <c r="F8" i="17"/>
  <c r="F14" i="17" s="1"/>
  <c r="F22" i="17" s="1"/>
  <c r="F33" i="17" s="1"/>
  <c r="F39" i="17" s="1"/>
  <c r="E8" i="17"/>
  <c r="E14" i="17" s="1"/>
  <c r="E22" i="17" s="1"/>
  <c r="E33" i="17" s="1"/>
  <c r="E39" i="17" s="1"/>
  <c r="D8" i="17"/>
  <c r="D14" i="17" s="1"/>
  <c r="D22" i="17" s="1"/>
  <c r="D33" i="17" s="1"/>
  <c r="D39" i="17" s="1"/>
  <c r="I7" i="16"/>
  <c r="H7" i="16"/>
  <c r="G7" i="16"/>
  <c r="F7" i="16"/>
  <c r="E7" i="16"/>
  <c r="D7" i="16"/>
  <c r="C7" i="16"/>
  <c r="K7" i="2"/>
  <c r="J7" i="2"/>
  <c r="I7" i="2"/>
  <c r="H7" i="2"/>
  <c r="G7" i="2"/>
  <c r="F7" i="2"/>
  <c r="E7" i="2"/>
  <c r="B81" i="35" l="1"/>
  <c r="A4" i="35"/>
  <c r="A25" i="21" l="1"/>
  <c r="B32" i="20"/>
  <c r="AB113" i="51"/>
  <c r="U151" i="77"/>
  <c r="AK98" i="73"/>
  <c r="AB289" i="50"/>
  <c r="AA180" i="62"/>
  <c r="AC72" i="60"/>
  <c r="AI141" i="41"/>
  <c r="Y81" i="7"/>
  <c r="A5" i="5"/>
  <c r="A5" i="48" s="1"/>
  <c r="A5" i="39"/>
  <c r="A46" i="47"/>
  <c r="B116" i="65"/>
  <c r="A109" i="76"/>
  <c r="C49" i="2"/>
  <c r="A132" i="74"/>
  <c r="A136" i="1"/>
  <c r="B45" i="58"/>
  <c r="B94" i="39"/>
  <c r="A49" i="48"/>
  <c r="A23" i="16"/>
  <c r="B116" i="53"/>
  <c r="B22" i="22"/>
  <c r="B80" i="49"/>
  <c r="B58" i="17"/>
  <c r="B42" i="5"/>
  <c r="E49" i="1"/>
  <c r="E44" i="1"/>
  <c r="E39" i="1"/>
  <c r="E10" i="2" s="1"/>
  <c r="AB5" i="78" s="1"/>
  <c r="A4" i="16" l="1"/>
  <c r="A5" i="53"/>
  <c r="A5" i="50"/>
  <c r="A5" i="60"/>
  <c r="A5" i="77"/>
  <c r="A5" i="1"/>
  <c r="A5" i="58"/>
  <c r="A5" i="21"/>
  <c r="A5" i="22"/>
  <c r="A5" i="51"/>
  <c r="A5" i="17"/>
  <c r="A5" i="76"/>
  <c r="A5" i="74"/>
  <c r="A5" i="2"/>
  <c r="A5" i="49"/>
  <c r="A5" i="20"/>
  <c r="A5" i="65"/>
  <c r="A5" i="73"/>
  <c r="A5" i="62"/>
  <c r="E11" i="2"/>
  <c r="AB6" i="78" s="1"/>
  <c r="A5" i="47"/>
  <c r="A5" i="41"/>
  <c r="I93" i="1"/>
  <c r="G76" i="49" l="1"/>
  <c r="AP41" i="67" s="1"/>
  <c r="G62" i="49"/>
  <c r="AP33" i="67" s="1"/>
  <c r="F18" i="17" l="1"/>
  <c r="E18" i="17"/>
  <c r="H18" i="17"/>
  <c r="D18" i="17"/>
  <c r="G18" i="17"/>
  <c r="C76" i="49" l="1"/>
  <c r="AL41" i="67" s="1"/>
  <c r="C62" i="49"/>
  <c r="AL33" i="67" s="1"/>
  <c r="E76" i="49"/>
  <c r="AN41" i="67" s="1"/>
  <c r="E62" i="49"/>
  <c r="AN33" i="67" s="1"/>
  <c r="F76" i="49"/>
  <c r="AO41" i="67" s="1"/>
  <c r="F62" i="49"/>
  <c r="AO33" i="67" s="1"/>
  <c r="D62" i="49"/>
  <c r="AM33" i="67" s="1"/>
  <c r="D76" i="49"/>
  <c r="AM41" i="67" s="1"/>
  <c r="G93" i="1" l="1"/>
  <c r="H93" i="1"/>
  <c r="J93" i="1"/>
  <c r="G103" i="1"/>
  <c r="H103" i="1"/>
  <c r="I103" i="1"/>
  <c r="J103" i="1"/>
  <c r="G97" i="1" l="1"/>
  <c r="H97" i="1"/>
  <c r="H34" i="2" s="1"/>
  <c r="AE29" i="78" s="1"/>
  <c r="J97" i="1"/>
  <c r="J34" i="2" s="1"/>
  <c r="AG29" i="78" s="1"/>
  <c r="Q34" i="2"/>
  <c r="I97" i="1"/>
  <c r="I34" i="2" s="1"/>
  <c r="AF29" i="78" s="1"/>
  <c r="G34" i="1"/>
  <c r="H34" i="1"/>
  <c r="I34" i="1"/>
  <c r="J34" i="1"/>
  <c r="F39" i="1"/>
  <c r="G39" i="1"/>
  <c r="H39" i="1"/>
  <c r="I39" i="1"/>
  <c r="J39" i="1"/>
  <c r="F44" i="1"/>
  <c r="G44" i="1"/>
  <c r="H44" i="1"/>
  <c r="I44" i="1"/>
  <c r="J44" i="1"/>
  <c r="F49" i="1"/>
  <c r="G49" i="1"/>
  <c r="H49" i="1"/>
  <c r="I49" i="1"/>
  <c r="J49" i="1"/>
  <c r="I17" i="16"/>
  <c r="AQ26" i="79" s="1"/>
  <c r="H17" i="16"/>
  <c r="AP26" i="79" s="1"/>
  <c r="G17" i="16"/>
  <c r="AO26" i="79" s="1"/>
  <c r="F17" i="16"/>
  <c r="AN26" i="79" s="1"/>
  <c r="E17" i="16"/>
  <c r="AM26" i="79" s="1"/>
  <c r="D17" i="16"/>
  <c r="AL26" i="79" s="1"/>
  <c r="C17" i="16"/>
  <c r="AK26" i="79" s="1"/>
  <c r="H26" i="17"/>
  <c r="G26" i="17"/>
  <c r="F26" i="17"/>
  <c r="E26" i="17"/>
  <c r="D26" i="17"/>
  <c r="G10" i="2" l="1"/>
  <c r="G11" i="2"/>
  <c r="AD6" i="78" s="1"/>
  <c r="G34" i="2"/>
  <c r="S34" i="2" s="1"/>
  <c r="J11" i="2"/>
  <c r="AG6" i="78" s="1"/>
  <c r="F11" i="2"/>
  <c r="AC6" i="78" s="1"/>
  <c r="I11" i="2"/>
  <c r="H11" i="2"/>
  <c r="F10" i="2"/>
  <c r="I10" i="2"/>
  <c r="J10" i="2"/>
  <c r="H10" i="2"/>
  <c r="T34" i="2"/>
  <c r="V34" i="2"/>
  <c r="U34" i="2"/>
  <c r="AG5" i="78" l="1"/>
  <c r="U10" i="2"/>
  <c r="V10" i="2"/>
  <c r="AF5" i="78"/>
  <c r="T10" i="2"/>
  <c r="Q11" i="2"/>
  <c r="AE5" i="78"/>
  <c r="S10" i="2"/>
  <c r="S11" i="2"/>
  <c r="AE6" i="78"/>
  <c r="T11" i="2"/>
  <c r="AF6" i="78"/>
  <c r="R34" i="2"/>
  <c r="AD29" i="78"/>
  <c r="AC5" i="78"/>
  <c r="Q10" i="2"/>
  <c r="AD5" i="78"/>
  <c r="R10" i="2"/>
  <c r="V11" i="2"/>
  <c r="U11" i="2"/>
  <c r="R11" i="2"/>
  <c r="AL15" i="67"/>
  <c r="C44" i="49"/>
  <c r="AL23" i="67" s="1"/>
  <c r="AL7" i="67"/>
  <c r="D16" i="49" l="1"/>
  <c r="AM7" i="67" s="1"/>
  <c r="D44" i="49"/>
  <c r="AM23" i="67" s="1"/>
  <c r="AM15" i="67"/>
  <c r="E30" i="49" l="1"/>
  <c r="AN15" i="67" s="1"/>
  <c r="E16" i="49"/>
  <c r="AN7" i="67" s="1"/>
  <c r="E44" i="49"/>
  <c r="AN23" i="67" s="1"/>
  <c r="F44" i="49" l="1"/>
  <c r="AO23" i="67" s="1"/>
  <c r="F16" i="49"/>
  <c r="AO7" i="67" s="1"/>
  <c r="F30" i="49"/>
  <c r="AO15" i="67" s="1"/>
  <c r="G30" i="49" l="1"/>
  <c r="AP15" i="67" s="1"/>
  <c r="G44" i="49"/>
  <c r="AP23" i="67" s="1"/>
  <c r="G16" i="49"/>
  <c r="AP7" i="67" s="1"/>
  <c r="F26" i="47" l="1"/>
  <c r="F24" i="48" s="1"/>
  <c r="X12" i="67"/>
  <c r="X123" i="67" s="1"/>
  <c r="E26" i="47"/>
  <c r="E24" i="48" s="1"/>
  <c r="W12" i="67"/>
  <c r="W123" i="67" s="1"/>
  <c r="G26" i="47"/>
  <c r="G24" i="48" s="1"/>
  <c r="Y12" i="67"/>
  <c r="C26" i="47"/>
  <c r="C24" i="48" s="1"/>
  <c r="U12" i="67"/>
  <c r="D26" i="47"/>
  <c r="D24" i="48" s="1"/>
  <c r="V12" i="67"/>
  <c r="V123" i="67" s="1"/>
  <c r="I63" i="73"/>
  <c r="H63" i="73"/>
  <c r="I103" i="73" s="1"/>
  <c r="G63" i="73"/>
  <c r="F63" i="73"/>
  <c r="G103" i="73" s="1"/>
  <c r="M63" i="73"/>
  <c r="L63" i="73"/>
  <c r="M103" i="73" s="1"/>
  <c r="E63" i="73"/>
  <c r="D63" i="73"/>
  <c r="E103" i="73" s="1"/>
  <c r="K63" i="73"/>
  <c r="J63" i="73"/>
  <c r="K103" i="73" s="1"/>
  <c r="J63" i="53"/>
  <c r="I63" i="53"/>
  <c r="U123" i="67" l="1"/>
  <c r="Z123" i="67" s="1"/>
  <c r="Z12" i="67"/>
  <c r="AA12" i="67"/>
  <c r="Y123" i="67"/>
  <c r="AA123" i="67" s="1"/>
  <c r="C59" i="53"/>
  <c r="T11" i="67" s="1"/>
  <c r="C100" i="53" l="1"/>
  <c r="C111" i="53" s="1"/>
  <c r="C59" i="73"/>
  <c r="K11" i="53"/>
  <c r="N11" i="53"/>
  <c r="W26" i="67" s="1"/>
  <c r="M11" i="53"/>
  <c r="V26" i="67" s="1"/>
  <c r="L11" i="53"/>
  <c r="U26" i="67" s="1"/>
  <c r="P11" i="53"/>
  <c r="Y26" i="67" s="1"/>
  <c r="O11" i="53"/>
  <c r="X26" i="67" s="1"/>
  <c r="N11" i="73" l="1"/>
  <c r="T26" i="67"/>
  <c r="R11" i="73"/>
  <c r="Q11" i="73"/>
  <c r="R100" i="73" s="1"/>
  <c r="W11" i="73"/>
  <c r="X100" i="73" s="1"/>
  <c r="X11" i="73"/>
  <c r="O11" i="73"/>
  <c r="P100" i="73" s="1"/>
  <c r="P11" i="73"/>
  <c r="V11" i="73"/>
  <c r="U11" i="73"/>
  <c r="V100" i="73" s="1"/>
  <c r="S11" i="73"/>
  <c r="T100" i="73" s="1"/>
  <c r="T11" i="73"/>
  <c r="R11" i="53"/>
  <c r="Q11" i="53"/>
  <c r="K59" i="53"/>
  <c r="T32" i="67" s="1"/>
  <c r="T122" i="67" s="1"/>
  <c r="T36" i="67" l="1"/>
  <c r="Z26" i="67"/>
  <c r="AA26" i="67"/>
  <c r="N59" i="73"/>
  <c r="B25" i="47"/>
  <c r="B23" i="48" s="1"/>
  <c r="K100" i="53"/>
  <c r="K111" i="53" s="1"/>
  <c r="K88" i="53"/>
  <c r="K95" i="53" l="1"/>
  <c r="N95" i="73" s="1"/>
  <c r="N88" i="73"/>
  <c r="K91" i="53"/>
  <c r="E87" i="1"/>
  <c r="E29" i="2" s="1"/>
  <c r="AB24" i="78" s="1"/>
  <c r="K93" i="53" l="1"/>
  <c r="N91" i="73"/>
  <c r="C11" i="16"/>
  <c r="C13" i="16" s="1"/>
  <c r="C19" i="16" l="1"/>
  <c r="AK22" i="79"/>
  <c r="N93" i="73"/>
  <c r="T39" i="67"/>
  <c r="P59" i="53"/>
  <c r="Y32" i="67" s="1"/>
  <c r="AA32" i="67" s="1"/>
  <c r="N59" i="53"/>
  <c r="W32" i="67" s="1"/>
  <c r="V59" i="53"/>
  <c r="W53" i="67" s="1"/>
  <c r="M59" i="53"/>
  <c r="V32" i="67" s="1"/>
  <c r="L59" i="53"/>
  <c r="U32" i="67" s="1"/>
  <c r="Z32" i="67" s="1"/>
  <c r="O59" i="53"/>
  <c r="X32" i="67" s="1"/>
  <c r="W59" i="53"/>
  <c r="X53" i="67" s="1"/>
  <c r="X59" i="53"/>
  <c r="Y53" i="67" s="1"/>
  <c r="AA53" i="67" s="1"/>
  <c r="U59" i="53"/>
  <c r="V53" i="67" s="1"/>
  <c r="T59" i="53"/>
  <c r="U53" i="67" s="1"/>
  <c r="Z53" i="67" s="1"/>
  <c r="F59" i="53"/>
  <c r="G59" i="53"/>
  <c r="E59" i="53"/>
  <c r="V11" i="67" s="1"/>
  <c r="D59" i="53"/>
  <c r="U11" i="67" s="1"/>
  <c r="H59" i="53"/>
  <c r="Y11" i="67" s="1"/>
  <c r="V122" i="67" l="1"/>
  <c r="F25" i="47"/>
  <c r="F23" i="48" s="1"/>
  <c r="X11" i="67"/>
  <c r="X122" i="67" s="1"/>
  <c r="U122" i="67"/>
  <c r="Z122" i="67" s="1"/>
  <c r="Z11" i="67"/>
  <c r="Y122" i="67"/>
  <c r="AA122" i="67" s="1"/>
  <c r="AA11" i="67"/>
  <c r="E25" i="47"/>
  <c r="E23" i="48" s="1"/>
  <c r="W11" i="67"/>
  <c r="W122" i="67" s="1"/>
  <c r="C25" i="47"/>
  <c r="C23" i="48" s="1"/>
  <c r="G25" i="47"/>
  <c r="G23" i="48" s="1"/>
  <c r="D25" i="47"/>
  <c r="D23" i="48" s="1"/>
  <c r="G100" i="53"/>
  <c r="G111" i="53" s="1"/>
  <c r="K59" i="73"/>
  <c r="J59" i="73"/>
  <c r="K102" i="73" s="1"/>
  <c r="AE59" i="73"/>
  <c r="AD59" i="73"/>
  <c r="AE102" i="73" s="1"/>
  <c r="AI59" i="73"/>
  <c r="AH59" i="73"/>
  <c r="AI102" i="73" s="1"/>
  <c r="M100" i="53"/>
  <c r="M111" i="53" s="1"/>
  <c r="Q59" i="73"/>
  <c r="R102" i="73" s="1"/>
  <c r="R59" i="73"/>
  <c r="M59" i="73"/>
  <c r="L59" i="73"/>
  <c r="M102" i="73" s="1"/>
  <c r="F100" i="53"/>
  <c r="F111" i="53" s="1"/>
  <c r="I59" i="73"/>
  <c r="H59" i="73"/>
  <c r="I102" i="73" s="1"/>
  <c r="AF59" i="73"/>
  <c r="AG102" i="73" s="1"/>
  <c r="AG59" i="73"/>
  <c r="D100" i="53"/>
  <c r="D111" i="53" s="1"/>
  <c r="E59" i="73"/>
  <c r="D59" i="73"/>
  <c r="E102" i="73" s="1"/>
  <c r="AA59" i="73"/>
  <c r="Z59" i="73"/>
  <c r="AA102" i="73" s="1"/>
  <c r="U59" i="73"/>
  <c r="V102" i="73" s="1"/>
  <c r="V59" i="73"/>
  <c r="N100" i="53"/>
  <c r="N111" i="53" s="1"/>
  <c r="S59" i="73"/>
  <c r="T102" i="73" s="1"/>
  <c r="T59" i="73"/>
  <c r="E100" i="53"/>
  <c r="E111" i="53" s="1"/>
  <c r="G59" i="73"/>
  <c r="F59" i="73"/>
  <c r="G102" i="73" s="1"/>
  <c r="AC59" i="73"/>
  <c r="AB59" i="73"/>
  <c r="AC102" i="73" s="1"/>
  <c r="L100" i="53"/>
  <c r="L111" i="53" s="1"/>
  <c r="O59" i="73"/>
  <c r="P102" i="73" s="1"/>
  <c r="P59" i="73"/>
  <c r="W59" i="73"/>
  <c r="X102" i="73" s="1"/>
  <c r="X59" i="73"/>
  <c r="Z59" i="53"/>
  <c r="Y59" i="53"/>
  <c r="H100" i="53"/>
  <c r="H111" i="53" s="1"/>
  <c r="J59" i="53"/>
  <c r="I59" i="53"/>
  <c r="P100" i="53"/>
  <c r="P111" i="53" s="1"/>
  <c r="R59" i="53"/>
  <c r="Q59" i="53"/>
  <c r="V100" i="53"/>
  <c r="V111" i="53" s="1"/>
  <c r="U100" i="53"/>
  <c r="U111" i="53" s="1"/>
  <c r="T100" i="53"/>
  <c r="T111" i="53" s="1"/>
  <c r="O100" i="53"/>
  <c r="O111" i="53" s="1"/>
  <c r="X100" i="53"/>
  <c r="X111" i="53" s="1"/>
  <c r="W100" i="53"/>
  <c r="W111" i="53" s="1"/>
  <c r="D11" i="16" l="1"/>
  <c r="D13" i="16" s="1"/>
  <c r="AL22" i="79" l="1"/>
  <c r="D19" i="16"/>
  <c r="S55" i="53"/>
  <c r="Y55" i="73" l="1"/>
  <c r="T49" i="67"/>
  <c r="S88" i="53"/>
  <c r="Y88" i="73" s="1"/>
  <c r="T57" i="67" l="1"/>
  <c r="S95" i="53"/>
  <c r="Y95" i="73" s="1"/>
  <c r="S91" i="53"/>
  <c r="S93" i="53" s="1"/>
  <c r="E89" i="1"/>
  <c r="E30" i="2" s="1"/>
  <c r="AB25" i="78" s="1"/>
  <c r="Y91" i="73" l="1"/>
  <c r="C11" i="53"/>
  <c r="T5" i="67" s="1"/>
  <c r="T116" i="67" l="1"/>
  <c r="Y93" i="73"/>
  <c r="T60" i="67"/>
  <c r="C11" i="73"/>
  <c r="B23" i="47"/>
  <c r="B21" i="48" l="1"/>
  <c r="B20" i="48" s="1"/>
  <c r="B19" i="48" s="1"/>
  <c r="T11" i="53"/>
  <c r="U47" i="67" s="1"/>
  <c r="Z47" i="67" s="1"/>
  <c r="T89" i="53"/>
  <c r="U63" i="67" s="1"/>
  <c r="Z63" i="67" s="1"/>
  <c r="U11" i="53"/>
  <c r="V47" i="67" s="1"/>
  <c r="U89" i="53"/>
  <c r="V63" i="67" s="1"/>
  <c r="AB89" i="73" l="1"/>
  <c r="AC89" i="73"/>
  <c r="Z89" i="73"/>
  <c r="AA89" i="73"/>
  <c r="AB11" i="73"/>
  <c r="AC100" i="73" s="1"/>
  <c r="AC11" i="73"/>
  <c r="Z11" i="73"/>
  <c r="AA100" i="73" s="1"/>
  <c r="AA11" i="73"/>
  <c r="U102" i="53"/>
  <c r="U113" i="53" s="1"/>
  <c r="T102" i="53"/>
  <c r="T113" i="53" s="1"/>
  <c r="V89" i="53"/>
  <c r="W63" i="67" s="1"/>
  <c r="V11" i="53"/>
  <c r="W47" i="67" s="1"/>
  <c r="AD89" i="73" l="1"/>
  <c r="AE89" i="73"/>
  <c r="AE11" i="73"/>
  <c r="AD11" i="73"/>
  <c r="AE100" i="73" s="1"/>
  <c r="V102" i="53"/>
  <c r="V113" i="53" s="1"/>
  <c r="W11" i="53"/>
  <c r="X47" i="67" s="1"/>
  <c r="W89" i="53"/>
  <c r="X63" i="67" s="1"/>
  <c r="AF89" i="73" l="1"/>
  <c r="AG89" i="73"/>
  <c r="AG11" i="73"/>
  <c r="AF11" i="73"/>
  <c r="AG100" i="73" s="1"/>
  <c r="W102" i="53"/>
  <c r="W113" i="53" s="1"/>
  <c r="X11" i="53"/>
  <c r="Y47" i="67" s="1"/>
  <c r="AA47" i="67" s="1"/>
  <c r="X89" i="53"/>
  <c r="Y63" i="67" s="1"/>
  <c r="AA63" i="67" s="1"/>
  <c r="E80" i="1"/>
  <c r="E23" i="2" l="1"/>
  <c r="AH89" i="73"/>
  <c r="AI89" i="73"/>
  <c r="AH11" i="73"/>
  <c r="AI100" i="73" s="1"/>
  <c r="AI11" i="73"/>
  <c r="Z89" i="53"/>
  <c r="Y89" i="53"/>
  <c r="Z11" i="53"/>
  <c r="Y11" i="53"/>
  <c r="X102" i="53"/>
  <c r="X113" i="53" s="1"/>
  <c r="F89" i="53"/>
  <c r="W21" i="67" s="1"/>
  <c r="W132" i="67" s="1"/>
  <c r="F11" i="53"/>
  <c r="G89" i="53"/>
  <c r="X21" i="67" s="1"/>
  <c r="X132" i="67" s="1"/>
  <c r="G11" i="53"/>
  <c r="Q23" i="2" l="1"/>
  <c r="AB18" i="78"/>
  <c r="E23" i="47"/>
  <c r="E21" i="48" s="1"/>
  <c r="W5" i="67"/>
  <c r="W116" i="67" s="1"/>
  <c r="F23" i="47"/>
  <c r="F21" i="48" s="1"/>
  <c r="X5" i="67"/>
  <c r="X116" i="67" s="1"/>
  <c r="K89" i="73"/>
  <c r="J89" i="73"/>
  <c r="I89" i="73"/>
  <c r="H89" i="73"/>
  <c r="I11" i="73"/>
  <c r="H11" i="73"/>
  <c r="I100" i="73" s="1"/>
  <c r="J11" i="73"/>
  <c r="K100" i="73" s="1"/>
  <c r="K11" i="73"/>
  <c r="F102" i="53"/>
  <c r="F113" i="53" s="1"/>
  <c r="G102" i="53"/>
  <c r="G113" i="53" s="1"/>
  <c r="D89" i="53"/>
  <c r="U21" i="67" s="1"/>
  <c r="D11" i="53"/>
  <c r="U132" i="67" l="1"/>
  <c r="Z132" i="67" s="1"/>
  <c r="Z21" i="67"/>
  <c r="C23" i="47"/>
  <c r="C21" i="48" s="1"/>
  <c r="U5" i="67"/>
  <c r="E89" i="73"/>
  <c r="D89" i="73"/>
  <c r="D11" i="73"/>
  <c r="E100" i="73" s="1"/>
  <c r="E11" i="73"/>
  <c r="D102" i="53"/>
  <c r="D113" i="53" s="1"/>
  <c r="E89" i="53"/>
  <c r="V21" i="67" s="1"/>
  <c r="V132" i="67" s="1"/>
  <c r="E11" i="53"/>
  <c r="H89" i="53"/>
  <c r="Y21" i="67" s="1"/>
  <c r="H11" i="53"/>
  <c r="Y132" i="67" l="1"/>
  <c r="AA132" i="67" s="1"/>
  <c r="AA21" i="67"/>
  <c r="G23" i="47"/>
  <c r="G21" i="48" s="1"/>
  <c r="Y5" i="67"/>
  <c r="D23" i="47"/>
  <c r="D21" i="48" s="1"/>
  <c r="V5" i="67"/>
  <c r="V116" i="67" s="1"/>
  <c r="Z5" i="67"/>
  <c r="U116" i="67"/>
  <c r="Z116" i="67" s="1"/>
  <c r="G89" i="73"/>
  <c r="F89" i="73"/>
  <c r="M89" i="73"/>
  <c r="L89" i="73"/>
  <c r="M11" i="73"/>
  <c r="L11" i="73"/>
  <c r="M100" i="73" s="1"/>
  <c r="F11" i="73"/>
  <c r="G100" i="73" s="1"/>
  <c r="G11" i="73"/>
  <c r="J11" i="53"/>
  <c r="I11" i="53"/>
  <c r="I89" i="53"/>
  <c r="J89" i="53"/>
  <c r="E102" i="53"/>
  <c r="E113" i="53" s="1"/>
  <c r="H102" i="53"/>
  <c r="H113" i="53" s="1"/>
  <c r="Y116" i="67" l="1"/>
  <c r="AA116" i="67" s="1"/>
  <c r="AA5" i="67"/>
  <c r="AR11" i="53"/>
  <c r="AR88" i="53" s="1"/>
  <c r="AV11" i="53"/>
  <c r="AV88" i="53" s="1"/>
  <c r="AU89" i="53"/>
  <c r="AV95" i="53" l="1"/>
  <c r="G32" i="47"/>
  <c r="AR95" i="53"/>
  <c r="C32" i="47"/>
  <c r="AV91" i="53"/>
  <c r="AV93" i="53" s="1"/>
  <c r="AR91" i="53"/>
  <c r="AR93" i="53" s="1"/>
  <c r="AU11" i="53"/>
  <c r="AU88" i="53" s="1"/>
  <c r="AS11" i="53"/>
  <c r="AS88" i="53" s="1"/>
  <c r="AS89" i="53"/>
  <c r="AV89" i="53"/>
  <c r="AR89" i="53"/>
  <c r="AS95" i="53" l="1"/>
  <c r="D32" i="47"/>
  <c r="C29" i="48"/>
  <c r="C20" i="48" s="1"/>
  <c r="AU95" i="53"/>
  <c r="F32" i="47"/>
  <c r="F29" i="48" s="1"/>
  <c r="G29" i="48"/>
  <c r="G20" i="48" s="1"/>
  <c r="AS91" i="53"/>
  <c r="AS93" i="53" s="1"/>
  <c r="AU91" i="53"/>
  <c r="AU93" i="53" s="1"/>
  <c r="AT89" i="53"/>
  <c r="AT11" i="53"/>
  <c r="AT88" i="53" s="1"/>
  <c r="AT95" i="53" l="1"/>
  <c r="E32" i="47"/>
  <c r="D29" i="48"/>
  <c r="D20" i="48" s="1"/>
  <c r="F20" i="48"/>
  <c r="AT91" i="53"/>
  <c r="AT93" i="53" s="1"/>
  <c r="E29" i="48" l="1"/>
  <c r="E20" i="48" s="1"/>
  <c r="AT46" i="51"/>
  <c r="AT45" i="51" s="1"/>
  <c r="AT11" i="51" s="1"/>
  <c r="AS46" i="51"/>
  <c r="AS45" i="51" s="1"/>
  <c r="AS11" i="51" s="1"/>
  <c r="AR46" i="51"/>
  <c r="AR45" i="51" s="1"/>
  <c r="AR11" i="51" s="1"/>
  <c r="AQ46" i="51"/>
  <c r="AQ45" i="51" s="1"/>
  <c r="AQ11" i="51" s="1"/>
  <c r="AO46" i="51"/>
  <c r="AO45" i="51" l="1"/>
  <c r="AO11" i="51" s="1"/>
  <c r="AO95" i="51"/>
  <c r="AP46" i="51"/>
  <c r="AP45" i="51" s="1"/>
  <c r="AP11" i="51" s="1"/>
  <c r="G32" i="48" l="1"/>
  <c r="AS95" i="51"/>
  <c r="AS94" i="51" s="1"/>
  <c r="AS60" i="51" s="1"/>
  <c r="F32" i="48"/>
  <c r="C32" i="48"/>
  <c r="AQ95" i="51"/>
  <c r="V45" i="50" s="1"/>
  <c r="V44" i="50" s="1"/>
  <c r="V35" i="50" s="1"/>
  <c r="AP95" i="51"/>
  <c r="G45" i="50" s="1"/>
  <c r="G44" i="50" s="1"/>
  <c r="G35" i="50" s="1"/>
  <c r="E32" i="48"/>
  <c r="D32" i="48"/>
  <c r="AT95" i="51"/>
  <c r="K45" i="50" s="1"/>
  <c r="K44" i="50" s="1"/>
  <c r="K35" i="50" s="1"/>
  <c r="AR95" i="51"/>
  <c r="H45" i="50"/>
  <c r="H44" i="50" s="1"/>
  <c r="H35" i="50" s="1"/>
  <c r="AO94" i="51"/>
  <c r="AO60" i="51" s="1"/>
  <c r="F45" i="50"/>
  <c r="M45" i="50"/>
  <c r="T45" i="50"/>
  <c r="I26" i="7" l="1"/>
  <c r="I27" i="7" s="1"/>
  <c r="G7" i="67"/>
  <c r="F26" i="7"/>
  <c r="F27" i="7" s="1"/>
  <c r="D7" i="67"/>
  <c r="E26" i="7"/>
  <c r="C7" i="67"/>
  <c r="T26" i="7"/>
  <c r="T27" i="7" s="1"/>
  <c r="D43" i="67"/>
  <c r="E27" i="7"/>
  <c r="N45" i="50"/>
  <c r="N44" i="50" s="1"/>
  <c r="N35" i="50" s="1"/>
  <c r="C25" i="67" s="1"/>
  <c r="AP94" i="51"/>
  <c r="AP60" i="51" s="1"/>
  <c r="J45" i="50"/>
  <c r="J44" i="50" s="1"/>
  <c r="J35" i="50" s="1"/>
  <c r="F7" i="67" s="1"/>
  <c r="E31" i="48"/>
  <c r="E39" i="48"/>
  <c r="C31" i="48"/>
  <c r="C39" i="48"/>
  <c r="G31" i="48"/>
  <c r="G39" i="48"/>
  <c r="D31" i="48"/>
  <c r="D39" i="48"/>
  <c r="F31" i="48"/>
  <c r="F39" i="48"/>
  <c r="Q45" i="50"/>
  <c r="Q44" i="50" s="1"/>
  <c r="Q35" i="50" s="1"/>
  <c r="R45" i="50"/>
  <c r="R44" i="50" s="1"/>
  <c r="R35" i="50" s="1"/>
  <c r="X45" i="50"/>
  <c r="X44" i="50" s="1"/>
  <c r="X35" i="50" s="1"/>
  <c r="F43" i="67" s="1"/>
  <c r="AT94" i="51"/>
  <c r="AT60" i="51" s="1"/>
  <c r="U45" i="50"/>
  <c r="U44" i="50" s="1"/>
  <c r="U35" i="50" s="1"/>
  <c r="Y45" i="50"/>
  <c r="Y44" i="50" s="1"/>
  <c r="Y35" i="50" s="1"/>
  <c r="AQ94" i="51"/>
  <c r="AQ60" i="51" s="1"/>
  <c r="O45" i="50"/>
  <c r="O44" i="50" s="1"/>
  <c r="O35" i="50" s="1"/>
  <c r="F44" i="50"/>
  <c r="F35" i="50" s="1"/>
  <c r="D26" i="7" s="1"/>
  <c r="F70" i="50"/>
  <c r="T70" i="50"/>
  <c r="T44" i="50"/>
  <c r="T35" i="50" s="1"/>
  <c r="R26" i="7" s="1"/>
  <c r="R27" i="7" s="1"/>
  <c r="G281" i="50"/>
  <c r="K281" i="50"/>
  <c r="H281" i="50"/>
  <c r="AR94" i="51"/>
  <c r="AR60" i="51" s="1"/>
  <c r="P45" i="50"/>
  <c r="P44" i="50" s="1"/>
  <c r="P35" i="50" s="1"/>
  <c r="I45" i="50"/>
  <c r="I44" i="50" s="1"/>
  <c r="I35" i="50" s="1"/>
  <c r="W45" i="50"/>
  <c r="W44" i="50" s="1"/>
  <c r="W35" i="50" s="1"/>
  <c r="M44" i="50"/>
  <c r="M35" i="50" s="1"/>
  <c r="K26" i="7" s="1"/>
  <c r="K27" i="7" s="1"/>
  <c r="M70" i="50"/>
  <c r="V281" i="50"/>
  <c r="D56" i="53"/>
  <c r="U8" i="67" s="1"/>
  <c r="L56" i="53" l="1"/>
  <c r="U29" i="67" s="1"/>
  <c r="Z29" i="67" s="1"/>
  <c r="G26" i="7"/>
  <c r="G27" i="7" s="1"/>
  <c r="E7" i="67"/>
  <c r="M26" i="7"/>
  <c r="M27" i="7" s="1"/>
  <c r="D25" i="67"/>
  <c r="D103" i="67" s="1"/>
  <c r="Z8" i="67"/>
  <c r="U26" i="7"/>
  <c r="U27" i="7" s="1"/>
  <c r="E43" i="67"/>
  <c r="W26" i="7"/>
  <c r="W27" i="7" s="1"/>
  <c r="G43" i="67"/>
  <c r="P26" i="7"/>
  <c r="P27" i="7" s="1"/>
  <c r="G25" i="67"/>
  <c r="N26" i="7"/>
  <c r="N27" i="7" s="1"/>
  <c r="E25" i="67"/>
  <c r="S26" i="7"/>
  <c r="S27" i="7" s="1"/>
  <c r="C43" i="67"/>
  <c r="C103" i="67" s="1"/>
  <c r="O26" i="7"/>
  <c r="O27" i="7" s="1"/>
  <c r="F25" i="67"/>
  <c r="F103" i="67" s="1"/>
  <c r="AM26" i="7"/>
  <c r="AM27" i="7" s="1"/>
  <c r="D27" i="7"/>
  <c r="N281" i="50"/>
  <c r="L26" i="7"/>
  <c r="X281" i="50"/>
  <c r="V26" i="7"/>
  <c r="V27" i="7" s="1"/>
  <c r="J281" i="50"/>
  <c r="H26" i="7"/>
  <c r="Q281" i="50"/>
  <c r="R281" i="50"/>
  <c r="P56" i="73"/>
  <c r="E56" i="73"/>
  <c r="D56" i="73"/>
  <c r="Y281" i="50"/>
  <c r="BD56" i="53"/>
  <c r="U281" i="50"/>
  <c r="O281" i="50"/>
  <c r="W281" i="50"/>
  <c r="F69" i="50"/>
  <c r="F60" i="50" s="1"/>
  <c r="G70" i="50"/>
  <c r="I281" i="50"/>
  <c r="T281" i="50"/>
  <c r="F281" i="50"/>
  <c r="N70" i="50"/>
  <c r="M69" i="50"/>
  <c r="M60" i="50" s="1"/>
  <c r="M282" i="50" s="1"/>
  <c r="U70" i="50"/>
  <c r="T69" i="50"/>
  <c r="T60" i="50" s="1"/>
  <c r="T282" i="50" s="1"/>
  <c r="P281" i="50"/>
  <c r="M281" i="50"/>
  <c r="T56" i="53"/>
  <c r="U50" i="67" s="1"/>
  <c r="Z50" i="67" s="1"/>
  <c r="H56" i="53"/>
  <c r="Y8" i="67" s="1"/>
  <c r="E56" i="53"/>
  <c r="V8" i="67" s="1"/>
  <c r="G56" i="53"/>
  <c r="X8" i="67" s="1"/>
  <c r="X56" i="53"/>
  <c r="Y50" i="67" s="1"/>
  <c r="AA50" i="67" s="1"/>
  <c r="U56" i="53"/>
  <c r="V50" i="67" s="1"/>
  <c r="W56" i="53"/>
  <c r="X50" i="67" s="1"/>
  <c r="F56" i="53"/>
  <c r="W8" i="67" s="1"/>
  <c r="M56" i="53"/>
  <c r="V29" i="67" s="1"/>
  <c r="O56" i="53"/>
  <c r="X29" i="67" s="1"/>
  <c r="N56" i="53"/>
  <c r="W29" i="67" s="1"/>
  <c r="P56" i="53"/>
  <c r="Y29" i="67" s="1"/>
  <c r="AA29" i="67" s="1"/>
  <c r="V56" i="53"/>
  <c r="W50" i="67" s="1"/>
  <c r="O56" i="73" l="1"/>
  <c r="AO26" i="7"/>
  <c r="AO27" i="7" s="1"/>
  <c r="AR26" i="7"/>
  <c r="AR27" i="7" s="1"/>
  <c r="AP26" i="7"/>
  <c r="AP27" i="7" s="1"/>
  <c r="G103" i="67"/>
  <c r="W119" i="67"/>
  <c r="X119" i="67"/>
  <c r="V119" i="67"/>
  <c r="U119" i="67"/>
  <c r="Z119" i="67" s="1"/>
  <c r="AA8" i="67"/>
  <c r="Y119" i="67"/>
  <c r="AA119" i="67" s="1"/>
  <c r="E103" i="67"/>
  <c r="AQ26" i="7"/>
  <c r="AQ27" i="7" s="1"/>
  <c r="H27" i="7"/>
  <c r="L27" i="7"/>
  <c r="AN26" i="7"/>
  <c r="AN27" i="7" s="1"/>
  <c r="X56" i="73"/>
  <c r="W56" i="73"/>
  <c r="I56" i="73"/>
  <c r="H56" i="73"/>
  <c r="T56" i="73"/>
  <c r="S56" i="73"/>
  <c r="AG56" i="73"/>
  <c r="AF56" i="73"/>
  <c r="G56" i="73"/>
  <c r="F56" i="73"/>
  <c r="U56" i="73"/>
  <c r="V56" i="73"/>
  <c r="AC56" i="73"/>
  <c r="AB56" i="73"/>
  <c r="M56" i="73"/>
  <c r="L56" i="73"/>
  <c r="AE56" i="73"/>
  <c r="AD56" i="73"/>
  <c r="R56" i="73"/>
  <c r="Q56" i="73"/>
  <c r="AI56" i="73"/>
  <c r="AH56" i="73"/>
  <c r="AX56" i="53"/>
  <c r="J101" i="67" s="1"/>
  <c r="J102" i="67" s="1"/>
  <c r="AA56" i="73"/>
  <c r="Z56" i="73"/>
  <c r="K56" i="73"/>
  <c r="J56" i="73"/>
  <c r="F282" i="50"/>
  <c r="C14" i="49"/>
  <c r="C13" i="49" s="1"/>
  <c r="AL6" i="67" s="1"/>
  <c r="BH56" i="53"/>
  <c r="BB56" i="53"/>
  <c r="N101" i="67" s="1"/>
  <c r="N102" i="67" s="1"/>
  <c r="BF56" i="53"/>
  <c r="AZ56" i="53"/>
  <c r="L101" i="67" s="1"/>
  <c r="L102" i="67" s="1"/>
  <c r="BG56" i="53"/>
  <c r="BA56" i="53"/>
  <c r="M101" i="67" s="1"/>
  <c r="M102" i="67" s="1"/>
  <c r="BE56" i="53"/>
  <c r="AY56" i="53"/>
  <c r="K101" i="67" s="1"/>
  <c r="K102" i="67" s="1"/>
  <c r="R56" i="53"/>
  <c r="Q56" i="53"/>
  <c r="J56" i="53"/>
  <c r="I56" i="53"/>
  <c r="Y56" i="53"/>
  <c r="Z56" i="53"/>
  <c r="H70" i="50"/>
  <c r="G69" i="50"/>
  <c r="G60" i="50" s="1"/>
  <c r="D14" i="49" s="1"/>
  <c r="O70" i="50"/>
  <c r="N69" i="50"/>
  <c r="N60" i="50" s="1"/>
  <c r="V70" i="50"/>
  <c r="U69" i="50"/>
  <c r="U60" i="50" s="1"/>
  <c r="C42" i="49"/>
  <c r="C41" i="49" s="1"/>
  <c r="AL22" i="67" s="1"/>
  <c r="C28" i="49"/>
  <c r="C27" i="49" s="1"/>
  <c r="AL14" i="67" s="1"/>
  <c r="G282" i="50" l="1"/>
  <c r="C8" i="67"/>
  <c r="N282" i="50"/>
  <c r="C26" i="67"/>
  <c r="O101" i="67"/>
  <c r="O102" i="67" s="1"/>
  <c r="U282" i="50"/>
  <c r="C44" i="67"/>
  <c r="W70" i="50"/>
  <c r="V69" i="50"/>
  <c r="V60" i="50" s="1"/>
  <c r="P70" i="50"/>
  <c r="O69" i="50"/>
  <c r="O60" i="50" s="1"/>
  <c r="H69" i="50"/>
  <c r="H60" i="50" s="1"/>
  <c r="I70" i="50"/>
  <c r="D13" i="49"/>
  <c r="AM6" i="67" s="1"/>
  <c r="D28" i="49"/>
  <c r="D27" i="49" s="1"/>
  <c r="AM14" i="67" s="1"/>
  <c r="D42" i="49"/>
  <c r="D41" i="49" s="1"/>
  <c r="AM22" i="67" s="1"/>
  <c r="O282" i="50" l="1"/>
  <c r="D26" i="67"/>
  <c r="V282" i="50"/>
  <c r="D44" i="67"/>
  <c r="C104" i="67"/>
  <c r="H282" i="50"/>
  <c r="D8" i="67"/>
  <c r="W69" i="50"/>
  <c r="W60" i="50" s="1"/>
  <c r="X70" i="50"/>
  <c r="J70" i="50"/>
  <c r="I69" i="50"/>
  <c r="I60" i="50" s="1"/>
  <c r="Q70" i="50"/>
  <c r="P69" i="50"/>
  <c r="P60" i="50" s="1"/>
  <c r="E28" i="49"/>
  <c r="E27" i="49" s="1"/>
  <c r="AN14" i="67" s="1"/>
  <c r="E42" i="49"/>
  <c r="E41" i="49" s="1"/>
  <c r="AN22" i="67" s="1"/>
  <c r="E14" i="49"/>
  <c r="E13" i="49" s="1"/>
  <c r="AN6" i="67" s="1"/>
  <c r="D104" i="67" l="1"/>
  <c r="W282" i="50"/>
  <c r="E44" i="67"/>
  <c r="I282" i="50"/>
  <c r="E8" i="67"/>
  <c r="P282" i="50"/>
  <c r="E26" i="67"/>
  <c r="Q69" i="50"/>
  <c r="Q60" i="50" s="1"/>
  <c r="R70" i="50"/>
  <c r="K70" i="50"/>
  <c r="J69" i="50"/>
  <c r="J60" i="50" s="1"/>
  <c r="Y70" i="50"/>
  <c r="X69" i="50"/>
  <c r="X60" i="50" s="1"/>
  <c r="F28" i="49"/>
  <c r="F27" i="49" s="1"/>
  <c r="AO14" i="67" s="1"/>
  <c r="F42" i="49"/>
  <c r="F41" i="49" s="1"/>
  <c r="AO22" i="67" s="1"/>
  <c r="F14" i="49"/>
  <c r="F13" i="49" s="1"/>
  <c r="AO6" i="67" s="1"/>
  <c r="E104" i="67" l="1"/>
  <c r="X282" i="50"/>
  <c r="F44" i="67"/>
  <c r="Q282" i="50"/>
  <c r="F26" i="67"/>
  <c r="J282" i="50"/>
  <c r="F8" i="67"/>
  <c r="K69" i="50"/>
  <c r="K60" i="50" s="1"/>
  <c r="G8" i="67" s="1"/>
  <c r="R69" i="50"/>
  <c r="R60" i="50" s="1"/>
  <c r="Y69" i="50"/>
  <c r="Y60" i="50" s="1"/>
  <c r="G42" i="49"/>
  <c r="G41" i="49" s="1"/>
  <c r="AP22" i="67" s="1"/>
  <c r="G14" i="49"/>
  <c r="G13" i="49" s="1"/>
  <c r="AP6" i="67" s="1"/>
  <c r="G28" i="49"/>
  <c r="G27" i="49" s="1"/>
  <c r="AP14" i="67" s="1"/>
  <c r="R282" i="50" l="1"/>
  <c r="G26" i="67"/>
  <c r="F104" i="67"/>
  <c r="Y282" i="50"/>
  <c r="G44" i="67"/>
  <c r="AO35" i="50"/>
  <c r="K282" i="50"/>
  <c r="M32" i="50"/>
  <c r="N32" i="50" s="1"/>
  <c r="M130" i="50"/>
  <c r="M190" i="50" s="1"/>
  <c r="M126" i="50"/>
  <c r="F124" i="50"/>
  <c r="F184" i="50" s="1"/>
  <c r="T120" i="50"/>
  <c r="T180" i="50" s="1"/>
  <c r="M18" i="50"/>
  <c r="M93" i="50" s="1"/>
  <c r="M33" i="50"/>
  <c r="M108" i="50" s="1"/>
  <c r="M125" i="50"/>
  <c r="M185" i="50" s="1"/>
  <c r="T23" i="50"/>
  <c r="T98" i="50" s="1"/>
  <c r="F129" i="50"/>
  <c r="F189" i="50" s="1"/>
  <c r="F29" i="50"/>
  <c r="F104" i="50" s="1"/>
  <c r="F122" i="50"/>
  <c r="F182" i="50" s="1"/>
  <c r="F31" i="50"/>
  <c r="F106" i="50" s="1"/>
  <c r="T129" i="50"/>
  <c r="T189" i="50" s="1"/>
  <c r="T122" i="50"/>
  <c r="T182" i="50" s="1"/>
  <c r="T128" i="50"/>
  <c r="M17" i="50"/>
  <c r="M92" i="50" s="1"/>
  <c r="M26" i="50"/>
  <c r="M101" i="50" s="1"/>
  <c r="T33" i="50"/>
  <c r="T108" i="50" s="1"/>
  <c r="F116" i="50"/>
  <c r="G116" i="50" s="1"/>
  <c r="T113" i="50"/>
  <c r="M23" i="50"/>
  <c r="M98" i="50" s="1"/>
  <c r="M29" i="50"/>
  <c r="F21" i="50"/>
  <c r="F96" i="50" s="1"/>
  <c r="T121" i="50"/>
  <c r="T181" i="50" s="1"/>
  <c r="M114" i="50"/>
  <c r="M174" i="50" s="1"/>
  <c r="M25" i="50"/>
  <c r="M100" i="50" s="1"/>
  <c r="F118" i="50"/>
  <c r="F178" i="50" s="1"/>
  <c r="M117" i="50"/>
  <c r="N117" i="50" s="1"/>
  <c r="M115" i="50"/>
  <c r="M175" i="50" s="1"/>
  <c r="T17" i="50"/>
  <c r="U17" i="50" s="1"/>
  <c r="M12" i="50"/>
  <c r="M87" i="50" s="1"/>
  <c r="F114" i="50"/>
  <c r="F174" i="50" s="1"/>
  <c r="F34" i="50"/>
  <c r="F109" i="50" s="1"/>
  <c r="F126" i="50"/>
  <c r="F186" i="50" s="1"/>
  <c r="F119" i="50"/>
  <c r="F179" i="50" s="1"/>
  <c r="T118" i="50"/>
  <c r="T178" i="50" s="1"/>
  <c r="M21" i="50"/>
  <c r="M96" i="50" s="1"/>
  <c r="M27" i="50"/>
  <c r="M22" i="50"/>
  <c r="M20" i="50"/>
  <c r="N20" i="50" s="1"/>
  <c r="F24" i="50"/>
  <c r="G24" i="50" s="1"/>
  <c r="T16" i="50"/>
  <c r="T91" i="50" s="1"/>
  <c r="F115" i="50"/>
  <c r="G115" i="50" s="1"/>
  <c r="F15" i="50"/>
  <c r="T32" i="50"/>
  <c r="U32" i="50" s="1"/>
  <c r="U107" i="50" s="1"/>
  <c r="M24" i="50"/>
  <c r="M99" i="50" s="1"/>
  <c r="F28" i="50"/>
  <c r="F103" i="50" s="1"/>
  <c r="T130" i="50"/>
  <c r="T190" i="50" s="1"/>
  <c r="M121" i="50"/>
  <c r="M181" i="50" s="1"/>
  <c r="F27" i="50"/>
  <c r="F102" i="50" s="1"/>
  <c r="F12" i="50"/>
  <c r="F87" i="50" s="1"/>
  <c r="T15" i="50"/>
  <c r="T90" i="50" s="1"/>
  <c r="M30" i="50"/>
  <c r="M105" i="50" s="1"/>
  <c r="F125" i="50"/>
  <c r="F185" i="50" s="1"/>
  <c r="T117" i="50"/>
  <c r="T177" i="50" s="1"/>
  <c r="T114" i="50"/>
  <c r="F130" i="50"/>
  <c r="F190" i="50" s="1"/>
  <c r="T34" i="50"/>
  <c r="T109" i="50" s="1"/>
  <c r="T20" i="50"/>
  <c r="U20" i="50" s="1"/>
  <c r="T123" i="50"/>
  <c r="M127" i="50"/>
  <c r="M187" i="50" s="1"/>
  <c r="M116" i="50"/>
  <c r="M176" i="50" s="1"/>
  <c r="T27" i="50"/>
  <c r="U27" i="50" s="1"/>
  <c r="T115" i="50"/>
  <c r="F33" i="50"/>
  <c r="F108" i="50" s="1"/>
  <c r="F18" i="50"/>
  <c r="G18" i="50" s="1"/>
  <c r="M34" i="50"/>
  <c r="M109" i="50" s="1"/>
  <c r="F120" i="50"/>
  <c r="F180" i="50" s="1"/>
  <c r="F23" i="50"/>
  <c r="G23" i="50" s="1"/>
  <c r="F30" i="50"/>
  <c r="G30" i="50" s="1"/>
  <c r="M123" i="50"/>
  <c r="N123" i="50" s="1"/>
  <c r="F20" i="50"/>
  <c r="G20" i="50" s="1"/>
  <c r="T29" i="50"/>
  <c r="T104" i="50" s="1"/>
  <c r="T28" i="50"/>
  <c r="M31" i="50"/>
  <c r="N31" i="50" s="1"/>
  <c r="M120" i="50"/>
  <c r="N120" i="50" s="1"/>
  <c r="O120" i="50" s="1"/>
  <c r="F127" i="50"/>
  <c r="T124" i="50"/>
  <c r="T184" i="50" s="1"/>
  <c r="F121" i="50"/>
  <c r="F181" i="50" s="1"/>
  <c r="F17" i="50"/>
  <c r="T127" i="50"/>
  <c r="T187" i="50" s="1"/>
  <c r="M28" i="50"/>
  <c r="M103" i="50" s="1"/>
  <c r="T25" i="50"/>
  <c r="T100" i="50" s="1"/>
  <c r="M122" i="50"/>
  <c r="N122" i="50" s="1"/>
  <c r="N182" i="50" s="1"/>
  <c r="F128" i="50"/>
  <c r="F188" i="50" s="1"/>
  <c r="T12" i="50"/>
  <c r="M118" i="50"/>
  <c r="M128" i="50"/>
  <c r="T22" i="50"/>
  <c r="U22" i="50" s="1"/>
  <c r="F112" i="50"/>
  <c r="F172" i="50" s="1"/>
  <c r="M14" i="50"/>
  <c r="N14" i="50" s="1"/>
  <c r="T18" i="50"/>
  <c r="T93" i="50" s="1"/>
  <c r="F14" i="50"/>
  <c r="T119" i="50"/>
  <c r="T179" i="50" s="1"/>
  <c r="M129" i="50"/>
  <c r="M189" i="50" s="1"/>
  <c r="F16" i="50"/>
  <c r="F91" i="50" s="1"/>
  <c r="T26" i="50"/>
  <c r="T101" i="50" s="1"/>
  <c r="M16" i="50"/>
  <c r="M91" i="50" s="1"/>
  <c r="T116" i="50"/>
  <c r="T176" i="50" s="1"/>
  <c r="T125" i="50"/>
  <c r="T185" i="50" s="1"/>
  <c r="M15" i="50"/>
  <c r="M90" i="50" s="1"/>
  <c r="T31" i="50"/>
  <c r="U31" i="50" s="1"/>
  <c r="T21" i="50"/>
  <c r="T96" i="50" s="1"/>
  <c r="F117" i="50"/>
  <c r="F177" i="50" s="1"/>
  <c r="F123" i="50"/>
  <c r="F183" i="50" s="1"/>
  <c r="M124" i="50"/>
  <c r="M184" i="50" s="1"/>
  <c r="T30" i="50"/>
  <c r="T105" i="50" s="1"/>
  <c r="F113" i="50"/>
  <c r="F173" i="50" s="1"/>
  <c r="T14" i="50"/>
  <c r="M113" i="50"/>
  <c r="N113" i="50" s="1"/>
  <c r="T126" i="50"/>
  <c r="T186" i="50" s="1"/>
  <c r="M119" i="50"/>
  <c r="M179" i="50" s="1"/>
  <c r="F25" i="50"/>
  <c r="F32" i="50"/>
  <c r="T24" i="50"/>
  <c r="F22" i="50"/>
  <c r="M11" i="50"/>
  <c r="M86" i="50" s="1"/>
  <c r="T112" i="50"/>
  <c r="T11" i="50"/>
  <c r="T86" i="50" s="1"/>
  <c r="M112" i="50"/>
  <c r="N112" i="50" s="1"/>
  <c r="F26" i="50"/>
  <c r="F101" i="50" s="1"/>
  <c r="F11" i="50"/>
  <c r="F86" i="50" s="1"/>
  <c r="G104" i="67" l="1"/>
  <c r="U126" i="50"/>
  <c r="U186" i="50" s="1"/>
  <c r="T13" i="50"/>
  <c r="U30" i="50"/>
  <c r="U105" i="50" s="1"/>
  <c r="C40" i="49"/>
  <c r="U29" i="50"/>
  <c r="U104" i="50" s="1"/>
  <c r="F105" i="50"/>
  <c r="N129" i="50"/>
  <c r="N189" i="50" s="1"/>
  <c r="N11" i="50"/>
  <c r="N86" i="50" s="1"/>
  <c r="U130" i="50"/>
  <c r="U190" i="50" s="1"/>
  <c r="T97" i="50"/>
  <c r="U121" i="50"/>
  <c r="V121" i="50" s="1"/>
  <c r="N17" i="50"/>
  <c r="N92" i="50" s="1"/>
  <c r="U23" i="50"/>
  <c r="U98" i="50" s="1"/>
  <c r="N18" i="50"/>
  <c r="O18" i="50" s="1"/>
  <c r="P18" i="50" s="1"/>
  <c r="U124" i="50"/>
  <c r="U184" i="50" s="1"/>
  <c r="M106" i="50"/>
  <c r="U34" i="50"/>
  <c r="U117" i="50"/>
  <c r="U177" i="50" s="1"/>
  <c r="U15" i="50"/>
  <c r="U90" i="50" s="1"/>
  <c r="V32" i="50"/>
  <c r="V107" i="50" s="1"/>
  <c r="T92" i="50"/>
  <c r="N125" i="50"/>
  <c r="O125" i="50" s="1"/>
  <c r="N115" i="50"/>
  <c r="N175" i="50" s="1"/>
  <c r="U122" i="50"/>
  <c r="U182" i="50" s="1"/>
  <c r="N130" i="50"/>
  <c r="N190" i="50" s="1"/>
  <c r="N124" i="50"/>
  <c r="N184" i="50" s="1"/>
  <c r="N16" i="50"/>
  <c r="N91" i="50" s="1"/>
  <c r="G16" i="50"/>
  <c r="G91" i="50" s="1"/>
  <c r="U18" i="50"/>
  <c r="U93" i="50" s="1"/>
  <c r="N28" i="50"/>
  <c r="N34" i="50"/>
  <c r="N109" i="50" s="1"/>
  <c r="T102" i="50"/>
  <c r="N116" i="50"/>
  <c r="N30" i="50"/>
  <c r="O30" i="50" s="1"/>
  <c r="N121" i="50"/>
  <c r="N114" i="50"/>
  <c r="N174" i="50" s="1"/>
  <c r="N23" i="50"/>
  <c r="N98" i="50" s="1"/>
  <c r="M183" i="50"/>
  <c r="C19" i="49"/>
  <c r="AL8" i="67" s="1"/>
  <c r="N119" i="50"/>
  <c r="O119" i="50" s="1"/>
  <c r="U25" i="50"/>
  <c r="U100" i="50" s="1"/>
  <c r="N127" i="50"/>
  <c r="G119" i="50"/>
  <c r="G179" i="50" s="1"/>
  <c r="G126" i="50"/>
  <c r="G186" i="50" s="1"/>
  <c r="G34" i="50"/>
  <c r="H34" i="50" s="1"/>
  <c r="I34" i="50" s="1"/>
  <c r="U120" i="50"/>
  <c r="U180" i="50" s="1"/>
  <c r="G120" i="50"/>
  <c r="G180" i="50" s="1"/>
  <c r="G33" i="50"/>
  <c r="G108" i="50" s="1"/>
  <c r="G27" i="50"/>
  <c r="G102" i="50" s="1"/>
  <c r="G28" i="50"/>
  <c r="G103" i="50" s="1"/>
  <c r="G21" i="50"/>
  <c r="H21" i="50" s="1"/>
  <c r="G11" i="50"/>
  <c r="H11" i="50" s="1"/>
  <c r="G117" i="50"/>
  <c r="G177" i="50" s="1"/>
  <c r="G31" i="50"/>
  <c r="G106" i="50" s="1"/>
  <c r="G125" i="50"/>
  <c r="F99" i="50"/>
  <c r="G114" i="50"/>
  <c r="G174" i="50" s="1"/>
  <c r="F93" i="50"/>
  <c r="G130" i="50"/>
  <c r="G12" i="50"/>
  <c r="H12" i="50" s="1"/>
  <c r="N183" i="50"/>
  <c r="O123" i="50"/>
  <c r="F97" i="50"/>
  <c r="G22" i="50"/>
  <c r="F100" i="50"/>
  <c r="G25" i="50"/>
  <c r="N173" i="50"/>
  <c r="O113" i="50"/>
  <c r="N172" i="50"/>
  <c r="O112" i="50"/>
  <c r="U106" i="50"/>
  <c r="V31" i="50"/>
  <c r="N89" i="50"/>
  <c r="O14" i="50"/>
  <c r="T99" i="50"/>
  <c r="U24" i="50"/>
  <c r="G32" i="50"/>
  <c r="C12" i="49" s="1"/>
  <c r="F107" i="50"/>
  <c r="D47" i="49"/>
  <c r="AM24" i="67" s="1"/>
  <c r="F13" i="50"/>
  <c r="F89" i="50"/>
  <c r="M188" i="50"/>
  <c r="N128" i="50"/>
  <c r="M182" i="50"/>
  <c r="G95" i="50"/>
  <c r="M173" i="50"/>
  <c r="G93" i="50"/>
  <c r="H18" i="50"/>
  <c r="T175" i="50"/>
  <c r="U115" i="50"/>
  <c r="F90" i="50"/>
  <c r="G15" i="50"/>
  <c r="T111" i="50"/>
  <c r="T172" i="50"/>
  <c r="U21" i="50"/>
  <c r="T106" i="50"/>
  <c r="U116" i="50"/>
  <c r="U26" i="50"/>
  <c r="F111" i="50"/>
  <c r="G112" i="50"/>
  <c r="T87" i="50"/>
  <c r="U12" i="50"/>
  <c r="O122" i="50"/>
  <c r="U127" i="50"/>
  <c r="G98" i="50"/>
  <c r="H23" i="50"/>
  <c r="N180" i="50"/>
  <c r="G33" i="49"/>
  <c r="AP16" i="67" s="1"/>
  <c r="M13" i="50"/>
  <c r="M89" i="50"/>
  <c r="M88" i="50" s="1"/>
  <c r="U97" i="50"/>
  <c r="V22" i="50"/>
  <c r="N118" i="50"/>
  <c r="M178" i="50"/>
  <c r="O180" i="50"/>
  <c r="P120" i="50"/>
  <c r="N106" i="50"/>
  <c r="O31" i="50"/>
  <c r="U28" i="50"/>
  <c r="T103" i="50"/>
  <c r="G105" i="50"/>
  <c r="H30" i="50"/>
  <c r="F98" i="50"/>
  <c r="V27" i="50"/>
  <c r="U102" i="50"/>
  <c r="T174" i="50"/>
  <c r="U114" i="50"/>
  <c r="E47" i="49"/>
  <c r="AN24" i="67" s="1"/>
  <c r="G26" i="50"/>
  <c r="M111" i="50"/>
  <c r="M172" i="50"/>
  <c r="U11" i="50"/>
  <c r="U112" i="50"/>
  <c r="U14" i="50"/>
  <c r="G113" i="50"/>
  <c r="G123" i="50"/>
  <c r="N15" i="50"/>
  <c r="U125" i="50"/>
  <c r="U119" i="50"/>
  <c r="G14" i="50"/>
  <c r="G128" i="50"/>
  <c r="F92" i="50"/>
  <c r="G17" i="50"/>
  <c r="G121" i="50"/>
  <c r="F187" i="50"/>
  <c r="G127" i="50"/>
  <c r="M180" i="50"/>
  <c r="T89" i="50"/>
  <c r="H20" i="50"/>
  <c r="T183" i="50"/>
  <c r="U123" i="50"/>
  <c r="U95" i="50"/>
  <c r="V20" i="50"/>
  <c r="T19" i="50"/>
  <c r="T95" i="50"/>
  <c r="G175" i="50"/>
  <c r="H115" i="50"/>
  <c r="G99" i="50"/>
  <c r="H24" i="50"/>
  <c r="M102" i="50"/>
  <c r="N27" i="50"/>
  <c r="U92" i="50"/>
  <c r="V17" i="50"/>
  <c r="F19" i="49"/>
  <c r="AO8" i="67" s="1"/>
  <c r="F175" i="50"/>
  <c r="N95" i="50"/>
  <c r="O20" i="50"/>
  <c r="N177" i="50"/>
  <c r="O117" i="50"/>
  <c r="F19" i="50"/>
  <c r="F95" i="50"/>
  <c r="N24" i="50"/>
  <c r="M97" i="50"/>
  <c r="N22" i="50"/>
  <c r="U16" i="50"/>
  <c r="M19" i="50"/>
  <c r="U118" i="50"/>
  <c r="N12" i="50"/>
  <c r="G47" i="49"/>
  <c r="AP24" i="67" s="1"/>
  <c r="T107" i="50"/>
  <c r="N21" i="50"/>
  <c r="M177" i="50"/>
  <c r="G118" i="50"/>
  <c r="U128" i="50"/>
  <c r="T188" i="50"/>
  <c r="N25" i="50"/>
  <c r="M104" i="50"/>
  <c r="N29" i="50"/>
  <c r="T173" i="50"/>
  <c r="U113" i="50"/>
  <c r="G176" i="50"/>
  <c r="H116" i="50"/>
  <c r="F47" i="49"/>
  <c r="AO24" i="67" s="1"/>
  <c r="M95" i="50"/>
  <c r="F176" i="50"/>
  <c r="U33" i="50"/>
  <c r="N26" i="50"/>
  <c r="G122" i="50"/>
  <c r="G29" i="50"/>
  <c r="N33" i="50"/>
  <c r="G124" i="50"/>
  <c r="G19" i="49"/>
  <c r="AP8" i="67" s="1"/>
  <c r="U129" i="50"/>
  <c r="G129" i="50"/>
  <c r="E33" i="49"/>
  <c r="AN16" i="67" s="1"/>
  <c r="M186" i="50"/>
  <c r="N126" i="50"/>
  <c r="M107" i="50"/>
  <c r="E19" i="49"/>
  <c r="AN8" i="67" s="1"/>
  <c r="O32" i="50"/>
  <c r="N107" i="50"/>
  <c r="C26" i="49"/>
  <c r="F33" i="49"/>
  <c r="AO16" i="67" s="1"/>
  <c r="C33" i="49"/>
  <c r="AL16" i="67" s="1"/>
  <c r="D19" i="49"/>
  <c r="AM8" i="67" s="1"/>
  <c r="D33" i="49"/>
  <c r="AM16" i="67" s="1"/>
  <c r="V122" i="50" l="1"/>
  <c r="V182" i="50" s="1"/>
  <c r="O130" i="50"/>
  <c r="P130" i="50" s="1"/>
  <c r="T10" i="50"/>
  <c r="T280" i="50" s="1"/>
  <c r="F10" i="50"/>
  <c r="C11" i="49" s="1"/>
  <c r="N185" i="50"/>
  <c r="N93" i="50"/>
  <c r="O93" i="50"/>
  <c r="T94" i="50"/>
  <c r="G96" i="50"/>
  <c r="V117" i="50"/>
  <c r="W117" i="50" s="1"/>
  <c r="O17" i="50"/>
  <c r="O92" i="50" s="1"/>
  <c r="O115" i="50"/>
  <c r="O175" i="50" s="1"/>
  <c r="D40" i="49"/>
  <c r="U181" i="50"/>
  <c r="M10" i="50"/>
  <c r="C25" i="49" s="1"/>
  <c r="C24" i="49" s="1"/>
  <c r="AL13" i="67" s="1"/>
  <c r="O129" i="50"/>
  <c r="O189" i="50" s="1"/>
  <c r="V29" i="50"/>
  <c r="V104" i="50" s="1"/>
  <c r="V30" i="50"/>
  <c r="V105" i="50" s="1"/>
  <c r="O11" i="50"/>
  <c r="O86" i="50" s="1"/>
  <c r="V23" i="50"/>
  <c r="V98" i="50" s="1"/>
  <c r="O114" i="50"/>
  <c r="O174" i="50" s="1"/>
  <c r="V126" i="50"/>
  <c r="V186" i="50" s="1"/>
  <c r="V130" i="50"/>
  <c r="O23" i="50"/>
  <c r="O98" i="50" s="1"/>
  <c r="W32" i="50"/>
  <c r="W107" i="50" s="1"/>
  <c r="H33" i="50"/>
  <c r="H108" i="50" s="1"/>
  <c r="O124" i="50"/>
  <c r="O184" i="50" s="1"/>
  <c r="G87" i="50"/>
  <c r="N179" i="50"/>
  <c r="U19" i="50"/>
  <c r="V124" i="50"/>
  <c r="V184" i="50" s="1"/>
  <c r="H16" i="50"/>
  <c r="H91" i="50" s="1"/>
  <c r="V15" i="50"/>
  <c r="M94" i="50"/>
  <c r="M85" i="50" s="1"/>
  <c r="H109" i="50"/>
  <c r="V25" i="50"/>
  <c r="V100" i="50" s="1"/>
  <c r="H28" i="50"/>
  <c r="I28" i="50" s="1"/>
  <c r="V120" i="50"/>
  <c r="V180" i="50" s="1"/>
  <c r="H31" i="50"/>
  <c r="H106" i="50" s="1"/>
  <c r="N105" i="50"/>
  <c r="T88" i="50"/>
  <c r="O34" i="50"/>
  <c r="P34" i="50" s="1"/>
  <c r="O16" i="50"/>
  <c r="O91" i="50" s="1"/>
  <c r="H27" i="50"/>
  <c r="I27" i="50" s="1"/>
  <c r="H117" i="50"/>
  <c r="I117" i="50" s="1"/>
  <c r="H126" i="50"/>
  <c r="H186" i="50" s="1"/>
  <c r="H114" i="50"/>
  <c r="I114" i="50" s="1"/>
  <c r="G109" i="50"/>
  <c r="G86" i="50"/>
  <c r="N19" i="50"/>
  <c r="V18" i="50"/>
  <c r="W18" i="50" s="1"/>
  <c r="F94" i="50"/>
  <c r="H120" i="50"/>
  <c r="H180" i="50" s="1"/>
  <c r="H119" i="50"/>
  <c r="N13" i="50"/>
  <c r="U109" i="50"/>
  <c r="V34" i="50"/>
  <c r="G19" i="50"/>
  <c r="O105" i="50"/>
  <c r="P30" i="50"/>
  <c r="N103" i="50"/>
  <c r="O28" i="50"/>
  <c r="N187" i="50"/>
  <c r="O127" i="50"/>
  <c r="N176" i="50"/>
  <c r="O116" i="50"/>
  <c r="O121" i="50"/>
  <c r="N181" i="50"/>
  <c r="F171" i="50"/>
  <c r="G190" i="50"/>
  <c r="H130" i="50"/>
  <c r="G185" i="50"/>
  <c r="H125" i="50"/>
  <c r="G182" i="50"/>
  <c r="H122" i="50"/>
  <c r="U173" i="50"/>
  <c r="V113" i="50"/>
  <c r="P93" i="50"/>
  <c r="Q18" i="50"/>
  <c r="G178" i="50"/>
  <c r="H118" i="50"/>
  <c r="V92" i="50"/>
  <c r="W17" i="50"/>
  <c r="I109" i="50"/>
  <c r="J34" i="50"/>
  <c r="H99" i="50"/>
  <c r="I24" i="50"/>
  <c r="G181" i="50"/>
  <c r="H121" i="50"/>
  <c r="G183" i="50"/>
  <c r="H123" i="50"/>
  <c r="U13" i="50"/>
  <c r="U89" i="50"/>
  <c r="V14" i="50"/>
  <c r="U111" i="50"/>
  <c r="C47" i="67" s="1"/>
  <c r="U172" i="50"/>
  <c r="V112" i="50"/>
  <c r="G101" i="50"/>
  <c r="H26" i="50"/>
  <c r="N178" i="50"/>
  <c r="O118" i="50"/>
  <c r="G172" i="50"/>
  <c r="G111" i="50"/>
  <c r="C11" i="67" s="1"/>
  <c r="H112" i="50"/>
  <c r="T171" i="50"/>
  <c r="I18" i="50"/>
  <c r="H93" i="50"/>
  <c r="N188" i="50"/>
  <c r="O128" i="50"/>
  <c r="H86" i="50"/>
  <c r="I11" i="50"/>
  <c r="N186" i="50"/>
  <c r="O126" i="50"/>
  <c r="H124" i="50"/>
  <c r="G184" i="50"/>
  <c r="N100" i="50"/>
  <c r="O25" i="50"/>
  <c r="N96" i="50"/>
  <c r="O21" i="50"/>
  <c r="W121" i="50"/>
  <c r="V181" i="50"/>
  <c r="N87" i="50"/>
  <c r="O12" i="50"/>
  <c r="U91" i="50"/>
  <c r="V16" i="50"/>
  <c r="N99" i="50"/>
  <c r="O24" i="50"/>
  <c r="P117" i="50"/>
  <c r="O177" i="50"/>
  <c r="V123" i="50"/>
  <c r="U183" i="50"/>
  <c r="G92" i="50"/>
  <c r="H17" i="50"/>
  <c r="G188" i="50"/>
  <c r="H128" i="50"/>
  <c r="V125" i="50"/>
  <c r="U185" i="50"/>
  <c r="V11" i="50"/>
  <c r="U86" i="50"/>
  <c r="H87" i="50"/>
  <c r="I12" i="50"/>
  <c r="P180" i="50"/>
  <c r="Q120" i="50"/>
  <c r="V97" i="50"/>
  <c r="W22" i="50"/>
  <c r="O182" i="50"/>
  <c r="P122" i="50"/>
  <c r="U101" i="50"/>
  <c r="V26" i="50"/>
  <c r="U96" i="50"/>
  <c r="U94" i="50" s="1"/>
  <c r="V21" i="50"/>
  <c r="H32" i="50"/>
  <c r="D12" i="49" s="1"/>
  <c r="G107" i="50"/>
  <c r="V106" i="50"/>
  <c r="W31" i="50"/>
  <c r="N111" i="50"/>
  <c r="C29" i="67" s="1"/>
  <c r="O183" i="50"/>
  <c r="P123" i="50"/>
  <c r="C47" i="49"/>
  <c r="AL24" i="67" s="1"/>
  <c r="H129" i="50"/>
  <c r="G189" i="50"/>
  <c r="O26" i="50"/>
  <c r="N101" i="50"/>
  <c r="P125" i="50"/>
  <c r="O185" i="50"/>
  <c r="O33" i="50"/>
  <c r="N108" i="50"/>
  <c r="U108" i="50"/>
  <c r="V33" i="50"/>
  <c r="H176" i="50"/>
  <c r="I116" i="50"/>
  <c r="N104" i="50"/>
  <c r="O29" i="50"/>
  <c r="N102" i="50"/>
  <c r="O27" i="50"/>
  <c r="H175" i="50"/>
  <c r="I115" i="50"/>
  <c r="W20" i="50"/>
  <c r="V95" i="50"/>
  <c r="G187" i="50"/>
  <c r="H127" i="50"/>
  <c r="G13" i="50"/>
  <c r="G89" i="50"/>
  <c r="H14" i="50"/>
  <c r="N90" i="50"/>
  <c r="N88" i="50" s="1"/>
  <c r="O15" i="50"/>
  <c r="G173" i="50"/>
  <c r="H113" i="50"/>
  <c r="M171" i="50"/>
  <c r="I30" i="50"/>
  <c r="H105" i="50"/>
  <c r="U103" i="50"/>
  <c r="V28" i="50"/>
  <c r="U87" i="50"/>
  <c r="V12" i="50"/>
  <c r="G90" i="50"/>
  <c r="H15" i="50"/>
  <c r="U175" i="50"/>
  <c r="V115" i="50"/>
  <c r="F88" i="50"/>
  <c r="O89" i="50"/>
  <c r="P14" i="50"/>
  <c r="G97" i="50"/>
  <c r="H22" i="50"/>
  <c r="O107" i="50"/>
  <c r="P32" i="50"/>
  <c r="D26" i="49"/>
  <c r="U189" i="50"/>
  <c r="V129" i="50"/>
  <c r="G104" i="50"/>
  <c r="H29" i="50"/>
  <c r="U188" i="50"/>
  <c r="V128" i="50"/>
  <c r="H96" i="50"/>
  <c r="I21" i="50"/>
  <c r="U178" i="50"/>
  <c r="V118" i="50"/>
  <c r="N97" i="50"/>
  <c r="O22" i="50"/>
  <c r="O95" i="50"/>
  <c r="P20" i="50"/>
  <c r="H95" i="50"/>
  <c r="I20" i="50"/>
  <c r="U179" i="50"/>
  <c r="V119" i="50"/>
  <c r="U174" i="50"/>
  <c r="V114" i="50"/>
  <c r="V102" i="50"/>
  <c r="W27" i="50"/>
  <c r="O106" i="50"/>
  <c r="P31" i="50"/>
  <c r="H98" i="50"/>
  <c r="I23" i="50"/>
  <c r="U187" i="50"/>
  <c r="V127" i="50"/>
  <c r="U176" i="50"/>
  <c r="V116" i="50"/>
  <c r="U99" i="50"/>
  <c r="V24" i="50"/>
  <c r="O172" i="50"/>
  <c r="P112" i="50"/>
  <c r="O173" i="50"/>
  <c r="P113" i="50"/>
  <c r="G100" i="50"/>
  <c r="H25" i="50"/>
  <c r="O179" i="50"/>
  <c r="P119" i="50"/>
  <c r="W122" i="50" l="1"/>
  <c r="X122" i="50" s="1"/>
  <c r="O190" i="50"/>
  <c r="F280" i="50"/>
  <c r="P115" i="50"/>
  <c r="Q115" i="50" s="1"/>
  <c r="C39" i="49"/>
  <c r="C38" i="49" s="1"/>
  <c r="AL21" i="67" s="1"/>
  <c r="P124" i="50"/>
  <c r="P184" i="50" s="1"/>
  <c r="W120" i="50"/>
  <c r="X120" i="50" s="1"/>
  <c r="V177" i="50"/>
  <c r="W30" i="50"/>
  <c r="W105" i="50" s="1"/>
  <c r="I16" i="50"/>
  <c r="I91" i="50" s="1"/>
  <c r="P16" i="50"/>
  <c r="P91" i="50" s="1"/>
  <c r="P114" i="50"/>
  <c r="P174" i="50" s="1"/>
  <c r="W29" i="50"/>
  <c r="W104" i="50" s="1"/>
  <c r="P129" i="50"/>
  <c r="P189" i="50" s="1"/>
  <c r="G94" i="50"/>
  <c r="E40" i="49"/>
  <c r="X32" i="50"/>
  <c r="F40" i="49" s="1"/>
  <c r="V93" i="50"/>
  <c r="H103" i="50"/>
  <c r="I126" i="50"/>
  <c r="I186" i="50" s="1"/>
  <c r="P17" i="50"/>
  <c r="P92" i="50" s="1"/>
  <c r="P11" i="50"/>
  <c r="Q11" i="50" s="1"/>
  <c r="M280" i="50"/>
  <c r="W23" i="50"/>
  <c r="W98" i="50" s="1"/>
  <c r="O13" i="50"/>
  <c r="P23" i="50"/>
  <c r="P98" i="50" s="1"/>
  <c r="T85" i="50"/>
  <c r="T283" i="50" s="1"/>
  <c r="T285" i="50" s="1"/>
  <c r="W25" i="50"/>
  <c r="X25" i="50" s="1"/>
  <c r="W124" i="50"/>
  <c r="W184" i="50" s="1"/>
  <c r="O109" i="50"/>
  <c r="U10" i="50"/>
  <c r="O19" i="50"/>
  <c r="V19" i="50"/>
  <c r="V190" i="50"/>
  <c r="W130" i="50"/>
  <c r="I33" i="50"/>
  <c r="J33" i="50" s="1"/>
  <c r="W126" i="50"/>
  <c r="X126" i="50" s="1"/>
  <c r="O111" i="50"/>
  <c r="D29" i="67" s="1"/>
  <c r="H177" i="50"/>
  <c r="G10" i="50"/>
  <c r="I31" i="50"/>
  <c r="I106" i="50" s="1"/>
  <c r="N94" i="50"/>
  <c r="N85" i="50" s="1"/>
  <c r="C27" i="67" s="1"/>
  <c r="N10" i="50"/>
  <c r="M283" i="50"/>
  <c r="F85" i="50"/>
  <c r="F283" i="50" s="1"/>
  <c r="H102" i="50"/>
  <c r="W15" i="50"/>
  <c r="V90" i="50"/>
  <c r="N171" i="50"/>
  <c r="C32" i="67" s="1"/>
  <c r="H174" i="50"/>
  <c r="I120" i="50"/>
  <c r="J120" i="50" s="1"/>
  <c r="G88" i="50"/>
  <c r="W34" i="50"/>
  <c r="V109" i="50"/>
  <c r="H179" i="50"/>
  <c r="I119" i="50"/>
  <c r="O187" i="50"/>
  <c r="P127" i="50"/>
  <c r="P121" i="50"/>
  <c r="O181" i="50"/>
  <c r="O103" i="50"/>
  <c r="P28" i="50"/>
  <c r="O176" i="50"/>
  <c r="P116" i="50"/>
  <c r="U88" i="50"/>
  <c r="U85" i="50" s="1"/>
  <c r="C45" i="67" s="1"/>
  <c r="Q30" i="50"/>
  <c r="P105" i="50"/>
  <c r="H190" i="50"/>
  <c r="I130" i="50"/>
  <c r="H185" i="50"/>
  <c r="I125" i="50"/>
  <c r="V187" i="50"/>
  <c r="W127" i="50"/>
  <c r="P173" i="50"/>
  <c r="Q113" i="50"/>
  <c r="V178" i="50"/>
  <c r="W118" i="50"/>
  <c r="I22" i="50"/>
  <c r="I19" i="50" s="1"/>
  <c r="H97" i="50"/>
  <c r="H94" i="50" s="1"/>
  <c r="J30" i="50"/>
  <c r="I105" i="50"/>
  <c r="I175" i="50"/>
  <c r="J115" i="50"/>
  <c r="P185" i="50"/>
  <c r="Q125" i="50"/>
  <c r="O101" i="50"/>
  <c r="P26" i="50"/>
  <c r="H189" i="50"/>
  <c r="I129" i="50"/>
  <c r="V101" i="50"/>
  <c r="W26" i="50"/>
  <c r="X22" i="50"/>
  <c r="W97" i="50"/>
  <c r="I87" i="50"/>
  <c r="J12" i="50"/>
  <c r="V183" i="50"/>
  <c r="W123" i="50"/>
  <c r="P24" i="50"/>
  <c r="O99" i="50"/>
  <c r="O87" i="50"/>
  <c r="P12" i="50"/>
  <c r="O96" i="50"/>
  <c r="P21" i="50"/>
  <c r="O186" i="50"/>
  <c r="P126" i="50"/>
  <c r="P109" i="50"/>
  <c r="Q34" i="50"/>
  <c r="V111" i="50"/>
  <c r="D47" i="67" s="1"/>
  <c r="V172" i="50"/>
  <c r="W112" i="50"/>
  <c r="K34" i="50"/>
  <c r="K109" i="50" s="1"/>
  <c r="J109" i="50"/>
  <c r="H178" i="50"/>
  <c r="I118" i="50"/>
  <c r="C10" i="49"/>
  <c r="AL5" i="67" s="1"/>
  <c r="H100" i="50"/>
  <c r="I25" i="50"/>
  <c r="P179" i="50"/>
  <c r="Q119" i="50"/>
  <c r="V99" i="50"/>
  <c r="W24" i="50"/>
  <c r="I96" i="50"/>
  <c r="J21" i="50"/>
  <c r="V188" i="50"/>
  <c r="W128" i="50"/>
  <c r="I98" i="50"/>
  <c r="J23" i="50"/>
  <c r="P106" i="50"/>
  <c r="Q31" i="50"/>
  <c r="W114" i="50"/>
  <c r="V174" i="50"/>
  <c r="V179" i="50"/>
  <c r="W119" i="50"/>
  <c r="H19" i="50"/>
  <c r="H104" i="50"/>
  <c r="I29" i="50"/>
  <c r="P89" i="50"/>
  <c r="Q14" i="50"/>
  <c r="V175" i="50"/>
  <c r="W115" i="50"/>
  <c r="H90" i="50"/>
  <c r="I15" i="50"/>
  <c r="V87" i="50"/>
  <c r="W12" i="50"/>
  <c r="V103" i="50"/>
  <c r="W28" i="50"/>
  <c r="O90" i="50"/>
  <c r="O88" i="50" s="1"/>
  <c r="P15" i="50"/>
  <c r="J114" i="50"/>
  <c r="I174" i="50"/>
  <c r="I176" i="50"/>
  <c r="J116" i="50"/>
  <c r="P183" i="50"/>
  <c r="Q123" i="50"/>
  <c r="H92" i="50"/>
  <c r="I17" i="50"/>
  <c r="I124" i="50"/>
  <c r="H184" i="50"/>
  <c r="I93" i="50"/>
  <c r="J18" i="50"/>
  <c r="G171" i="50"/>
  <c r="C14" i="67" s="1"/>
  <c r="U171" i="50"/>
  <c r="C50" i="67" s="1"/>
  <c r="Q112" i="50"/>
  <c r="P172" i="50"/>
  <c r="O97" i="50"/>
  <c r="P22" i="50"/>
  <c r="E26" i="49"/>
  <c r="P107" i="50"/>
  <c r="Q32" i="50"/>
  <c r="H187" i="50"/>
  <c r="I127" i="50"/>
  <c r="O102" i="50"/>
  <c r="P27" i="50"/>
  <c r="O108" i="50"/>
  <c r="P33" i="50"/>
  <c r="V96" i="50"/>
  <c r="V94" i="50" s="1"/>
  <c r="W21" i="50"/>
  <c r="P182" i="50"/>
  <c r="Q122" i="50"/>
  <c r="Q180" i="50"/>
  <c r="R120" i="50"/>
  <c r="R180" i="50" s="1"/>
  <c r="V185" i="50"/>
  <c r="W125" i="50"/>
  <c r="I102" i="50"/>
  <c r="J27" i="50"/>
  <c r="V91" i="50"/>
  <c r="W16" i="50"/>
  <c r="P25" i="50"/>
  <c r="O100" i="50"/>
  <c r="P128" i="50"/>
  <c r="O188" i="50"/>
  <c r="O178" i="50"/>
  <c r="P118" i="50"/>
  <c r="H101" i="50"/>
  <c r="I26" i="50"/>
  <c r="H183" i="50"/>
  <c r="I123" i="50"/>
  <c r="H181" i="50"/>
  <c r="I121" i="50"/>
  <c r="I99" i="50"/>
  <c r="J24" i="50"/>
  <c r="W92" i="50"/>
  <c r="X17" i="50"/>
  <c r="Q93" i="50"/>
  <c r="R18" i="50"/>
  <c r="R93" i="50" s="1"/>
  <c r="V173" i="50"/>
  <c r="W113" i="50"/>
  <c r="H182" i="50"/>
  <c r="I122" i="50"/>
  <c r="V176" i="50"/>
  <c r="W116" i="50"/>
  <c r="I103" i="50"/>
  <c r="J28" i="50"/>
  <c r="W102" i="50"/>
  <c r="X27" i="50"/>
  <c r="I177" i="50"/>
  <c r="J117" i="50"/>
  <c r="I95" i="50"/>
  <c r="J20" i="50"/>
  <c r="P95" i="50"/>
  <c r="Q20" i="50"/>
  <c r="W129" i="50"/>
  <c r="V189" i="50"/>
  <c r="P190" i="50"/>
  <c r="Q130" i="50"/>
  <c r="W93" i="50"/>
  <c r="X18" i="50"/>
  <c r="W177" i="50"/>
  <c r="X117" i="50"/>
  <c r="H173" i="50"/>
  <c r="I113" i="50"/>
  <c r="H13" i="50"/>
  <c r="H89" i="50"/>
  <c r="I14" i="50"/>
  <c r="W95" i="50"/>
  <c r="X20" i="50"/>
  <c r="O104" i="50"/>
  <c r="P29" i="50"/>
  <c r="V108" i="50"/>
  <c r="W33" i="50"/>
  <c r="W106" i="50"/>
  <c r="X31" i="50"/>
  <c r="H107" i="50"/>
  <c r="I32" i="50"/>
  <c r="V86" i="50"/>
  <c r="W11" i="50"/>
  <c r="H188" i="50"/>
  <c r="I128" i="50"/>
  <c r="P177" i="50"/>
  <c r="Q117" i="50"/>
  <c r="W181" i="50"/>
  <c r="X121" i="50"/>
  <c r="I86" i="50"/>
  <c r="J11" i="50"/>
  <c r="H172" i="50"/>
  <c r="H111" i="50"/>
  <c r="D11" i="67" s="1"/>
  <c r="I112" i="50"/>
  <c r="V13" i="50"/>
  <c r="V89" i="50"/>
  <c r="W14" i="50"/>
  <c r="W182" i="50" l="1"/>
  <c r="F285" i="50"/>
  <c r="G280" i="50"/>
  <c r="C6" i="67"/>
  <c r="N280" i="50"/>
  <c r="C24" i="67"/>
  <c r="U280" i="50"/>
  <c r="C42" i="67"/>
  <c r="P175" i="50"/>
  <c r="Q114" i="50"/>
  <c r="R114" i="50" s="1"/>
  <c r="R174" i="50" s="1"/>
  <c r="X30" i="50"/>
  <c r="Y30" i="50" s="1"/>
  <c r="Y105" i="50" s="1"/>
  <c r="Q124" i="50"/>
  <c r="Q184" i="50" s="1"/>
  <c r="J16" i="50"/>
  <c r="J91" i="50" s="1"/>
  <c r="X124" i="50"/>
  <c r="X184" i="50" s="1"/>
  <c r="W180" i="50"/>
  <c r="Q16" i="50"/>
  <c r="Q91" i="50" s="1"/>
  <c r="Q23" i="50"/>
  <c r="R23" i="50" s="1"/>
  <c r="R98" i="50" s="1"/>
  <c r="J126" i="50"/>
  <c r="J186" i="50" s="1"/>
  <c r="D11" i="49"/>
  <c r="D10" i="49" s="1"/>
  <c r="AM5" i="67" s="1"/>
  <c r="W186" i="50"/>
  <c r="X29" i="50"/>
  <c r="Y29" i="50" s="1"/>
  <c r="Y104" i="50" s="1"/>
  <c r="Q17" i="50"/>
  <c r="R17" i="50" s="1"/>
  <c r="R92" i="50" s="1"/>
  <c r="W19" i="50"/>
  <c r="X23" i="50"/>
  <c r="Y23" i="50" s="1"/>
  <c r="Y98" i="50" s="1"/>
  <c r="Y32" i="50"/>
  <c r="Y107" i="50" s="1"/>
  <c r="P86" i="50"/>
  <c r="V10" i="50"/>
  <c r="X107" i="50"/>
  <c r="O10" i="50"/>
  <c r="G85" i="50"/>
  <c r="Q129" i="50"/>
  <c r="Q189" i="50" s="1"/>
  <c r="M285" i="50"/>
  <c r="W100" i="50"/>
  <c r="I108" i="50"/>
  <c r="N283" i="50"/>
  <c r="D25" i="49"/>
  <c r="D24" i="49" s="1"/>
  <c r="AM13" i="67" s="1"/>
  <c r="D39" i="49"/>
  <c r="D38" i="49" s="1"/>
  <c r="AM21" i="67" s="1"/>
  <c r="I180" i="50"/>
  <c r="J31" i="50"/>
  <c r="K31" i="50" s="1"/>
  <c r="K106" i="50" s="1"/>
  <c r="W190" i="50"/>
  <c r="X130" i="50"/>
  <c r="P19" i="50"/>
  <c r="W90" i="50"/>
  <c r="X15" i="50"/>
  <c r="V88" i="50"/>
  <c r="V85" i="50" s="1"/>
  <c r="D45" i="67" s="1"/>
  <c r="H10" i="50"/>
  <c r="H88" i="50"/>
  <c r="H85" i="50" s="1"/>
  <c r="D9" i="67" s="1"/>
  <c r="H171" i="50"/>
  <c r="D14" i="67" s="1"/>
  <c r="X34" i="50"/>
  <c r="W109" i="50"/>
  <c r="O171" i="50"/>
  <c r="D32" i="67" s="1"/>
  <c r="J119" i="50"/>
  <c r="I179" i="50"/>
  <c r="U283" i="50"/>
  <c r="P176" i="50"/>
  <c r="Q116" i="50"/>
  <c r="O94" i="50"/>
  <c r="O85" i="50" s="1"/>
  <c r="D27" i="67" s="1"/>
  <c r="P181" i="50"/>
  <c r="Q121" i="50"/>
  <c r="Q105" i="50"/>
  <c r="R30" i="50"/>
  <c r="R105" i="50" s="1"/>
  <c r="Q28" i="50"/>
  <c r="P103" i="50"/>
  <c r="P187" i="50"/>
  <c r="Q127" i="50"/>
  <c r="I190" i="50"/>
  <c r="J130" i="50"/>
  <c r="J125" i="50"/>
  <c r="I185" i="50"/>
  <c r="X181" i="50"/>
  <c r="Y121" i="50"/>
  <c r="Y181" i="50" s="1"/>
  <c r="X106" i="50"/>
  <c r="Y31" i="50"/>
  <c r="Y106" i="50" s="1"/>
  <c r="K20" i="50"/>
  <c r="J95" i="50"/>
  <c r="W173" i="50"/>
  <c r="X113" i="50"/>
  <c r="J99" i="50"/>
  <c r="K24" i="50"/>
  <c r="K99" i="50" s="1"/>
  <c r="I183" i="50"/>
  <c r="J123" i="50"/>
  <c r="P178" i="50"/>
  <c r="Q118" i="50"/>
  <c r="W91" i="50"/>
  <c r="X16" i="50"/>
  <c r="W185" i="50"/>
  <c r="X125" i="50"/>
  <c r="P108" i="50"/>
  <c r="Q33" i="50"/>
  <c r="F26" i="49"/>
  <c r="R32" i="50"/>
  <c r="Q107" i="50"/>
  <c r="P97" i="50"/>
  <c r="Q22" i="50"/>
  <c r="P111" i="50"/>
  <c r="E29" i="67" s="1"/>
  <c r="Q183" i="50"/>
  <c r="R123" i="50"/>
  <c r="R183" i="50" s="1"/>
  <c r="X180" i="50"/>
  <c r="Y120" i="50"/>
  <c r="Y180" i="50" s="1"/>
  <c r="P90" i="50"/>
  <c r="P88" i="50" s="1"/>
  <c r="Q15" i="50"/>
  <c r="X12" i="50"/>
  <c r="W87" i="50"/>
  <c r="J15" i="50"/>
  <c r="I90" i="50"/>
  <c r="R14" i="50"/>
  <c r="Q89" i="50"/>
  <c r="X119" i="50"/>
  <c r="W179" i="50"/>
  <c r="Q106" i="50"/>
  <c r="R31" i="50"/>
  <c r="R106" i="50" s="1"/>
  <c r="J96" i="50"/>
  <c r="K21" i="50"/>
  <c r="K96" i="50" s="1"/>
  <c r="Q179" i="50"/>
  <c r="R119" i="50"/>
  <c r="R179" i="50" s="1"/>
  <c r="P96" i="50"/>
  <c r="Q21" i="50"/>
  <c r="W101" i="50"/>
  <c r="X26" i="50"/>
  <c r="K30" i="50"/>
  <c r="K105" i="50" s="1"/>
  <c r="J105" i="50"/>
  <c r="W108" i="50"/>
  <c r="X33" i="50"/>
  <c r="W189" i="50"/>
  <c r="X129" i="50"/>
  <c r="J122" i="50"/>
  <c r="I182" i="50"/>
  <c r="W13" i="50"/>
  <c r="X14" i="50"/>
  <c r="W89" i="50"/>
  <c r="K11" i="50"/>
  <c r="J86" i="50"/>
  <c r="J32" i="50"/>
  <c r="E12" i="49"/>
  <c r="I107" i="50"/>
  <c r="I173" i="50"/>
  <c r="J113" i="50"/>
  <c r="X93" i="50"/>
  <c r="Y18" i="50"/>
  <c r="Y93" i="50" s="1"/>
  <c r="R130" i="50"/>
  <c r="R190" i="50" s="1"/>
  <c r="Q190" i="50"/>
  <c r="R20" i="50"/>
  <c r="Q95" i="50"/>
  <c r="X102" i="50"/>
  <c r="Y27" i="50"/>
  <c r="Y102" i="50" s="1"/>
  <c r="W176" i="50"/>
  <c r="X116" i="50"/>
  <c r="P188" i="50"/>
  <c r="Q128" i="50"/>
  <c r="W96" i="50"/>
  <c r="W94" i="50" s="1"/>
  <c r="X21" i="50"/>
  <c r="I187" i="50"/>
  <c r="J127" i="50"/>
  <c r="X186" i="50"/>
  <c r="Y126" i="50"/>
  <c r="Y186" i="50" s="1"/>
  <c r="J174" i="50"/>
  <c r="K114" i="50"/>
  <c r="K174" i="50" s="1"/>
  <c r="I104" i="50"/>
  <c r="J29" i="50"/>
  <c r="Q175" i="50"/>
  <c r="R115" i="50"/>
  <c r="R175" i="50" s="1"/>
  <c r="X100" i="50"/>
  <c r="Y25" i="50"/>
  <c r="Y100" i="50" s="1"/>
  <c r="Q109" i="50"/>
  <c r="R34" i="50"/>
  <c r="R109" i="50" s="1"/>
  <c r="P99" i="50"/>
  <c r="Q24" i="50"/>
  <c r="X97" i="50"/>
  <c r="Y22" i="50"/>
  <c r="Y97" i="50" s="1"/>
  <c r="R11" i="50"/>
  <c r="Q86" i="50"/>
  <c r="P101" i="50"/>
  <c r="Q26" i="50"/>
  <c r="K115" i="50"/>
  <c r="K175" i="50" s="1"/>
  <c r="J175" i="50"/>
  <c r="W187" i="50"/>
  <c r="X127" i="50"/>
  <c r="I111" i="50"/>
  <c r="E11" i="67" s="1"/>
  <c r="I172" i="50"/>
  <c r="J112" i="50"/>
  <c r="J128" i="50"/>
  <c r="I188" i="50"/>
  <c r="V280" i="50"/>
  <c r="P104" i="50"/>
  <c r="Q29" i="50"/>
  <c r="Y17" i="50"/>
  <c r="Y92" i="50" s="1"/>
  <c r="X92" i="50"/>
  <c r="I101" i="50"/>
  <c r="J26" i="50"/>
  <c r="K27" i="50"/>
  <c r="K102" i="50" s="1"/>
  <c r="J102" i="50"/>
  <c r="J180" i="50"/>
  <c r="K120" i="50"/>
  <c r="K180" i="50" s="1"/>
  <c r="P102" i="50"/>
  <c r="Q27" i="50"/>
  <c r="I184" i="50"/>
  <c r="J124" i="50"/>
  <c r="J176" i="50"/>
  <c r="K116" i="50"/>
  <c r="K176" i="50" s="1"/>
  <c r="W103" i="50"/>
  <c r="X28" i="50"/>
  <c r="W175" i="50"/>
  <c r="X115" i="50"/>
  <c r="P13" i="50"/>
  <c r="J98" i="50"/>
  <c r="K23" i="50"/>
  <c r="K98" i="50" s="1"/>
  <c r="J108" i="50"/>
  <c r="K33" i="50"/>
  <c r="K108" i="50" s="1"/>
  <c r="W188" i="50"/>
  <c r="X128" i="50"/>
  <c r="W99" i="50"/>
  <c r="X24" i="50"/>
  <c r="X182" i="50"/>
  <c r="Y122" i="50"/>
  <c r="Y182" i="50" s="1"/>
  <c r="J118" i="50"/>
  <c r="I178" i="50"/>
  <c r="W111" i="50"/>
  <c r="E47" i="67" s="1"/>
  <c r="X112" i="50"/>
  <c r="W172" i="50"/>
  <c r="Q126" i="50"/>
  <c r="P186" i="50"/>
  <c r="P87" i="50"/>
  <c r="Q12" i="50"/>
  <c r="W183" i="50"/>
  <c r="X123" i="50"/>
  <c r="J87" i="50"/>
  <c r="K12" i="50"/>
  <c r="K87" i="50" s="1"/>
  <c r="I97" i="50"/>
  <c r="I94" i="50" s="1"/>
  <c r="J22" i="50"/>
  <c r="Q177" i="50"/>
  <c r="R117" i="50"/>
  <c r="R177" i="50" s="1"/>
  <c r="I13" i="50"/>
  <c r="I10" i="50" s="1"/>
  <c r="E6" i="67" s="1"/>
  <c r="I89" i="50"/>
  <c r="J14" i="50"/>
  <c r="I181" i="50"/>
  <c r="J121" i="50"/>
  <c r="X11" i="50"/>
  <c r="W86" i="50"/>
  <c r="X95" i="50"/>
  <c r="Y20" i="50"/>
  <c r="X177" i="50"/>
  <c r="Y117" i="50"/>
  <c r="Y177" i="50" s="1"/>
  <c r="X105" i="50"/>
  <c r="J177" i="50"/>
  <c r="K117" i="50"/>
  <c r="K177" i="50" s="1"/>
  <c r="J103" i="50"/>
  <c r="K28" i="50"/>
  <c r="K103" i="50" s="1"/>
  <c r="P100" i="50"/>
  <c r="Q25" i="50"/>
  <c r="Q182" i="50"/>
  <c r="R122" i="50"/>
  <c r="R182" i="50" s="1"/>
  <c r="Q172" i="50"/>
  <c r="R112" i="50"/>
  <c r="J93" i="50"/>
  <c r="K18" i="50"/>
  <c r="K93" i="50" s="1"/>
  <c r="I92" i="50"/>
  <c r="J17" i="50"/>
  <c r="W174" i="50"/>
  <c r="X114" i="50"/>
  <c r="I100" i="50"/>
  <c r="J25" i="50"/>
  <c r="V171" i="50"/>
  <c r="D50" i="67" s="1"/>
  <c r="I189" i="50"/>
  <c r="J129" i="50"/>
  <c r="Q185" i="50"/>
  <c r="R125" i="50"/>
  <c r="R185" i="50" s="1"/>
  <c r="W178" i="50"/>
  <c r="X118" i="50"/>
  <c r="Q173" i="50"/>
  <c r="R113" i="50"/>
  <c r="R173" i="50" s="1"/>
  <c r="U285" i="50" l="1"/>
  <c r="Q174" i="50"/>
  <c r="N285" i="50"/>
  <c r="H280" i="50"/>
  <c r="D6" i="67"/>
  <c r="G283" i="50"/>
  <c r="G285" i="50" s="1"/>
  <c r="C9" i="67"/>
  <c r="E25" i="49"/>
  <c r="E24" i="49" s="1"/>
  <c r="AN13" i="67" s="1"/>
  <c r="D24" i="67"/>
  <c r="E39" i="49"/>
  <c r="E38" i="49" s="1"/>
  <c r="AN21" i="67" s="1"/>
  <c r="D42" i="67"/>
  <c r="R124" i="50"/>
  <c r="R184" i="50" s="1"/>
  <c r="R16" i="50"/>
  <c r="R91" i="50" s="1"/>
  <c r="Y124" i="50"/>
  <c r="Y184" i="50" s="1"/>
  <c r="Q98" i="50"/>
  <c r="Q92" i="50"/>
  <c r="K126" i="50"/>
  <c r="K186" i="50" s="1"/>
  <c r="X98" i="50"/>
  <c r="X104" i="50"/>
  <c r="K16" i="50"/>
  <c r="K91" i="50" s="1"/>
  <c r="X19" i="50"/>
  <c r="Q13" i="50"/>
  <c r="O280" i="50"/>
  <c r="W10" i="50"/>
  <c r="G40" i="49"/>
  <c r="R129" i="50"/>
  <c r="R189" i="50" s="1"/>
  <c r="Q19" i="50"/>
  <c r="J106" i="50"/>
  <c r="P10" i="50"/>
  <c r="Q111" i="50"/>
  <c r="F29" i="67" s="1"/>
  <c r="H283" i="50"/>
  <c r="Y130" i="50"/>
  <c r="Y190" i="50" s="1"/>
  <c r="X190" i="50"/>
  <c r="E11" i="49"/>
  <c r="X90" i="50"/>
  <c r="Y15" i="50"/>
  <c r="Y90" i="50" s="1"/>
  <c r="O283" i="50"/>
  <c r="W88" i="50"/>
  <c r="W85" i="50" s="1"/>
  <c r="E45" i="67" s="1"/>
  <c r="P94" i="50"/>
  <c r="P85" i="50" s="1"/>
  <c r="E27" i="67" s="1"/>
  <c r="P171" i="50"/>
  <c r="E32" i="67" s="1"/>
  <c r="J179" i="50"/>
  <c r="K119" i="50"/>
  <c r="K179" i="50" s="1"/>
  <c r="X109" i="50"/>
  <c r="Y34" i="50"/>
  <c r="Y109" i="50" s="1"/>
  <c r="R28" i="50"/>
  <c r="R103" i="50" s="1"/>
  <c r="Q103" i="50"/>
  <c r="Q187" i="50"/>
  <c r="R127" i="50"/>
  <c r="R187" i="50" s="1"/>
  <c r="Q176" i="50"/>
  <c r="R116" i="50"/>
  <c r="R176" i="50" s="1"/>
  <c r="R121" i="50"/>
  <c r="R181" i="50" s="1"/>
  <c r="Q181" i="50"/>
  <c r="J185" i="50"/>
  <c r="K125" i="50"/>
  <c r="K185" i="50" s="1"/>
  <c r="K130" i="50"/>
  <c r="K190" i="50" s="1"/>
  <c r="J190" i="50"/>
  <c r="J189" i="50"/>
  <c r="K129" i="50"/>
  <c r="K189" i="50" s="1"/>
  <c r="R172" i="50"/>
  <c r="J97" i="50"/>
  <c r="J94" i="50" s="1"/>
  <c r="K22" i="50"/>
  <c r="K97" i="50" s="1"/>
  <c r="Y128" i="50"/>
  <c r="Y188" i="50" s="1"/>
  <c r="X188" i="50"/>
  <c r="J101" i="50"/>
  <c r="K26" i="50"/>
  <c r="K101" i="50" s="1"/>
  <c r="J111" i="50"/>
  <c r="F11" i="67" s="1"/>
  <c r="K112" i="50"/>
  <c r="J172" i="50"/>
  <c r="J104" i="50"/>
  <c r="K29" i="50"/>
  <c r="K104" i="50" s="1"/>
  <c r="X13" i="50"/>
  <c r="Y14" i="50"/>
  <c r="X89" i="50"/>
  <c r="X189" i="50"/>
  <c r="Y129" i="50"/>
  <c r="Y189" i="50" s="1"/>
  <c r="V283" i="50"/>
  <c r="V285" i="50" s="1"/>
  <c r="Q96" i="50"/>
  <c r="R21" i="50"/>
  <c r="R96" i="50" s="1"/>
  <c r="R89" i="50"/>
  <c r="Q108" i="50"/>
  <c r="R33" i="50"/>
  <c r="R108" i="50" s="1"/>
  <c r="X91" i="50"/>
  <c r="Y16" i="50"/>
  <c r="Y91" i="50" s="1"/>
  <c r="J183" i="50"/>
  <c r="K123" i="50"/>
  <c r="K183" i="50" s="1"/>
  <c r="X173" i="50"/>
  <c r="Y113" i="50"/>
  <c r="Y173" i="50" s="1"/>
  <c r="J19" i="50"/>
  <c r="X86" i="50"/>
  <c r="Y11" i="50"/>
  <c r="Y112" i="50"/>
  <c r="X111" i="50"/>
  <c r="F47" i="67" s="1"/>
  <c r="X172" i="50"/>
  <c r="X174" i="50"/>
  <c r="Y114" i="50"/>
  <c r="Y174" i="50" s="1"/>
  <c r="Q100" i="50"/>
  <c r="R25" i="50"/>
  <c r="R100" i="50" s="1"/>
  <c r="J13" i="50"/>
  <c r="K14" i="50"/>
  <c r="J89" i="50"/>
  <c r="X183" i="50"/>
  <c r="Y123" i="50"/>
  <c r="Y183" i="50" s="1"/>
  <c r="J184" i="50"/>
  <c r="K124" i="50"/>
  <c r="K184" i="50" s="1"/>
  <c r="I171" i="50"/>
  <c r="E14" i="67" s="1"/>
  <c r="K127" i="50"/>
  <c r="K187" i="50" s="1"/>
  <c r="J187" i="50"/>
  <c r="Q188" i="50"/>
  <c r="R128" i="50"/>
  <c r="R188" i="50" s="1"/>
  <c r="R95" i="50"/>
  <c r="X101" i="50"/>
  <c r="Y26" i="50"/>
  <c r="Y101" i="50" s="1"/>
  <c r="X87" i="50"/>
  <c r="Y12" i="50"/>
  <c r="Y87" i="50" s="1"/>
  <c r="Q97" i="50"/>
  <c r="R22" i="50"/>
  <c r="R97" i="50" s="1"/>
  <c r="X178" i="50"/>
  <c r="Y118" i="50"/>
  <c r="Y178" i="50" s="1"/>
  <c r="J92" i="50"/>
  <c r="K17" i="50"/>
  <c r="K92" i="50" s="1"/>
  <c r="J181" i="50"/>
  <c r="K121" i="50"/>
  <c r="K181" i="50" s="1"/>
  <c r="I88" i="50"/>
  <c r="I85" i="50" s="1"/>
  <c r="E9" i="67" s="1"/>
  <c r="Q186" i="50"/>
  <c r="R126" i="50"/>
  <c r="R186" i="50" s="1"/>
  <c r="X99" i="50"/>
  <c r="Y24" i="50"/>
  <c r="Y99" i="50" s="1"/>
  <c r="Q102" i="50"/>
  <c r="R27" i="50"/>
  <c r="R102" i="50" s="1"/>
  <c r="Q104" i="50"/>
  <c r="R29" i="50"/>
  <c r="R104" i="50" s="1"/>
  <c r="K86" i="50"/>
  <c r="X108" i="50"/>
  <c r="Y33" i="50"/>
  <c r="Y108" i="50" s="1"/>
  <c r="X179" i="50"/>
  <c r="Y119" i="50"/>
  <c r="Y179" i="50" s="1"/>
  <c r="Q90" i="50"/>
  <c r="R15" i="50"/>
  <c r="R90" i="50" s="1"/>
  <c r="G26" i="49"/>
  <c r="R107" i="50"/>
  <c r="X185" i="50"/>
  <c r="Y125" i="50"/>
  <c r="Y185" i="50" s="1"/>
  <c r="Q178" i="50"/>
  <c r="R118" i="50"/>
  <c r="R178" i="50" s="1"/>
  <c r="J100" i="50"/>
  <c r="K25" i="50"/>
  <c r="K100" i="50" s="1"/>
  <c r="Y95" i="50"/>
  <c r="I280" i="50"/>
  <c r="F11" i="49"/>
  <c r="Q87" i="50"/>
  <c r="R12" i="50"/>
  <c r="R87" i="50" s="1"/>
  <c r="W171" i="50"/>
  <c r="E50" i="67" s="1"/>
  <c r="J178" i="50"/>
  <c r="K118" i="50"/>
  <c r="K178" i="50" s="1"/>
  <c r="X175" i="50"/>
  <c r="Y115" i="50"/>
  <c r="Y175" i="50" s="1"/>
  <c r="X103" i="50"/>
  <c r="Y28" i="50"/>
  <c r="Y103" i="50" s="1"/>
  <c r="J188" i="50"/>
  <c r="K128" i="50"/>
  <c r="K188" i="50" s="1"/>
  <c r="X187" i="50"/>
  <c r="Y127" i="50"/>
  <c r="Y187" i="50" s="1"/>
  <c r="Q101" i="50"/>
  <c r="R26" i="50"/>
  <c r="R101" i="50" s="1"/>
  <c r="R86" i="50"/>
  <c r="Q99" i="50"/>
  <c r="R24" i="50"/>
  <c r="R99" i="50" s="1"/>
  <c r="X96" i="50"/>
  <c r="Y21" i="50"/>
  <c r="Y96" i="50" s="1"/>
  <c r="X176" i="50"/>
  <c r="Y116" i="50"/>
  <c r="Y176" i="50" s="1"/>
  <c r="J173" i="50"/>
  <c r="K113" i="50"/>
  <c r="K173" i="50" s="1"/>
  <c r="F12" i="49"/>
  <c r="J107" i="50"/>
  <c r="K32" i="50"/>
  <c r="K122" i="50"/>
  <c r="K182" i="50" s="1"/>
  <c r="J182" i="50"/>
  <c r="J90" i="50"/>
  <c r="K15" i="50"/>
  <c r="K90" i="50" s="1"/>
  <c r="K95" i="50"/>
  <c r="H285" i="50" l="1"/>
  <c r="P280" i="50"/>
  <c r="E24" i="67"/>
  <c r="W280" i="50"/>
  <c r="E42" i="67"/>
  <c r="Q88" i="50"/>
  <c r="X10" i="50"/>
  <c r="X94" i="50"/>
  <c r="Q10" i="50"/>
  <c r="O285" i="50"/>
  <c r="F39" i="49"/>
  <c r="F38" i="49" s="1"/>
  <c r="AO21" i="67" s="1"/>
  <c r="E10" i="49"/>
  <c r="AN5" i="67" s="1"/>
  <c r="Q94" i="50"/>
  <c r="F25" i="49"/>
  <c r="F24" i="49" s="1"/>
  <c r="AO13" i="67" s="1"/>
  <c r="K19" i="50"/>
  <c r="K94" i="50"/>
  <c r="P283" i="50"/>
  <c r="I283" i="50"/>
  <c r="I285" i="50" s="1"/>
  <c r="Q171" i="50"/>
  <c r="F32" i="67" s="1"/>
  <c r="J10" i="50"/>
  <c r="R94" i="50"/>
  <c r="R13" i="50"/>
  <c r="Y13" i="50"/>
  <c r="Y89" i="50"/>
  <c r="Y88" i="50" s="1"/>
  <c r="R171" i="50"/>
  <c r="G32" i="67" s="1"/>
  <c r="W283" i="50"/>
  <c r="R19" i="50"/>
  <c r="J88" i="50"/>
  <c r="J85" i="50" s="1"/>
  <c r="F9" i="67" s="1"/>
  <c r="X171" i="50"/>
  <c r="F50" i="67" s="1"/>
  <c r="Y86" i="50"/>
  <c r="R88" i="50"/>
  <c r="J171" i="50"/>
  <c r="F14" i="67" s="1"/>
  <c r="R111" i="50"/>
  <c r="G29" i="67" s="1"/>
  <c r="G12" i="49"/>
  <c r="K107" i="50"/>
  <c r="F10" i="49"/>
  <c r="AO5" i="67" s="1"/>
  <c r="Y94" i="50"/>
  <c r="K13" i="50"/>
  <c r="K89" i="50"/>
  <c r="K88" i="50" s="1"/>
  <c r="K111" i="50"/>
  <c r="G11" i="67" s="1"/>
  <c r="K172" i="50"/>
  <c r="K171" i="50" s="1"/>
  <c r="G14" i="67" s="1"/>
  <c r="Y19" i="50"/>
  <c r="Y172" i="50"/>
  <c r="Y171" i="50" s="1"/>
  <c r="G50" i="67" s="1"/>
  <c r="Y111" i="50"/>
  <c r="G47" i="67" s="1"/>
  <c r="X88" i="50"/>
  <c r="X85" i="50" l="1"/>
  <c r="F45" i="67" s="1"/>
  <c r="W285" i="50"/>
  <c r="P285" i="50"/>
  <c r="G25" i="49"/>
  <c r="G24" i="49" s="1"/>
  <c r="AP13" i="67" s="1"/>
  <c r="F24" i="67"/>
  <c r="G11" i="49"/>
  <c r="G10" i="49" s="1"/>
  <c r="AP5" i="67" s="1"/>
  <c r="F6" i="67"/>
  <c r="X280" i="50"/>
  <c r="F42" i="67"/>
  <c r="G39" i="49"/>
  <c r="G38" i="49" s="1"/>
  <c r="AP21" i="67" s="1"/>
  <c r="Q85" i="50"/>
  <c r="Q280" i="50"/>
  <c r="K10" i="50"/>
  <c r="J280" i="50"/>
  <c r="Y10" i="50"/>
  <c r="R85" i="50"/>
  <c r="Y85" i="50"/>
  <c r="J283" i="50"/>
  <c r="K85" i="50"/>
  <c r="R10" i="50"/>
  <c r="X283" i="50" l="1"/>
  <c r="X285" i="50" s="1"/>
  <c r="Y280" i="50"/>
  <c r="G42" i="67"/>
  <c r="Q283" i="50"/>
  <c r="Q285" i="50" s="1"/>
  <c r="F27" i="67"/>
  <c r="Y283" i="50"/>
  <c r="G45" i="67"/>
  <c r="R280" i="50"/>
  <c r="G24" i="67"/>
  <c r="K280" i="50"/>
  <c r="G6" i="67"/>
  <c r="K283" i="50"/>
  <c r="G9" i="67"/>
  <c r="R283" i="50"/>
  <c r="G27" i="67"/>
  <c r="J285" i="50"/>
  <c r="AO85" i="50"/>
  <c r="AA102" i="50"/>
  <c r="AH187" i="50"/>
  <c r="AH175" i="50"/>
  <c r="AA106" i="50"/>
  <c r="AH177" i="50"/>
  <c r="AH91" i="50"/>
  <c r="AA95" i="50"/>
  <c r="AA92" i="50"/>
  <c r="AH93" i="50"/>
  <c r="AA103" i="50"/>
  <c r="AH173" i="50"/>
  <c r="AH92" i="50"/>
  <c r="AH188" i="50"/>
  <c r="AH182" i="50"/>
  <c r="AA101" i="50"/>
  <c r="AH87" i="50"/>
  <c r="AA99" i="50"/>
  <c r="AH189" i="50"/>
  <c r="AH102" i="50"/>
  <c r="AH99" i="50"/>
  <c r="AH104" i="50"/>
  <c r="AH108" i="50"/>
  <c r="AH180" i="50"/>
  <c r="AA93" i="50"/>
  <c r="AA89" i="50"/>
  <c r="AH183" i="50"/>
  <c r="AA91" i="50"/>
  <c r="AI190" i="50"/>
  <c r="AH105" i="50"/>
  <c r="AH100" i="50"/>
  <c r="AA107" i="50"/>
  <c r="AH97" i="50"/>
  <c r="AI106" i="50"/>
  <c r="AI172" i="50"/>
  <c r="AA90" i="50"/>
  <c r="AH186" i="50"/>
  <c r="AI179" i="50"/>
  <c r="AH90" i="50"/>
  <c r="AA86" i="50"/>
  <c r="K285" i="50" l="1"/>
  <c r="R285" i="50"/>
  <c r="Y285" i="50"/>
  <c r="AB93" i="50"/>
  <c r="AB89" i="50"/>
  <c r="AB106" i="50"/>
  <c r="AH190" i="50"/>
  <c r="AB91" i="50"/>
  <c r="AI182" i="50"/>
  <c r="AJ106" i="50"/>
  <c r="AI180" i="50"/>
  <c r="AI189" i="50"/>
  <c r="AI100" i="50"/>
  <c r="AH178" i="50"/>
  <c r="AI178" i="50"/>
  <c r="AJ178" i="50"/>
  <c r="AJ179" i="50"/>
  <c r="AI90" i="50"/>
  <c r="AH172" i="50"/>
  <c r="AI105" i="50"/>
  <c r="AB108" i="50"/>
  <c r="AA108" i="50"/>
  <c r="AA100" i="50"/>
  <c r="AB90" i="50"/>
  <c r="AJ96" i="50"/>
  <c r="AI89" i="50"/>
  <c r="AH86" i="50"/>
  <c r="AI96" i="50"/>
  <c r="AH96" i="50"/>
  <c r="AA87" i="50"/>
  <c r="AA98" i="50"/>
  <c r="AH176" i="50"/>
  <c r="AH181" i="50"/>
  <c r="AI174" i="50"/>
  <c r="AH103" i="50"/>
  <c r="AH106" i="50"/>
  <c r="AH19" i="50"/>
  <c r="AH95" i="50"/>
  <c r="AH13" i="50"/>
  <c r="AH89" i="50"/>
  <c r="AH88" i="50" s="1"/>
  <c r="AH107" i="50"/>
  <c r="AH174" i="50"/>
  <c r="AH111" i="50"/>
  <c r="AA88" i="50"/>
  <c r="AH185" i="50"/>
  <c r="AA109" i="50"/>
  <c r="AH109" i="50"/>
  <c r="AH179" i="50"/>
  <c r="AH101" i="50"/>
  <c r="AH98" i="50"/>
  <c r="AA105" i="50"/>
  <c r="AA96" i="50"/>
  <c r="AI101" i="50"/>
  <c r="AA104" i="50"/>
  <c r="AI184" i="50"/>
  <c r="AA97" i="50"/>
  <c r="AB100" i="50"/>
  <c r="AA13" i="50"/>
  <c r="AA19" i="50"/>
  <c r="AH184" i="50"/>
  <c r="AH10" i="50" l="1"/>
  <c r="C67" i="49" s="1"/>
  <c r="AI183" i="50"/>
  <c r="AI104" i="50"/>
  <c r="AI92" i="50"/>
  <c r="B16" i="48"/>
  <c r="B14" i="48" s="1"/>
  <c r="E16" i="48"/>
  <c r="D16" i="48"/>
  <c r="AK179" i="50"/>
  <c r="AC90" i="50"/>
  <c r="AB13" i="50"/>
  <c r="AJ104" i="50"/>
  <c r="AJ180" i="50"/>
  <c r="AC86" i="50"/>
  <c r="AB86" i="50"/>
  <c r="AC91" i="50"/>
  <c r="AK108" i="50"/>
  <c r="AJ100" i="50"/>
  <c r="AJ108" i="50"/>
  <c r="AI97" i="50"/>
  <c r="AJ97" i="50"/>
  <c r="AB95" i="50"/>
  <c r="AJ175" i="50"/>
  <c r="AI99" i="50"/>
  <c r="AI175" i="50"/>
  <c r="AI186" i="50"/>
  <c r="AI108" i="50"/>
  <c r="AJ90" i="50"/>
  <c r="AK97" i="50"/>
  <c r="AL97" i="50"/>
  <c r="AI188" i="50"/>
  <c r="AI187" i="50"/>
  <c r="AI87" i="50"/>
  <c r="AI102" i="50"/>
  <c r="AJ190" i="50"/>
  <c r="AJ186" i="50"/>
  <c r="AI93" i="50"/>
  <c r="AI173" i="50"/>
  <c r="AB19" i="50"/>
  <c r="AB103" i="50"/>
  <c r="AA94" i="50"/>
  <c r="AA85" i="50" s="1"/>
  <c r="AA283" i="50" s="1"/>
  <c r="AB101" i="50"/>
  <c r="AC108" i="50"/>
  <c r="AB99" i="50"/>
  <c r="AB104" i="50"/>
  <c r="AJ101" i="50"/>
  <c r="C54" i="49"/>
  <c r="AB107" i="50"/>
  <c r="AB102" i="50"/>
  <c r="AI98" i="50"/>
  <c r="AK104" i="50"/>
  <c r="AJ92" i="50"/>
  <c r="AI185" i="50"/>
  <c r="AH171" i="50"/>
  <c r="AJ99" i="50"/>
  <c r="AI103" i="50"/>
  <c r="AI181" i="50"/>
  <c r="AJ89" i="50"/>
  <c r="AB97" i="50"/>
  <c r="AB96" i="50"/>
  <c r="AB92" i="50"/>
  <c r="AB88" i="50" s="1"/>
  <c r="AJ174" i="50"/>
  <c r="AJ172" i="50"/>
  <c r="AB98" i="50"/>
  <c r="AB87" i="50"/>
  <c r="AL108" i="50"/>
  <c r="AM108" i="50"/>
  <c r="AI177" i="50"/>
  <c r="AA10" i="50"/>
  <c r="AC100" i="50"/>
  <c r="AI91" i="50"/>
  <c r="AC95" i="50"/>
  <c r="AI109" i="50"/>
  <c r="AI95" i="50"/>
  <c r="AI19" i="50"/>
  <c r="AI111" i="50"/>
  <c r="C89" i="67" s="1"/>
  <c r="C107" i="67" s="1"/>
  <c r="AD86" i="50"/>
  <c r="AI13" i="50"/>
  <c r="AK96" i="50"/>
  <c r="AJ184" i="50"/>
  <c r="AB105" i="50"/>
  <c r="AK175" i="50"/>
  <c r="AB109" i="50"/>
  <c r="AC93" i="50"/>
  <c r="C68" i="49"/>
  <c r="AI107" i="50"/>
  <c r="AH94" i="50"/>
  <c r="AH85" i="50" s="1"/>
  <c r="AI176" i="50"/>
  <c r="AJ183" i="50"/>
  <c r="AI86" i="50"/>
  <c r="AH280" i="50" l="1"/>
  <c r="AA280" i="50"/>
  <c r="AA285" i="50" s="1"/>
  <c r="C53" i="49"/>
  <c r="AI88" i="50"/>
  <c r="AL179" i="50"/>
  <c r="AC106" i="50"/>
  <c r="AB10" i="50"/>
  <c r="C60" i="67" s="1"/>
  <c r="AK178" i="50"/>
  <c r="AK106" i="50"/>
  <c r="C16" i="48"/>
  <c r="G16" i="48"/>
  <c r="F16" i="48"/>
  <c r="AJ105" i="50"/>
  <c r="AH283" i="50"/>
  <c r="AJ182" i="50"/>
  <c r="AJ189" i="50"/>
  <c r="AC13" i="50"/>
  <c r="AC89" i="50"/>
  <c r="AE91" i="50"/>
  <c r="AI10" i="50"/>
  <c r="AK90" i="50"/>
  <c r="AM97" i="50"/>
  <c r="AB94" i="50"/>
  <c r="AB85" i="50" s="1"/>
  <c r="AJ13" i="50"/>
  <c r="AI94" i="50"/>
  <c r="AC19" i="50"/>
  <c r="AI171" i="50"/>
  <c r="C92" i="67" s="1"/>
  <c r="C110" i="67" s="1"/>
  <c r="AJ173" i="50"/>
  <c r="AK186" i="50"/>
  <c r="AJ102" i="50"/>
  <c r="AJ187" i="50"/>
  <c r="AJ93" i="50"/>
  <c r="AK190" i="50"/>
  <c r="AJ87" i="50"/>
  <c r="AJ188" i="50"/>
  <c r="AC103" i="50"/>
  <c r="AC101" i="50"/>
  <c r="AC99" i="50"/>
  <c r="AD108" i="50"/>
  <c r="AL175" i="50"/>
  <c r="AM175" i="50"/>
  <c r="AK183" i="50"/>
  <c r="AJ176" i="50"/>
  <c r="D68" i="49"/>
  <c r="AJ107" i="50"/>
  <c r="AD93" i="50"/>
  <c r="AM178" i="50"/>
  <c r="AL178" i="50"/>
  <c r="AK182" i="50"/>
  <c r="AD90" i="50"/>
  <c r="V58" i="53"/>
  <c r="W52" i="67" s="1"/>
  <c r="AC96" i="50"/>
  <c r="AK89" i="50"/>
  <c r="AK99" i="50"/>
  <c r="AJ98" i="50"/>
  <c r="AC109" i="50"/>
  <c r="AL96" i="50"/>
  <c r="AM96" i="50"/>
  <c r="AK189" i="50"/>
  <c r="AD106" i="50"/>
  <c r="AD100" i="50"/>
  <c r="U58" i="53"/>
  <c r="V52" i="67" s="1"/>
  <c r="AC87" i="50"/>
  <c r="AK174" i="50"/>
  <c r="AC97" i="50"/>
  <c r="G58" i="53"/>
  <c r="X10" i="67" s="1"/>
  <c r="AJ103" i="50"/>
  <c r="AJ185" i="50"/>
  <c r="AL104" i="50"/>
  <c r="AM104" i="50"/>
  <c r="AC102" i="50"/>
  <c r="AK101" i="50"/>
  <c r="AK184" i="50"/>
  <c r="W58" i="53"/>
  <c r="X52" i="67" s="1"/>
  <c r="AJ86" i="50"/>
  <c r="AK105" i="50"/>
  <c r="AJ19" i="50"/>
  <c r="AJ95" i="50"/>
  <c r="AJ109" i="50"/>
  <c r="AC98" i="50"/>
  <c r="AK172" i="50"/>
  <c r="AC92" i="50"/>
  <c r="AL106" i="50"/>
  <c r="AM106" i="50"/>
  <c r="AK92" i="50"/>
  <c r="AC104" i="50"/>
  <c r="AC105" i="50"/>
  <c r="N58" i="53"/>
  <c r="W31" i="67" s="1"/>
  <c r="AE86" i="50"/>
  <c r="AD95" i="50"/>
  <c r="AJ91" i="50"/>
  <c r="AJ88" i="50" s="1"/>
  <c r="AJ177" i="50"/>
  <c r="P58" i="53"/>
  <c r="Y31" i="67" s="1"/>
  <c r="AA31" i="67" s="1"/>
  <c r="AJ111" i="50"/>
  <c r="D89" i="67" s="1"/>
  <c r="D107" i="67" s="1"/>
  <c r="AJ181" i="50"/>
  <c r="D54" i="49"/>
  <c r="AC107" i="50"/>
  <c r="AH285" i="50" l="1"/>
  <c r="AI280" i="50"/>
  <c r="D67" i="49"/>
  <c r="C84" i="67"/>
  <c r="C102" i="67" s="1"/>
  <c r="AB283" i="50"/>
  <c r="C63" i="67"/>
  <c r="C52" i="49"/>
  <c r="C63" i="49" s="1"/>
  <c r="D20" i="21" s="1"/>
  <c r="D53" i="49"/>
  <c r="W58" i="73"/>
  <c r="X58" i="73"/>
  <c r="N55" i="53"/>
  <c r="S58" i="73"/>
  <c r="T58" i="73"/>
  <c r="W55" i="53"/>
  <c r="AG58" i="73"/>
  <c r="AF58" i="73"/>
  <c r="U55" i="53"/>
  <c r="V49" i="67" s="1"/>
  <c r="V57" i="67" s="1"/>
  <c r="V58" i="67" s="1"/>
  <c r="AC58" i="73"/>
  <c r="AB58" i="73"/>
  <c r="V55" i="53"/>
  <c r="AE58" i="73"/>
  <c r="AD58" i="73"/>
  <c r="AI85" i="50"/>
  <c r="AB280" i="50"/>
  <c r="AM179" i="50"/>
  <c r="AJ10" i="50"/>
  <c r="AK180" i="50"/>
  <c r="AF91" i="50"/>
  <c r="AK100" i="50"/>
  <c r="AC10" i="50"/>
  <c r="D60" i="67" s="1"/>
  <c r="C66" i="49"/>
  <c r="AC88" i="50"/>
  <c r="AJ94" i="50"/>
  <c r="AJ85" i="50" s="1"/>
  <c r="D87" i="67" s="1"/>
  <c r="AD91" i="50"/>
  <c r="AL90" i="50"/>
  <c r="AD89" i="50"/>
  <c r="AD19" i="50"/>
  <c r="G55" i="53"/>
  <c r="X7" i="67" s="1"/>
  <c r="BG58" i="53"/>
  <c r="BG55" i="53" s="1"/>
  <c r="BG88" i="53" s="1"/>
  <c r="P55" i="53"/>
  <c r="Y28" i="67" s="1"/>
  <c r="R58" i="53"/>
  <c r="Q58" i="53"/>
  <c r="AJ171" i="50"/>
  <c r="D92" i="67" s="1"/>
  <c r="D110" i="67" s="1"/>
  <c r="AK87" i="50"/>
  <c r="AK93" i="50"/>
  <c r="AM186" i="50"/>
  <c r="AL186" i="50"/>
  <c r="AK102" i="50"/>
  <c r="AK173" i="50"/>
  <c r="AK111" i="50"/>
  <c r="E89" i="67" s="1"/>
  <c r="E107" i="67" s="1"/>
  <c r="AK188" i="50"/>
  <c r="AL190" i="50"/>
  <c r="AM190" i="50"/>
  <c r="AK187" i="50"/>
  <c r="AC94" i="50"/>
  <c r="AD101" i="50"/>
  <c r="AD103" i="50"/>
  <c r="AE108" i="50"/>
  <c r="AF108" i="50"/>
  <c r="AD99" i="50"/>
  <c r="AK91" i="50"/>
  <c r="AK88" i="50" s="1"/>
  <c r="AD105" i="50"/>
  <c r="AM100" i="50"/>
  <c r="AL100" i="50"/>
  <c r="AK103" i="50"/>
  <c r="AD87" i="50"/>
  <c r="AE100" i="50"/>
  <c r="AF100" i="50"/>
  <c r="AD96" i="50"/>
  <c r="AE90" i="50"/>
  <c r="AE93" i="50"/>
  <c r="AF93" i="50"/>
  <c r="AK176" i="50"/>
  <c r="AK181" i="50"/>
  <c r="AF86" i="50"/>
  <c r="AL92" i="50"/>
  <c r="AM92" i="50"/>
  <c r="L58" i="53"/>
  <c r="U31" i="67" s="1"/>
  <c r="Z31" i="67" s="1"/>
  <c r="AD92" i="50"/>
  <c r="M58" i="53"/>
  <c r="V31" i="67" s="1"/>
  <c r="AK86" i="50"/>
  <c r="AD102" i="50"/>
  <c r="AK185" i="50"/>
  <c r="AM174" i="50"/>
  <c r="AL174" i="50"/>
  <c r="X58" i="53"/>
  <c r="Y52" i="67" s="1"/>
  <c r="AA52" i="67" s="1"/>
  <c r="AD109" i="50"/>
  <c r="AK98" i="50"/>
  <c r="AK177" i="50"/>
  <c r="AL180" i="50"/>
  <c r="AM180" i="50"/>
  <c r="AD104" i="50"/>
  <c r="AK19" i="50"/>
  <c r="AK95" i="50"/>
  <c r="AL105" i="50"/>
  <c r="AM105" i="50"/>
  <c r="AL184" i="50"/>
  <c r="AM184" i="50"/>
  <c r="AD97" i="50"/>
  <c r="AF106" i="50"/>
  <c r="AE106" i="50"/>
  <c r="AL89" i="50"/>
  <c r="AM182" i="50"/>
  <c r="AL182" i="50"/>
  <c r="AK107" i="50"/>
  <c r="E68" i="49"/>
  <c r="AM183" i="50"/>
  <c r="AL183" i="50"/>
  <c r="E58" i="53"/>
  <c r="V10" i="67" s="1"/>
  <c r="AD107" i="50"/>
  <c r="E54" i="49"/>
  <c r="C58" i="53"/>
  <c r="AE95" i="50"/>
  <c r="T58" i="53"/>
  <c r="U52" i="67" s="1"/>
  <c r="Z52" i="67" s="1"/>
  <c r="AL172" i="50"/>
  <c r="AD98" i="50"/>
  <c r="AK109" i="50"/>
  <c r="AL101" i="50"/>
  <c r="AM101" i="50"/>
  <c r="AL189" i="50"/>
  <c r="AM189" i="50"/>
  <c r="H58" i="53"/>
  <c r="Y10" i="67" s="1"/>
  <c r="AL99" i="50"/>
  <c r="AM99" i="50"/>
  <c r="O58" i="53"/>
  <c r="X31" i="67" s="1"/>
  <c r="X121" i="67" s="1"/>
  <c r="AK13" i="50"/>
  <c r="AD13" i="50"/>
  <c r="V121" i="67" l="1"/>
  <c r="AB285" i="50"/>
  <c r="C58" i="73"/>
  <c r="T10" i="67"/>
  <c r="T121" i="67" s="1"/>
  <c r="Y121" i="67"/>
  <c r="U88" i="53"/>
  <c r="AC88" i="73" s="1"/>
  <c r="E18" i="20"/>
  <c r="Y36" i="67"/>
  <c r="AA28" i="67"/>
  <c r="V88" i="53"/>
  <c r="AD88" i="73" s="1"/>
  <c r="AE106" i="73" s="1"/>
  <c r="W49" i="67"/>
  <c r="W57" i="67" s="1"/>
  <c r="W58" i="67" s="1"/>
  <c r="N88" i="53"/>
  <c r="N91" i="53" s="1"/>
  <c r="W28" i="67"/>
  <c r="W36" i="67" s="1"/>
  <c r="W37" i="67" s="1"/>
  <c r="X15" i="67"/>
  <c r="W88" i="53"/>
  <c r="I89" i="1" s="1"/>
  <c r="X49" i="67"/>
  <c r="X57" i="67" s="1"/>
  <c r="X58" i="67" s="1"/>
  <c r="AI283" i="50"/>
  <c r="AI285" i="50" s="1"/>
  <c r="C87" i="67"/>
  <c r="D66" i="49"/>
  <c r="D77" i="49" s="1"/>
  <c r="E21" i="21" s="1"/>
  <c r="E67" i="49"/>
  <c r="D84" i="67"/>
  <c r="D102" i="67" s="1"/>
  <c r="C105" i="67"/>
  <c r="AC280" i="50"/>
  <c r="E53" i="49"/>
  <c r="AL29" i="67"/>
  <c r="AL34" i="67" s="1"/>
  <c r="C77" i="49"/>
  <c r="D21" i="21" s="1"/>
  <c r="D40" i="17" s="1"/>
  <c r="AL37" i="67"/>
  <c r="AL42" i="67" s="1"/>
  <c r="AJ280" i="50"/>
  <c r="G18" i="20"/>
  <c r="F18" i="20"/>
  <c r="F15" i="20"/>
  <c r="T55" i="53"/>
  <c r="AA58" i="73"/>
  <c r="Z58" i="73"/>
  <c r="AI58" i="73"/>
  <c r="AH58" i="73"/>
  <c r="H15" i="20"/>
  <c r="W55" i="73"/>
  <c r="X55" i="73"/>
  <c r="AC55" i="73"/>
  <c r="AB55" i="73"/>
  <c r="S55" i="73"/>
  <c r="T55" i="73"/>
  <c r="O55" i="53"/>
  <c r="V58" i="73"/>
  <c r="U58" i="73"/>
  <c r="M58" i="73"/>
  <c r="L58" i="73"/>
  <c r="G58" i="73"/>
  <c r="F58" i="73"/>
  <c r="AE55" i="73"/>
  <c r="AD55" i="73"/>
  <c r="J58" i="73"/>
  <c r="AG55" i="73"/>
  <c r="AF55" i="73"/>
  <c r="M55" i="53"/>
  <c r="R58" i="73"/>
  <c r="Q58" i="73"/>
  <c r="L55" i="53"/>
  <c r="P58" i="73"/>
  <c r="O58" i="73"/>
  <c r="G12" i="20"/>
  <c r="K58" i="73"/>
  <c r="D52" i="49"/>
  <c r="G88" i="53"/>
  <c r="AJ283" i="50"/>
  <c r="AC85" i="50"/>
  <c r="AD88" i="50"/>
  <c r="AM90" i="50"/>
  <c r="AL13" i="50"/>
  <c r="AE89" i="50"/>
  <c r="AF89" i="50"/>
  <c r="AD10" i="50"/>
  <c r="E60" i="67" s="1"/>
  <c r="AK171" i="50"/>
  <c r="E92" i="67" s="1"/>
  <c r="E110" i="67" s="1"/>
  <c r="AL111" i="50"/>
  <c r="F89" i="67" s="1"/>
  <c r="F107" i="67" s="1"/>
  <c r="BH58" i="53"/>
  <c r="BH55" i="53" s="1"/>
  <c r="BH88" i="53" s="1"/>
  <c r="BB58" i="53"/>
  <c r="BB55" i="53" s="1"/>
  <c r="BB88" i="53" s="1"/>
  <c r="E55" i="53"/>
  <c r="V7" i="67" s="1"/>
  <c r="BE58" i="53"/>
  <c r="BE55" i="53" s="1"/>
  <c r="BE88" i="53" s="1"/>
  <c r="AY58" i="53"/>
  <c r="AY55" i="53" s="1"/>
  <c r="AY88" i="53" s="1"/>
  <c r="BA58" i="53"/>
  <c r="BA55" i="53" s="1"/>
  <c r="BA88" i="53" s="1"/>
  <c r="P88" i="53"/>
  <c r="BG95" i="53"/>
  <c r="BG91" i="53"/>
  <c r="BG93" i="53" s="1"/>
  <c r="C55" i="53"/>
  <c r="T7" i="67" s="1"/>
  <c r="BC58" i="53"/>
  <c r="BC55" i="53" s="1"/>
  <c r="BC88" i="53" s="1"/>
  <c r="AW58" i="53"/>
  <c r="AW55" i="53" s="1"/>
  <c r="AW88" i="53" s="1"/>
  <c r="H55" i="53"/>
  <c r="Y7" i="67" s="1"/>
  <c r="I58" i="53"/>
  <c r="J58" i="53"/>
  <c r="X55" i="53"/>
  <c r="Y58" i="53"/>
  <c r="Z58" i="53"/>
  <c r="R55" i="53"/>
  <c r="Q55" i="53"/>
  <c r="AL93" i="50"/>
  <c r="AM93" i="50"/>
  <c r="AK10" i="50"/>
  <c r="AL173" i="50"/>
  <c r="AM173" i="50"/>
  <c r="AL87" i="50"/>
  <c r="AM87" i="50"/>
  <c r="AL188" i="50"/>
  <c r="AM188" i="50"/>
  <c r="AM187" i="50"/>
  <c r="AL187" i="50"/>
  <c r="AL102" i="50"/>
  <c r="AM102" i="50"/>
  <c r="AD94" i="50"/>
  <c r="AE103" i="50"/>
  <c r="AF103" i="50"/>
  <c r="AF99" i="50"/>
  <c r="AE99" i="50"/>
  <c r="AE101" i="50"/>
  <c r="AF101" i="50"/>
  <c r="AM172" i="50"/>
  <c r="AE97" i="50"/>
  <c r="AF97" i="50"/>
  <c r="AE109" i="50"/>
  <c r="AF109" i="50"/>
  <c r="AL86" i="50"/>
  <c r="AE92" i="50"/>
  <c r="AF92" i="50"/>
  <c r="F58" i="53"/>
  <c r="W10" i="67" s="1"/>
  <c r="W121" i="67" s="1"/>
  <c r="AE105" i="50"/>
  <c r="AF105" i="50"/>
  <c r="AF98" i="50"/>
  <c r="AE98" i="50"/>
  <c r="AM89" i="50"/>
  <c r="D58" i="53"/>
  <c r="U10" i="67" s="1"/>
  <c r="AE19" i="50"/>
  <c r="AE107" i="50"/>
  <c r="F54" i="49"/>
  <c r="AL19" i="50"/>
  <c r="AL95" i="50"/>
  <c r="AF104" i="50"/>
  <c r="AE104" i="50"/>
  <c r="AL177" i="50"/>
  <c r="AM177" i="50"/>
  <c r="AE102" i="50"/>
  <c r="AF102" i="50"/>
  <c r="AF96" i="50"/>
  <c r="AE96" i="50"/>
  <c r="AM103" i="50"/>
  <c r="AL103" i="50"/>
  <c r="AL109" i="50"/>
  <c r="AM109" i="50"/>
  <c r="AK94" i="50"/>
  <c r="AK85" i="50" s="1"/>
  <c r="AL98" i="50"/>
  <c r="AM98" i="50"/>
  <c r="AM181" i="50"/>
  <c r="AL181" i="50"/>
  <c r="AM176" i="50"/>
  <c r="AL176" i="50"/>
  <c r="AE13" i="50"/>
  <c r="AL91" i="50"/>
  <c r="AL88" i="50" s="1"/>
  <c r="AM91" i="50"/>
  <c r="AF95" i="50"/>
  <c r="AL107" i="50"/>
  <c r="F68" i="49"/>
  <c r="AL185" i="50"/>
  <c r="AM185" i="50"/>
  <c r="AF90" i="50"/>
  <c r="AE87" i="50"/>
  <c r="AA121" i="67" l="1"/>
  <c r="U95" i="53"/>
  <c r="AB95" i="73" s="1"/>
  <c r="E17" i="20"/>
  <c r="E16" i="20" s="1"/>
  <c r="T118" i="67"/>
  <c r="T126" i="67" s="1"/>
  <c r="T15" i="67"/>
  <c r="X16" i="67" s="1"/>
  <c r="AA10" i="67"/>
  <c r="U121" i="67"/>
  <c r="Z121" i="67" s="1"/>
  <c r="Z10" i="67"/>
  <c r="S88" i="73"/>
  <c r="T106" i="73" s="1"/>
  <c r="U91" i="53"/>
  <c r="U93" i="53" s="1"/>
  <c r="V60" i="67" s="1"/>
  <c r="F17" i="20"/>
  <c r="F16" i="20" s="1"/>
  <c r="AB88" i="73"/>
  <c r="AC106" i="73" s="1"/>
  <c r="G89" i="1"/>
  <c r="E24" i="17"/>
  <c r="AT16" i="67" s="1"/>
  <c r="N95" i="53"/>
  <c r="S95" i="73" s="1"/>
  <c r="T88" i="73"/>
  <c r="F14" i="20"/>
  <c r="F13" i="20" s="1"/>
  <c r="H87" i="1"/>
  <c r="F16" i="17"/>
  <c r="AU11" i="67" s="1"/>
  <c r="AE88" i="73"/>
  <c r="W95" i="53"/>
  <c r="AF95" i="73" s="1"/>
  <c r="V95" i="53"/>
  <c r="AE95" i="73" s="1"/>
  <c r="AF88" i="73"/>
  <c r="AG106" i="73" s="1"/>
  <c r="G17" i="20"/>
  <c r="G16" i="20" s="1"/>
  <c r="F24" i="17"/>
  <c r="AU16" i="67" s="1"/>
  <c r="G24" i="17"/>
  <c r="AV16" i="67" s="1"/>
  <c r="W91" i="53"/>
  <c r="AF91" i="73" s="1"/>
  <c r="V91" i="53"/>
  <c r="V93" i="53" s="1"/>
  <c r="W60" i="67" s="1"/>
  <c r="AG88" i="73"/>
  <c r="H89" i="1"/>
  <c r="V15" i="67"/>
  <c r="Y15" i="67"/>
  <c r="AA7" i="67"/>
  <c r="E15" i="20"/>
  <c r="V28" i="67"/>
  <c r="V36" i="67" s="1"/>
  <c r="V37" i="67" s="1"/>
  <c r="O88" i="53"/>
  <c r="U88" i="73" s="1"/>
  <c r="V106" i="73" s="1"/>
  <c r="X28" i="67"/>
  <c r="D18" i="20"/>
  <c r="U49" i="67"/>
  <c r="X88" i="53"/>
  <c r="AI88" i="73" s="1"/>
  <c r="Y49" i="67"/>
  <c r="Y118" i="67" s="1"/>
  <c r="L88" i="53"/>
  <c r="L91" i="53" s="1"/>
  <c r="U28" i="67"/>
  <c r="AA36" i="67"/>
  <c r="Y37" i="67"/>
  <c r="AA37" i="67" s="1"/>
  <c r="AJ285" i="50"/>
  <c r="AM37" i="67"/>
  <c r="AM42" i="67" s="1"/>
  <c r="AN57" i="67"/>
  <c r="E40" i="17"/>
  <c r="E42" i="17" s="1"/>
  <c r="E19" i="22" s="1"/>
  <c r="AK17" i="79" s="1"/>
  <c r="E66" i="49"/>
  <c r="AN37" i="67" s="1"/>
  <c r="AN42" i="67" s="1"/>
  <c r="F67" i="49"/>
  <c r="E84" i="67"/>
  <c r="E102" i="67" s="1"/>
  <c r="AK283" i="50"/>
  <c r="E87" i="67"/>
  <c r="AD280" i="50"/>
  <c r="F53" i="49"/>
  <c r="AC283" i="50"/>
  <c r="AC285" i="50" s="1"/>
  <c r="D63" i="67"/>
  <c r="D105" i="67" s="1"/>
  <c r="D42" i="17"/>
  <c r="D19" i="22" s="1"/>
  <c r="AJ17" i="79" s="1"/>
  <c r="AS25" i="67"/>
  <c r="AS27" i="67" s="1"/>
  <c r="AM57" i="67"/>
  <c r="D63" i="49"/>
  <c r="AM56" i="67" s="1"/>
  <c r="AM29" i="67"/>
  <c r="AM34" i="67" s="1"/>
  <c r="D15" i="20"/>
  <c r="G15" i="20"/>
  <c r="G27" i="47"/>
  <c r="G22" i="47" s="1"/>
  <c r="D27" i="47"/>
  <c r="D22" i="47" s="1"/>
  <c r="J55" i="73"/>
  <c r="B27" i="47"/>
  <c r="B22" i="47" s="1"/>
  <c r="AD7" i="67" s="1"/>
  <c r="F27" i="47"/>
  <c r="F22" i="47" s="1"/>
  <c r="T88" i="53"/>
  <c r="M88" i="53"/>
  <c r="Q88" i="73" s="1"/>
  <c r="R106" i="73" s="1"/>
  <c r="N93" i="53"/>
  <c r="W39" i="67" s="1"/>
  <c r="T91" i="73"/>
  <c r="S91" i="73"/>
  <c r="E58" i="73"/>
  <c r="D58" i="73"/>
  <c r="G95" i="53"/>
  <c r="K55" i="73"/>
  <c r="O55" i="73"/>
  <c r="P55" i="73"/>
  <c r="H12" i="20"/>
  <c r="M55" i="73"/>
  <c r="L55" i="73"/>
  <c r="H18" i="20"/>
  <c r="AI55" i="73"/>
  <c r="AH55" i="73"/>
  <c r="I58" i="73"/>
  <c r="H58" i="73"/>
  <c r="R88" i="53"/>
  <c r="W88" i="73"/>
  <c r="X106" i="73" s="1"/>
  <c r="X88" i="73"/>
  <c r="E12" i="20"/>
  <c r="G55" i="73"/>
  <c r="F55" i="73"/>
  <c r="Q55" i="73"/>
  <c r="R55" i="73"/>
  <c r="U55" i="73"/>
  <c r="V55" i="73"/>
  <c r="AA55" i="73"/>
  <c r="Z55" i="73"/>
  <c r="G91" i="53"/>
  <c r="I85" i="1"/>
  <c r="G10" i="17"/>
  <c r="AV6" i="67" s="1"/>
  <c r="G11" i="20"/>
  <c r="G10" i="20" s="1"/>
  <c r="AL10" i="50"/>
  <c r="E88" i="53"/>
  <c r="AE88" i="50"/>
  <c r="AE10" i="50"/>
  <c r="F60" i="67" s="1"/>
  <c r="AD85" i="50"/>
  <c r="C55" i="73"/>
  <c r="E52" i="49"/>
  <c r="H88" i="53"/>
  <c r="AK280" i="50"/>
  <c r="AF94" i="50"/>
  <c r="AF13" i="50"/>
  <c r="C88" i="53"/>
  <c r="J88" i="73" s="1"/>
  <c r="K106" i="73" s="1"/>
  <c r="AE94" i="50"/>
  <c r="AF88" i="50"/>
  <c r="J87" i="1"/>
  <c r="P95" i="53"/>
  <c r="Q88" i="53"/>
  <c r="H14" i="20"/>
  <c r="H13" i="20" s="1"/>
  <c r="H16" i="17"/>
  <c r="AW11" i="67" s="1"/>
  <c r="P91" i="53"/>
  <c r="AW95" i="53"/>
  <c r="AW91" i="53"/>
  <c r="AW93" i="53" s="1"/>
  <c r="BE95" i="53"/>
  <c r="BE91" i="53"/>
  <c r="BE93" i="53" s="1"/>
  <c r="D55" i="53"/>
  <c r="BD58" i="53"/>
  <c r="BD55" i="53" s="1"/>
  <c r="BD88" i="53" s="1"/>
  <c r="AX58" i="53"/>
  <c r="AX55" i="53" s="1"/>
  <c r="AX88" i="53" s="1"/>
  <c r="BC95" i="53"/>
  <c r="BC91" i="53"/>
  <c r="BC93" i="53" s="1"/>
  <c r="F55" i="53"/>
  <c r="BF58" i="53"/>
  <c r="BF55" i="53" s="1"/>
  <c r="BF88" i="53" s="1"/>
  <c r="AZ58" i="53"/>
  <c r="AZ55" i="53" s="1"/>
  <c r="AZ88" i="53" s="1"/>
  <c r="BA95" i="53"/>
  <c r="BA91" i="53"/>
  <c r="BA93" i="53" s="1"/>
  <c r="BB91" i="53"/>
  <c r="BB93" i="53" s="1"/>
  <c r="BB95" i="53"/>
  <c r="AY95" i="53"/>
  <c r="AY91" i="53"/>
  <c r="AY93" i="53" s="1"/>
  <c r="BH91" i="53"/>
  <c r="BH93" i="53" s="1"/>
  <c r="BH95" i="53"/>
  <c r="Z55" i="53"/>
  <c r="Y55" i="53"/>
  <c r="J55" i="53"/>
  <c r="I55" i="53"/>
  <c r="AL171" i="50"/>
  <c r="F92" i="67" s="1"/>
  <c r="F110" i="67" s="1"/>
  <c r="AF19" i="50"/>
  <c r="AF87" i="50"/>
  <c r="AM19" i="50"/>
  <c r="AM95" i="50"/>
  <c r="AM94" i="50" s="1"/>
  <c r="G54" i="49"/>
  <c r="AF107" i="50"/>
  <c r="AM88" i="50"/>
  <c r="AM13" i="50"/>
  <c r="AM86" i="50"/>
  <c r="AM171" i="50"/>
  <c r="G92" i="67" s="1"/>
  <c r="G110" i="67" s="1"/>
  <c r="G68" i="49"/>
  <c r="AM107" i="50"/>
  <c r="AM111" i="50"/>
  <c r="G89" i="67" s="1"/>
  <c r="G107" i="67" s="1"/>
  <c r="AL94" i="50"/>
  <c r="AL85" i="50" s="1"/>
  <c r="F87" i="67" s="1"/>
  <c r="E77" i="49" l="1"/>
  <c r="F21" i="21" s="1"/>
  <c r="F40" i="17" s="1"/>
  <c r="AU25" i="67" s="1"/>
  <c r="AU27" i="67" s="1"/>
  <c r="H26" i="20"/>
  <c r="G34" i="49" s="1"/>
  <c r="F27" i="20"/>
  <c r="E48" i="49" s="1"/>
  <c r="E27" i="20"/>
  <c r="D48" i="49" s="1"/>
  <c r="G25" i="20"/>
  <c r="F20" i="49" s="1"/>
  <c r="G27" i="20"/>
  <c r="F48" i="49" s="1"/>
  <c r="F26" i="20"/>
  <c r="E34" i="49" s="1"/>
  <c r="AC95" i="73"/>
  <c r="V16" i="67"/>
  <c r="AB91" i="73"/>
  <c r="AC91" i="73"/>
  <c r="T95" i="73"/>
  <c r="O95" i="53"/>
  <c r="U95" i="73" s="1"/>
  <c r="X91" i="53"/>
  <c r="Y91" i="53" s="1"/>
  <c r="H24" i="17"/>
  <c r="AW16" i="67" s="1"/>
  <c r="H17" i="20"/>
  <c r="H16" i="20" s="1"/>
  <c r="G16" i="17"/>
  <c r="AV11" i="67" s="1"/>
  <c r="P88" i="73"/>
  <c r="L95" i="53"/>
  <c r="O95" i="73" s="1"/>
  <c r="F87" i="1"/>
  <c r="O88" i="73"/>
  <c r="P106" i="73" s="1"/>
  <c r="AG91" i="73"/>
  <c r="AG95" i="73"/>
  <c r="D14" i="20"/>
  <c r="D13" i="20" s="1"/>
  <c r="D16" i="17"/>
  <c r="AS11" i="67" s="1"/>
  <c r="E20" i="21"/>
  <c r="E34" i="17" s="1"/>
  <c r="AT20" i="67" s="1"/>
  <c r="AT22" i="67" s="1"/>
  <c r="W93" i="53"/>
  <c r="X60" i="67" s="1"/>
  <c r="AD95" i="73"/>
  <c r="AD91" i="73"/>
  <c r="X95" i="53"/>
  <c r="AH95" i="73" s="1"/>
  <c r="Y88" i="53"/>
  <c r="AH88" i="73"/>
  <c r="AI106" i="73" s="1"/>
  <c r="AE91" i="73"/>
  <c r="V88" i="73"/>
  <c r="I87" i="1"/>
  <c r="J89" i="1"/>
  <c r="G14" i="20"/>
  <c r="G13" i="20" s="1"/>
  <c r="O91" i="53"/>
  <c r="U91" i="73" s="1"/>
  <c r="Z88" i="53"/>
  <c r="AA118" i="67"/>
  <c r="Y126" i="67"/>
  <c r="E27" i="47"/>
  <c r="E22" i="47" s="1"/>
  <c r="W7" i="67"/>
  <c r="C27" i="47"/>
  <c r="C22" i="47" s="1"/>
  <c r="U7" i="67"/>
  <c r="D21" i="47"/>
  <c r="AF7" i="67"/>
  <c r="AF9" i="67" s="1"/>
  <c r="U36" i="67"/>
  <c r="Z28" i="67"/>
  <c r="U57" i="67"/>
  <c r="Z49" i="67"/>
  <c r="AA15" i="67"/>
  <c r="Y16" i="67"/>
  <c r="AA16" i="67" s="1"/>
  <c r="F21" i="47"/>
  <c r="AH7" i="67"/>
  <c r="AH9" i="67" s="1"/>
  <c r="G21" i="47"/>
  <c r="AI7" i="67"/>
  <c r="AI9" i="67" s="1"/>
  <c r="D34" i="17"/>
  <c r="D36" i="17" s="1"/>
  <c r="D18" i="22" s="1"/>
  <c r="AJ15" i="79" s="1"/>
  <c r="AD9" i="67"/>
  <c r="AD11" i="67" s="1"/>
  <c r="AD10" i="67"/>
  <c r="AD14" i="67" s="1"/>
  <c r="AA49" i="67"/>
  <c r="Y57" i="67"/>
  <c r="X36" i="67"/>
  <c r="X37" i="67" s="1"/>
  <c r="X118" i="67"/>
  <c r="X126" i="67" s="1"/>
  <c r="X127" i="67" s="1"/>
  <c r="V118" i="67"/>
  <c r="V126" i="67" s="1"/>
  <c r="V127" i="67" s="1"/>
  <c r="AK285" i="50"/>
  <c r="F66" i="49"/>
  <c r="F77" i="49" s="1"/>
  <c r="G21" i="21" s="1"/>
  <c r="AP57" i="67" s="1"/>
  <c r="G67" i="49"/>
  <c r="F84" i="67"/>
  <c r="F102" i="67" s="1"/>
  <c r="AT25" i="67"/>
  <c r="AT27" i="67" s="1"/>
  <c r="F52" i="49"/>
  <c r="F63" i="49" s="1"/>
  <c r="G20" i="21" s="1"/>
  <c r="G34" i="17" s="1"/>
  <c r="G36" i="17" s="1"/>
  <c r="G18" i="22" s="1"/>
  <c r="AM15" i="79" s="1"/>
  <c r="G53" i="49"/>
  <c r="AD283" i="50"/>
  <c r="AD285" i="50" s="1"/>
  <c r="E63" i="67"/>
  <c r="E105" i="67" s="1"/>
  <c r="F42" i="17"/>
  <c r="F19" i="22" s="1"/>
  <c r="AL17" i="79" s="1"/>
  <c r="E63" i="49"/>
  <c r="F20" i="21" s="1"/>
  <c r="AO56" i="67" s="1"/>
  <c r="AN29" i="67"/>
  <c r="AN34" i="67" s="1"/>
  <c r="AA88" i="73"/>
  <c r="F89" i="1"/>
  <c r="AE280" i="50"/>
  <c r="D24" i="17"/>
  <c r="AS16" i="67" s="1"/>
  <c r="D17" i="20"/>
  <c r="D16" i="20" s="1"/>
  <c r="T91" i="53"/>
  <c r="T93" i="53" s="1"/>
  <c r="U60" i="67" s="1"/>
  <c r="Z60" i="67" s="1"/>
  <c r="Z88" i="73"/>
  <c r="AA106" i="73" s="1"/>
  <c r="T95" i="53"/>
  <c r="Z95" i="73" s="1"/>
  <c r="B39" i="47"/>
  <c r="B21" i="47"/>
  <c r="B40" i="47" s="1"/>
  <c r="B43" i="47" s="1"/>
  <c r="M95" i="53"/>
  <c r="Q95" i="73" s="1"/>
  <c r="E16" i="17"/>
  <c r="AT11" i="67" s="1"/>
  <c r="E14" i="20"/>
  <c r="E13" i="20" s="1"/>
  <c r="G87" i="1"/>
  <c r="R88" i="73"/>
  <c r="M91" i="53"/>
  <c r="Q91" i="73" s="1"/>
  <c r="AL280" i="50"/>
  <c r="L93" i="53"/>
  <c r="U39" i="67" s="1"/>
  <c r="Z39" i="67" s="1"/>
  <c r="P91" i="73"/>
  <c r="O91" i="73"/>
  <c r="E55" i="73"/>
  <c r="D55" i="73"/>
  <c r="G93" i="53"/>
  <c r="X18" i="67" s="1"/>
  <c r="K88" i="73"/>
  <c r="S93" i="73"/>
  <c r="T93" i="73"/>
  <c r="P93" i="53"/>
  <c r="X91" i="73"/>
  <c r="W91" i="73"/>
  <c r="Q95" i="53"/>
  <c r="W95" i="73"/>
  <c r="X95" i="73"/>
  <c r="AE93" i="73"/>
  <c r="AD93" i="73"/>
  <c r="I55" i="73"/>
  <c r="H55" i="73"/>
  <c r="H10" i="17"/>
  <c r="AW6" i="67" s="1"/>
  <c r="M88" i="73"/>
  <c r="L88" i="73"/>
  <c r="M106" i="73" s="1"/>
  <c r="E10" i="17"/>
  <c r="AT6" i="67" s="1"/>
  <c r="G88" i="73"/>
  <c r="F88" i="73"/>
  <c r="G106" i="73" s="1"/>
  <c r="AC93" i="73"/>
  <c r="AB93" i="73"/>
  <c r="E95" i="53"/>
  <c r="G85" i="1"/>
  <c r="E11" i="20"/>
  <c r="E10" i="20" s="1"/>
  <c r="E25" i="20" s="1"/>
  <c r="E91" i="53"/>
  <c r="AE85" i="50"/>
  <c r="J85" i="1"/>
  <c r="H91" i="53"/>
  <c r="H95" i="53"/>
  <c r="F12" i="20"/>
  <c r="H11" i="20"/>
  <c r="H10" i="20" s="1"/>
  <c r="I88" i="53"/>
  <c r="C88" i="73"/>
  <c r="D88" i="53"/>
  <c r="D12" i="20"/>
  <c r="F88" i="53"/>
  <c r="AF10" i="50"/>
  <c r="C95" i="53"/>
  <c r="K95" i="73" s="1"/>
  <c r="AL283" i="50"/>
  <c r="C91" i="53"/>
  <c r="J88" i="53"/>
  <c r="E85" i="1"/>
  <c r="E28" i="2" s="1"/>
  <c r="AB23" i="78" s="1"/>
  <c r="AF85" i="50"/>
  <c r="AM10" i="50"/>
  <c r="Q91" i="53"/>
  <c r="R95" i="53"/>
  <c r="R91" i="53"/>
  <c r="AZ91" i="53"/>
  <c r="AZ93" i="53" s="1"/>
  <c r="AZ95" i="53"/>
  <c r="BF95" i="53"/>
  <c r="BF91" i="53"/>
  <c r="BF93" i="53" s="1"/>
  <c r="AX95" i="53"/>
  <c r="AX91" i="53"/>
  <c r="AX93" i="53" s="1"/>
  <c r="BD95" i="53"/>
  <c r="BD91" i="53"/>
  <c r="BD93" i="53" s="1"/>
  <c r="AM85" i="50"/>
  <c r="AO57" i="67" l="1"/>
  <c r="AO10" i="50"/>
  <c r="AO29" i="67"/>
  <c r="AO34" i="67" s="1"/>
  <c r="AI91" i="73"/>
  <c r="F21" i="49"/>
  <c r="G17" i="21" s="1"/>
  <c r="AP53" i="67" s="1"/>
  <c r="AO9" i="67"/>
  <c r="AO10" i="67" s="1"/>
  <c r="D49" i="49"/>
  <c r="E19" i="21" s="1"/>
  <c r="AM25" i="67"/>
  <c r="AM26" i="67" s="1"/>
  <c r="AN17" i="67"/>
  <c r="AN18" i="67" s="1"/>
  <c r="E35" i="49"/>
  <c r="F18" i="21" s="1"/>
  <c r="F15" i="17" s="1"/>
  <c r="F17" i="17" s="1"/>
  <c r="F11" i="22" s="1"/>
  <c r="AL7" i="79" s="1"/>
  <c r="E49" i="49"/>
  <c r="F19" i="21" s="1"/>
  <c r="AO55" i="67" s="1"/>
  <c r="AN25" i="67"/>
  <c r="AN26" i="67" s="1"/>
  <c r="F49" i="49"/>
  <c r="G19" i="21" s="1"/>
  <c r="AO25" i="67"/>
  <c r="AO26" i="67" s="1"/>
  <c r="G35" i="49"/>
  <c r="H18" i="21" s="1"/>
  <c r="H15" i="17" s="1"/>
  <c r="AW10" i="67" s="1"/>
  <c r="AW12" i="67" s="1"/>
  <c r="AP17" i="67"/>
  <c r="AP18" i="67" s="1"/>
  <c r="H25" i="20"/>
  <c r="G20" i="49" s="1"/>
  <c r="E26" i="20"/>
  <c r="D34" i="49" s="1"/>
  <c r="D27" i="20"/>
  <c r="C48" i="49" s="1"/>
  <c r="D26" i="20"/>
  <c r="C34" i="49" s="1"/>
  <c r="H27" i="20"/>
  <c r="G48" i="49" s="1"/>
  <c r="G26" i="20"/>
  <c r="F34" i="49" s="1"/>
  <c r="X93" i="53"/>
  <c r="Y60" i="67" s="1"/>
  <c r="AA60" i="67" s="1"/>
  <c r="Z91" i="53"/>
  <c r="V95" i="73"/>
  <c r="G52" i="49"/>
  <c r="AP29" i="67" s="1"/>
  <c r="AP34" i="67" s="1"/>
  <c r="G60" i="67"/>
  <c r="AH91" i="73"/>
  <c r="Y95" i="53"/>
  <c r="AI95" i="73"/>
  <c r="O93" i="53"/>
  <c r="X39" i="67" s="1"/>
  <c r="X129" i="67" s="1"/>
  <c r="P95" i="73"/>
  <c r="AN56" i="67"/>
  <c r="AG93" i="73"/>
  <c r="Z95" i="53"/>
  <c r="AF93" i="73"/>
  <c r="V91" i="73"/>
  <c r="AS20" i="67"/>
  <c r="AS22" i="67" s="1"/>
  <c r="F132" i="1"/>
  <c r="F44" i="2" s="1"/>
  <c r="Q44" i="2" s="1"/>
  <c r="W118" i="67"/>
  <c r="W126" i="67" s="1"/>
  <c r="W127" i="67" s="1"/>
  <c r="W15" i="67"/>
  <c r="W16" i="67" s="1"/>
  <c r="Y58" i="67"/>
  <c r="AA58" i="67" s="1"/>
  <c r="AA57" i="67"/>
  <c r="U58" i="67"/>
  <c r="Z58" i="67" s="1"/>
  <c r="Z57" i="67"/>
  <c r="E21" i="47"/>
  <c r="AG7" i="67"/>
  <c r="AG9" i="67" s="1"/>
  <c r="Z7" i="67"/>
  <c r="U15" i="67"/>
  <c r="U118" i="67"/>
  <c r="AA126" i="67"/>
  <c r="Y127" i="67"/>
  <c r="AA127" i="67" s="1"/>
  <c r="R93" i="53"/>
  <c r="Y39" i="67"/>
  <c r="AA39" i="67" s="1"/>
  <c r="U37" i="67"/>
  <c r="Z37" i="67" s="1"/>
  <c r="Z36" i="67"/>
  <c r="C21" i="47"/>
  <c r="AE7" i="67"/>
  <c r="AE9" i="67" s="1"/>
  <c r="AO37" i="67"/>
  <c r="AO42" i="67" s="1"/>
  <c r="AM283" i="50"/>
  <c r="G87" i="67"/>
  <c r="AM280" i="50"/>
  <c r="G84" i="67"/>
  <c r="G102" i="67" s="1"/>
  <c r="AP56" i="67"/>
  <c r="AE283" i="50"/>
  <c r="AE285" i="50" s="1"/>
  <c r="F63" i="67"/>
  <c r="F105" i="67" s="1"/>
  <c r="AF283" i="50"/>
  <c r="G63" i="67"/>
  <c r="G40" i="17"/>
  <c r="G42" i="17" s="1"/>
  <c r="G19" i="22" s="1"/>
  <c r="AM17" i="79" s="1"/>
  <c r="F34" i="17"/>
  <c r="F36" i="17" s="1"/>
  <c r="F18" i="22" s="1"/>
  <c r="AL15" i="79" s="1"/>
  <c r="E36" i="17"/>
  <c r="G132" i="1" s="1"/>
  <c r="G44" i="2" s="1"/>
  <c r="AV20" i="67"/>
  <c r="AV22" i="67" s="1"/>
  <c r="I132" i="1"/>
  <c r="I44" i="2" s="1"/>
  <c r="K91" i="73"/>
  <c r="C93" i="53"/>
  <c r="T18" i="67" s="1"/>
  <c r="T129" i="67" s="1"/>
  <c r="AA95" i="73"/>
  <c r="AL285" i="50"/>
  <c r="R91" i="73"/>
  <c r="Z91" i="73"/>
  <c r="AA91" i="73"/>
  <c r="M93" i="53"/>
  <c r="R95" i="73"/>
  <c r="Q93" i="53"/>
  <c r="H93" i="53"/>
  <c r="Y18" i="67" s="1"/>
  <c r="M91" i="73"/>
  <c r="L91" i="73"/>
  <c r="J95" i="73"/>
  <c r="J91" i="73"/>
  <c r="D95" i="53"/>
  <c r="E88" i="73"/>
  <c r="D88" i="73"/>
  <c r="E106" i="73" s="1"/>
  <c r="G95" i="73"/>
  <c r="F95" i="73"/>
  <c r="W93" i="73"/>
  <c r="X93" i="73"/>
  <c r="AA93" i="73"/>
  <c r="Z93" i="73"/>
  <c r="E93" i="53"/>
  <c r="V18" i="67" s="1"/>
  <c r="G91" i="73"/>
  <c r="F91" i="73"/>
  <c r="P93" i="73"/>
  <c r="O93" i="73"/>
  <c r="F95" i="53"/>
  <c r="I88" i="73"/>
  <c r="H88" i="73"/>
  <c r="I106" i="73" s="1"/>
  <c r="M95" i="73"/>
  <c r="L95" i="73"/>
  <c r="D20" i="49"/>
  <c r="J91" i="53"/>
  <c r="D10" i="17"/>
  <c r="AS6" i="67" s="1"/>
  <c r="F85" i="1"/>
  <c r="D11" i="20"/>
  <c r="D10" i="20" s="1"/>
  <c r="D25" i="20" s="1"/>
  <c r="J95" i="53"/>
  <c r="F10" i="17"/>
  <c r="AU6" i="67" s="1"/>
  <c r="D91" i="53"/>
  <c r="AF280" i="50"/>
  <c r="I95" i="53"/>
  <c r="C95" i="73"/>
  <c r="C91" i="73"/>
  <c r="F91" i="53"/>
  <c r="F11" i="20"/>
  <c r="F10" i="20" s="1"/>
  <c r="H85" i="1"/>
  <c r="I91" i="53"/>
  <c r="G66" i="49"/>
  <c r="F23" i="17" l="1"/>
  <c r="F25" i="17" s="1"/>
  <c r="F13" i="22" s="1"/>
  <c r="AL9" i="79" s="1"/>
  <c r="AD41" i="78"/>
  <c r="R44" i="2"/>
  <c r="AF41" i="78"/>
  <c r="H17" i="17"/>
  <c r="H11" i="22" s="1"/>
  <c r="AN7" i="79" s="1"/>
  <c r="AH93" i="73"/>
  <c r="Y93" i="53"/>
  <c r="Z93" i="53"/>
  <c r="AI93" i="73"/>
  <c r="AQ54" i="67"/>
  <c r="G9" i="17"/>
  <c r="AV5" i="67" s="1"/>
  <c r="AV7" i="67" s="1"/>
  <c r="H86" i="1"/>
  <c r="H29" i="2" s="1"/>
  <c r="AE24" i="78" s="1"/>
  <c r="AU10" i="67"/>
  <c r="AU12" i="67" s="1"/>
  <c r="G9" i="16"/>
  <c r="AL17" i="67"/>
  <c r="AL18" i="67" s="1"/>
  <c r="C35" i="49"/>
  <c r="D18" i="21" s="1"/>
  <c r="D15" i="17" s="1"/>
  <c r="AS10" i="67" s="1"/>
  <c r="AS12" i="67" s="1"/>
  <c r="AL25" i="67"/>
  <c r="AL26" i="67" s="1"/>
  <c r="C49" i="49"/>
  <c r="D19" i="21" s="1"/>
  <c r="AM55" i="67" s="1"/>
  <c r="D35" i="49"/>
  <c r="E18" i="21" s="1"/>
  <c r="E15" i="17" s="1"/>
  <c r="AT10" i="67" s="1"/>
  <c r="AT12" i="67" s="1"/>
  <c r="AM17" i="67"/>
  <c r="AM18" i="67" s="1"/>
  <c r="F35" i="49"/>
  <c r="G18" i="21" s="1"/>
  <c r="G15" i="17" s="1"/>
  <c r="AV10" i="67" s="1"/>
  <c r="AV12" i="67" s="1"/>
  <c r="AO17" i="67"/>
  <c r="AO18" i="67" s="1"/>
  <c r="G49" i="49"/>
  <c r="H19" i="21" s="1"/>
  <c r="H23" i="17" s="1"/>
  <c r="H25" i="17" s="1"/>
  <c r="H13" i="22" s="1"/>
  <c r="AN9" i="79" s="1"/>
  <c r="AP25" i="67"/>
  <c r="AP26" i="67" s="1"/>
  <c r="AP9" i="67"/>
  <c r="AP10" i="67" s="1"/>
  <c r="G21" i="49"/>
  <c r="H17" i="21" s="1"/>
  <c r="H9" i="17" s="1"/>
  <c r="AW5" i="67" s="1"/>
  <c r="AW7" i="67" s="1"/>
  <c r="AN55" i="67"/>
  <c r="E23" i="17"/>
  <c r="F25" i="20"/>
  <c r="E20" i="49" s="1"/>
  <c r="AO54" i="67"/>
  <c r="AP55" i="67"/>
  <c r="G23" i="17"/>
  <c r="G63" i="49"/>
  <c r="H20" i="21" s="1"/>
  <c r="H34" i="17" s="1"/>
  <c r="AW20" i="67" s="1"/>
  <c r="AW22" i="67" s="1"/>
  <c r="V93" i="73"/>
  <c r="U93" i="73"/>
  <c r="AC41" i="78"/>
  <c r="H88" i="1"/>
  <c r="H30" i="2" s="1"/>
  <c r="AE25" i="78" s="1"/>
  <c r="C93" i="73"/>
  <c r="R93" i="73"/>
  <c r="V39" i="67"/>
  <c r="V129" i="67" s="1"/>
  <c r="Y129" i="67"/>
  <c r="AA129" i="67" s="1"/>
  <c r="AA18" i="67"/>
  <c r="U126" i="67"/>
  <c r="Z118" i="67"/>
  <c r="U16" i="67"/>
  <c r="Z16" i="67" s="1"/>
  <c r="Z15" i="67"/>
  <c r="AV25" i="67"/>
  <c r="AV27" i="67" s="1"/>
  <c r="AM285" i="50"/>
  <c r="G105" i="67"/>
  <c r="H132" i="1"/>
  <c r="H44" i="2" s="1"/>
  <c r="S44" i="2" s="1"/>
  <c r="AU20" i="67"/>
  <c r="AU22" i="67" s="1"/>
  <c r="AF285" i="50"/>
  <c r="G77" i="49"/>
  <c r="H21" i="21" s="1"/>
  <c r="AQ57" i="67" s="1"/>
  <c r="AP37" i="67"/>
  <c r="AP42" i="67" s="1"/>
  <c r="E18" i="22"/>
  <c r="AK15" i="79" s="1"/>
  <c r="D21" i="49"/>
  <c r="E17" i="21" s="1"/>
  <c r="AM9" i="67"/>
  <c r="AM10" i="67" s="1"/>
  <c r="Q93" i="73"/>
  <c r="I95" i="73"/>
  <c r="H95" i="73"/>
  <c r="E95" i="73"/>
  <c r="D95" i="73"/>
  <c r="D93" i="53"/>
  <c r="U18" i="67" s="1"/>
  <c r="E91" i="73"/>
  <c r="D91" i="73"/>
  <c r="C20" i="49"/>
  <c r="J93" i="73"/>
  <c r="G93" i="73"/>
  <c r="F93" i="73"/>
  <c r="K93" i="73"/>
  <c r="F93" i="53"/>
  <c r="W18" i="67" s="1"/>
  <c r="W129" i="67" s="1"/>
  <c r="I91" i="73"/>
  <c r="H91" i="73"/>
  <c r="M93" i="73"/>
  <c r="L93" i="73"/>
  <c r="J93" i="53"/>
  <c r="I93" i="53"/>
  <c r="B10" i="48"/>
  <c r="B9" i="48" s="1"/>
  <c r="F17" i="22" l="1"/>
  <c r="AL13" i="79" s="1"/>
  <c r="G11" i="17"/>
  <c r="G9" i="22" s="1"/>
  <c r="AM5" i="79" s="1"/>
  <c r="AU15" i="67"/>
  <c r="AU17" i="67" s="1"/>
  <c r="G10" i="16"/>
  <c r="F16" i="22"/>
  <c r="AL12" i="79" s="1"/>
  <c r="F15" i="22"/>
  <c r="AL11" i="79" s="1"/>
  <c r="E17" i="17"/>
  <c r="E11" i="22" s="1"/>
  <c r="AK7" i="79" s="1"/>
  <c r="J86" i="1"/>
  <c r="J29" i="2" s="1"/>
  <c r="AG24" i="78" s="1"/>
  <c r="I9" i="16"/>
  <c r="T44" i="2"/>
  <c r="H16" i="22"/>
  <c r="AN12" i="79" s="1"/>
  <c r="AN54" i="67"/>
  <c r="I10" i="16"/>
  <c r="AQ55" i="67"/>
  <c r="G17" i="17"/>
  <c r="I86" i="1" s="1"/>
  <c r="I29" i="2" s="1"/>
  <c r="AF24" i="78" s="1"/>
  <c r="AP54" i="67"/>
  <c r="AP58" i="67" s="1"/>
  <c r="G22" i="21"/>
  <c r="J88" i="1"/>
  <c r="J30" i="2" s="1"/>
  <c r="AG25" i="78" s="1"/>
  <c r="D17" i="17"/>
  <c r="D11" i="22" s="1"/>
  <c r="AJ7" i="79" s="1"/>
  <c r="AM54" i="67"/>
  <c r="H15" i="22"/>
  <c r="AN11" i="79" s="1"/>
  <c r="H17" i="22"/>
  <c r="AN13" i="79" s="1"/>
  <c r="AW15" i="67"/>
  <c r="AW17" i="67" s="1"/>
  <c r="AN9" i="67"/>
  <c r="AN10" i="67" s="1"/>
  <c r="E21" i="49"/>
  <c r="F17" i="21" s="1"/>
  <c r="F22" i="21" s="1"/>
  <c r="AQ56" i="67"/>
  <c r="D23" i="17"/>
  <c r="AS15" i="67" s="1"/>
  <c r="AS17" i="67" s="1"/>
  <c r="AQ53" i="67"/>
  <c r="AV15" i="67"/>
  <c r="AV17" i="67" s="1"/>
  <c r="G25" i="17"/>
  <c r="H36" i="17"/>
  <c r="H18" i="22" s="1"/>
  <c r="AN15" i="79" s="1"/>
  <c r="AT15" i="67"/>
  <c r="AT17" i="67" s="1"/>
  <c r="E25" i="17"/>
  <c r="H22" i="21"/>
  <c r="AN53" i="67"/>
  <c r="E22" i="21"/>
  <c r="H11" i="17"/>
  <c r="AE41" i="78"/>
  <c r="E9" i="17"/>
  <c r="E11" i="17" s="1"/>
  <c r="Z126" i="67"/>
  <c r="U127" i="67"/>
  <c r="Z127" i="67" s="1"/>
  <c r="U129" i="67"/>
  <c r="Z129" i="67" s="1"/>
  <c r="Z18" i="67"/>
  <c r="H40" i="17"/>
  <c r="H42" i="17" s="1"/>
  <c r="H19" i="22" s="1"/>
  <c r="AN17" i="79" s="1"/>
  <c r="C21" i="49"/>
  <c r="D17" i="21" s="1"/>
  <c r="AL9" i="67"/>
  <c r="AL10" i="67" s="1"/>
  <c r="I93" i="73"/>
  <c r="H93" i="73"/>
  <c r="E93" i="73"/>
  <c r="D93" i="73"/>
  <c r="B8" i="48"/>
  <c r="B42" i="48"/>
  <c r="B43" i="48" s="1"/>
  <c r="B44" i="48" s="1"/>
  <c r="B46" i="48" s="1"/>
  <c r="AD18" i="67" s="1"/>
  <c r="I84" i="1" l="1"/>
  <c r="I28" i="2" s="1"/>
  <c r="AF23" i="78" s="1"/>
  <c r="H8" i="16"/>
  <c r="H9" i="22"/>
  <c r="AN5" i="79" s="1"/>
  <c r="AQ27" i="79" s="1"/>
  <c r="F86" i="1"/>
  <c r="F29" i="2" s="1"/>
  <c r="Q29" i="2" s="1"/>
  <c r="F9" i="16"/>
  <c r="G86" i="1"/>
  <c r="G29" i="2" s="1"/>
  <c r="AD24" i="78" s="1"/>
  <c r="V29" i="2"/>
  <c r="J132" i="1"/>
  <c r="J44" i="2" s="1"/>
  <c r="U44" i="2" s="1"/>
  <c r="G11" i="22"/>
  <c r="H9" i="16" s="1"/>
  <c r="AN58" i="67"/>
  <c r="F10" i="47"/>
  <c r="E9" i="16"/>
  <c r="D25" i="17"/>
  <c r="D13" i="22" s="1"/>
  <c r="AJ9" i="79" s="1"/>
  <c r="AQ58" i="67"/>
  <c r="V30" i="2"/>
  <c r="F9" i="17"/>
  <c r="AU5" i="67" s="1"/>
  <c r="AU7" i="67" s="1"/>
  <c r="D10" i="47"/>
  <c r="G13" i="22"/>
  <c r="I88" i="1"/>
  <c r="I30" i="2" s="1"/>
  <c r="E13" i="22"/>
  <c r="G88" i="1"/>
  <c r="G30" i="2" s="1"/>
  <c r="AO53" i="67"/>
  <c r="AO58" i="67" s="1"/>
  <c r="AM53" i="67"/>
  <c r="AM58" i="67" s="1"/>
  <c r="D22" i="21"/>
  <c r="J84" i="1"/>
  <c r="J28" i="2" s="1"/>
  <c r="AG23" i="78" s="1"/>
  <c r="D9" i="17"/>
  <c r="D11" i="17" s="1"/>
  <c r="AW25" i="67"/>
  <c r="AW27" i="67" s="1"/>
  <c r="G10" i="47"/>
  <c r="AT5" i="67"/>
  <c r="AT7" i="67" s="1"/>
  <c r="T29" i="2"/>
  <c r="U29" i="2"/>
  <c r="G84" i="1"/>
  <c r="G28" i="2" s="1"/>
  <c r="AD23" i="78" s="1"/>
  <c r="E9" i="22"/>
  <c r="AK5" i="79" s="1"/>
  <c r="G10" i="48" l="1"/>
  <c r="G9" i="48" s="1"/>
  <c r="G42" i="48" s="1"/>
  <c r="G43" i="48" s="1"/>
  <c r="D10" i="48"/>
  <c r="D9" i="48" s="1"/>
  <c r="D9" i="22"/>
  <c r="AJ5" i="79" s="1"/>
  <c r="AM27" i="79" s="1"/>
  <c r="I8" i="16"/>
  <c r="I11" i="16" s="1"/>
  <c r="I13" i="16" s="1"/>
  <c r="I19" i="16" s="1"/>
  <c r="F9" i="47"/>
  <c r="F8" i="47" s="1"/>
  <c r="F40" i="47" s="1"/>
  <c r="F41" i="47" s="1"/>
  <c r="F43" i="47" s="1"/>
  <c r="AC24" i="78"/>
  <c r="AM7" i="79"/>
  <c r="R29" i="2"/>
  <c r="S29" i="2"/>
  <c r="AG41" i="78"/>
  <c r="I90" i="1"/>
  <c r="I31" i="2" s="1"/>
  <c r="AF26" i="78" s="1"/>
  <c r="F10" i="48"/>
  <c r="F9" i="48" s="1"/>
  <c r="F42" i="48" s="1"/>
  <c r="F43" i="48" s="1"/>
  <c r="D16" i="22"/>
  <c r="AJ12" i="79" s="1"/>
  <c r="F88" i="1"/>
  <c r="F30" i="2" s="1"/>
  <c r="AC25" i="78" s="1"/>
  <c r="D17" i="22"/>
  <c r="AJ13" i="79" s="1"/>
  <c r="E10" i="16"/>
  <c r="U28" i="2"/>
  <c r="D15" i="22"/>
  <c r="AJ11" i="79" s="1"/>
  <c r="G90" i="1"/>
  <c r="G31" i="2" s="1"/>
  <c r="AD26" i="78" s="1"/>
  <c r="D9" i="47"/>
  <c r="AF4" i="67" s="1"/>
  <c r="AF6" i="67" s="1"/>
  <c r="AF11" i="67" s="1"/>
  <c r="F11" i="17"/>
  <c r="AD25" i="78"/>
  <c r="S30" i="2"/>
  <c r="AK9" i="79"/>
  <c r="AN27" i="79" s="1"/>
  <c r="E16" i="22"/>
  <c r="AK12" i="79" s="1"/>
  <c r="F10" i="16"/>
  <c r="E17" i="22"/>
  <c r="AK13" i="79" s="1"/>
  <c r="E15" i="22"/>
  <c r="AK11" i="79" s="1"/>
  <c r="AF25" i="78"/>
  <c r="T30" i="2"/>
  <c r="U30" i="2"/>
  <c r="G15" i="22"/>
  <c r="AM11" i="79" s="1"/>
  <c r="G16" i="22"/>
  <c r="AM12" i="79" s="1"/>
  <c r="H10" i="16"/>
  <c r="H11" i="16" s="1"/>
  <c r="H13" i="16" s="1"/>
  <c r="G17" i="22"/>
  <c r="AM13" i="79" s="1"/>
  <c r="AM9" i="79"/>
  <c r="V28" i="2"/>
  <c r="AS5" i="67"/>
  <c r="AS7" i="67" s="1"/>
  <c r="G9" i="47"/>
  <c r="G39" i="47" s="1"/>
  <c r="J90" i="1"/>
  <c r="J31" i="2" s="1"/>
  <c r="AG26" i="78" s="1"/>
  <c r="F84" i="1"/>
  <c r="F28" i="2" s="1"/>
  <c r="AC23" i="78" s="1"/>
  <c r="C10" i="47"/>
  <c r="F8" i="16"/>
  <c r="G18" i="48" l="1"/>
  <c r="G14" i="48" s="1"/>
  <c r="G40" i="48"/>
  <c r="AQ22" i="79"/>
  <c r="G38" i="48"/>
  <c r="D40" i="48"/>
  <c r="F39" i="47"/>
  <c r="E8" i="16"/>
  <c r="E11" i="16" s="1"/>
  <c r="E13" i="16" s="1"/>
  <c r="AM22" i="79" s="1"/>
  <c r="C9" i="47"/>
  <c r="AE4" i="67" s="1"/>
  <c r="AH4" i="67"/>
  <c r="AH6" i="67" s="1"/>
  <c r="AH11" i="67" s="1"/>
  <c r="AP27" i="79"/>
  <c r="F18" i="48"/>
  <c r="F14" i="48" s="1"/>
  <c r="F8" i="48" s="1"/>
  <c r="Q30" i="2"/>
  <c r="F40" i="48"/>
  <c r="AF10" i="67"/>
  <c r="AF14" i="67" s="1"/>
  <c r="R30" i="2"/>
  <c r="D39" i="47"/>
  <c r="D8" i="47"/>
  <c r="D40" i="47" s="1"/>
  <c r="D41" i="47" s="1"/>
  <c r="D43" i="47" s="1"/>
  <c r="F9" i="22"/>
  <c r="H84" i="1"/>
  <c r="H28" i="2" s="1"/>
  <c r="E10" i="47"/>
  <c r="F11" i="16"/>
  <c r="F13" i="16" s="1"/>
  <c r="F19" i="16" s="1"/>
  <c r="H19" i="16"/>
  <c r="AP22" i="79"/>
  <c r="V31" i="2"/>
  <c r="AI4" i="67"/>
  <c r="AI10" i="67" s="1"/>
  <c r="AI14" i="67" s="1"/>
  <c r="G8" i="47"/>
  <c r="G40" i="47" s="1"/>
  <c r="G41" i="47" s="1"/>
  <c r="G43" i="47" s="1"/>
  <c r="U31" i="2"/>
  <c r="C10" i="48"/>
  <c r="C9" i="48" s="1"/>
  <c r="C18" i="48" s="1"/>
  <c r="C14" i="48" s="1"/>
  <c r="C8" i="48" s="1"/>
  <c r="F90" i="1"/>
  <c r="F31" i="2" s="1"/>
  <c r="Q28" i="2"/>
  <c r="R28" i="2"/>
  <c r="D42" i="48"/>
  <c r="D43" i="48" s="1"/>
  <c r="D18" i="48"/>
  <c r="G34" i="48" l="1"/>
  <c r="G19" i="48" s="1"/>
  <c r="G48" i="48"/>
  <c r="AH10" i="67"/>
  <c r="AH14" i="67" s="1"/>
  <c r="C39" i="47"/>
  <c r="C8" i="47"/>
  <c r="C40" i="47" s="1"/>
  <c r="C41" i="47" s="1"/>
  <c r="C43" i="47" s="1"/>
  <c r="F48" i="48"/>
  <c r="E19" i="16"/>
  <c r="E38" i="48"/>
  <c r="AN22" i="79"/>
  <c r="E9" i="47"/>
  <c r="H90" i="1"/>
  <c r="H31" i="2" s="1"/>
  <c r="E10" i="48"/>
  <c r="AE23" i="78"/>
  <c r="S28" i="2"/>
  <c r="T28" i="2"/>
  <c r="AL5" i="79"/>
  <c r="AO27" i="79" s="1"/>
  <c r="G8" i="16"/>
  <c r="G11" i="16" s="1"/>
  <c r="G13" i="16" s="1"/>
  <c r="AI6" i="67"/>
  <c r="AI11" i="67" s="1"/>
  <c r="C40" i="48"/>
  <c r="C34" i="48" s="1"/>
  <c r="C19" i="48" s="1"/>
  <c r="C42" i="48"/>
  <c r="C43" i="48" s="1"/>
  <c r="AE6" i="67"/>
  <c r="AE11" i="67" s="1"/>
  <c r="AE10" i="67"/>
  <c r="AE14" i="67" s="1"/>
  <c r="Q31" i="2"/>
  <c r="AC26" i="78"/>
  <c r="R31" i="2"/>
  <c r="D14" i="48"/>
  <c r="D48" i="48"/>
  <c r="G8" i="48"/>
  <c r="G44" i="48" l="1"/>
  <c r="D38" i="48"/>
  <c r="D34" i="48" s="1"/>
  <c r="D19" i="48" s="1"/>
  <c r="AE26" i="78"/>
  <c r="S31" i="2"/>
  <c r="T31" i="2"/>
  <c r="AG4" i="67"/>
  <c r="E39" i="47"/>
  <c r="E8" i="47"/>
  <c r="E40" i="47" s="1"/>
  <c r="E41" i="47" s="1"/>
  <c r="G19" i="16"/>
  <c r="AO22" i="79"/>
  <c r="E40" i="48"/>
  <c r="E34" i="48" s="1"/>
  <c r="E19" i="48" s="1"/>
  <c r="E9" i="48"/>
  <c r="C48" i="48"/>
  <c r="C44" i="48"/>
  <c r="C46" i="48" s="1"/>
  <c r="D45" i="48" s="1"/>
  <c r="AF17" i="67" s="1"/>
  <c r="D8" i="48"/>
  <c r="D44" i="48" l="1"/>
  <c r="E18" i="48"/>
  <c r="E42" i="48"/>
  <c r="E43" i="48" s="1"/>
  <c r="E43" i="47"/>
  <c r="F38" i="48"/>
  <c r="F34" i="48" s="1"/>
  <c r="AG10" i="67"/>
  <c r="AG14" i="67" s="1"/>
  <c r="AG6" i="67"/>
  <c r="AG11" i="67" s="1"/>
  <c r="AE18" i="67"/>
  <c r="D46" i="48"/>
  <c r="E45" i="48" s="1"/>
  <c r="E48" i="48" l="1"/>
  <c r="E14" i="48"/>
  <c r="E8" i="48" s="1"/>
  <c r="F19" i="48"/>
  <c r="F44" i="48"/>
  <c r="AF18" i="67"/>
  <c r="AG17" i="67"/>
  <c r="E44" i="48" l="1"/>
  <c r="E46" i="48" s="1"/>
  <c r="AG18" i="67" s="1"/>
  <c r="F45" i="48" l="1"/>
  <c r="AH17" i="67" s="1"/>
  <c r="F46" i="48" l="1"/>
  <c r="AH18" i="67" s="1"/>
  <c r="G45" i="48" l="1"/>
  <c r="G46" i="48" s="1"/>
  <c r="AI18" i="67" s="1"/>
  <c r="AI17" i="67" l="1"/>
</calcChain>
</file>

<file path=xl/comments1.xml><?xml version="1.0" encoding="utf-8"?>
<comments xmlns="http://schemas.openxmlformats.org/spreadsheetml/2006/main">
  <authors>
    <author>dk-kpeev</author>
  </authors>
  <commentList>
    <comment ref="C7" authorId="0" shapeId="0">
      <text>
        <r>
          <rPr>
            <b/>
            <sz val="9"/>
            <color indexed="81"/>
            <rFont val="Tahoma"/>
            <family val="2"/>
            <charset val="204"/>
          </rPr>
          <t>ДКЕВР:</t>
        </r>
        <r>
          <rPr>
            <sz val="9"/>
            <color indexed="81"/>
            <rFont val="Tahoma"/>
            <family val="2"/>
            <charset val="204"/>
          </rPr>
          <t xml:space="preserve">
Всички редове са задължителни!</t>
        </r>
      </text>
    </comment>
  </commentList>
</comments>
</file>

<file path=xl/comments2.xml><?xml version="1.0" encoding="utf-8"?>
<comments xmlns="http://schemas.openxmlformats.org/spreadsheetml/2006/main">
  <authors>
    <author>lllll</author>
    <author>user</author>
  </authors>
  <commentList>
    <comment ref="B18" authorId="0" shapeId="0">
      <text>
        <r>
          <rPr>
            <b/>
            <sz val="9"/>
            <color indexed="81"/>
            <rFont val="Tahoma"/>
            <family val="2"/>
            <charset val="204"/>
          </rPr>
          <t>КЕВР:</t>
        </r>
        <r>
          <rPr>
            <sz val="9"/>
            <color indexed="81"/>
            <rFont val="Tahoma"/>
            <family val="2"/>
            <charset val="204"/>
          </rPr>
          <t xml:space="preserve">
посочва се основанието, на което дружеството изпълнява дейността В и К оператор - (договор, концесия, ПЧП, решение на МС или ОС или друго)</t>
        </r>
      </text>
    </comment>
    <comment ref="B19" authorId="0" shapeId="0">
      <text>
        <r>
          <rPr>
            <b/>
            <sz val="9"/>
            <color indexed="81"/>
            <rFont val="Tahoma"/>
            <family val="2"/>
            <charset val="204"/>
          </rPr>
          <t>КЕВР:</t>
        </r>
        <r>
          <rPr>
            <sz val="9"/>
            <color indexed="81"/>
            <rFont val="Tahoma"/>
            <family val="2"/>
            <charset val="204"/>
          </rPr>
          <t xml:space="preserve">
в случай на необходимост добавете редове</t>
        </r>
      </text>
    </comment>
    <comment ref="B33" authorId="1" shapeId="0">
      <text>
        <r>
          <rPr>
            <b/>
            <sz val="9"/>
            <color indexed="81"/>
            <rFont val="Tahoma"/>
            <family val="2"/>
            <charset val="204"/>
          </rPr>
          <t>user:</t>
        </r>
        <r>
          <rPr>
            <sz val="9"/>
            <color indexed="81"/>
            <rFont val="Tahoma"/>
            <family val="2"/>
            <charset val="204"/>
          </rPr>
          <t xml:space="preserve">
Попълва се наименованието на ВиК оператора, на който се предоставя услугата.</t>
        </r>
      </text>
    </comment>
  </commentList>
</comments>
</file>

<file path=xl/comments3.xml><?xml version="1.0" encoding="utf-8"?>
<comments xmlns="http://schemas.openxmlformats.org/spreadsheetml/2006/main">
  <authors>
    <author>Sylvia</author>
  </authors>
  <commentList>
    <comment ref="AO7" authorId="0" shapeId="0">
      <text>
        <r>
          <rPr>
            <b/>
            <sz val="9"/>
            <color indexed="81"/>
            <rFont val="Tahoma"/>
            <family val="2"/>
            <charset val="204"/>
          </rPr>
          <t>КЕВР:</t>
        </r>
        <r>
          <rPr>
            <sz val="9"/>
            <color indexed="81"/>
            <rFont val="Tahoma"/>
            <family val="2"/>
            <charset val="204"/>
          </rPr>
          <t xml:space="preserve">
резултатите в колоната трябва да са 0!</t>
        </r>
      </text>
    </comment>
    <comment ref="D214" authorId="0" shapeId="0">
      <text>
        <r>
          <rPr>
            <b/>
            <sz val="9"/>
            <color indexed="81"/>
            <rFont val="Tahoma"/>
            <family val="2"/>
            <charset val="204"/>
          </rPr>
          <t>КЕВР:</t>
        </r>
        <r>
          <rPr>
            <sz val="9"/>
            <color indexed="81"/>
            <rFont val="Tahoma"/>
            <family val="2"/>
            <charset val="204"/>
          </rPr>
          <t xml:space="preserve">
при преоценени публични активи, да се нанесе реалната годишна амортизация, изчислена спрямо оставащия полезен живот на активите</t>
        </r>
      </text>
    </comment>
  </commentList>
</comments>
</file>

<file path=xl/comments4.xml><?xml version="1.0" encoding="utf-8"?>
<comments xmlns="http://schemas.openxmlformats.org/spreadsheetml/2006/main">
  <authors>
    <author>Sylvia</author>
  </authors>
  <commentList>
    <comment ref="E7" authorId="0" shapeId="0">
      <text>
        <r>
          <rPr>
            <b/>
            <sz val="9"/>
            <color indexed="81"/>
            <rFont val="Tahoma"/>
            <family val="2"/>
            <charset val="204"/>
          </rPr>
          <t>КЕВР:</t>
        </r>
        <r>
          <rPr>
            <sz val="9"/>
            <color indexed="81"/>
            <rFont val="Tahoma"/>
            <family val="2"/>
            <charset val="204"/>
          </rPr>
          <t xml:space="preserve">
12 мес./ бр. месеци на амортизация</t>
        </r>
      </text>
    </comment>
  </commentList>
</comments>
</file>

<file path=xl/comments5.xml><?xml version="1.0" encoding="utf-8"?>
<comments xmlns="http://schemas.openxmlformats.org/spreadsheetml/2006/main">
  <authors>
    <author>Ivailo Kastchiev</author>
    <author>Sylvia</author>
  </authors>
  <commentList>
    <comment ref="E62" authorId="0" shapeId="0">
      <text>
        <r>
          <rPr>
            <b/>
            <sz val="9"/>
            <color indexed="81"/>
            <rFont val="Tahoma"/>
            <family val="2"/>
            <charset val="204"/>
          </rPr>
          <t xml:space="preserve">KЕВР: </t>
        </r>
        <r>
          <rPr>
            <sz val="9"/>
            <color indexed="81"/>
            <rFont val="Tahoma"/>
            <family val="2"/>
            <charset val="204"/>
          </rPr>
          <t xml:space="preserve">начислена амортизация на активи, придобити през отчетната година
</t>
        </r>
      </text>
    </comment>
    <comment ref="F62" authorId="1" shapeId="0">
      <text>
        <r>
          <rPr>
            <b/>
            <sz val="9"/>
            <color indexed="81"/>
            <rFont val="Tahoma"/>
            <family val="2"/>
            <charset val="204"/>
          </rPr>
          <t>КЕВР:</t>
        </r>
        <r>
          <rPr>
            <sz val="9"/>
            <color indexed="81"/>
            <rFont val="Tahoma"/>
            <family val="2"/>
            <charset val="204"/>
          </rPr>
          <t xml:space="preserve">
пълна годишна амортизация на активи, придобити през отчетната година и корекция на амортизация за активи с изтекъл полезен живот</t>
        </r>
      </text>
    </comment>
  </commentList>
</comments>
</file>

<file path=xl/comments6.xml><?xml version="1.0" encoding="utf-8"?>
<comments xmlns="http://schemas.openxmlformats.org/spreadsheetml/2006/main">
  <authors>
    <author>Ivaylo Kolev</author>
  </authors>
  <commentList>
    <comment ref="A15" authorId="0" shapeId="0">
      <text>
        <r>
          <rPr>
            <b/>
            <sz val="9"/>
            <color indexed="81"/>
            <rFont val="Tahoma"/>
            <family val="2"/>
          </rPr>
          <t xml:space="preserve">КЕВР: </t>
        </r>
        <r>
          <rPr>
            <sz val="9"/>
            <color indexed="81"/>
            <rFont val="Tahoma"/>
            <family val="2"/>
          </rPr>
          <t xml:space="preserve">за периода 2024-2026г. се приема процента на нарастване за 2023 г.
</t>
        </r>
      </text>
    </comment>
  </commentList>
</comments>
</file>

<file path=xl/comments7.xml><?xml version="1.0" encoding="utf-8"?>
<comments xmlns="http://schemas.openxmlformats.org/spreadsheetml/2006/main">
  <authors>
    <author>Ivaylo Kolev</author>
  </authors>
  <commentList>
    <comment ref="B8" authorId="0" shapeId="0">
      <text>
        <r>
          <rPr>
            <b/>
            <sz val="9"/>
            <color indexed="81"/>
            <rFont val="Tahoma"/>
            <family val="2"/>
          </rPr>
          <t xml:space="preserve">КЕВР: </t>
        </r>
        <r>
          <rPr>
            <sz val="9"/>
            <color indexed="81"/>
            <rFont val="Tahoma"/>
            <family val="2"/>
          </rPr>
          <t>ще бъде определен от комисията за всяка група ВиК оператори за 2016 г. След това ще се коригира индивидуално за всяко ВиК на база ПК 12г.</t>
        </r>
      </text>
    </comment>
  </commentList>
</comments>
</file>

<file path=xl/sharedStrings.xml><?xml version="1.0" encoding="utf-8"?>
<sst xmlns="http://schemas.openxmlformats.org/spreadsheetml/2006/main" count="6719" uniqueCount="2083">
  <si>
    <t>Приложение № 2</t>
  </si>
  <si>
    <t>№</t>
  </si>
  <si>
    <t>Описание на параметъра</t>
  </si>
  <si>
    <t>F1</t>
  </si>
  <si>
    <t>..............................................</t>
  </si>
  <si>
    <t>(подпис)</t>
  </si>
  <si>
    <t>(подпис и печат)</t>
  </si>
  <si>
    <t>iE5</t>
  </si>
  <si>
    <t>iD51a</t>
  </si>
  <si>
    <t>iD62a</t>
  </si>
  <si>
    <t>iD63a</t>
  </si>
  <si>
    <t>iD64a</t>
  </si>
  <si>
    <t>iD65a</t>
  </si>
  <si>
    <t>D51a</t>
  </si>
  <si>
    <t>D62a</t>
  </si>
  <si>
    <t>D63a</t>
  </si>
  <si>
    <t>D64a</t>
  </si>
  <si>
    <t>D65a</t>
  </si>
  <si>
    <t>iD51b</t>
  </si>
  <si>
    <t>iD62b</t>
  </si>
  <si>
    <t>iD63b</t>
  </si>
  <si>
    <t>iD64b</t>
  </si>
  <si>
    <t>iD65b</t>
  </si>
  <si>
    <t>D51b</t>
  </si>
  <si>
    <t>D62b</t>
  </si>
  <si>
    <t>D63b</t>
  </si>
  <si>
    <t>D64b</t>
  </si>
  <si>
    <t>D65b</t>
  </si>
  <si>
    <t>iD98</t>
  </si>
  <si>
    <t>iD99</t>
  </si>
  <si>
    <t>D35</t>
  </si>
  <si>
    <t>iC8</t>
  </si>
  <si>
    <t>D28</t>
  </si>
  <si>
    <t>C8</t>
  </si>
  <si>
    <t>F16</t>
  </si>
  <si>
    <t>E10</t>
  </si>
  <si>
    <t>wE4</t>
  </si>
  <si>
    <t>wE2</t>
  </si>
  <si>
    <t>iD97</t>
  </si>
  <si>
    <t>wD38a</t>
  </si>
  <si>
    <t>wD38b</t>
  </si>
  <si>
    <t>wD44</t>
  </si>
  <si>
    <t>wC1</t>
  </si>
  <si>
    <t>zD1</t>
  </si>
  <si>
    <t>A3</t>
  </si>
  <si>
    <t>wD13</t>
  </si>
  <si>
    <t>wA2</t>
  </si>
  <si>
    <t>wA15</t>
  </si>
  <si>
    <t>wA14</t>
  </si>
  <si>
    <t xml:space="preserve">D20 </t>
  </si>
  <si>
    <t>Ефективност на разходите за услугата доставяне на вода на потребителите</t>
  </si>
  <si>
    <t>G1</t>
  </si>
  <si>
    <t>G4</t>
  </si>
  <si>
    <t xml:space="preserve">Ефективност на разходите за услугата отвеждане на отпадъчни води </t>
  </si>
  <si>
    <t>iwG1b</t>
  </si>
  <si>
    <t>iwG4b</t>
  </si>
  <si>
    <t xml:space="preserve">Ефективност на разходите за услугата пречистване на отпадъчни води </t>
  </si>
  <si>
    <t>iwG1c</t>
  </si>
  <si>
    <t>iwG4c</t>
  </si>
  <si>
    <t>iG99</t>
  </si>
  <si>
    <t>iG98</t>
  </si>
  <si>
    <t>iG97</t>
  </si>
  <si>
    <t>iF98</t>
  </si>
  <si>
    <t>F24</t>
  </si>
  <si>
    <t>wF20</t>
  </si>
  <si>
    <t xml:space="preserve">iF88 </t>
  </si>
  <si>
    <t>iF99</t>
  </si>
  <si>
    <t>F23</t>
  </si>
  <si>
    <t>iF17</t>
  </si>
  <si>
    <t>F18</t>
  </si>
  <si>
    <t>F19</t>
  </si>
  <si>
    <t>wF12</t>
  </si>
  <si>
    <t xml:space="preserve">wF13 </t>
  </si>
  <si>
    <t xml:space="preserve">wF14 </t>
  </si>
  <si>
    <t xml:space="preserve">iwF15 </t>
  </si>
  <si>
    <t xml:space="preserve">wF16 </t>
  </si>
  <si>
    <t xml:space="preserve">iF89 </t>
  </si>
  <si>
    <t xml:space="preserve">iE8 </t>
  </si>
  <si>
    <t>iE10</t>
  </si>
  <si>
    <t xml:space="preserve">iwE8 </t>
  </si>
  <si>
    <t xml:space="preserve">iwE10 </t>
  </si>
  <si>
    <t>B1</t>
  </si>
  <si>
    <t>C24</t>
  </si>
  <si>
    <t>wB1</t>
  </si>
  <si>
    <t>C29</t>
  </si>
  <si>
    <t>Параметър</t>
  </si>
  <si>
    <t>5.3</t>
  </si>
  <si>
    <t>5.4</t>
  </si>
  <si>
    <t>Приложение към бизнес план</t>
  </si>
  <si>
    <t>Данни за В и К оператора</t>
  </si>
  <si>
    <t>Описание</t>
  </si>
  <si>
    <t>попълва се от В и К оператора</t>
  </si>
  <si>
    <t>Наименование на В и К оператора:</t>
  </si>
  <si>
    <t>1.1</t>
  </si>
  <si>
    <t>1.2</t>
  </si>
  <si>
    <t>град:</t>
  </si>
  <si>
    <t>1.3</t>
  </si>
  <si>
    <t>ЕИК по БУЛСТАТ:</t>
  </si>
  <si>
    <t>2</t>
  </si>
  <si>
    <t>2.1</t>
  </si>
  <si>
    <t>2.2</t>
  </si>
  <si>
    <t>Прогнозни години:</t>
  </si>
  <si>
    <t>3</t>
  </si>
  <si>
    <t>4</t>
  </si>
  <si>
    <t>4.1</t>
  </si>
  <si>
    <t>4.2</t>
  </si>
  <si>
    <t>4.3</t>
  </si>
  <si>
    <t>5</t>
  </si>
  <si>
    <t>5.1</t>
  </si>
  <si>
    <t>Приложение 1</t>
  </si>
  <si>
    <t>Общи данни за В и К оператора</t>
  </si>
  <si>
    <t>Справки:</t>
  </si>
  <si>
    <t>5.2</t>
  </si>
  <si>
    <t>Приложение 2</t>
  </si>
  <si>
    <t>Техническа част на бизнес плана</t>
  </si>
  <si>
    <t>Приложение 3</t>
  </si>
  <si>
    <t>Икономическа част на бизнес плана</t>
  </si>
  <si>
    <t>Приложение 4</t>
  </si>
  <si>
    <t xml:space="preserve">Социална поносимост и социални дейности </t>
  </si>
  <si>
    <t>2020 г.</t>
  </si>
  <si>
    <t>ПК1</t>
  </si>
  <si>
    <t>ПК2а</t>
  </si>
  <si>
    <t>ПК2б</t>
  </si>
  <si>
    <t>ПК2в</t>
  </si>
  <si>
    <t>ПК3</t>
  </si>
  <si>
    <t>ПК5</t>
  </si>
  <si>
    <t>ПК7а</t>
  </si>
  <si>
    <t>ПК7б</t>
  </si>
  <si>
    <t>ПК8</t>
  </si>
  <si>
    <t>ПК9</t>
  </si>
  <si>
    <t>ПК10</t>
  </si>
  <si>
    <t>ПК11а</t>
  </si>
  <si>
    <t>ПК11б</t>
  </si>
  <si>
    <t>ПК11в</t>
  </si>
  <si>
    <t>ПК11г</t>
  </si>
  <si>
    <t>ПК12а</t>
  </si>
  <si>
    <t>ПК12б</t>
  </si>
  <si>
    <t>ПК12в</t>
  </si>
  <si>
    <t>ПК12г</t>
  </si>
  <si>
    <t>ПК13</t>
  </si>
  <si>
    <t>ПК14а</t>
  </si>
  <si>
    <t>ПК14б</t>
  </si>
  <si>
    <t>ПК15а</t>
  </si>
  <si>
    <t>ПК15б</t>
  </si>
  <si>
    <t>Приложение № 1</t>
  </si>
  <si>
    <t>1</t>
  </si>
  <si>
    <t>Данни за търговското дружество</t>
  </si>
  <si>
    <t>Наименование на дружеството:</t>
  </si>
  <si>
    <t>Седалище:</t>
  </si>
  <si>
    <t>1.4</t>
  </si>
  <si>
    <t>Адрес на управление:</t>
  </si>
  <si>
    <t>1.5</t>
  </si>
  <si>
    <t>Дружеството се представлява от:</t>
  </si>
  <si>
    <t>1.6</t>
  </si>
  <si>
    <t>Рег.номер по ЗЗЛД в КЗЛД:</t>
  </si>
  <si>
    <t>1.7</t>
  </si>
  <si>
    <t>Рег.номер по ЗДДС, издаден на:</t>
  </si>
  <si>
    <t>1.8</t>
  </si>
  <si>
    <t>В и К оператор по силата на:</t>
  </si>
  <si>
    <t>1.9</t>
  </si>
  <si>
    <t>Съдружници/акционери; дялове</t>
  </si>
  <si>
    <t xml:space="preserve">Адрес за кореспонденция: </t>
  </si>
  <si>
    <t xml:space="preserve">Лица за кореспонденция: </t>
  </si>
  <si>
    <t>2.2.1</t>
  </si>
  <si>
    <t>сл. тел.:</t>
  </si>
  <si>
    <t>мобилен тел.:</t>
  </si>
  <si>
    <t xml:space="preserve">факс: </t>
  </si>
  <si>
    <t>e-mail:</t>
  </si>
  <si>
    <t>2.2.2</t>
  </si>
  <si>
    <t xml:space="preserve">Секретар: </t>
  </si>
  <si>
    <t>Мярка</t>
  </si>
  <si>
    <t>І.</t>
  </si>
  <si>
    <t>Доставяне на вода на потребители</t>
  </si>
  <si>
    <t>2.3</t>
  </si>
  <si>
    <t>%</t>
  </si>
  <si>
    <t>3.1</t>
  </si>
  <si>
    <t>3.2</t>
  </si>
  <si>
    <t>ІІ.</t>
  </si>
  <si>
    <t>Отвеждане на отпадъчни води</t>
  </si>
  <si>
    <t>Отведени количества отпадъчни води</t>
  </si>
  <si>
    <t>7.1</t>
  </si>
  <si>
    <t>Битови и приравнените към тях обществени, търговски и др.</t>
  </si>
  <si>
    <t>7.2</t>
  </si>
  <si>
    <t>Промишлени и други стопански потребители</t>
  </si>
  <si>
    <t>степен на замърсяване 1</t>
  </si>
  <si>
    <t>степен на замърсяване 2</t>
  </si>
  <si>
    <t>степен на замърсяване 3</t>
  </si>
  <si>
    <t>ІІІ.</t>
  </si>
  <si>
    <t>Пречистване на отпадъчни води</t>
  </si>
  <si>
    <t>Пречистени  количества отпадъчни води</t>
  </si>
  <si>
    <t>Пречистени количества отпадъчна вода според:</t>
  </si>
  <si>
    <t>Указания за попълване на справката</t>
  </si>
  <si>
    <t>1. Попълват се само клетките в жълт цвят</t>
  </si>
  <si>
    <t>Приложение № 3</t>
  </si>
  <si>
    <t>(хил. лв.)</t>
  </si>
  <si>
    <t>Дейности</t>
  </si>
  <si>
    <t>Отчет</t>
  </si>
  <si>
    <t>Разчет</t>
  </si>
  <si>
    <t>Общо:</t>
  </si>
  <si>
    <t>Остатъчна стойност от предишния период</t>
  </si>
  <si>
    <t>Получен през периода</t>
  </si>
  <si>
    <t>Погасяване на главници</t>
  </si>
  <si>
    <t>Лихви</t>
  </si>
  <si>
    <t>Лихви (%)</t>
  </si>
  <si>
    <t>Общо погасителни вноски</t>
  </si>
  <si>
    <t>Остатък главница</t>
  </si>
  <si>
    <t>.....................................................</t>
  </si>
  <si>
    <t xml:space="preserve"> </t>
  </si>
  <si>
    <t xml:space="preserve">№ </t>
  </si>
  <si>
    <t>Наименование</t>
  </si>
  <si>
    <t>1.</t>
  </si>
  <si>
    <t>2.</t>
  </si>
  <si>
    <t>Доставяне на вода на потребителите</t>
  </si>
  <si>
    <t>Отвеждане на отпадъчните води</t>
  </si>
  <si>
    <t>Пречистване на отпадъчните води</t>
  </si>
  <si>
    <t>Доставяне вода на потребителите</t>
  </si>
  <si>
    <t>Съоръжения</t>
  </si>
  <si>
    <t>Транспортни средства</t>
  </si>
  <si>
    <t>Други ДМА</t>
  </si>
  <si>
    <t xml:space="preserve">Програмни продукти </t>
  </si>
  <si>
    <t>Продукти от развойна дейност</t>
  </si>
  <si>
    <t>Други ДНМА</t>
  </si>
  <si>
    <t>Земя</t>
  </si>
  <si>
    <t>Годишна амортизационна квота</t>
  </si>
  <si>
    <t>3.</t>
  </si>
  <si>
    <t xml:space="preserve">Начислена до момента амортизация </t>
  </si>
  <si>
    <t>4.</t>
  </si>
  <si>
    <t>Балансова стойност</t>
  </si>
  <si>
    <t>Разходи по икономически елементи</t>
  </si>
  <si>
    <t>Регулирана дейност</t>
  </si>
  <si>
    <t>Нерегулирана дейност</t>
  </si>
  <si>
    <t>Разходи за материали</t>
  </si>
  <si>
    <t xml:space="preserve">материали </t>
  </si>
  <si>
    <t xml:space="preserve"> - за обеззаразяване</t>
  </si>
  <si>
    <t xml:space="preserve"> - за коагуланти</t>
  </si>
  <si>
    <t xml:space="preserve"> - за флокуланти</t>
  </si>
  <si>
    <t xml:space="preserve"> - за ЛТК (лабораторно-технологични комплекси)</t>
  </si>
  <si>
    <t>електроенергия за технологични нужди</t>
  </si>
  <si>
    <t>горива и смазочни материали</t>
  </si>
  <si>
    <t>1.3.1</t>
  </si>
  <si>
    <t xml:space="preserve"> -за технологични нужди</t>
  </si>
  <si>
    <t>работно облекло</t>
  </si>
  <si>
    <t>канцеларски материали</t>
  </si>
  <si>
    <t>други</t>
  </si>
  <si>
    <t>Разходи за външни услуги</t>
  </si>
  <si>
    <t>застраховки</t>
  </si>
  <si>
    <t>разходи за доставяне на вода на входа на ВС от друг доставчик</t>
  </si>
  <si>
    <t>2.4</t>
  </si>
  <si>
    <t>наеми, в т.ч. и оперативен лизинг</t>
  </si>
  <si>
    <t>2.5</t>
  </si>
  <si>
    <t>съобщителни услуги</t>
  </si>
  <si>
    <t>2.6</t>
  </si>
  <si>
    <t>транспортни услуги</t>
  </si>
  <si>
    <t>2.7</t>
  </si>
  <si>
    <t>вода, осветление и отопление</t>
  </si>
  <si>
    <t>2.8</t>
  </si>
  <si>
    <t>разходи за публикации</t>
  </si>
  <si>
    <t>2.9</t>
  </si>
  <si>
    <t xml:space="preserve"> - юридически</t>
  </si>
  <si>
    <t xml:space="preserve"> - финансово-счетоводни и одиторски</t>
  </si>
  <si>
    <t xml:space="preserve"> - технически</t>
  </si>
  <si>
    <t>2.10</t>
  </si>
  <si>
    <t>въоръжена и противопожарна охрана</t>
  </si>
  <si>
    <t>2.11</t>
  </si>
  <si>
    <t>суми по договори за инкасиране</t>
  </si>
  <si>
    <t>2.12</t>
  </si>
  <si>
    <t>съдебни разходи</t>
  </si>
  <si>
    <t>2.13</t>
  </si>
  <si>
    <t>3.1.</t>
  </si>
  <si>
    <t>3.2.</t>
  </si>
  <si>
    <t>разходи за трудови възнаграждения</t>
  </si>
  <si>
    <t>социални разходи</t>
  </si>
  <si>
    <t>Други разходи</t>
  </si>
  <si>
    <t>6.1</t>
  </si>
  <si>
    <t>безплатна храна, съгласно нормативен документ</t>
  </si>
  <si>
    <t>6.2</t>
  </si>
  <si>
    <t>охрана на труда</t>
  </si>
  <si>
    <t>6.3</t>
  </si>
  <si>
    <t>служебни карти и пътувания</t>
  </si>
  <si>
    <t>6.4</t>
  </si>
  <si>
    <t>командировки</t>
  </si>
  <si>
    <t>6.5</t>
  </si>
  <si>
    <t>ОБЩО РАЗХОДИ</t>
  </si>
  <si>
    <t>Приложение № 4</t>
  </si>
  <si>
    <t>Показател</t>
  </si>
  <si>
    <t xml:space="preserve">Мярка </t>
  </si>
  <si>
    <t xml:space="preserve">Цена за доставяне на вода на потребителите </t>
  </si>
  <si>
    <r>
      <t>лв./куб.м (</t>
    </r>
    <r>
      <rPr>
        <i/>
        <sz val="9"/>
        <rFont val="Times New Roman"/>
        <family val="1"/>
        <charset val="204"/>
      </rPr>
      <t>без ДДС</t>
    </r>
    <r>
      <rPr>
        <sz val="9"/>
        <rFont val="Times New Roman"/>
        <family val="1"/>
        <charset val="204"/>
      </rPr>
      <t>)</t>
    </r>
  </si>
  <si>
    <t xml:space="preserve">Цена за отвеждане на отпадъчни води  </t>
  </si>
  <si>
    <t xml:space="preserve">Цена за пречистване на отпадъчни води  </t>
  </si>
  <si>
    <r>
      <t>лв./куб.м (</t>
    </r>
    <r>
      <rPr>
        <b/>
        <i/>
        <sz val="9"/>
        <rFont val="Times New Roman"/>
        <family val="1"/>
        <charset val="204"/>
      </rPr>
      <t>с ДДС</t>
    </r>
    <r>
      <rPr>
        <b/>
        <sz val="9"/>
        <rFont val="Times New Roman"/>
        <family val="1"/>
        <charset val="204"/>
      </rPr>
      <t>)</t>
    </r>
  </si>
  <si>
    <t>Минимално битово потребление</t>
  </si>
  <si>
    <t>куб.м/мес. на 1 човек</t>
  </si>
  <si>
    <t>лева</t>
  </si>
  <si>
    <t>Средно месечен доход на лице от домакинството в региона</t>
  </si>
  <si>
    <t>лева за месец</t>
  </si>
  <si>
    <t>Социална поносимост на цената на ВиК услугите</t>
  </si>
  <si>
    <t xml:space="preserve">лв./куб.м </t>
  </si>
  <si>
    <t xml:space="preserve">Описание </t>
  </si>
  <si>
    <t>Възвръщаемост за съответната В и К услуга</t>
  </si>
  <si>
    <t>хил.лв.</t>
  </si>
  <si>
    <t>Признати годишни разходи за съответната В и К услуга</t>
  </si>
  <si>
    <t>Необходими годишни приходи за съответната В и К услуга</t>
  </si>
  <si>
    <t>Отведени и пречистени количества вода</t>
  </si>
  <si>
    <t>Количества за битови и приравнени на тях потребители</t>
  </si>
  <si>
    <t>Количества за промишлени и други стопански потребители според степента на замърсяване</t>
  </si>
  <si>
    <t xml:space="preserve"> Коефициенти за разпределение на необходимите приходи</t>
  </si>
  <si>
    <t>Коефициент за замърсеност степен 1</t>
  </si>
  <si>
    <t>Коефициент за замърсеност степен 2</t>
  </si>
  <si>
    <t>Коефициент за замърсеност степен 3</t>
  </si>
  <si>
    <t>Регулаторна база на активите</t>
  </si>
  <si>
    <t xml:space="preserve">Оборотен капитал </t>
  </si>
  <si>
    <t>Показатели за определяне на небходимия оборотен капитал (ОК)</t>
  </si>
  <si>
    <t>5.</t>
  </si>
  <si>
    <t>Нетен цикъл на оборотния капитал</t>
  </si>
  <si>
    <t>дни</t>
  </si>
  <si>
    <t>6.</t>
  </si>
  <si>
    <t>Брой нетни цикли на оборотния капитал в годината</t>
  </si>
  <si>
    <t>-</t>
  </si>
  <si>
    <t>7.</t>
  </si>
  <si>
    <t>Годишни парични разходи за дейността "Доставяне на вода на потребителите"</t>
  </si>
  <si>
    <t>Признати годишни разходи за дейността</t>
  </si>
  <si>
    <t>8.</t>
  </si>
  <si>
    <t>Годишни парични разходи за дейността "Отвеждане на отпадъчни води"</t>
  </si>
  <si>
    <t>Годишни парични разходи за дейността "Пречистване на отпадъчни води"</t>
  </si>
  <si>
    <t>ОК за дейността "Доставяне на вода на потребителите"</t>
  </si>
  <si>
    <t>ОК за дейността "Отвеждане на отпадъчни води"</t>
  </si>
  <si>
    <t>ОК за дейността "Пречистване на отпадъчни води"</t>
  </si>
  <si>
    <t>хил. лв.</t>
  </si>
  <si>
    <t>Данъчни задължения</t>
  </si>
  <si>
    <t>Дял на собствения капитал</t>
  </si>
  <si>
    <t>Дял на привлечения капитал</t>
  </si>
  <si>
    <t xml:space="preserve">Възвръщаемост </t>
  </si>
  <si>
    <t>лв./куб.м</t>
  </si>
  <si>
    <t>Инвестиции</t>
  </si>
  <si>
    <t>iD96</t>
  </si>
  <si>
    <t>Източници за финансиране, общо, в т.ч.:</t>
  </si>
  <si>
    <t>Планирани инвестиции, общо:</t>
  </si>
  <si>
    <t>График за изграждане по години, (хил.лв.)</t>
  </si>
  <si>
    <t>Отчетна стойност</t>
  </si>
  <si>
    <t>1.1.1</t>
  </si>
  <si>
    <t>1.1.2</t>
  </si>
  <si>
    <t>1.1.3</t>
  </si>
  <si>
    <t>1.1.4</t>
  </si>
  <si>
    <t>Минимален месечен разход за вода на член от домакинството</t>
  </si>
  <si>
    <t xml:space="preserve">Количества доставена вода </t>
  </si>
  <si>
    <t>Приложение 5</t>
  </si>
  <si>
    <t>Ценови модел</t>
  </si>
  <si>
    <t>Приложение 6</t>
  </si>
  <si>
    <t>Справка № 2 - Променливи за изчисление на показателите за качество на предоставяните В и К услуги</t>
  </si>
  <si>
    <t xml:space="preserve">Справка № 3 - Показатели за качество на предоставяните В и К услуги </t>
  </si>
  <si>
    <t>Приложение № 5</t>
  </si>
  <si>
    <t>Ел.енергия</t>
  </si>
  <si>
    <t>кВтч</t>
  </si>
  <si>
    <t>Обобщена справка за консумацията и производството на ел.енергия</t>
  </si>
  <si>
    <t>Енергийна ефективност</t>
  </si>
  <si>
    <t>6.2.1</t>
  </si>
  <si>
    <t>Описание на проекта</t>
  </si>
  <si>
    <t>Код 
счетоводна сметка 
ДМА</t>
  </si>
  <si>
    <t xml:space="preserve">рехабилитация и изграждане на нови </t>
  </si>
  <si>
    <t>Сондажи и каптажи</t>
  </si>
  <si>
    <t>Санитарно-охранителни зони</t>
  </si>
  <si>
    <t>Довеждащи съоръжения</t>
  </si>
  <si>
    <t xml:space="preserve">реконструкции и изграждане на нови довеждащи  водопроводи </t>
  </si>
  <si>
    <t>Пречиствателни станции за питейни води</t>
  </si>
  <si>
    <t>сгради,съоръжения и оборудване</t>
  </si>
  <si>
    <t>Помпени станции</t>
  </si>
  <si>
    <t>Хидрофори</t>
  </si>
  <si>
    <t>Рехабилитация  и разширение на водопроводната мрежа над 10 м</t>
  </si>
  <si>
    <t>реконструкции и изграждане на нови  водопроводи над 10 м</t>
  </si>
  <si>
    <t>Сградни водопроводни отклонения</t>
  </si>
  <si>
    <t>подмяна и изграждане на нови</t>
  </si>
  <si>
    <t>Кранове и хидранти</t>
  </si>
  <si>
    <t xml:space="preserve">Управление на налягането </t>
  </si>
  <si>
    <t>Проучване и моделиране на водопроводната мрежа</t>
  </si>
  <si>
    <t>разходи за персонал, външни услуги и СМР за проучване и моделиране</t>
  </si>
  <si>
    <t>разширение на СКАДА и оборудване</t>
  </si>
  <si>
    <t>Лаборатория за питейни води</t>
  </si>
  <si>
    <t>апаратура и оборудване</t>
  </si>
  <si>
    <t>Лекотоварни автомобили за водоснабдяване</t>
  </si>
  <si>
    <t>покупка на нови и капиталов ремонт на съществуващи</t>
  </si>
  <si>
    <t>Тежкотоварни автомобили за водоснабдяване</t>
  </si>
  <si>
    <t>Строителна и специализирана механизация за водоснабдяване</t>
  </si>
  <si>
    <t>Канализационни помпени станции</t>
  </si>
  <si>
    <t>Рехабилитация  и разширение на канализационната мрежа над 10 м</t>
  </si>
  <si>
    <t>реконструкции и изграждане на нови канали над 10 м</t>
  </si>
  <si>
    <t>Сградни канализационни отклонения</t>
  </si>
  <si>
    <t>Проучване и моделиране на канализационната мрежа</t>
  </si>
  <si>
    <t>Лекотоварни автомобили  за канализация</t>
  </si>
  <si>
    <t>Тежкотоварни автомобили  за канализация</t>
  </si>
  <si>
    <t>Пречиствателни станции за отпадъчни води</t>
  </si>
  <si>
    <t>Лаборатория за отпадъчни води</t>
  </si>
  <si>
    <t>Лекотоварни автомобили  за  ПСОВ</t>
  </si>
  <si>
    <t>Тежкотоварни автомобили  за  ПСОВ</t>
  </si>
  <si>
    <t>Строителна и специализирана механизация  за ПСОВ</t>
  </si>
  <si>
    <t>Приходни водомери</t>
  </si>
  <si>
    <t>Приходни водомери с дистанционно отчитане</t>
  </si>
  <si>
    <t>Административни и обслужващи сгради и конструкции</t>
  </si>
  <si>
    <t>изграждане на нови и капиталов ремонт на съществуващи</t>
  </si>
  <si>
    <t>Стопански инвентар и офис оборудване</t>
  </si>
  <si>
    <t>покупка на нов и капиталов ремонт на съществуващ</t>
  </si>
  <si>
    <t>покупка на нови и надграждане и разширяване на съществуващи</t>
  </si>
  <si>
    <t>ИТ хардуер</t>
  </si>
  <si>
    <t>% Водоснабдяване:</t>
  </si>
  <si>
    <t>% Пречистване:</t>
  </si>
  <si>
    <t>ДРУГИ ИНВЕСТИЦИИ- разпределение:</t>
  </si>
  <si>
    <t>ОБЩО ИНВЕСТИЦИИ след разпределение:</t>
  </si>
  <si>
    <t>I.</t>
  </si>
  <si>
    <t>Собствени Дълготрайни Активи</t>
  </si>
  <si>
    <t>Сгради и конструкции</t>
  </si>
  <si>
    <t>Машини, апаратура и специализирано оборудване</t>
  </si>
  <si>
    <t>Строителна и специализирана механизация</t>
  </si>
  <si>
    <t>Ел. оборудване</t>
  </si>
  <si>
    <t xml:space="preserve">Измервателни устройства </t>
  </si>
  <si>
    <t xml:space="preserve"> Друго специализирано оборудване</t>
  </si>
  <si>
    <t xml:space="preserve"> Тежкотоварни</t>
  </si>
  <si>
    <t>Лекотоварни</t>
  </si>
  <si>
    <t>Автомобили</t>
  </si>
  <si>
    <t>Компютърна техника</t>
  </si>
  <si>
    <t>Дълготрайни материални активи в процес на изграждане</t>
  </si>
  <si>
    <t>Нематериални активи в процес на изграждане</t>
  </si>
  <si>
    <t>II.</t>
  </si>
  <si>
    <t>Ел. съоръжения</t>
  </si>
  <si>
    <t>Каптажи</t>
  </si>
  <si>
    <t>Сондажни и шахтови кладенци</t>
  </si>
  <si>
    <t xml:space="preserve">Водопроводи, вкл.СВО </t>
  </si>
  <si>
    <t>Канализация, вкл. СКО</t>
  </si>
  <si>
    <t>Съоръжения в пречиствателни, помпени, хлораторни станции и резервоари</t>
  </si>
  <si>
    <t>Други ВиК съоръжения</t>
  </si>
  <si>
    <t>III.</t>
  </si>
  <si>
    <t>Административни и обслужващи сгради</t>
  </si>
  <si>
    <t>Производствени сгради</t>
  </si>
  <si>
    <t>Машини</t>
  </si>
  <si>
    <t>Апаратура</t>
  </si>
  <si>
    <t>Ел. табла</t>
  </si>
  <si>
    <t>ВиК оборудване</t>
  </si>
  <si>
    <t>Трафопост</t>
  </si>
  <si>
    <t>Електропровод</t>
  </si>
  <si>
    <t>ВиК съоръжения</t>
  </si>
  <si>
    <t>Други съоръжения</t>
  </si>
  <si>
    <t>Офис оборудване</t>
  </si>
  <si>
    <t>1.3.2</t>
  </si>
  <si>
    <t>други разходи за материали</t>
  </si>
  <si>
    <t>1.7.1</t>
  </si>
  <si>
    <t>1.7.2</t>
  </si>
  <si>
    <t>1.7.3</t>
  </si>
  <si>
    <t>консултански услуги</t>
  </si>
  <si>
    <t xml:space="preserve"> - други консултантски услуги</t>
  </si>
  <si>
    <t>обучения на персонала</t>
  </si>
  <si>
    <t>2.14</t>
  </si>
  <si>
    <t>други разходи за външни услуги</t>
  </si>
  <si>
    <t>Разходи за амортизации</t>
  </si>
  <si>
    <t>разходи за амортизации на собствени активи</t>
  </si>
  <si>
    <t>Разходи за възнаграждения</t>
  </si>
  <si>
    <t>Разходи за осигуровки</t>
  </si>
  <si>
    <t>Данъци и такси</t>
  </si>
  <si>
    <t>местни данъци и такси</t>
  </si>
  <si>
    <t>такси за регулиране</t>
  </si>
  <si>
    <t>такси за ползване на водни обекти</t>
  </si>
  <si>
    <t>такси  за заустване</t>
  </si>
  <si>
    <t>други данъци и такси</t>
  </si>
  <si>
    <t>7.3</t>
  </si>
  <si>
    <t>7.4</t>
  </si>
  <si>
    <t>7.5</t>
  </si>
  <si>
    <t>7.6</t>
  </si>
  <si>
    <t>7.7</t>
  </si>
  <si>
    <t xml:space="preserve">Вид оперативен ремонт / Направление на оперативен ремонт
</t>
  </si>
  <si>
    <t>Количества (единица мярка)</t>
  </si>
  <si>
    <t>Обща стойност на обектите 
(хил.лв.)</t>
  </si>
  <si>
    <t>1.1.</t>
  </si>
  <si>
    <t>Ремонт на водоизточници</t>
  </si>
  <si>
    <t>1.2.</t>
  </si>
  <si>
    <t>1.3.</t>
  </si>
  <si>
    <t>Ремонт на участъци от водопроводната мрежа под 10 м</t>
  </si>
  <si>
    <t>1.4.</t>
  </si>
  <si>
    <t>Ремонт на СВО</t>
  </si>
  <si>
    <t>1.5.</t>
  </si>
  <si>
    <t>Ремонт на спирателни кранове и хидранти</t>
  </si>
  <si>
    <t>1.6.</t>
  </si>
  <si>
    <t>1.7.</t>
  </si>
  <si>
    <t>1.8.</t>
  </si>
  <si>
    <t>1.9.</t>
  </si>
  <si>
    <t>1.10.</t>
  </si>
  <si>
    <t>2.1.</t>
  </si>
  <si>
    <t>Ремонт на участъци от канализационна мрежа под 10 м</t>
  </si>
  <si>
    <t>2.2.</t>
  </si>
  <si>
    <t>Ремонт на СКО</t>
  </si>
  <si>
    <t>2.3.</t>
  </si>
  <si>
    <t>2.4.</t>
  </si>
  <si>
    <t>2.5.</t>
  </si>
  <si>
    <t>2.6.</t>
  </si>
  <si>
    <t>3.3.</t>
  </si>
  <si>
    <t>3.4.</t>
  </si>
  <si>
    <t>3.5.</t>
  </si>
  <si>
    <t xml:space="preserve">Наименование </t>
  </si>
  <si>
    <t>ПРИХОДИ</t>
  </si>
  <si>
    <t>Приходи от оперативна дейност</t>
  </si>
  <si>
    <t>Други приходи</t>
  </si>
  <si>
    <t>Приходи от строителство</t>
  </si>
  <si>
    <t>Приходи от финансирания</t>
  </si>
  <si>
    <t>Финансови приходи</t>
  </si>
  <si>
    <t>Приходи от лихви</t>
  </si>
  <si>
    <t>Положит. разлики от операции с фин.активи</t>
  </si>
  <si>
    <t>Положит. разлики от промяна на валут.курсове</t>
  </si>
  <si>
    <t>Други финансови приходи</t>
  </si>
  <si>
    <t xml:space="preserve">РАЗХОДИ </t>
  </si>
  <si>
    <t>Разходи от оперативна дейност</t>
  </si>
  <si>
    <t>Суровини и материали</t>
  </si>
  <si>
    <t>Външни услуги</t>
  </si>
  <si>
    <t>Разходи за социални осигуровки</t>
  </si>
  <si>
    <t xml:space="preserve">Разходи за амортизация </t>
  </si>
  <si>
    <t>Разходи за  обезценка на вземания</t>
  </si>
  <si>
    <t>Разходи за строителство</t>
  </si>
  <si>
    <t xml:space="preserve">Други разходи </t>
  </si>
  <si>
    <t>Финансови разходи</t>
  </si>
  <si>
    <t xml:space="preserve">Разходи за лихви </t>
  </si>
  <si>
    <t>Разходи от обезценка на финансови активи</t>
  </si>
  <si>
    <t>Отрицателни разлики от промяна на валутни курсове</t>
  </si>
  <si>
    <t>Други финансови разходи</t>
  </si>
  <si>
    <t>Печалба/ Загуба от оперативна дейност</t>
  </si>
  <si>
    <t>Печалба/ Загуба преди данъци</t>
  </si>
  <si>
    <t xml:space="preserve"> Разходи за данъци от печалбата</t>
  </si>
  <si>
    <t>Други данъци, алтернативни на корпоративния данък</t>
  </si>
  <si>
    <t>Печалба/ Загуба</t>
  </si>
  <si>
    <t>ПОСТЪПЛЕНИЯ</t>
  </si>
  <si>
    <t>Постъпления от оперативна дейност</t>
  </si>
  <si>
    <t>Постъпления от други приходи</t>
  </si>
  <si>
    <t>Финансови постъпления</t>
  </si>
  <si>
    <t>Постъпления от лихви</t>
  </si>
  <si>
    <t>Постъпления от финансирания</t>
  </si>
  <si>
    <t>Други финансови постъпления</t>
  </si>
  <si>
    <t xml:space="preserve">ПЛАЩАНИЯ </t>
  </si>
  <si>
    <t>Плащания по оперативна дейност:</t>
  </si>
  <si>
    <t>Възнаграждения</t>
  </si>
  <si>
    <t>Социални осигуровки</t>
  </si>
  <si>
    <t>Такси водоползване</t>
  </si>
  <si>
    <t>Такси заустване</t>
  </si>
  <si>
    <t>Такса регулиране</t>
  </si>
  <si>
    <t>Други плащания по оперативна дейност</t>
  </si>
  <si>
    <t>Други плащания</t>
  </si>
  <si>
    <t>Изплащане на дивиденти към  собственици</t>
  </si>
  <si>
    <t>Финансови и данъчни плащания</t>
  </si>
  <si>
    <t>Плащания на лихви</t>
  </si>
  <si>
    <t>Плащания на заеми</t>
  </si>
  <si>
    <t>Други финансови плащания</t>
  </si>
  <si>
    <t>Данък печалба</t>
  </si>
  <si>
    <t>Нето получен/ платен ДДС</t>
  </si>
  <si>
    <t xml:space="preserve">Други  данъци и такси </t>
  </si>
  <si>
    <t>Нетен паричен поток от оперативна дейност:</t>
  </si>
  <si>
    <t>Нетен паричен поток преди финансирания и данъци:</t>
  </si>
  <si>
    <t>Нетен паричен поток:</t>
  </si>
  <si>
    <t>Салдо на паричните средства в началото на периода:</t>
  </si>
  <si>
    <t>Салдо на паричните средства в края на периода:</t>
  </si>
  <si>
    <t>Призната стойност на ДА</t>
  </si>
  <si>
    <t>Амортизации за периода на използване на ДА</t>
  </si>
  <si>
    <t xml:space="preserve">Дългосрочни задължения по лихвени заеми и кредити за изграждане на извадени от баланса публични ДА </t>
  </si>
  <si>
    <t>Остатък главница към края на текущия период</t>
  </si>
  <si>
    <t>Справка № 5
Персонал</t>
  </si>
  <si>
    <t>Приложение № 6</t>
  </si>
  <si>
    <t>Справка № 5 - Персонал</t>
  </si>
  <si>
    <t>Прогнозни отчети</t>
  </si>
  <si>
    <t>Указания за попълване на справката:</t>
  </si>
  <si>
    <t>Собствена земя</t>
  </si>
  <si>
    <t>Други транспортни средства</t>
  </si>
  <si>
    <t>Земя публична собственост</t>
  </si>
  <si>
    <t xml:space="preserve">ОБЩО отчетна стойност: </t>
  </si>
  <si>
    <t xml:space="preserve">ОБЩО годишна амортизация: </t>
  </si>
  <si>
    <t xml:space="preserve">ОБЩО натрупана амортизация: </t>
  </si>
  <si>
    <t xml:space="preserve">ОБЩО балансова стойност: </t>
  </si>
  <si>
    <t>Тежкотоварни</t>
  </si>
  <si>
    <t xml:space="preserve">Стопански инвентар </t>
  </si>
  <si>
    <t>1. Попълват се само клетките в жълт цвят.</t>
  </si>
  <si>
    <t>4.1.</t>
  </si>
  <si>
    <t>4.2.</t>
  </si>
  <si>
    <t>5.1.</t>
  </si>
  <si>
    <t>5.2.</t>
  </si>
  <si>
    <t xml:space="preserve">Общо количество вода на входа на системата A3/Q4 </t>
  </si>
  <si>
    <t xml:space="preserve">Обща законна консумация iA14/Q5 </t>
  </si>
  <si>
    <t xml:space="preserve">Продадена фактурирана вода Q3 </t>
  </si>
  <si>
    <t>2.1.1</t>
  </si>
  <si>
    <t>битови потребители</t>
  </si>
  <si>
    <t>обществени и търговски потребители</t>
  </si>
  <si>
    <t>стопански потребители</t>
  </si>
  <si>
    <t>2.1.2</t>
  </si>
  <si>
    <t>Нефактурирана измерена консумация на вода Q3A.1</t>
  </si>
  <si>
    <t>Нефактурирана неизмерена консумация на вода Q3A.2</t>
  </si>
  <si>
    <t xml:space="preserve">Търговски загуби на вода Q8 </t>
  </si>
  <si>
    <t>3.1.1</t>
  </si>
  <si>
    <t>Незаконно ползване Q8.1</t>
  </si>
  <si>
    <t>3.1.2</t>
  </si>
  <si>
    <t>Неточност при измерване Q8.2</t>
  </si>
  <si>
    <t xml:space="preserve">Реални загуби на вода Q7 </t>
  </si>
  <si>
    <t>3.2.1</t>
  </si>
  <si>
    <t>Течове във водопроводите за сурова вода и загуби при пречистването Q7.1</t>
  </si>
  <si>
    <t>3.2.2</t>
  </si>
  <si>
    <t>Течове в системата за пренос и разпределение Q7.2</t>
  </si>
  <si>
    <t>3.2.3</t>
  </si>
  <si>
    <t>Течове и препълване на резервоарите за съхранение Q7.3</t>
  </si>
  <si>
    <t>3.2.4</t>
  </si>
  <si>
    <t>Течове в сградните отклонения Q7.4</t>
  </si>
  <si>
    <t xml:space="preserve">Неносеща приходи вода (неотчетена вода) Q9 </t>
  </si>
  <si>
    <t>тон с.в.</t>
  </si>
  <si>
    <t>Произведени утайки от ПСОВ през годината</t>
  </si>
  <si>
    <t>Депонирани утайки, в т.ч.:</t>
  </si>
  <si>
    <t>Остатък утайки към края на периода, в.т.ч.:</t>
  </si>
  <si>
    <t>6</t>
  </si>
  <si>
    <t>лв/тон с.в.</t>
  </si>
  <si>
    <t>2.15</t>
  </si>
  <si>
    <t>Справка № 8 - Ремонтна програма</t>
  </si>
  <si>
    <t>Справка № 9 - Инвестиционна програма</t>
  </si>
  <si>
    <t>Справка № 10 - Инвестиции и източници на финансиране</t>
  </si>
  <si>
    <t>Справка № 11 - Амортизационен план на Дълготрайни Активи</t>
  </si>
  <si>
    <t>Изразходвана ел.енергия за нерегулирана дейност</t>
  </si>
  <si>
    <t>Справка № 13
Анализ на социалната поносимост на предлаганите цени</t>
  </si>
  <si>
    <t>Битови и приравнените към тях потребители</t>
  </si>
  <si>
    <t>Справка № 12 - Годишни разходи</t>
  </si>
  <si>
    <t>Справка № 13 - Анализ на социалната поносимост на предлаганите цени</t>
  </si>
  <si>
    <t>Справка № 14  - Прогнозен отчет за приходите и разходите</t>
  </si>
  <si>
    <t>Справка № 15  - Прогнозен отчет за паричния поток</t>
  </si>
  <si>
    <t>Справка № 16  - Необходими приходи</t>
  </si>
  <si>
    <t>Справка № 17  - Регулаторна база на активите</t>
  </si>
  <si>
    <t>Справка № 18  - Оборотен капитал</t>
  </si>
  <si>
    <t>Оползотворени утайки, произведени в предходната година</t>
  </si>
  <si>
    <t>Оползотворени утайки, произведени през текущата година</t>
  </si>
  <si>
    <t>Депонирани утайки, произведени в предходната година</t>
  </si>
  <si>
    <t>3.3</t>
  </si>
  <si>
    <t>Депонирани утайки, произведени през текущата година</t>
  </si>
  <si>
    <t>Разходи за оползотворяване и депониране на утайки, в т.ч.:</t>
  </si>
  <si>
    <t>Разход за оползотворяване и депониране на тон с.в. утайка</t>
  </si>
  <si>
    <t>Собствени разходи за оползотворяване на утайките</t>
  </si>
  <si>
    <t>Разходи за външни услуги за оползотворяване на утайките</t>
  </si>
  <si>
    <t>Инвестиции в Собствени активи:</t>
  </si>
  <si>
    <t>Инвестиции в Публични активи:</t>
  </si>
  <si>
    <t>% инвестиции, които се заприхождават като активи:</t>
  </si>
  <si>
    <t>Право на ползване на публични активи</t>
  </si>
  <si>
    <t>Общо ополозтворени утайки съгласно методите, описани в Национален план за управление на утайките от градските пречиствателни станции за отпадъчни води, в т.ч.:</t>
  </si>
  <si>
    <t>проверка на  измервателни уреди</t>
  </si>
  <si>
    <t>външни услуги за оползотворяване на утайки</t>
  </si>
  <si>
    <t xml:space="preserve">социални осигуровки </t>
  </si>
  <si>
    <t>7.7.1</t>
  </si>
  <si>
    <t>7.7.2</t>
  </si>
  <si>
    <t>7.7.3</t>
  </si>
  <si>
    <t>7.7.4</t>
  </si>
  <si>
    <t>ОБЩО РАЗХОДИ за оперативен ремонт:</t>
  </si>
  <si>
    <t>разходи за ваучери за храна и други соц. надбавки и помощи за оперативен ремонт</t>
  </si>
  <si>
    <t>социални осигуровки  за оперативен ремонт</t>
  </si>
  <si>
    <t>разходи за трудови възнаграждения за оперативен ремонт</t>
  </si>
  <si>
    <t>външни услуги за оперативен ремонт</t>
  </si>
  <si>
    <t>материали за оперативен ремонт</t>
  </si>
  <si>
    <t>период на амортизация в годината на заприхождаване:</t>
  </si>
  <si>
    <t>Публични Дълготрайни Активи, изградени със собствени средства</t>
  </si>
  <si>
    <t>Публични Дълготрайни Активи, предоставени на ВиК оператора за експлоатация и поддръжка</t>
  </si>
  <si>
    <t>% Отвеждане:</t>
  </si>
  <si>
    <t>ИНВЕСТИЦИИ Водоснабдяване, Отвеждане и Пречистване:</t>
  </si>
  <si>
    <t>Признатите годишни прогнозни разходи за амортизации на активите, използвани за дейността</t>
  </si>
  <si>
    <t>Право на ползване на публични ДА</t>
  </si>
  <si>
    <t>Натрупана амортизация на Право на ползване на публични ДА</t>
  </si>
  <si>
    <t>Справка № 7 - Оползотворяване на утaйки от ПСОВ</t>
  </si>
  <si>
    <t>Измерване на вход  ВС</t>
  </si>
  <si>
    <t xml:space="preserve">Зониране  на водопроводната мрежа-контролно измерване </t>
  </si>
  <si>
    <t>подмяна на съществуващи и монтаж на нови водомери, шахти и водомерни възли на водомерни зони</t>
  </si>
  <si>
    <t>Рехабилитация  и разширение на главни  канализационни колектори и клонове</t>
  </si>
  <si>
    <t>Строителна и специализирана механизация за канализация</t>
  </si>
  <si>
    <t>подмяна на съществуващи и монтаж на нови приходни водомери на СВО, шахти и водомерни възли</t>
  </si>
  <si>
    <t>оборудване за дистанционно отчитане на приходни водомери</t>
  </si>
  <si>
    <t>ГИС</t>
  </si>
  <si>
    <t xml:space="preserve">Резервоари </t>
  </si>
  <si>
    <t>Хлораторни станциии</t>
  </si>
  <si>
    <t>Общи за регулирана дейност</t>
  </si>
  <si>
    <t>СКАДА за отвеждане на отпадъчни води</t>
  </si>
  <si>
    <t>СКАДА за водоснабдяване</t>
  </si>
  <si>
    <t>реконструкции и изграждане на главни канализационни колектори и клонове</t>
  </si>
  <si>
    <t>покупка на нови и капиталов ремонт на съществуващи, за извършване на СМР по водопроводната мрежа</t>
  </si>
  <si>
    <t>СКАДА за пречистване на отпадъчни води</t>
  </si>
  <si>
    <t xml:space="preserve">Автомобили </t>
  </si>
  <si>
    <t xml:space="preserve">Лекотоварни автомобили </t>
  </si>
  <si>
    <t>покупка на нова система и надграждане и разширяване на съществуваща</t>
  </si>
  <si>
    <t xml:space="preserve">разходи за персонал и външни услуги за  изграждане, надграждане и разширение на ГИС </t>
  </si>
  <si>
    <t>Автомобили  за канализация</t>
  </si>
  <si>
    <t>Автомобили  за  ПСОВ</t>
  </si>
  <si>
    <t>Автомобили за водоснабдяване</t>
  </si>
  <si>
    <t>Натурални показатели</t>
  </si>
  <si>
    <t>бр.</t>
  </si>
  <si>
    <t>м</t>
  </si>
  <si>
    <t>м.</t>
  </si>
  <si>
    <t>Права върху интелектуална собственост 
(ГИС, Хидравлични модели, др.)</t>
  </si>
  <si>
    <t>Проверка/
засичане на данни</t>
  </si>
  <si>
    <t>1.11.</t>
  </si>
  <si>
    <t>2.7.</t>
  </si>
  <si>
    <t>3.6.</t>
  </si>
  <si>
    <t>2.16</t>
  </si>
  <si>
    <t>лабораторни проби</t>
  </si>
  <si>
    <t>Собствени ДА и публични ДА, изградени със собствени средства</t>
  </si>
  <si>
    <t>Натрупана амортизация на собствени ДА и на публични ДА, изградени със собствени средства</t>
  </si>
  <si>
    <t xml:space="preserve">Подадена нефактурирана вода A13(Q3A) </t>
  </si>
  <si>
    <t xml:space="preserve">Общи загуби на вода A15(Q6) </t>
  </si>
  <si>
    <t>Дата на изготвяне на справките:</t>
  </si>
  <si>
    <t>.............................................</t>
  </si>
  <si>
    <t xml:space="preserve">Управител/Изп.директор: </t>
  </si>
  <si>
    <t xml:space="preserve">Гл. счетоводител/Фин.директор: </t>
  </si>
  <si>
    <t>Гл. техник/Техн. директор:</t>
  </si>
  <si>
    <t>НОРМА НА ВЪЗВРЪЩАЕМОСТ</t>
  </si>
  <si>
    <t>Арматури (спирателни кранове, хидранти, редуцир винтили, въздушници, др.)</t>
  </si>
  <si>
    <t>911102</t>
  </si>
  <si>
    <t>911202</t>
  </si>
  <si>
    <t>91140201</t>
  </si>
  <si>
    <t>91140202</t>
  </si>
  <si>
    <t>91140203</t>
  </si>
  <si>
    <t>91140204</t>
  </si>
  <si>
    <t>91140205</t>
  </si>
  <si>
    <t>91140206</t>
  </si>
  <si>
    <t>91140207</t>
  </si>
  <si>
    <t>91140208</t>
  </si>
  <si>
    <t>91130502</t>
  </si>
  <si>
    <t>9115</t>
  </si>
  <si>
    <t>подмяна на съществуващи и монтаж на нови редуцир вeнтили</t>
  </si>
  <si>
    <t>подмяна на съществуващи и монтаж на нови водомери, водомерни шахти и възли на водоизточници</t>
  </si>
  <si>
    <t>Друго специализирано оборудване за ПСОВ</t>
  </si>
  <si>
    <t>Друго специализирано оборудване за канализация</t>
  </si>
  <si>
    <t>Друго специализирано оборудване за водоснабдяване</t>
  </si>
  <si>
    <t>Оборудване за СКАДА</t>
  </si>
  <si>
    <t>911304</t>
  </si>
  <si>
    <t>91130501</t>
  </si>
  <si>
    <t>91130503</t>
  </si>
  <si>
    <t>911403</t>
  </si>
  <si>
    <t>6.2.2</t>
  </si>
  <si>
    <t>6.2.3</t>
  </si>
  <si>
    <t>2. Постъпленията се посочват със знак "+" , а плащанията - със знак "-".</t>
  </si>
  <si>
    <t>Разходи за социални осигуровки, хил.лв.</t>
  </si>
  <si>
    <t>2021 г.</t>
  </si>
  <si>
    <t>Ремонт на довеждащи водопроводи</t>
  </si>
  <si>
    <t>Собствени разходи за депониране на утайките</t>
  </si>
  <si>
    <t>Разходи за външни услуги за депониране на утайките</t>
  </si>
  <si>
    <t>разлика</t>
  </si>
  <si>
    <t>2. В случай, че Неносеща приходи вода Q9 не е равна на сбора на компонентите си, на ред "разлика" ще се калкулират стойности различни от нула - което ще покаже необходимост от ревизия на данните в справката</t>
  </si>
  <si>
    <t>2.8.</t>
  </si>
  <si>
    <t>3.7.</t>
  </si>
  <si>
    <t>1.12.</t>
  </si>
  <si>
    <t>1.13.</t>
  </si>
  <si>
    <t>1.14.</t>
  </si>
  <si>
    <t>2.9.</t>
  </si>
  <si>
    <t>3.8.</t>
  </si>
  <si>
    <t>външни услуги за депониране на утайки</t>
  </si>
  <si>
    <t>2.17</t>
  </si>
  <si>
    <t>разходи за амортизации на публични активи, изградени със собствени средства</t>
  </si>
  <si>
    <t xml:space="preserve">разходи за амортизации на публични активи, приети за експлоатация и поддръжка </t>
  </si>
  <si>
    <t>Язовири</t>
  </si>
  <si>
    <t>Водоеми и водохващания</t>
  </si>
  <si>
    <t>2.5 % от средно месечния доход на лице от домакинството</t>
  </si>
  <si>
    <t>Водоеми  и речни водохващания</t>
  </si>
  <si>
    <t>iDMAm</t>
  </si>
  <si>
    <t>iDMAt</t>
  </si>
  <si>
    <t>ПК4а</t>
  </si>
  <si>
    <t>ПК4б</t>
  </si>
  <si>
    <t>Ед. мярка</t>
  </si>
  <si>
    <t>бр/1 000 СВО</t>
  </si>
  <si>
    <t>бр/1 000 СКО</t>
  </si>
  <si>
    <t>бр/100км/год</t>
  </si>
  <si>
    <t>бр/10 000 потреб</t>
  </si>
  <si>
    <t xml:space="preserve">Ниво на покритие с водоснабдителни услуги </t>
  </si>
  <si>
    <t xml:space="preserve">Качество на питейната вода в големи зони на водоснабдяване </t>
  </si>
  <si>
    <t xml:space="preserve">Качество на питейната вода в малки зони на водоснабдяване </t>
  </si>
  <si>
    <t xml:space="preserve">Мониторинг на качеството на питейната вода </t>
  </si>
  <si>
    <t xml:space="preserve">Непрекъснатост на водоснабдяването </t>
  </si>
  <si>
    <t xml:space="preserve">Общи загуби на вода във водоснабдителните системи </t>
  </si>
  <si>
    <t xml:space="preserve">Аварии по водопроводната мрежа </t>
  </si>
  <si>
    <t xml:space="preserve">Налягане във водоснабдителната система </t>
  </si>
  <si>
    <t xml:space="preserve">Ниво на покритие с услуги по отвеждане на отпадъчни води </t>
  </si>
  <si>
    <t>Ниво на покритие с услуги по пречистване на отпадъчни води</t>
  </si>
  <si>
    <t xml:space="preserve">Качество на отпадъчните води  </t>
  </si>
  <si>
    <t xml:space="preserve">Аварии на канализационната мрежа </t>
  </si>
  <si>
    <t xml:space="preserve">Наводнения в имоти на трети лица, причинени от канализацията </t>
  </si>
  <si>
    <t xml:space="preserve">Енергийна ефективност за дейността по пречистване на отпадъчни води </t>
  </si>
  <si>
    <t>Оползотворяване на утайките от ПСОВ</t>
  </si>
  <si>
    <t xml:space="preserve">Рехабилитация на водопроводната мрежа </t>
  </si>
  <si>
    <t xml:space="preserve">Събираемост </t>
  </si>
  <si>
    <t xml:space="preserve">Срок за отговор на писмени жалби на потребителите  </t>
  </si>
  <si>
    <t xml:space="preserve">Присъединяване към водоснабдителната система </t>
  </si>
  <si>
    <t>Присъединяване към канализационната система</t>
  </si>
  <si>
    <t xml:space="preserve">Ефективност на персонала за услугата доставяне на вода на потребителите </t>
  </si>
  <si>
    <t xml:space="preserve">Ефективност на персонала за услугите отвеждане и пречистване </t>
  </si>
  <si>
    <t>ПК</t>
  </si>
  <si>
    <t>ПК11д</t>
  </si>
  <si>
    <t>Активен контрол на течовете</t>
  </si>
  <si>
    <t>ПК12д</t>
  </si>
  <si>
    <t>ПК12е</t>
  </si>
  <si>
    <t xml:space="preserve">Ефективност на привеждане на водомерите в годност </t>
  </si>
  <si>
    <t xml:space="preserve">Ефективност на изграждане на водомерното стопанство </t>
  </si>
  <si>
    <t>Дългосрочно ниво</t>
  </si>
  <si>
    <r>
      <t>м</t>
    </r>
    <r>
      <rPr>
        <vertAlign val="superscript"/>
        <sz val="10"/>
        <rFont val="Times New Roman"/>
        <family val="1"/>
      </rPr>
      <t>3</t>
    </r>
    <r>
      <rPr>
        <sz val="10"/>
        <rFont val="Times New Roman"/>
        <family val="1"/>
      </rPr>
      <t xml:space="preserve">/год </t>
    </r>
  </si>
  <si>
    <t>iA10</t>
  </si>
  <si>
    <t>iA21</t>
  </si>
  <si>
    <t>брой</t>
  </si>
  <si>
    <t xml:space="preserve">Общ брой на направените анализи за качество на питейните води в големи зони на водоснабдяване за отчетната година,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</si>
  <si>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големи зони на водоснабдяване;</t>
  </si>
  <si>
    <t>Общ брой анализи по микробиологични показатели за качество на питейната вода, отговарящи на нормативните изисквания, в големи зони на водоснабдяване;</t>
  </si>
  <si>
    <t>Общ брой анализи по физико-химични показатели за качество на питейната вода, отговарящи на нормативните изисквания, в големи зони на водоснабдяване;</t>
  </si>
  <si>
    <t>Общ брой анализи по радиоактивни показатели за качество на питейната вода, отговарящи на нормативните изисквания, в големи зони на водоснабдяване.</t>
  </si>
  <si>
    <t xml:space="preserve">Общ брой на направените анализи за качество на питейните води в големи зони на водоснабдяване, с изключение на анализите, които показват отклонения, разрешени по реда на наредбата по чл. 135, т. 3 от Закона за водите. </t>
  </si>
  <si>
    <t>Общ брой анализи за показатели с индикаторно значение за качеството на питейната вода в големи зони на водоснабдяване;</t>
  </si>
  <si>
    <t>Общ брой анализи по микробиологични показатели за качество на питейната вода в големи зони на водоснабдяване;</t>
  </si>
  <si>
    <t>Общ брой анализи по физико-химични показатели за качество на питейната вода в големи зони на водоснабдяване;</t>
  </si>
  <si>
    <t>Общ брой анализи по радиоактивни показатели за качество на питейната вода в големи зони на водоснабдяване.</t>
  </si>
  <si>
    <t xml:space="preserve">Общ брой на направените анализи за качество на питейните води в малки зони на водоснабдяване,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</si>
  <si>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малки зони на водоснабдяване;</t>
  </si>
  <si>
    <t>Общ брой анализи по микробиологични показатели за качество на питейната вода, отговарящи на нормативните изисквания в малки зони на водоснабдяване;</t>
  </si>
  <si>
    <t>Общ брой анализи по физико-химични показатели за качество на питейната вода, отговарящи на нормативните изисквания в малки зони на водоснабдяване;</t>
  </si>
  <si>
    <t>Общ брой анализи по радиоактивни показатели за качество на питейната вода, отговарящи на нормативните изисквания в малки зони на водоснабдяване.</t>
  </si>
  <si>
    <t xml:space="preserve">Общ брой на направените анализи за качество на питейните води в малки зони на водоснабдяване, с изключение на анализите, които показват отклонения, разрешени по реда на наредбата по чл. 135, ал. 1, т. 3 от Закона за водите. </t>
  </si>
  <si>
    <t>Общ брой анализи за показатели с индикаторно значение за качеството на питейната вода в малки зони на водоснабдяване;</t>
  </si>
  <si>
    <t>Общ брой анализи по микробиологични показатели за качество на питейната вода в малки зони на водоснабдяване;</t>
  </si>
  <si>
    <t>Общ брой анализи по физико-химични показатели за качество на питейната вода в малки зони на водоснабдяване;</t>
  </si>
  <si>
    <t>Общ брой анализи по радиоактивни показатели за качество на питейната вода в малки зони на водоснабдяване.</t>
  </si>
  <si>
    <t>Общ брой на зоните на водоснабдяване с изпълнен мониторинг</t>
  </si>
  <si>
    <t>Общ брой на зоните на водоснабдяване в обслужваната от ВиК оператора територия.</t>
  </si>
  <si>
    <t xml:space="preserve">Сумата от общия брой на населението засегнато от прекъсвания на водоснабдяването в обслужваната от оператора територия и продължителността на съответстващите прекъсвания (в часове в разглеждания период). </t>
  </si>
  <si>
    <t>брой/часове</t>
  </si>
  <si>
    <t>Подадена вода на вход водоснабдителна система (Q4, съгласно Наредба № 1 от 5.05.2006 г. за утвърждаване на Методика за определяне на допустимите загуби на вода във водоснабдителните системи</t>
  </si>
  <si>
    <t>Неносеща приходи вода (Q9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</si>
  <si>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Продадена фактурирана вода (Q3,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</si>
  <si>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км</t>
  </si>
  <si>
    <t xml:space="preserve">Общ брой аварии по водопроводната мрежа, включително по арматури и фитинги </t>
  </si>
  <si>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</si>
  <si>
    <t xml:space="preserve">Общ брой на водомерни зони в обслужваната от ВиК оператора територия. </t>
  </si>
  <si>
    <t xml:space="preserve">Общ брой потребители, обслужвани от оператора, които ползват услуга доставяне на вода на потребителите  </t>
  </si>
  <si>
    <t xml:space="preserve">Общ брой проби за качество на отпадъчните води, изискуеми съгласно разрешителните за заустване  </t>
  </si>
  <si>
    <t xml:space="preserve">Брой проби, отговарящи на условията, включени в разрешителните за заустване за разглеждания период  </t>
  </si>
  <si>
    <t xml:space="preserve">Брой запушвания на канализационната мрежа, различни от тези в сградните канализационни отклонения за разглеждания период  </t>
  </si>
  <si>
    <t xml:space="preserve">Брой аварии на канализационната мрежа поради структурно разрушаване на канала за разглеждания период  </t>
  </si>
  <si>
    <t xml:space="preserve">Брой запушвания  в сградните канализационни отклонения за разглеждания период  </t>
  </si>
  <si>
    <t xml:space="preserve">км </t>
  </si>
  <si>
    <t xml:space="preserve">Обща дължина на канализационната мрежа, експлоатирана от ВиК оператора </t>
  </si>
  <si>
    <t xml:space="preserve">Общо количество на изразходваната електрическа енергия, за добив, пречистване и доставка на вода от ВиК оператора  </t>
  </si>
  <si>
    <t xml:space="preserve">Общо количество на сухото тегло на утайките от експлоатираните от В и К оператора ПСОВ, произведени през годината, предхождаща отчетната година, и оползотворени до края на отчетната година </t>
  </si>
  <si>
    <t xml:space="preserve">Общо количество на постъпила за пречистване вода на вход ПСОВ, експлоатирани от ВиК оператора </t>
  </si>
  <si>
    <t xml:space="preserve">Обща дължина на рехабилитираната водопроводна мрежа  </t>
  </si>
  <si>
    <t>лв</t>
  </si>
  <si>
    <t xml:space="preserve">Обща сума на приходите от оперативна дейност от услуга доставяне на вода на потребителите  </t>
  </si>
  <si>
    <t xml:space="preserve">Обща сума на отчетените разходи за услуга доставяне на вода на потребителите съгласно ЕСРО </t>
  </si>
  <si>
    <t xml:space="preserve">Обща сума на приходите от оперативна дейност от услугата отвеждане на отпадъчни води  </t>
  </si>
  <si>
    <t xml:space="preserve">Обща сума на отчетените разходи за услугата отвеждане на отпадъчни води съгласно ЕСРО  </t>
  </si>
  <si>
    <t xml:space="preserve">Обща сума на приходите от оперативна дейност от услугата пречистване на отпадъчни води  </t>
  </si>
  <si>
    <t xml:space="preserve">Обща сума на отчетените разходи за услуга пречистване на отпадъчни води съгласно ЕСРО  </t>
  </si>
  <si>
    <t>Общо количество на сухото тегло на утайките от ПСОВ, експлоатирани от ВиК оператора, произведени през годината, предхождаща отчетната година (тон сухо вещество).</t>
  </si>
  <si>
    <t xml:space="preserve">Качество на информацията   </t>
  </si>
  <si>
    <t>D9</t>
  </si>
  <si>
    <t xml:space="preserve">лв с вкл. ДДС </t>
  </si>
  <si>
    <t>iD45</t>
  </si>
  <si>
    <t xml:space="preserve">Обща сума на приходите от продажби на водоснабдителни и канализационни услуги за годината  </t>
  </si>
  <si>
    <t xml:space="preserve">Обща сума на вземанията от потребители и доставчици към края на годината  </t>
  </si>
  <si>
    <t xml:space="preserve">Обща сума на вземанията от потребители и доставчици за предходната година </t>
  </si>
  <si>
    <t>iE6</t>
  </si>
  <si>
    <t>Общ брой водомери на СВО (средства за измерване).</t>
  </si>
  <si>
    <t>iD44</t>
  </si>
  <si>
    <t>Общ брой водомери на СВО (средства за измерване), които са в техническа и метрологична годност и отговарят на одобрения тип</t>
  </si>
  <si>
    <t>Общ брой водомери на СВО (средства за измерване), които са приведени в техническа и метрологична годност през отчетната година и отговарят на одобрения тип, и които са монтирани на СВО през отчетната година</t>
  </si>
  <si>
    <t>Група</t>
  </si>
  <si>
    <t>Население</t>
  </si>
  <si>
    <t xml:space="preserve">Общ брой потребители, обслужвани от оператора, които ползват услуга отвеждане на отпадъчни води </t>
  </si>
  <si>
    <t xml:space="preserve">Общ брой потребители, обслужвани от оператора, които ползват услуга пречистване на отпадъчни води </t>
  </si>
  <si>
    <t>Потребители</t>
  </si>
  <si>
    <t>Качество на питейната вода - големи зони на водоснабдяване</t>
  </si>
  <si>
    <t>Качество на питейната вода - малки зони на водоснабдяване</t>
  </si>
  <si>
    <t>Общ брой населени места в обособената територия, обслужвана от оператора за разглеждания период, в които се предоставя услугата доставяне на вода</t>
  </si>
  <si>
    <t>Общ брой населени места в обособената територия, обслужвана от оператора за разглеждания период, в които се предоставя услугата отвеждане на отпадъчни води</t>
  </si>
  <si>
    <t>Общ брой населени места в обособената територия, обслужвана от оператора за разглеждания период, в които се предоставя услугата пречистване на отпадъчни води</t>
  </si>
  <si>
    <t>Общ брой населени места в обособената територия, обслужвана от оператора за разглеждания период</t>
  </si>
  <si>
    <t>Населени места</t>
  </si>
  <si>
    <t>ВиК активи</t>
  </si>
  <si>
    <t>Общ брой пречиствателни станции за питейни води (ПСПВ)</t>
  </si>
  <si>
    <t>Общ брой резервоари (водоеми)</t>
  </si>
  <si>
    <t>Общ брой водоснабдителни помпени станции (ВПС)</t>
  </si>
  <si>
    <t>Общ брой канализационни помпени станции (КПС)</t>
  </si>
  <si>
    <t>Общ брой пречиствателни станции за отпадъчни води (ПСОВ)</t>
  </si>
  <si>
    <t>Прекъсвания и аварии</t>
  </si>
  <si>
    <t>Качество на отпадъчни води</t>
  </si>
  <si>
    <t>Обща дължина на водопроводната мрежа, за която е реализиран процес на регулярно обследване и активен контрол на течовете (включително микрофони, корелатори, акустични логери и други), при който се откриват и отстраняват скрити течове</t>
  </si>
  <si>
    <t>Рехабилитирана и проучена водопроводна мрежа</t>
  </si>
  <si>
    <t>Електро енергия</t>
  </si>
  <si>
    <t>Водни количества</t>
  </si>
  <si>
    <t>Утайки от ПСОВ</t>
  </si>
  <si>
    <t>Приходи, разходи и събираемост</t>
  </si>
  <si>
    <t>Оплаквания и жалби</t>
  </si>
  <si>
    <t>Отговори на оплаквания и жалби</t>
  </si>
  <si>
    <t>Присъединяване към ВиК мрежи</t>
  </si>
  <si>
    <t>Персонал</t>
  </si>
  <si>
    <t xml:space="preserve">Общ брой на персонала на еквивалентна пълна заетост за услуга доставяне на вода на потребителите </t>
  </si>
  <si>
    <t xml:space="preserve">Общ брой на персонала на еквивалентна пълна заетост за услугите отвеждане и пречистване на отпадъчни води </t>
  </si>
  <si>
    <t xml:space="preserve">Общ брой на окончателните договори за присъединяване към канализационната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</si>
  <si>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водоснабдителната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</si>
  <si>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на окончателните договори за присъединяване към водоснабдителната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</si>
  <si>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канализационната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</si>
  <si>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</si>
  <si>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други оплаквания за услугата отвеждане и пречистване на отпадъчни води </t>
  </si>
  <si>
    <t xml:space="preserve">Общ брой оплаквания за замърсявания, мирис и гризачи </t>
  </si>
  <si>
    <t xml:space="preserve">Общ брой оплаквания за наводнявания на имоти </t>
  </si>
  <si>
    <t xml:space="preserve">Общ брой оплаквания за  запушвания на канализационната мрежа </t>
  </si>
  <si>
    <t xml:space="preserve">Общ брой оплаквания на потребители за разглеждания период за услугите отвеждане и пречистване на отпадъчни води </t>
  </si>
  <si>
    <t xml:space="preserve">Общ брой други оплаквания за услугата доставяне на вода на потребителите </t>
  </si>
  <si>
    <t xml:space="preserve">Общ брой оплаквания за нарушено водоснабдяване </t>
  </si>
  <si>
    <t xml:space="preserve">Общ брой оплаквания на потребители за разглеждания период за услуга доставяне на вода на потребителите </t>
  </si>
  <si>
    <t xml:space="preserve">Общ брой оплаквания от потребители свързани с налягане във водоснабдителната система за разглеждания период </t>
  </si>
  <si>
    <t xml:space="preserve">Общ брой на отговори на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</si>
  <si>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отговори на оплаквания на потребители за услугите отвеждане и пречистване на отпадъчни води  </t>
  </si>
  <si>
    <t xml:space="preserve">Общ брой отговори на оплаквания на потребители за услуга доставяне на вода на потребителите </t>
  </si>
  <si>
    <t>Общ брой отговори на оплаквания на потребители в срок от 14 дни.</t>
  </si>
  <si>
    <t xml:space="preserve">Общ брой на сградните канализационни отклонения </t>
  </si>
  <si>
    <t>Общ брой на сградните водопроводни отклонения</t>
  </si>
  <si>
    <t>Мониторинг на качеството на питейната вода</t>
  </si>
  <si>
    <t>Общ брой водомери на водоизточници</t>
  </si>
  <si>
    <t>Общ брой контролни водомери по мрежата (различни от водомери на водоизточници)</t>
  </si>
  <si>
    <t>Общ брой разходомери на ПСОВ</t>
  </si>
  <si>
    <t>Общ брой разходомери по канализационна мрежа</t>
  </si>
  <si>
    <t xml:space="preserve">Измерване  </t>
  </si>
  <si>
    <t>Добита сурова вода от повърхностни водоизточници</t>
  </si>
  <si>
    <t>Добита сурова вода от  подземни  водоизточници</t>
  </si>
  <si>
    <t>Подадена сурова вода от друг ВиК оператор/доставчик</t>
  </si>
  <si>
    <t>Подадена пречистена вода от друг ВиК оператор / доставчик</t>
  </si>
  <si>
    <r>
      <t xml:space="preserve">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 </t>
    </r>
    <r>
      <rPr>
        <b/>
        <sz val="10"/>
        <rFont val="Times New Roman"/>
        <family val="1"/>
        <charset val="204"/>
      </rPr>
      <t>както и дължината на водопроводите, по които се довежда вода до друг оператор, само в случаите когато се използват единствено за тази цел.</t>
    </r>
  </si>
  <si>
    <t>Разход, хил.лв.</t>
  </si>
  <si>
    <t>Приход, хил.лв.</t>
  </si>
  <si>
    <t>Брой</t>
  </si>
  <si>
    <t>Профилактика (почистване, продухване, други)</t>
  </si>
  <si>
    <t>Шурфове (изкопни дейности);пътни настилки</t>
  </si>
  <si>
    <t>Шурфове (изкопни дейности) разпределение от спомаг.д-ст</t>
  </si>
  <si>
    <t>2.10.</t>
  </si>
  <si>
    <t>Шурфове (изкопни дейности)разпределение от спомаг.д-ст и у-ние</t>
  </si>
  <si>
    <t>3.9.</t>
  </si>
  <si>
    <r>
      <t>хил.м</t>
    </r>
    <r>
      <rPr>
        <vertAlign val="superscript"/>
        <sz val="9"/>
        <rFont val="Times New Roman"/>
        <family val="1"/>
      </rPr>
      <t>3</t>
    </r>
    <r>
      <rPr>
        <sz val="9"/>
        <rFont val="Times New Roman"/>
        <family val="1"/>
      </rPr>
      <t xml:space="preserve">/год </t>
    </r>
  </si>
  <si>
    <t>Коеф.</t>
  </si>
  <si>
    <t>Стойност на параметъра</t>
  </si>
  <si>
    <t>Норма на възвращаемост на собствения капитал, утвърдена от комисията</t>
  </si>
  <si>
    <t>Дължина на водопроводната мрежа (км)</t>
  </si>
  <si>
    <t>Дължина на канализационната мрежа (км)</t>
  </si>
  <si>
    <t>Количества вода на вход ВС (Q4) (хил.м3)</t>
  </si>
  <si>
    <t>Фактурирани количества отпадъчни води (хил.лв.)</t>
  </si>
  <si>
    <t>Вода на вход ПСОВ (хил.м3)</t>
  </si>
  <si>
    <t>Разходи за външни услуги (без разходи за доставяне на вода на входа на ВС от друг доставчик), хил.лв.</t>
  </si>
  <si>
    <t>Разходи за възнаграждения и осигуровки, хил.лв.</t>
  </si>
  <si>
    <t>Разходи за оперативен ремонт, хил.лв.</t>
  </si>
  <si>
    <t>Променливи разходи, хил.лв.</t>
  </si>
  <si>
    <r>
      <rPr>
        <b/>
        <sz val="9"/>
        <rFont val="Times New Roman"/>
        <family val="1"/>
        <charset val="204"/>
      </rPr>
      <t>Разходи за външни услуги</t>
    </r>
    <r>
      <rPr>
        <sz val="9"/>
        <rFont val="Times New Roman"/>
        <family val="1"/>
        <charset val="204"/>
      </rPr>
      <t xml:space="preserve"> (без разходи за доставяне на вода на входа на ВС от друг доставчик),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</si>
  <si>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възнаграждения и осигуровки</t>
    </r>
    <r>
      <rPr>
        <sz val="9"/>
        <rFont val="Times New Roman"/>
        <family val="1"/>
        <charset val="204"/>
      </rPr>
      <t xml:space="preserve">,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</si>
  <si>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оперативен ремонт</t>
    </r>
    <r>
      <rPr>
        <sz val="9"/>
        <rFont val="Times New Roman"/>
        <family val="1"/>
        <charset val="204"/>
      </rPr>
      <t>, хил.лв/км за доставяне и отвеждане, хил.лв./хил.м3 вход ПСОВ за пречистване</t>
    </r>
  </si>
  <si>
    <r>
      <rPr>
        <b/>
        <sz val="9"/>
        <rFont val="Times New Roman"/>
        <family val="1"/>
        <charset val="204"/>
      </rPr>
      <t>Променливи разходи</t>
    </r>
    <r>
      <rPr>
        <sz val="9"/>
        <rFont val="Times New Roman"/>
        <family val="1"/>
        <charset val="204"/>
      </rPr>
      <t xml:space="preserve">, </t>
    </r>
    <r>
      <rPr>
        <i/>
        <sz val="9"/>
        <rFont val="Times New Roman"/>
        <family val="1"/>
        <charset val="204"/>
      </rPr>
      <t>хил.лв./хил.м3 вход ВС за доставяне, фактурирани количества за отвеждане, и вход ПСОВ за пречистване</t>
    </r>
  </si>
  <si>
    <t>Разлика планирани инвестиции спрямо източници на финансиране</t>
  </si>
  <si>
    <t>в т.ч. в публични активи</t>
  </si>
  <si>
    <t>в т.ч. в собствени активи</t>
  </si>
  <si>
    <t>Инвестиции в собствени активи</t>
  </si>
  <si>
    <t>Инвестиции в публични активи</t>
  </si>
  <si>
    <t>Разлика на разходи за амортизации на собствени активи към инвестиции в собствени активи</t>
  </si>
  <si>
    <t>Разходи за амортизации на собствени активи</t>
  </si>
  <si>
    <t>Разходи за амортизации на публични активи, изградени със собствени средства</t>
  </si>
  <si>
    <t>Разлика на разходи за амортизации на публични активи, изградени със собствени средства към инвестиции в публични активи и разходи за главници по инвестиционни заеми</t>
  </si>
  <si>
    <t xml:space="preserve">Разходи за амортизации на публични активи, приети за експлоатация и поддръжка </t>
  </si>
  <si>
    <t>Дял на разходите за амортизации на публични активи, приети за експлоатация и поддръжка, включени в цените</t>
  </si>
  <si>
    <t>Собствени активи</t>
  </si>
  <si>
    <t>в т.ч. със собствени средства</t>
  </si>
  <si>
    <t>в т.ч. с привлечени средства</t>
  </si>
  <si>
    <t>Публични активи</t>
  </si>
  <si>
    <t>Разходи за главници на съществуващи дългосрочни заеми за изграждане на ДА (инвестиционни заеми)</t>
  </si>
  <si>
    <t>2.1.1.</t>
  </si>
  <si>
    <t>2.2.2.</t>
  </si>
  <si>
    <t>2.2.1.</t>
  </si>
  <si>
    <t>6.1.</t>
  </si>
  <si>
    <t>6.2.</t>
  </si>
  <si>
    <t>7.1.</t>
  </si>
  <si>
    <t>7.2.</t>
  </si>
  <si>
    <t>7.3.</t>
  </si>
  <si>
    <t>9.1.</t>
  </si>
  <si>
    <t>9.2.</t>
  </si>
  <si>
    <t>9.3.</t>
  </si>
  <si>
    <t>9.4.</t>
  </si>
  <si>
    <t>9.5.</t>
  </si>
  <si>
    <t>9.6.</t>
  </si>
  <si>
    <t>9.7.</t>
  </si>
  <si>
    <t>10.1.</t>
  </si>
  <si>
    <t>10.2.</t>
  </si>
  <si>
    <t>10.3.</t>
  </si>
  <si>
    <t>10.4.</t>
  </si>
  <si>
    <t>10.5.</t>
  </si>
  <si>
    <t>10.6.</t>
  </si>
  <si>
    <t>10.7.</t>
  </si>
  <si>
    <t>11.1.</t>
  </si>
  <si>
    <t>11.2.</t>
  </si>
  <si>
    <t>11.3.</t>
  </si>
  <si>
    <t>11.4.</t>
  </si>
  <si>
    <t>11.5.</t>
  </si>
  <si>
    <t>11.6.</t>
  </si>
  <si>
    <t>11.7.</t>
  </si>
  <si>
    <t>Разлика планирано финансиране на инвестиционната програма със заемни средства, и планирани заеми</t>
  </si>
  <si>
    <t>2.За  коефициент на степени на замърсеност се попълва:</t>
  </si>
  <si>
    <t>Информационни системи - собствени активи</t>
  </si>
  <si>
    <t>Информационни системи - публични активи</t>
  </si>
  <si>
    <t>Източник на информация (регистър/база данни/друго) - описание</t>
  </si>
  <si>
    <t>Дял на водните количества на вход ВС без измерване (по разрешителни)</t>
  </si>
  <si>
    <t>Общо дял на водните количества</t>
  </si>
  <si>
    <r>
      <t>Дял на водните количества на вход ВС,</t>
    </r>
    <r>
      <rPr>
        <b/>
        <sz val="10"/>
        <rFont val="Times New Roman"/>
        <family val="1"/>
        <charset val="204"/>
      </rPr>
      <t xml:space="preserve"> измервани при водоизточника</t>
    </r>
    <r>
      <rPr>
        <sz val="10"/>
        <rFont val="Times New Roman"/>
        <family val="1"/>
        <charset val="204"/>
      </rPr>
      <t xml:space="preserve">  (чл.194а ал.1 от Закона за водите)</t>
    </r>
  </si>
  <si>
    <r>
      <t>Дял на водните количества на вход ВС,</t>
    </r>
    <r>
      <rPr>
        <b/>
        <sz val="10"/>
        <rFont val="Times New Roman"/>
        <family val="1"/>
        <charset val="204"/>
      </rPr>
      <t xml:space="preserve"> измервани на хранителната тръба на напорния резервоар или на довеждащия водопровод</t>
    </r>
    <r>
      <rPr>
        <sz val="10"/>
        <rFont val="Times New Roman"/>
        <family val="1"/>
        <charset val="204"/>
      </rPr>
      <t>, при техническа невъзможност за монтаж на измервателно устройство при водоизточника (чл.194а, ал.4 от Закона за водите)</t>
    </r>
  </si>
  <si>
    <t>Помпи (вкл.хидрофори)</t>
  </si>
  <si>
    <t xml:space="preserve">Общо количество на изразходваната електрическа енергия за пречистване на отпадъчна вода от ПСОВ експлоатирани от ВиК оператора  </t>
  </si>
  <si>
    <t xml:space="preserve">Общ брой оплаквания на потребители от ВиК услуги за разглеждания период. </t>
  </si>
  <si>
    <t>Общ брой оплаквания за качеството на питейната вода</t>
  </si>
  <si>
    <t>Продадена сурова вода на друг ВиК оператор</t>
  </si>
  <si>
    <t xml:space="preserve">Продадена пречистена вода на друг ВиК оператор </t>
  </si>
  <si>
    <t>степен на замърсеност 1</t>
  </si>
  <si>
    <t>степен на замърсеност 2</t>
  </si>
  <si>
    <t>степен на замърсеност 3</t>
  </si>
  <si>
    <t>Общо утайки за оползотворяване и депониране</t>
  </si>
  <si>
    <t xml:space="preserve">Измервателни уреди </t>
  </si>
  <si>
    <t>3.4</t>
  </si>
  <si>
    <t>Броят на водомерни зони, имащи постоянно измерване на дебит и налягане на вход/изход зона, с интервал на запис на данни от 15 минути и архивиране на данните в електронни бази данни, за период от минимум 1 година, и измервания в критична точка при необходимост</t>
  </si>
  <si>
    <t>Справка № 6 - Отчет и прогнозно ниво на потребление на електроенергия за периода на бизнес плана</t>
  </si>
  <si>
    <t>Справка № 19  - Възвръщаемост на капитала</t>
  </si>
  <si>
    <t>Общ брой водоизточници (основни и резервни)</t>
  </si>
  <si>
    <t>Дял на разходите за социални осигуровки от разходите за възнаграждения, %</t>
  </si>
  <si>
    <t>Дял на социалните разходи от разходите за възнаграждения, %</t>
  </si>
  <si>
    <t>Инвестиционна програма</t>
  </si>
  <si>
    <t xml:space="preserve">Справка № 11.2.
 Новопридобити активи през отчетната година </t>
  </si>
  <si>
    <t>Необходими  приходи</t>
  </si>
  <si>
    <t xml:space="preserve"> Оборотен капитал</t>
  </si>
  <si>
    <t>Възвръщаемост на капитала</t>
  </si>
  <si>
    <t>Справка № 4 -  Отчет и прогнозно ниво на потребление на ВиК услугите за периода на бизнес плана</t>
  </si>
  <si>
    <t>Мобилни телефони</t>
  </si>
  <si>
    <t>Трафопост (трансформатор)</t>
  </si>
  <si>
    <t>Непризнати разходи</t>
  </si>
  <si>
    <t>Постъпления от нерегулирана дейност</t>
  </si>
  <si>
    <t>Приходи от нерегулирана дейност</t>
  </si>
  <si>
    <t>Постъпления от  ВиК услуги</t>
  </si>
  <si>
    <t>Постъпления от начислени лихви за предоставени ВиК услуги</t>
  </si>
  <si>
    <t>Приходи от ВиК услуги</t>
  </si>
  <si>
    <t>Приходи от начислени лихви за предоставени ВиК услуги</t>
  </si>
  <si>
    <t>покупка на ново и капиталов ремонт на съществуващо за извършване на СМР по канализационната мрежа</t>
  </si>
  <si>
    <t>покупка на нова и капиталов ремонт на съществуваща (каналочистачни машини, др.)</t>
  </si>
  <si>
    <t xml:space="preserve">сгради,съоръжения </t>
  </si>
  <si>
    <t>сгради, съоръжения</t>
  </si>
  <si>
    <t>ОБЩО</t>
  </si>
  <si>
    <t>Доставяне на вода с непитейни качества</t>
  </si>
  <si>
    <t>подмяна на съществуващи и монтаж на нови СК и ПХ  (в случаите, когато подмяната им не е част от реконструкция на ВиК мрежата)</t>
  </si>
  <si>
    <t>Помпи, вкл. хидрофорни уредби</t>
  </si>
  <si>
    <t>Друго специализирано оборудване</t>
  </si>
  <si>
    <t>съотношение</t>
  </si>
  <si>
    <t>Данни за договори на свободен пазар</t>
  </si>
  <si>
    <t>Процент влажност на произведените утайки</t>
  </si>
  <si>
    <t>Процент влажност на оползотворените утайки</t>
  </si>
  <si>
    <t>Процент влажност на депонираните утайки</t>
  </si>
  <si>
    <t>Загуби при доставяне сурова вода на друг ВиК оператор</t>
  </si>
  <si>
    <t>Загуби при доставяне пречистена вода на друг ВиК оператор</t>
  </si>
  <si>
    <t>Прооверка балансова стойност</t>
  </si>
  <si>
    <r>
      <t>м</t>
    </r>
    <r>
      <rPr>
        <vertAlign val="superscript"/>
        <sz val="8"/>
        <rFont val="Times New Roman"/>
        <family val="1"/>
        <charset val="204"/>
      </rPr>
      <t>3</t>
    </r>
    <r>
      <rPr>
        <sz val="8"/>
        <rFont val="Times New Roman"/>
        <family val="1"/>
      </rPr>
      <t>/км/ден</t>
    </r>
  </si>
  <si>
    <r>
      <t>кВч/м</t>
    </r>
    <r>
      <rPr>
        <vertAlign val="superscript"/>
        <sz val="8"/>
        <rFont val="Times New Roman"/>
        <family val="1"/>
        <charset val="204"/>
      </rPr>
      <t>3</t>
    </r>
  </si>
  <si>
    <r>
      <t>м</t>
    </r>
    <r>
      <rPr>
        <vertAlign val="superscript"/>
        <sz val="10"/>
        <rFont val="Times New Roman"/>
        <family val="1"/>
        <charset val="204"/>
      </rPr>
      <t>3</t>
    </r>
    <r>
      <rPr>
        <sz val="10"/>
        <rFont val="Times New Roman"/>
        <family val="1"/>
      </rPr>
      <t>/км/ден</t>
    </r>
  </si>
  <si>
    <r>
      <t>м</t>
    </r>
    <r>
      <rPr>
        <vertAlign val="superscript"/>
        <sz val="10"/>
        <rFont val="Times New Roman"/>
        <family val="1"/>
        <charset val="204"/>
      </rPr>
      <t>3</t>
    </r>
  </si>
  <si>
    <t>Год. аморт. норма</t>
  </si>
  <si>
    <t>Счето-водна сметка</t>
  </si>
  <si>
    <t>Очакван ефект във връзка с
 нивата на услугите</t>
  </si>
  <si>
    <t>Проектна готовност в т.ч. 
предварително проучване</t>
  </si>
  <si>
    <t>Разходи за амортизации на публични активи от Група 3 включени в цените на ВиК услуги за финансиране на инвестиции в публични активи и изплащане на главници на инвестиционни заеми</t>
  </si>
  <si>
    <t>Приложение №2</t>
  </si>
  <si>
    <t xml:space="preserve">Лице за контакт с КЕВР: </t>
  </si>
  <si>
    <t>Други съоръжения- собствени активи</t>
  </si>
  <si>
    <t>20403-</t>
  </si>
  <si>
    <t xml:space="preserve">Други съоръжения - публични активи, изградени със собствени средства  </t>
  </si>
  <si>
    <t>Отчетна стойност - НОВИ АКТИВИ</t>
  </si>
  <si>
    <t>Отчетна стойност - АКТИВИ С ИЗТИЧАЩ ЖИВОТ</t>
  </si>
  <si>
    <t>I.-II.</t>
  </si>
  <si>
    <t>2. Справка №12 се попълва за всички ВС</t>
  </si>
  <si>
    <t>1.Попълват се само клетките в жълт цвят</t>
  </si>
  <si>
    <t>Недостиг на собствени средства спрямо предвидените инвестиции в публични ДА</t>
  </si>
  <si>
    <t>5. Справка №11.2 се попълва за всички ВС</t>
  </si>
  <si>
    <t>Плащания ДДС</t>
  </si>
  <si>
    <t>Постъпления от ДДС</t>
  </si>
  <si>
    <t>2022 г.</t>
  </si>
  <si>
    <t>2023 г.</t>
  </si>
  <si>
    <t>2024 г.</t>
  </si>
  <si>
    <t>2025 г.</t>
  </si>
  <si>
    <t>2026 г.</t>
  </si>
  <si>
    <t>Разходи по икономически елементи за оперативен ремонт за услуга доставяне на вода на потребителите</t>
  </si>
  <si>
    <t>за механизация (горива за оперативен ремонт)</t>
  </si>
  <si>
    <t>2.7.1.</t>
  </si>
  <si>
    <t>отстраняване запушвания на канализационната мрежа, различни от тези в сградните канализационни отклонения</t>
  </si>
  <si>
    <t>2.7.2.</t>
  </si>
  <si>
    <t>отстраняване запушвания в СКО</t>
  </si>
  <si>
    <t>Профилактика (почистване, продухване, други), в т.ч.:</t>
  </si>
  <si>
    <t>Общо ремонти за услуга отвеждане на отпадъчните води</t>
  </si>
  <si>
    <t>Разходи по икономически елементи за оперативен ремонт за услуга отвеждане на отпадъчните води</t>
  </si>
  <si>
    <t>Общо ремонти за услуга пречистване на отпадъчните води</t>
  </si>
  <si>
    <t>Разходи по икономически елементи за оперативен ремонт за услуга пречистване на отпадъчните води</t>
  </si>
  <si>
    <t>4.3.</t>
  </si>
  <si>
    <t>4.4.</t>
  </si>
  <si>
    <t>4.5.</t>
  </si>
  <si>
    <t>4.6.</t>
  </si>
  <si>
    <t>4.7.</t>
  </si>
  <si>
    <t>4.8.</t>
  </si>
  <si>
    <t>4.9.</t>
  </si>
  <si>
    <t>4.10.</t>
  </si>
  <si>
    <t>4.11.</t>
  </si>
  <si>
    <t>4.12.</t>
  </si>
  <si>
    <t>4.13.</t>
  </si>
  <si>
    <t>4.14.</t>
  </si>
  <si>
    <t>Общо ремонти за услуга доставяне на вода с непитейни качества</t>
  </si>
  <si>
    <t>Разходи по икономически елементи за оперативен ремонт за услуга доставяне на вода с непитейни качества</t>
  </si>
  <si>
    <t>Доставяне на вода на друг ВиК оператор</t>
  </si>
  <si>
    <t>5.3.</t>
  </si>
  <si>
    <t>5.4.</t>
  </si>
  <si>
    <t>5.5.</t>
  </si>
  <si>
    <t>5.6.</t>
  </si>
  <si>
    <t>5.7.</t>
  </si>
  <si>
    <t>5.8.</t>
  </si>
  <si>
    <t>5.9.</t>
  </si>
  <si>
    <t>5.10.</t>
  </si>
  <si>
    <t>5.11.</t>
  </si>
  <si>
    <t>5.12.</t>
  </si>
  <si>
    <t>5.13.</t>
  </si>
  <si>
    <t>Общо ремонти за услуга доставяне на вода на друг ВиК оператор</t>
  </si>
  <si>
    <t>Разходи по икономически елементи за оперативен ремонт за услуга доставяне на вода на друг ВиК оператор</t>
  </si>
  <si>
    <t>6.3.</t>
  </si>
  <si>
    <t>ВС Доставяне на вода с непитейни качества</t>
  </si>
  <si>
    <t>Общ брой потребители, обслужвани от оператора, които ползват услуга доставяне на вода с непитейни качества</t>
  </si>
  <si>
    <t>ВиК Активи и измерване</t>
  </si>
  <si>
    <r>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r>
    <r>
      <rPr>
        <b/>
        <sz val="10"/>
        <rFont val="Times New Roman"/>
        <family val="1"/>
        <charset val="204"/>
      </rPr>
      <t xml:space="preserve"> както и дължината на водопроводите, по които се довежда вода до друг оператор, само в случаите когато се използват единствено за тази цел.</t>
    </r>
  </si>
  <si>
    <t>Аварии</t>
  </si>
  <si>
    <t>Приходи и разходи</t>
  </si>
  <si>
    <t>ВС Основна</t>
  </si>
  <si>
    <t xml:space="preserve">
</t>
  </si>
  <si>
    <r>
      <t>м</t>
    </r>
    <r>
      <rPr>
        <vertAlign val="superscript"/>
        <sz val="10"/>
        <rFont val="Times New Roman"/>
        <family val="1"/>
      </rPr>
      <t>3</t>
    </r>
    <r>
      <rPr>
        <sz val="10"/>
        <rFont val="Times New Roman"/>
        <family val="1"/>
      </rPr>
      <t>/км/ден</t>
    </r>
  </si>
  <si>
    <t>ІV.</t>
  </si>
  <si>
    <t>V.</t>
  </si>
  <si>
    <t>7</t>
  </si>
  <si>
    <t>Общо утайки за оползотворяване и депониране - реално тегло</t>
  </si>
  <si>
    <t>тон</t>
  </si>
  <si>
    <t>8</t>
  </si>
  <si>
    <t>Общо ополозтворени и депонирани утайки - реално тегло</t>
  </si>
  <si>
    <t>8.1.</t>
  </si>
  <si>
    <t>Оползотворени утайки</t>
  </si>
  <si>
    <t>8.2.</t>
  </si>
  <si>
    <t>Депонирани утайки</t>
  </si>
  <si>
    <t>9</t>
  </si>
  <si>
    <t>лв./тон</t>
  </si>
  <si>
    <t>Налични утайки в началото на годината, които са произведени преди 2020</t>
  </si>
  <si>
    <t>Налични утайки в началото на годината, които са произведени преди 2020 г.</t>
  </si>
  <si>
    <t>Оползотворени утайки, произведени преди 2020 г.</t>
  </si>
  <si>
    <t>Депонирани утайки, произведени преди 2020 г.</t>
  </si>
  <si>
    <t>Компонента</t>
  </si>
  <si>
    <t>Забележка / Описание</t>
  </si>
  <si>
    <t>Включително демографски прогнози на НСИ</t>
  </si>
  <si>
    <t xml:space="preserve">Променлива Е10: Общ брой потребители, обслужвани от оператора, които ползват услуга доставяне на вода на потребителите  </t>
  </si>
  <si>
    <t>Брой битови потребители на услугата доставяне на вода</t>
  </si>
  <si>
    <t>Брой обществени и търговски  потребители на услугата доставяне на вода</t>
  </si>
  <si>
    <t>Брой стопански  потребители на услугата доставяне на вода</t>
  </si>
  <si>
    <t>Фактурирана вода на битови потребители</t>
  </si>
  <si>
    <t>Ефект от намаление на търговски загуби</t>
  </si>
  <si>
    <t>Фактурирана вода на обществени и търговски потребители</t>
  </si>
  <si>
    <t>Фактурирана вода на стопански потребители</t>
  </si>
  <si>
    <t>Общо фактурирана вода на потребителите</t>
  </si>
  <si>
    <t>ОТВЕЖДАНЕ НА ОТПАДЪЧНИ ВОДИ</t>
  </si>
  <si>
    <t>Брой битови потребители на услугата отвеждане</t>
  </si>
  <si>
    <t>Брой обществени и търговски  потребители на услугата отвеждане</t>
  </si>
  <si>
    <t>Брой стопански  потребители на услугата отвеждане</t>
  </si>
  <si>
    <t>Общо фактурирани отведени отпадъчни води на потребителите</t>
  </si>
  <si>
    <t>ПРЕЧИСТВАНЕ НА ОТПАДЪЧНИ ВОДИ</t>
  </si>
  <si>
    <t>Брой битови потребители на услугата пречистване</t>
  </si>
  <si>
    <t>Брой обществени и търговски  потребители на услугата пречистване</t>
  </si>
  <si>
    <t>Брой стопански  потребители на услугата пречистване</t>
  </si>
  <si>
    <t>Общо фактурирани пречистени отпадъчни води на потребителите</t>
  </si>
  <si>
    <t>ИЗЧИСЛЕНИЯ</t>
  </si>
  <si>
    <t>Продадени водни количества</t>
  </si>
  <si>
    <t>IІ.</t>
  </si>
  <si>
    <t>Закупени водни количества</t>
  </si>
  <si>
    <t>ВиК оператор (наименование на продавача):</t>
  </si>
  <si>
    <t>Закупена сурова вода от друг ВиК оператор</t>
  </si>
  <si>
    <r>
      <t>лв./м</t>
    </r>
    <r>
      <rPr>
        <vertAlign val="superscript"/>
        <sz val="10"/>
        <rFont val="Times New Roman"/>
        <family val="1"/>
        <charset val="204"/>
      </rPr>
      <t>3</t>
    </r>
  </si>
  <si>
    <t>Разходи за закупена сурова вода</t>
  </si>
  <si>
    <t>хил.лв./год.</t>
  </si>
  <si>
    <t xml:space="preserve">Закупена пречистена вода от друг ВиК оператор </t>
  </si>
  <si>
    <r>
      <t>м</t>
    </r>
    <r>
      <rPr>
        <vertAlign val="superscript"/>
        <sz val="10"/>
        <rFont val="Times New Roman"/>
        <family val="1"/>
        <charset val="204"/>
      </rPr>
      <t>3</t>
    </r>
    <r>
      <rPr>
        <sz val="10"/>
        <rFont val="Times New Roman"/>
        <family val="1"/>
      </rPr>
      <t xml:space="preserve">/год </t>
    </r>
  </si>
  <si>
    <t>Разходи за закупена пречистена вода</t>
  </si>
  <si>
    <t>Закупена сурова вода на друг ВиК оператор</t>
  </si>
  <si>
    <t xml:space="preserve">Закупена пречистена вода на друг ВиК оператор </t>
  </si>
  <si>
    <t>ефект на изменение (%)</t>
  </si>
  <si>
    <t>2018 г.</t>
  </si>
  <si>
    <t>2019 г.</t>
  </si>
  <si>
    <t>Справка № 4.1.</t>
  </si>
  <si>
    <t>Проверка/равнение ефект търговски загуби със Справка № 4</t>
  </si>
  <si>
    <t>Съотношение на населението, ползващо услугата отвеждане на отпадъчни води спрямо населението, ползващо услугата доставяне вода на потребителите</t>
  </si>
  <si>
    <t>Съотношение на населението, ползващо услугата пречистване на отпадъчни води спрямо населението, ползващо услугата доставяне вода на потребителите</t>
  </si>
  <si>
    <t>Съотношение на брой потребители, ползващи услугата отвеждане на отпадъчни води спрямо брой потребители, ползващи услугата доставяне вода на потребителите</t>
  </si>
  <si>
    <t>Съотношение на брой потребители, ползващи услугата пречистване на отпадъчни води спрямо брой потребители, ползващи услугата доставяне вода на потребителите</t>
  </si>
  <si>
    <t>Фактурирани количества</t>
  </si>
  <si>
    <t>Съотношение на фактурирани количества отведени отпадъчни води спрямо фактурираните количества вода доставена на потребителите</t>
  </si>
  <si>
    <t>Съотношение на фактурирани количества пречистени отпадъчни води спрямо фактурираните количества вода доставена на потребителите</t>
  </si>
  <si>
    <t>Обща информация</t>
  </si>
  <si>
    <t>Услуги предоставяни от В и К оператора</t>
  </si>
  <si>
    <t>Доставяне на вода</t>
  </si>
  <si>
    <t>Отвеждане</t>
  </si>
  <si>
    <t>2.1.3</t>
  </si>
  <si>
    <t>Пречистване</t>
  </si>
  <si>
    <t>2.1.4</t>
  </si>
  <si>
    <t>2.1.5</t>
  </si>
  <si>
    <t>Доставяне на вода на друг ВиК оператор, в т.ч.:</t>
  </si>
  <si>
    <t>2.1.5.1</t>
  </si>
  <si>
    <t>2.1.5.2</t>
  </si>
  <si>
    <t>2.1.5.3</t>
  </si>
  <si>
    <t>Налични сертификати</t>
  </si>
  <si>
    <t>ISO 9000:2008 Управление на качеството</t>
  </si>
  <si>
    <t>ISO 14001:2004 Управление на околната среда на организациите</t>
  </si>
  <si>
    <t>OHSAS 18001:2007 Управление на здравословните и безопасни условия на труд</t>
  </si>
  <si>
    <t>Справка № 1 - Обща информация</t>
  </si>
  <si>
    <t>Справка № 4.2. - Отчет и прогноза за продадени и/или закупени водни количества на/от други ВиК оператори</t>
  </si>
  <si>
    <t>Остатък утайки, които са произведени преди 2020 г.</t>
  </si>
  <si>
    <t>Остатък утайки, произведени през периода 2020-2026  г.</t>
  </si>
  <si>
    <t>Произведени утайки през годината</t>
  </si>
  <si>
    <t>Налични утайки в началото на годината, които са произведени през периода 2020-2026 г.</t>
  </si>
  <si>
    <t>Доставяне на вода nа друг ВиК оператор</t>
  </si>
  <si>
    <t>2026 спр. 2021</t>
  </si>
  <si>
    <t xml:space="preserve">Ръководители </t>
  </si>
  <si>
    <t xml:space="preserve">Специалисти </t>
  </si>
  <si>
    <t xml:space="preserve">Техници и приложни специалисти </t>
  </si>
  <si>
    <t xml:space="preserve"> Помощен административен персонал </t>
  </si>
  <si>
    <t xml:space="preserve"> Персонал, зает с услуги за населението, търговията и охраната </t>
  </si>
  <si>
    <t xml:space="preserve">Квалифицирани работници в селското, горското, ловното и рибното стопанство </t>
  </si>
  <si>
    <t xml:space="preserve">Квалифицирани работници и сродни на тях занаятчии </t>
  </si>
  <si>
    <t xml:space="preserve">Машинни оператори и монтажници </t>
  </si>
  <si>
    <t xml:space="preserve">Професии, неизискващи специална квалификация 
</t>
  </si>
  <si>
    <t>2.1.2.</t>
  </si>
  <si>
    <t>2.1.3.</t>
  </si>
  <si>
    <t>2.1.4.</t>
  </si>
  <si>
    <t>2.1.5.</t>
  </si>
  <si>
    <t>2.1.6.</t>
  </si>
  <si>
    <t>2.1.7.</t>
  </si>
  <si>
    <t>2.1.8.</t>
  </si>
  <si>
    <t>2.1.9.</t>
  </si>
  <si>
    <t>Обслужване на клиентите</t>
  </si>
  <si>
    <t>Транспотрт, администрация и ИТ</t>
  </si>
  <si>
    <t>ВС Доствяне на вода с непитейни качества</t>
  </si>
  <si>
    <t xml:space="preserve">Тежкотоварни автомобили </t>
  </si>
  <si>
    <t xml:space="preserve"> Доставяне на вода с непитейни качества</t>
  </si>
  <si>
    <t>Доставяне на вода за друг ВиК оператор</t>
  </si>
  <si>
    <t xml:space="preserve">  - за механизация (горива за оперативен ремонт)</t>
  </si>
  <si>
    <t>абонаментно обслужване</t>
  </si>
  <si>
    <t xml:space="preserve"> -за транспортни средства</t>
  </si>
  <si>
    <t>1.3.3</t>
  </si>
  <si>
    <t>2.9.1</t>
  </si>
  <si>
    <t>2.9.2</t>
  </si>
  <si>
    <t>2.9.3</t>
  </si>
  <si>
    <t>2.9.4</t>
  </si>
  <si>
    <t>2.18</t>
  </si>
  <si>
    <t>2.18.1</t>
  </si>
  <si>
    <t>2.18.2</t>
  </si>
  <si>
    <t>2.18.3</t>
  </si>
  <si>
    <t>ОБЩО РАЗХОДИ  без амортизации</t>
  </si>
  <si>
    <t>ОБЩО РАЗХОДИ  без АМ на ПДА, предадени за експлоатация</t>
  </si>
  <si>
    <t>Променливи разходи</t>
  </si>
  <si>
    <t xml:space="preserve"> Разходи по икономически елементи</t>
  </si>
  <si>
    <t>Общо разходи</t>
  </si>
  <si>
    <t>ОБЩО ИНВЕСТИЦИИ за регулирана дейност:</t>
  </si>
  <si>
    <t>Доставяне вода с непитейни качества</t>
  </si>
  <si>
    <t>Доставяне вода на друг ВиК оператор</t>
  </si>
  <si>
    <t>Възвръщаемост за доставяне на вода с непитейни качества</t>
  </si>
  <si>
    <t>Възвръщаемост за доставяне на вода на друг ВиК оператор</t>
  </si>
  <si>
    <t>Прогнозна средна цена</t>
  </si>
  <si>
    <t>9.</t>
  </si>
  <si>
    <t>ОК за дейността "Доставяне на вода с непитейни качества"</t>
  </si>
  <si>
    <t>10.</t>
  </si>
  <si>
    <t>ОК за дейността "Доставяне на вода на друг ВиК оператор"</t>
  </si>
  <si>
    <t>Годишни парични разходи за дейността "Доставяне на вода с непитейни качества"</t>
  </si>
  <si>
    <t>Годишни парични разходи за дейността "Доставяне на вода на друг ВиК оператор"</t>
  </si>
  <si>
    <t>11.</t>
  </si>
  <si>
    <t>12.</t>
  </si>
  <si>
    <t>ПК6</t>
  </si>
  <si>
    <t>Заеми (хил.лв.)</t>
  </si>
  <si>
    <t>Общо за регулирана дейност</t>
  </si>
  <si>
    <t xml:space="preserve">разлика 2026 г. спрямо 2020 г. </t>
  </si>
  <si>
    <t xml:space="preserve">изменение в % 2026 г. спрямо 2020 г. </t>
  </si>
  <si>
    <t xml:space="preserve">разлика спрямо 2020 г. </t>
  </si>
  <si>
    <t xml:space="preserve">изменение в %  спрямо 2020 г. </t>
  </si>
  <si>
    <t>Oбщо за регулирана дейност</t>
  </si>
  <si>
    <t>Oбщо за доставяне на вода</t>
  </si>
  <si>
    <t>в т.ч. Разходи за възнаграждения за оперативен ремонт, хил.лв.</t>
  </si>
  <si>
    <t>в т т.ч. Капитализирани разходи за възнаграждения, хил.лв.</t>
  </si>
  <si>
    <t>в т.ч. Разходи за социални осигуровки за оперативен ремонт, хил.лв.</t>
  </si>
  <si>
    <t>в т.ч. Капитализирани разходи за социални осигуровки, хил.лв.</t>
  </si>
  <si>
    <t>в т.ч.. социални разходи (вкл. ваучери за храна) за оперативен рмеонт, хил.лв.</t>
  </si>
  <si>
    <t>Социални разходи (вкл. ваучери за храна), хил.лв.</t>
  </si>
  <si>
    <t xml:space="preserve">в т.ч. капитализирани социални разходи, хил.лв. </t>
  </si>
  <si>
    <t xml:space="preserve">Брой наети лица </t>
  </si>
  <si>
    <t>6.4.</t>
  </si>
  <si>
    <t>6.5.</t>
  </si>
  <si>
    <t>Брой  лица по трудово правоотношение, наети на непълно работно време</t>
  </si>
  <si>
    <t>5.1.1.</t>
  </si>
  <si>
    <t>5.1.2.</t>
  </si>
  <si>
    <t>5.1.3.</t>
  </si>
  <si>
    <t>5.1.4.</t>
  </si>
  <si>
    <t>5.1.5.</t>
  </si>
  <si>
    <t>5.1.6.</t>
  </si>
  <si>
    <t>5.1.7.</t>
  </si>
  <si>
    <t>5.1.8.</t>
  </si>
  <si>
    <t>5.1.9.</t>
  </si>
  <si>
    <t>ОБЩО за регулирана дейност</t>
  </si>
  <si>
    <t>Отвеждане и пречистване на отпадъчните води</t>
  </si>
  <si>
    <t>4.2.1</t>
  </si>
  <si>
    <t>4.2.2</t>
  </si>
  <si>
    <t>4.2.3</t>
  </si>
  <si>
    <t>4.2.4</t>
  </si>
  <si>
    <t>4.2.5</t>
  </si>
  <si>
    <t>5.5</t>
  </si>
  <si>
    <t>5.6</t>
  </si>
  <si>
    <t>Период на данните:</t>
  </si>
  <si>
    <t>Данни за кореспонденция:</t>
  </si>
  <si>
    <t>Опис на приложенията:</t>
  </si>
  <si>
    <t>1.1.1.</t>
  </si>
  <si>
    <t>1.2.1.</t>
  </si>
  <si>
    <t>IIІ.</t>
  </si>
  <si>
    <t>Отчет и прогноза за продадени и/или закупени водни количества на/от други ВиК оператори</t>
  </si>
  <si>
    <t>Справка № 1</t>
  </si>
  <si>
    <t>Променливи за изчисление на показателите за качество на предоставяните В и К услуги</t>
  </si>
  <si>
    <t>Справка № 2</t>
  </si>
  <si>
    <t xml:space="preserve">Показатели за качество на предоставяните В и К услуги </t>
  </si>
  <si>
    <t>Справка № 3</t>
  </si>
  <si>
    <t>Индивидуална цел за 2026 г.</t>
  </si>
  <si>
    <t>Доставяне вода на друг ВиК оператор - Общо</t>
  </si>
  <si>
    <t xml:space="preserve">Справка № 4 </t>
  </si>
  <si>
    <t>Отчет и прогнозно ниво на потребление на В и К услугите за периода на бизнес плана</t>
  </si>
  <si>
    <t>Отклонение 2026 г. спрямо индивидуалната цел за 2026 г.</t>
  </si>
  <si>
    <t>Име и местоположение</t>
  </si>
  <si>
    <t>Община</t>
  </si>
  <si>
    <t>Техническа информация</t>
  </si>
  <si>
    <t>Месец и година на пускане в експлоатация</t>
  </si>
  <si>
    <t>Технически характеристики</t>
  </si>
  <si>
    <t>Друга информация</t>
  </si>
  <si>
    <t>Информация за обекта: етап на проектиране /изграждане, начин на финансиране, друго</t>
  </si>
  <si>
    <t>Разходи</t>
  </si>
  <si>
    <t>Начин на планиране на бъдещите разходи (проект, експертна оценка, друго)</t>
  </si>
  <si>
    <t>Общо за обекта</t>
  </si>
  <si>
    <t>социални разходи (вкл. ваучери за храна)</t>
  </si>
  <si>
    <t>социални разходи (вкл. ваучери за храна) за оперативен ремонт</t>
  </si>
  <si>
    <t>Демографски прогнози на НСИ</t>
  </si>
  <si>
    <t>Очаквано присъединяване на нови потребители, в т.ч. промяна на обслужваната територия</t>
  </si>
  <si>
    <t>Прогнози за икономическо развитие на региона</t>
  </si>
  <si>
    <t>Прогнози за население и икономическо развитие</t>
  </si>
  <si>
    <t>Енергийна ефективност за дейността по  доставяне на вода на потребителите</t>
  </si>
  <si>
    <t>Ефективно изменение на нивото на ПК</t>
  </si>
  <si>
    <t>1.1.2.</t>
  </si>
  <si>
    <t>Брой  лица по трудово правоотношение, наети на пълно и непълно работно време (без служители по майчинство)</t>
  </si>
  <si>
    <r>
      <t>Брой  лица по трудово правоотношение, наети на пълно</t>
    </r>
    <r>
      <rPr>
        <sz val="9"/>
        <color rgb="FFFF0000"/>
        <rFont val="Times New Roman"/>
        <family val="1"/>
        <charset val="204"/>
      </rPr>
      <t xml:space="preserve"> </t>
    </r>
    <r>
      <rPr>
        <sz val="9"/>
        <rFont val="Times New Roman"/>
        <family val="1"/>
        <charset val="204"/>
      </rPr>
      <t>работно време (без служители по майчинство)</t>
    </r>
  </si>
  <si>
    <t>темп на изменение спрямо предходната година, %</t>
  </si>
  <si>
    <t>изменениe спрямо 2020 г., %</t>
  </si>
  <si>
    <r>
      <t>Среден размер на възнаграждение на единица персонал</t>
    </r>
    <r>
      <rPr>
        <sz val="9"/>
        <color rgb="FFFF0000"/>
        <rFont val="Times New Roman"/>
        <family val="1"/>
        <charset val="204"/>
      </rPr>
      <t xml:space="preserve"> </t>
    </r>
    <r>
      <rPr>
        <sz val="9"/>
        <rFont val="Times New Roman"/>
        <family val="1"/>
        <charset val="204"/>
      </rPr>
      <t>(хил.лв./бр.)</t>
    </r>
  </si>
  <si>
    <t>1.2.2.</t>
  </si>
  <si>
    <t>1.2.3.</t>
  </si>
  <si>
    <t>1.2.4.</t>
  </si>
  <si>
    <t>1.2.5.</t>
  </si>
  <si>
    <t>1.2.6.</t>
  </si>
  <si>
    <t>1.2.7.</t>
  </si>
  <si>
    <t>1.2.8.</t>
  </si>
  <si>
    <t>1.2.9.</t>
  </si>
  <si>
    <t>увеличение</t>
  </si>
  <si>
    <t>намаление</t>
  </si>
  <si>
    <t>3. Източника на информация се посочва спрямо текущото състояние за отчетната 2020 г., и прогнозното състояние за 2026 г. в зависимост от планираното качество на информация</t>
  </si>
  <si>
    <t>отчет</t>
  </si>
  <si>
    <t>разчет</t>
  </si>
  <si>
    <t>Формиране на себестойност на собствени източници 
(преференциални цени, вкл. експлоатационни разходи и разходи за амортизации)</t>
  </si>
  <si>
    <t xml:space="preserve">Проверка/ засичане на данни </t>
  </si>
  <si>
    <t xml:space="preserve">Проверка/равнение фактурирани количества на друг ВиК оператор </t>
  </si>
  <si>
    <t>Проверка/равнение загуби при доставяне на друг ВиК оператор</t>
  </si>
  <si>
    <t>Обща дължина на рехабилитираната водопроводна мрежа  ВС Доставяне на вода с непитейни качества</t>
  </si>
  <si>
    <t>Броят на водомерни зони, имащи постоянно измерване на дебит и налягане на вход/изход зона и измервания в критична точка при необходимост</t>
  </si>
  <si>
    <t>Собствени средства (хил.лв.)</t>
  </si>
  <si>
    <t>Заеми за съфинансиране по ОПОС (хил.лв.)</t>
  </si>
  <si>
    <t>Нарастване на БВП съгласно средносрочна бюджетна прогноза 2021 - 2023 г.</t>
  </si>
  <si>
    <t>такси за заустване</t>
  </si>
  <si>
    <t xml:space="preserve"> - за технологични нужди</t>
  </si>
  <si>
    <t xml:space="preserve"> - за транспортни средства</t>
  </si>
  <si>
    <t xml:space="preserve"> - за механизация (горива за оперативен ремонт)</t>
  </si>
  <si>
    <t>Възвръщаемост за доставяне на вода на потребителите</t>
  </si>
  <si>
    <t>Други оперативни ремонти, общи за услугите - разпределение за доставяне вода на потребителите</t>
  </si>
  <si>
    <t>Други оперативни ремонти, общи за услугите - разпределение за отвеждане на отпадъчните води</t>
  </si>
  <si>
    <t>Други оперативни ремонти, общи за услугите - разпределение за пречистване на отпадъчните води</t>
  </si>
  <si>
    <t>Други оперативни ремонти, общи за услугите - разпределение за доставяне на вода с непитейни качества</t>
  </si>
  <si>
    <t>Други оперативни ремонти, общи за услугите - разпределение за доставяне на вода на друг ВиК оператор</t>
  </si>
  <si>
    <t>Ремонт на помпи за доставяне на вода на потребителите</t>
  </si>
  <si>
    <t>Ремонт на други съоръжения за доставяне на вода на потребителите</t>
  </si>
  <si>
    <t>Ремонт на оборудване, апаратура и машини за доставяне на вода на потребителите</t>
  </si>
  <si>
    <t>Ремонт на сгради за доставяне на вода на потребителите</t>
  </si>
  <si>
    <t>Други оперативни ремонти за доставяне на вода на потребителите</t>
  </si>
  <si>
    <t>Общо ремонти за услуга доставяне на вода на потребителите</t>
  </si>
  <si>
    <t>Ремонт на помпи за отвеждане на отпадъчните води</t>
  </si>
  <si>
    <t>Ремонт на оборудване, апаратура и машини за отвеждане на отпадъчните води</t>
  </si>
  <si>
    <t>Ремонт на сгради за отвеждане на отпадъчните води</t>
  </si>
  <si>
    <t>Ремонт на механизация и транспортни средства за отвеждане на отпадъчните води</t>
  </si>
  <si>
    <t>Други оперативни ремонти за отвеждане на отпадъчните води</t>
  </si>
  <si>
    <t>Ремонт на съоръжения за пречистване на отпадъчните води</t>
  </si>
  <si>
    <t>Ремонт на помпи за пречистване на отпадъчните води</t>
  </si>
  <si>
    <t>Ремонт на оборудване, апаратура и машини за пречистване на отпадъчните води</t>
  </si>
  <si>
    <t>Ремонт на сгради за пречистване на отпадъчните води</t>
  </si>
  <si>
    <t>Други оперативни ремонти за пречистване на отпадъчните води</t>
  </si>
  <si>
    <t>Ремонт на помпи за доставяне на вода с непитейни качества</t>
  </si>
  <si>
    <t>Ремонт на други съоръжения за доставяне на вода с непитейни качества</t>
  </si>
  <si>
    <t>Ремонт на оборудване, апаратура и машини за доставяне на вода с непитейни качества</t>
  </si>
  <si>
    <t>Ремонт на механизация и транспортни средства за доставяне на вода с непитейни качества</t>
  </si>
  <si>
    <t>Други оперативни ремонти за доставяне на вода с непитейни качества</t>
  </si>
  <si>
    <t>Ремонт на помпи за доставяне на вода на друг ВиК оператор</t>
  </si>
  <si>
    <t>Ремонт на други съоръжения за доставяне на вода на друг ВиК оператор</t>
  </si>
  <si>
    <t>Ремонт на оборудване, апаратура и машини за доставяне вода на друг ВиК оператор</t>
  </si>
  <si>
    <t>Ремонт на сгради за доставяне на вода на друг ВиК оператор</t>
  </si>
  <si>
    <t>Ремонт на механизация и транспортни средства за доставяне на вода на друг ВиК оператор</t>
  </si>
  <si>
    <t>Други оперативни ремонти за доставяне на вода на друг ВиК оператор</t>
  </si>
  <si>
    <t xml:space="preserve">2. Справка №7 се попълва само за ВС "Основна".  </t>
  </si>
  <si>
    <t>2. Цифрите в редове "Проверка/засичане на данни" трябва да са нули</t>
  </si>
  <si>
    <t>2. Колона "Прогнозна средна цена" се попълва само в случай, че липсват данни за отчетена средна цена за ел. енергия за 2020 г.</t>
  </si>
  <si>
    <t>Справка № 9</t>
  </si>
  <si>
    <t>Прогнозна средна цена, лв./МВтч</t>
  </si>
  <si>
    <t>Справка № 12</t>
  </si>
  <si>
    <t>Годишни разходи</t>
  </si>
  <si>
    <t>Отчет и прогнозно ниво на потребление на електроенергия за периода на бизнес плана</t>
  </si>
  <si>
    <t>Справка № 6</t>
  </si>
  <si>
    <t>Справка № 4.2.</t>
  </si>
  <si>
    <t xml:space="preserve"> Стойност на проекта             2022-2026
(хил.лв.)</t>
  </si>
  <si>
    <t>9.8.</t>
  </si>
  <si>
    <t>% за собствени активи</t>
  </si>
  <si>
    <t>9.9.</t>
  </si>
  <si>
    <t>% за публични активи</t>
  </si>
  <si>
    <t>10.8.</t>
  </si>
  <si>
    <t>10.9.</t>
  </si>
  <si>
    <t xml:space="preserve"> Нов дългосрочен заем за изграждане на  ДА </t>
  </si>
  <si>
    <t>11.8.</t>
  </si>
  <si>
    <t>11.9.</t>
  </si>
  <si>
    <t xml:space="preserve"> Нов дългосрочен заем за изграждане на  ДА по ОПОС</t>
  </si>
  <si>
    <t>12.1.</t>
  </si>
  <si>
    <t>12.2.</t>
  </si>
  <si>
    <t>12.3.</t>
  </si>
  <si>
    <t>12.6.</t>
  </si>
  <si>
    <t>12.7.</t>
  </si>
  <si>
    <t>12.8.</t>
  </si>
  <si>
    <t>12.9.</t>
  </si>
  <si>
    <t>Група ВиК оператор</t>
  </si>
  <si>
    <t>Малък ВиК оператор</t>
  </si>
  <si>
    <t>Група ВиК оператори</t>
  </si>
  <si>
    <t>Голям ВиК оператор</t>
  </si>
  <si>
    <t>Среден ВиК оператор</t>
  </si>
  <si>
    <t>Микро ВиК оператор</t>
  </si>
  <si>
    <t>Норма на възвръщаемост на привлечения капитал, утвърдена от комисията</t>
  </si>
  <si>
    <t>Групи ВиК оператори</t>
  </si>
  <si>
    <t>НВск</t>
  </si>
  <si>
    <t>НВпк</t>
  </si>
  <si>
    <t>НВ</t>
  </si>
  <si>
    <t>4. Справка № 2 се попълва за ВС "Основна" и за ВС "Доставяне на вода с непитейни качества". Справка № 2 не се попълва за ВС "Вода за друг ВиК оператор"</t>
  </si>
  <si>
    <t>Възвръщаемост за отвеждане на отпадъчни води</t>
  </si>
  <si>
    <t>Възвръщаемост за пречистване на отпадъчни води</t>
  </si>
  <si>
    <t xml:space="preserve"> дни</t>
  </si>
  <si>
    <t>НЦОК</t>
  </si>
  <si>
    <t xml:space="preserve">3. Справка № 6 се попълва за всички водоснабдителни системи - ВС "Основна", ВС "Доставяне на вода с непитейни качества" и ВС "Доставяне на вода на друг ВиК оператор". </t>
  </si>
  <si>
    <t>ДОСТАВЯНЕ ВОДА НА ПОТРЕБИТЕЛИТЕ - ОСНОВНА</t>
  </si>
  <si>
    <t>Справка № 7</t>
  </si>
  <si>
    <t>Ремонтна програма</t>
  </si>
  <si>
    <t>Справка № 8</t>
  </si>
  <si>
    <t>Справка № 11</t>
  </si>
  <si>
    <t>Амортизационен план на Дълготрайни Активи</t>
  </si>
  <si>
    <t>Инвестиции и източници на финансиране</t>
  </si>
  <si>
    <t>Справка № 10</t>
  </si>
  <si>
    <t xml:space="preserve">Съществуващ дългосрочен заем за ДА извадени от баланса на дружеството </t>
  </si>
  <si>
    <t>2. В редове 9 се посочват само инвестиционни заеми, по които са изградени ДА, които са извадени от баланса на ВиК оператора</t>
  </si>
  <si>
    <t>3.Ред 4 обобщава разходите за главници от текущите инвестиционни заеми, както и от бъдещи заеми за изграждане на публични ДА</t>
  </si>
  <si>
    <r>
      <t xml:space="preserve">4. Ред 7.2  се попълва </t>
    </r>
    <r>
      <rPr>
        <b/>
        <i/>
        <sz val="10"/>
        <color rgb="FFFF0000"/>
        <rFont val="Times New Roman"/>
        <family val="1"/>
        <charset val="204"/>
      </rPr>
      <t>ръчно</t>
    </r>
    <r>
      <rPr>
        <i/>
        <sz val="10"/>
        <rFont val="Times New Roman"/>
        <family val="1"/>
        <charset val="204"/>
      </rPr>
      <t xml:space="preserve"> от ВиК оператора, в зависимост от недостига, изчислен в ред 6.2, и размера на разходите в ред 7.1.</t>
    </r>
  </si>
  <si>
    <t>5. Ред 8 изчислява недостига на собствени средства за инвестиции в публични ДА, след използването на разходи за амортизации на активите от група III на амортизационния план.</t>
  </si>
  <si>
    <t>Ремонт на механизация и транспортни средства за доставяне на вода на потребителите</t>
  </si>
  <si>
    <t>Ремонт на механизация и транспортни средства за пречистване на отпадъчните води</t>
  </si>
  <si>
    <t>Ремонт на сгради за доставяне на вода с непитейни качества</t>
  </si>
  <si>
    <t>Справка № 4.1. - Отчет и прогноза за фактурирани количества, население и потребители по услуги</t>
  </si>
  <si>
    <t>Справка № 20  - Цени за регулирани услуги</t>
  </si>
  <si>
    <t>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</si>
  <si>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</si>
  <si>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</si>
  <si>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Променлива F1: 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</si>
  <si>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Променлива wE4: 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</si>
  <si>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Променлива wE2: 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</si>
  <si>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 xml:space="preserve">Общ брой на населението по последно преброяване и демографски прогнози на НСИ в обособената територия, обслужвана от оператора </t>
  </si>
  <si>
    <t>Разходи за възнаграждения по трудови правоотношения, хил.лв.</t>
  </si>
  <si>
    <t>Разходи за възнаграждения и хонорари, в хил.лв.</t>
  </si>
  <si>
    <t>Наети с договор за управление и контрол, граждански договор, допълнителен труд съгласно чл. 111 от КТ</t>
  </si>
  <si>
    <t>12</t>
  </si>
  <si>
    <t>Разходи в Qр</t>
  </si>
  <si>
    <t>Разлика общо изменение - коеф. Qр</t>
  </si>
  <si>
    <t>Разходи за нови обекти и/или дейности, включени в коефициента Qp и ефективност на разходите</t>
  </si>
  <si>
    <t>Средноаритметично
2018-2020 г.</t>
  </si>
  <si>
    <t xml:space="preserve">ефект на изменение </t>
  </si>
  <si>
    <r>
      <t>м</t>
    </r>
    <r>
      <rPr>
        <vertAlign val="superscript"/>
        <sz val="10"/>
        <color indexed="8"/>
        <rFont val="Times New Roman"/>
        <family val="1"/>
        <charset val="204"/>
      </rPr>
      <t>3</t>
    </r>
  </si>
  <si>
    <r>
      <rPr>
        <sz val="10"/>
        <color rgb="FFFF0000"/>
        <rFont val="Times New Roman"/>
        <family val="1"/>
        <charset val="204"/>
      </rPr>
      <t>м</t>
    </r>
    <r>
      <rPr>
        <vertAlign val="superscript"/>
        <sz val="10"/>
        <color rgb="FFFF0000"/>
        <rFont val="Times New Roman"/>
        <family val="1"/>
        <charset val="204"/>
      </rPr>
      <t>3</t>
    </r>
  </si>
  <si>
    <t>ефект на изменение</t>
  </si>
  <si>
    <r>
      <t>м</t>
    </r>
    <r>
      <rPr>
        <vertAlign val="superscript"/>
        <sz val="10"/>
        <color indexed="8"/>
        <rFont val="Times New Roman"/>
        <family val="1"/>
        <charset val="204"/>
      </rPr>
      <t>3</t>
    </r>
    <r>
      <rPr>
        <sz val="10"/>
        <color indexed="8"/>
        <rFont val="Times New Roman"/>
        <family val="1"/>
        <charset val="204"/>
      </rPr>
      <t>/мес.</t>
    </r>
  </si>
  <si>
    <t>л/ж/д</t>
  </si>
  <si>
    <t>контрола</t>
  </si>
  <si>
    <t>3. Справка № 4.1. се попълва само за ВС "Основна"</t>
  </si>
  <si>
    <t xml:space="preserve">1. Попълват се само клетките в жълт цвят съгласно определените с решение на КЕВР индивидуални цели на дружеството за 2026 г. </t>
  </si>
  <si>
    <t xml:space="preserve">2. Справка № 3 е резултативна от данните в Справка № 2 за ВС "Основна" и ВС "Вода с непитейни качества". </t>
  </si>
  <si>
    <t>2. Качеството на информация се посочва с оценка от 1 до 4, съгласно указания НРКВКУ</t>
  </si>
  <si>
    <t>2. В случай на необходмост се добавят редове в раздел Данни за търговското дружество, съдружници/ акционери</t>
  </si>
  <si>
    <t xml:space="preserve">Фактурирано потребление на население </t>
  </si>
  <si>
    <r>
      <t xml:space="preserve">Фактурирано потребление на битови потребители </t>
    </r>
    <r>
      <rPr>
        <b/>
        <sz val="10"/>
        <color indexed="8"/>
        <rFont val="Times New Roman"/>
        <family val="1"/>
        <charset val="204"/>
      </rPr>
      <t/>
    </r>
  </si>
  <si>
    <r>
      <t xml:space="preserve">Фактурирано потребление на обществени и търговски потребители </t>
    </r>
    <r>
      <rPr>
        <b/>
        <sz val="10"/>
        <color indexed="8"/>
        <rFont val="Times New Roman"/>
        <family val="1"/>
        <charset val="204"/>
      </rPr>
      <t/>
    </r>
  </si>
  <si>
    <r>
      <t xml:space="preserve">Фактурирано потребление на стопански потребители </t>
    </r>
    <r>
      <rPr>
        <b/>
        <sz val="10"/>
        <color indexed="8"/>
        <rFont val="Times New Roman"/>
        <family val="1"/>
        <charset val="204"/>
      </rPr>
      <t/>
    </r>
  </si>
  <si>
    <t xml:space="preserve">Ефект от намаление на търговски загуби </t>
  </si>
  <si>
    <t>2. Цифрите в редове "Проверка/равнение ефект търговски загуби със Справка № 4" трябва да са нули</t>
  </si>
  <si>
    <t>3. За ВС "Доставяне на вода на друг ВиК оператор“  се попълват данни за вход, продадена вода и загуби за съответния ВиК оператор. За закупените водни количества от други ВиК оператори/доставчици се представят данни за количества и цени.</t>
  </si>
  <si>
    <t xml:space="preserve">1. Справка №12.1. е резултативна от справка 12. и справка 12.2. и показва ефект за 2022 - 2026 г. от планираните разходи за нови обекти и/или дейности, вкл. в коефициента Qр, и ефективност на разходите  спрямо 2020 г. </t>
  </si>
  <si>
    <t>Обект/ Дейност</t>
  </si>
  <si>
    <t>Обслужвано население, бр.</t>
  </si>
  <si>
    <r>
      <t>Фактурирани количества, м</t>
    </r>
    <r>
      <rPr>
        <vertAlign val="superscript"/>
        <sz val="10"/>
        <color theme="1"/>
        <rFont val="Times New Roman"/>
        <family val="1"/>
        <charset val="204"/>
      </rPr>
      <t>3</t>
    </r>
  </si>
  <si>
    <t>Електроенергия, кВтч</t>
  </si>
  <si>
    <t>Персонал, бр.</t>
  </si>
  <si>
    <t>Разходи за материали, хил. лв.</t>
  </si>
  <si>
    <t>ОБЩО РАЗХОДИ за услугата доставяне на вода, включени в Qр, хил. лв.</t>
  </si>
  <si>
    <t xml:space="preserve"> в т.ч. разходи за коагуланти, хил. лв.</t>
  </si>
  <si>
    <t xml:space="preserve"> в т.ч. разходи за флокуланти, хил. лв.</t>
  </si>
  <si>
    <t xml:space="preserve"> в т.ч. разходи за електроенергия, хил. лв.</t>
  </si>
  <si>
    <t>Разходи за външни услуги, хил. лв.</t>
  </si>
  <si>
    <t>Разходи за възнаграждения, хил. лв.</t>
  </si>
  <si>
    <t>Разходи за осигуровки, хил. лв.</t>
  </si>
  <si>
    <t>Данъци и такси, хил. лв.</t>
  </si>
  <si>
    <t>Други разходи, хил. лв.</t>
  </si>
  <si>
    <t>Технически и икономически параметри</t>
  </si>
  <si>
    <t>2. Справка №13 се попълва само за ВС "Основна"</t>
  </si>
  <si>
    <t xml:space="preserve"> в т.ч. разходи за обеззаразяване, хил. лв.</t>
  </si>
  <si>
    <t>Цени за регулирани услуги</t>
  </si>
  <si>
    <t>Разлика 2022 г. спрямо 2020 г.</t>
  </si>
  <si>
    <t>Разлика 2023 г. спрямо 2022 г.</t>
  </si>
  <si>
    <t>Разлика 2024 г. спрямо 2023 г.</t>
  </si>
  <si>
    <t>Разлика 2025 г. спрямо 2024 г.</t>
  </si>
  <si>
    <t>Разлика 2026 г. спрямо 2025 г.</t>
  </si>
  <si>
    <t>Контрола</t>
  </si>
  <si>
    <t>в т.ч. разходи за административна дейност</t>
  </si>
  <si>
    <t>Общ брой служители на заетост, еквивалент на пълна заетост (ЕПЗ)</t>
  </si>
  <si>
    <t>Среден размер на възнаграждение на единица персонал на заетост ЕПЗ (хил.лв./ЕПЗ)</t>
  </si>
  <si>
    <t>Брой служители, бр.</t>
  </si>
  <si>
    <t>3. В случай, че дружеството предоставя услугата доставяне на вода на друг ВиК оператор, се посочват наименованията на съответните ВиК оператори</t>
  </si>
  <si>
    <t>4. Справка № 4 се попълва за всички водоснабдителни системи - ВС "Основна", ВС "Доставяне на вода с непитейни качества", и ВС "Доставяне на вода на друг ВиК оператор". За ВС "Основна" се попълват всички данни за добити и подадени количества в редове 1.1-1.2. и 1.5-1.8, вкл. за ВС "Вода за друг ВиК оператор" (всички системи, ако са повече от една), редове 1.3. и 1.4. не се попълват (данните са резултативни от Справка № 4.2) . За ВС "Доставяне на вода на друг ВиК оператор" (редове 92 - 111  - данните за вход система, продадени водни количества, и неносеща приходи вода Q9 (в т.ч. компонентите на загубите) са резултативни от Справка № 4.2. За ВС "Вода с непитейни качества" се попълват самостоятелни данни за вход, продадена вода и загуби</t>
  </si>
  <si>
    <t>4. В случай, че дружеството планира за 2026 г. различна цел от определената с решение на КЕВР индивидуална цел по даден показател, в колона "Отклонение 2026 г. спрямо индивидуалната цел за 2026" ще се появи червена маркировка.</t>
  </si>
  <si>
    <t xml:space="preserve">3. В случай, че дружеството планира влошване на нивото по даден показател за дадена година спрямо предходната година в съответната клетка ще се появи червена маркировка. </t>
  </si>
  <si>
    <t>2. В Група 1 "Собствени дълготрайни активи" за отчетната 2020 г. се попълват ДА, които са собственост на ВиК оператора през отчетната година и няма да бъдат извадени от капитала му при реализиране разпоредбите на ЗВ.</t>
  </si>
  <si>
    <t>3. В Група 2 "Публични Дълготрайни Активи, изградени със собствени средства" за отчетната 2020 г.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t>
  </si>
  <si>
    <t>4. В Група 3 "Публични Дълготрайни Активи, предоставени на ВиК оператора за експлоатация и поддръжка" за отчетната 2020 г.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t>
  </si>
  <si>
    <t>Справка № 12.1.</t>
  </si>
  <si>
    <t>Справка № 12.2.</t>
  </si>
  <si>
    <t>Справка № 11.1. - Амортизация на новопридобити активи</t>
  </si>
  <si>
    <t>3. Данните за фактурирани количества за ВС "Основна" и ВС "Доставяне на вода на друг ВиК оператор" са резултативни съответно от Справка № 4.1. и № 4.2. Попълват се данни за фактурирани количества пречистени отпадъчни води единствено за промишлени и други стопански потребители според степени на замърсеност 1, 2, 3.
В случай, че Пречистените фактурирани количества отпадъчни води за промишлени и други стопански потребители в Справка 4.1. не са равни на сумата от Пречистените количества отпадъчни води според степени на замърсеност 1, 2 и 3, на ред "контрола" ще се калкулират стойности различни от нула, което ще покаже необходмост от ревизия на данните в справката</t>
  </si>
  <si>
    <t xml:space="preserve">3. За периода 2021 - 2026 г. се посочва (със знак "+") отчетната стойност на активи, които ще достигнат своя полезен живот през съответната година и не следва да им тече амортизация. </t>
  </si>
  <si>
    <r>
      <t xml:space="preserve">4. В случай, че през периода 2021 - 2026 г. ще бъдат придобити нови публични активи за експлоатация и поддръжка, тяхната отчетна стойност се посочва в </t>
    </r>
    <r>
      <rPr>
        <b/>
        <i/>
        <sz val="10"/>
        <rFont val="Times New Roman"/>
        <family val="1"/>
        <charset val="204"/>
      </rPr>
      <t xml:space="preserve">т.1.1. в категория III </t>
    </r>
    <r>
      <rPr>
        <i/>
        <sz val="10"/>
        <rFont val="Times New Roman"/>
        <family val="1"/>
        <charset val="204"/>
      </rPr>
      <t xml:space="preserve">-Публични дълготрайни активи, предоставени на ВиК оператора за експлоатация и поддръжка. В </t>
    </r>
    <r>
      <rPr>
        <b/>
        <i/>
        <sz val="10"/>
        <rFont val="Times New Roman"/>
        <family val="1"/>
        <charset val="204"/>
      </rPr>
      <t>т.1.2 на категория III</t>
    </r>
    <r>
      <rPr>
        <i/>
        <sz val="10"/>
        <rFont val="Times New Roman"/>
        <family val="1"/>
        <charset val="204"/>
      </rPr>
      <t xml:space="preserve">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2020 г. се посочват през 2021г.). Резултативната величина на двете отчетни стойности ще калкулира разхода за амортизация съответно в посока увеличение или намаление. </t>
    </r>
  </si>
  <si>
    <t>3. В т.6 "Наети с договор за управление и контрол, граждански договор, допълнителен труд съгласно чл. 111 от КТ" се посочват наетите лица по договор за управление и контрол, които не са включени в т.1.2. извън-трудови правоотнощения, допълнителен труд по чл.111 от КТ и работещи собственици, като разходи за възнаграждения се посочват всички плащания, имащи характер на хонорари и др. подобни плащания</t>
  </si>
  <si>
    <t>2. В т. 1.2."Общ брой служители на заетост, еквивалент на пълна заетост (ЕПЗ)" се включват и наетите лица по договор за управление и контрол, на които основното работно място и прослужен трудов стаж е в отчетната единица; както и лица, временно отсъстващи поради болест, неплатен отпуск не по-дълъг от 3 месеца. Не се включват лицата в неплатен отпуск за повече от 3 месеца, акто и лицата в отпуск по майчинство.</t>
  </si>
  <si>
    <t>2. В колона „Собствени средства“, се посочват всички инвестиции, които ще се финансират със собствени средства за периода на бизнес плана, в т. ч. и частта на съфинансиране на инвестиции по Оперативна програма „Околна среда 2014-2020 г.“, ако ще се осигурят със собствени средства.</t>
  </si>
  <si>
    <t xml:space="preserve">3. В колона „Заеми“ се посочват инвестициите планирани от дружеството, които ще се финансират чрез заеми. </t>
  </si>
  <si>
    <t xml:space="preserve">4. В колона „Заеми за съфинансиране по ОПОС“ се посочва частта на съфинансиране на инвестиции по ОПОС, които ще се осигурят със заем. </t>
  </si>
  <si>
    <t>5. ВиК операторите, които не са сключили договор по Закона за водите до 2020 г., респективно няма да бъдат извадени дълготрайни активи към 2020 г., следва да посочат ВиК активите,  които предстои да бъдат извадени от баланса на дружествот, в Група 3 на Амортизационния план.</t>
  </si>
  <si>
    <t>6. Цифрите в редове "Проверка балансова стойност" трябва да са нули, в противен случай да се ревизират отчетна стойност, натрупана амортизация и/или балансова стойност.</t>
  </si>
  <si>
    <t>1. Справката е резултативна.</t>
  </si>
  <si>
    <t xml:space="preserve">2. Справката се изготвя с цел коректното прогнозиране за периода на Бизнес плана  на годишните разходи за амортизация на активите, придобити към края на отчетната година. 
 Затова е небходимо да се преизчисли годишната амортизация на новопридобитите активи през отчетната година.  За тази цел в колоната за отчетната година следва да се посочи отчетната стойност на нововъведените активи през отчетната година и начислената амортизация на тези активи през годината. </t>
  </si>
  <si>
    <t>2. Справка №14 се попълва само за цялото дружество</t>
  </si>
  <si>
    <t>3. Справка №15 се попълва за цялото дружество</t>
  </si>
  <si>
    <t xml:space="preserve"> Амортизация на новопридобити активи</t>
  </si>
  <si>
    <t>Справка № 11.1.</t>
  </si>
  <si>
    <t>Прогнозен отчет за паричния поток</t>
  </si>
  <si>
    <t>Справка № 15</t>
  </si>
  <si>
    <t>Прогнозен отчет за приходите и разходите</t>
  </si>
  <si>
    <t>Справка № 14</t>
  </si>
  <si>
    <t>Справка № 16</t>
  </si>
  <si>
    <t>Справка № 17</t>
  </si>
  <si>
    <t>Справка № 18</t>
  </si>
  <si>
    <t>Справка № 19</t>
  </si>
  <si>
    <t>Справка № 20</t>
  </si>
  <si>
    <t>Битови и приравнените към тях обществени и търговски потребители</t>
  </si>
  <si>
    <t>Услуга</t>
  </si>
  <si>
    <t>3.2.1.</t>
  </si>
  <si>
    <t>3.2.2.</t>
  </si>
  <si>
    <t>3.2.3.</t>
  </si>
  <si>
    <t>Код 
счетоводна сметка 
207</t>
  </si>
  <si>
    <t>% 
годишна амортизация</t>
  </si>
  <si>
    <t>ВС Доствяне на вода на друг ВиК оператор</t>
  </si>
  <si>
    <t>в т.ч. Разпределен общ административен персонал</t>
  </si>
  <si>
    <t>К-т за степен на замърсеност на пречистени отпадъчни води</t>
  </si>
  <si>
    <t>Собствени дългтрайни активи  и                                    Публични дълготрайни активи, изградени със собствени средства</t>
  </si>
  <si>
    <t>Нови ДА</t>
  </si>
  <si>
    <t>ДА с изтичащ полезен живот през периода</t>
  </si>
  <si>
    <t>Разпределение на общ административен персонал на заетост ЕПЗ</t>
  </si>
  <si>
    <t xml:space="preserve">Разходи за експолоатация и поддръжка на нови активи и/или осъществяване на нови дейности, включени в коефициент Qр  </t>
  </si>
  <si>
    <t xml:space="preserve">Справка № 12.2. - Разходи за експолоатация и поддръжка на нови активи и/или осъществяване на нови дейности, включени в коефициент Qр </t>
  </si>
  <si>
    <t>Дълготрайни активи за периода на бизнес плана</t>
  </si>
  <si>
    <t>Справка № 11.2. - Дълготрайни активи за периода на бизнес плана</t>
  </si>
  <si>
    <t>ВиК оператор (наименование на продавача): "ВиК" ….</t>
  </si>
  <si>
    <t>Пряко зает персонал на заетост ЕПЗ</t>
  </si>
  <si>
    <t xml:space="preserve"> Непряко зает персонал на заетост ЕПЗ</t>
  </si>
  <si>
    <t>5. В т. 1.5."в т.ч. Разпределен общ административен персонал" се посочва разпределеният по дейности и услуги общ административен персонал, съгласно т. 15.7. от Указанията за НРКВКУ. В случай, че рзпределението на общия административен персонал не отговаря на изискванията на т. 15.7. от Указанията за НРКВКУ стойностите няма да се равнят с тези в т. 1.6. "Разпределение на общ административен персонал на заетост ЕПЗ" (която се явява контрола).</t>
  </si>
  <si>
    <t>4. Общият административен персонал е персоналът зает с централното управление на дружеството.</t>
  </si>
  <si>
    <t>Преки разходи</t>
  </si>
  <si>
    <t xml:space="preserve"> Непреки разходи</t>
  </si>
  <si>
    <t>Непреки разходи</t>
  </si>
  <si>
    <t>T</t>
  </si>
  <si>
    <t>Параметри на публичните ВиК активи и обслужвани потребители</t>
  </si>
  <si>
    <t>Общ брой населени места, в които се предоставя услугата доставяне на вода</t>
  </si>
  <si>
    <t>Общ брой населени места, в които се предоставя услугата отвеждане на отпадъчни води</t>
  </si>
  <si>
    <t>Общ брой населени места, в които се предоставя услугата пречистване на отпадъчни води</t>
  </si>
  <si>
    <t xml:space="preserve">Общ брой на населението, ползващо услугата доставяне на вода на потребителите </t>
  </si>
  <si>
    <t xml:space="preserve">Брой население, ползващо услугата отвеждане на отпадъчни води </t>
  </si>
  <si>
    <t xml:space="preserve">Брой население, ползващо услугата пречистване на отпадъчни води    </t>
  </si>
  <si>
    <t>Общ брой населени места в обособената територия, обслужвана от ВиК оператора за разглеждания период</t>
  </si>
  <si>
    <t>Общ брой на населението в обособената територия, обслужвана от ВиК оператора</t>
  </si>
  <si>
    <t>Общ брой на водомерни зони в обслужваната от ВиК оператора територия</t>
  </si>
  <si>
    <t>Обща дължина на довеждащите водопроводи и разпределителната водопроводна мрежа</t>
  </si>
  <si>
    <t>Общ брой на сградните водопроводни отклонения (СВО)</t>
  </si>
  <si>
    <t>Общ брой на сградните канализационни отклонения  (СКО)</t>
  </si>
  <si>
    <t>Общ брой водомери на СВО (средства за измерване)</t>
  </si>
  <si>
    <r>
      <t>м</t>
    </r>
    <r>
      <rPr>
        <vertAlign val="superscript"/>
        <sz val="8"/>
        <rFont val="Times New Roman"/>
        <family val="1"/>
        <charset val="204"/>
      </rPr>
      <t>3</t>
    </r>
    <r>
      <rPr>
        <sz val="8"/>
        <rFont val="Times New Roman"/>
        <family val="1"/>
        <charset val="204"/>
      </rPr>
      <t xml:space="preserve">/год </t>
    </r>
  </si>
  <si>
    <r>
      <t>м</t>
    </r>
    <r>
      <rPr>
        <vertAlign val="superscript"/>
        <sz val="8"/>
        <rFont val="Times New Roman"/>
        <family val="1"/>
        <charset val="204"/>
      </rPr>
      <t>3</t>
    </r>
    <r>
      <rPr>
        <sz val="8"/>
        <rFont val="Times New Roman"/>
        <family val="1"/>
        <charset val="204"/>
      </rPr>
      <t>/км/ден</t>
    </r>
  </si>
  <si>
    <t>Ед. 
мярка</t>
  </si>
  <si>
    <t>Общ брой служители на заетост, еквивалентна пълна заетост (ЕПЗ)</t>
  </si>
  <si>
    <t>Среден размер на възнаграждение на единица персонал на ЕПЗ (хил.лв./ЕПЗ)</t>
  </si>
  <si>
    <t>Ед. Мярка</t>
  </si>
  <si>
    <t>ОБЩО за доставяне на вода</t>
  </si>
  <si>
    <t>ОБЩО за отвеждане и пречистване на отпадъчни води</t>
  </si>
  <si>
    <t>бр. ЕПЗ</t>
  </si>
  <si>
    <t>хил.лв. /ЕПЗ</t>
  </si>
  <si>
    <t xml:space="preserve">Брой  лица по трудово правоотношение, наети на пълно и непълно работно време </t>
  </si>
  <si>
    <t>темп на изменение спрямо 2020 г.</t>
  </si>
  <si>
    <t xml:space="preserve"> темп на изменение спрямо 2020 г.</t>
  </si>
  <si>
    <t>темп на изменение спрямо предходната година</t>
  </si>
  <si>
    <t>Дял на социалните разходи от разходите за възнаграждения</t>
  </si>
  <si>
    <t>Дял на разходите за социални осигуровки от разходите за възнаграждения</t>
  </si>
  <si>
    <t xml:space="preserve">Потребена електрическа енергия </t>
  </si>
  <si>
    <t>МВтч</t>
  </si>
  <si>
    <t>Разход, хил. лв.</t>
  </si>
  <si>
    <t>2020г.</t>
  </si>
  <si>
    <r>
      <t>кВтч/м</t>
    </r>
    <r>
      <rPr>
        <b/>
        <vertAlign val="superscript"/>
        <sz val="8"/>
        <color rgb="FF1F497D"/>
        <rFont val="Times New Roman"/>
        <family val="1"/>
        <charset val="204"/>
      </rPr>
      <t>3</t>
    </r>
  </si>
  <si>
    <t>Темп на изменение спрямо 2020 г.</t>
  </si>
  <si>
    <t>Темп на изменение спрямо предходната година</t>
  </si>
  <si>
    <t>ОБЩО  за регулирана дейност</t>
  </si>
  <si>
    <t>Количество</t>
  </si>
  <si>
    <r>
      <t>Специфичен разход кВтч/м</t>
    </r>
    <r>
      <rPr>
        <b/>
        <vertAlign val="superscript"/>
        <sz val="8"/>
        <color rgb="FF1F497D"/>
        <rFont val="Times New Roman"/>
        <family val="1"/>
        <charset val="204"/>
      </rPr>
      <t xml:space="preserve">3 </t>
    </r>
    <r>
      <rPr>
        <b/>
        <sz val="8"/>
        <color rgb="FF1F497D"/>
        <rFont val="Times New Roman"/>
        <family val="1"/>
        <charset val="204"/>
      </rPr>
      <t>вода на вход ПСОВ</t>
    </r>
  </si>
  <si>
    <r>
      <t>Специфичен разход кВтч/м</t>
    </r>
    <r>
      <rPr>
        <b/>
        <vertAlign val="superscript"/>
        <sz val="8"/>
        <color rgb="FF1F497D"/>
        <rFont val="Times New Roman"/>
        <family val="1"/>
        <charset val="204"/>
      </rPr>
      <t>3</t>
    </r>
    <r>
      <rPr>
        <b/>
        <sz val="8"/>
        <color rgb="FF1F497D"/>
        <rFont val="Times New Roman"/>
        <family val="1"/>
        <charset val="204"/>
      </rPr>
      <t xml:space="preserve"> вода на вход ВС</t>
    </r>
  </si>
  <si>
    <t>2022г.</t>
  </si>
  <si>
    <t>2023г.</t>
  </si>
  <si>
    <t>2024г.</t>
  </si>
  <si>
    <t>2025г.</t>
  </si>
  <si>
    <t>2026г.</t>
  </si>
  <si>
    <t>Ополозтворени утайки съгласно методите, описани в Национален план за управление на утайките от ГПСОВ</t>
  </si>
  <si>
    <t xml:space="preserve">тон  </t>
  </si>
  <si>
    <t>лв./т.</t>
  </si>
  <si>
    <t>лв/тон  с.в.</t>
  </si>
  <si>
    <t>Обща стойност на обектите (хил.лв.)</t>
  </si>
  <si>
    <t xml:space="preserve">Брой </t>
  </si>
  <si>
    <t>Изменение 2022г. спр. 2020г.</t>
  </si>
  <si>
    <t>Изменение 2026г. спр. 2020г.</t>
  </si>
  <si>
    <t>Други ремонти,общи за услугите-разпр.</t>
  </si>
  <si>
    <t>водоизточници</t>
  </si>
  <si>
    <t>довеждащи водопроводи</t>
  </si>
  <si>
    <t>участъци от водопроводната мрежа под 10 м</t>
  </si>
  <si>
    <t>СВО</t>
  </si>
  <si>
    <t>спирателни кранове и хидранти</t>
  </si>
  <si>
    <t>помпи за доставяне на вода на потребителите</t>
  </si>
  <si>
    <t>други съоръжения за доставяне на вода на потребителите</t>
  </si>
  <si>
    <t>оборудване, апаратура и машини за доставяне на вода на потребителите</t>
  </si>
  <si>
    <t>механизация и транспортни средства за доставяне на вода на потребителите</t>
  </si>
  <si>
    <t>сгради за доставяне на вода на потребителите</t>
  </si>
  <si>
    <t>2022г. -
2020г.</t>
  </si>
  <si>
    <t xml:space="preserve"> 2026г. -2020г.</t>
  </si>
  <si>
    <t>СКО</t>
  </si>
  <si>
    <t>Участъци от канализационна мрежа под 10 м</t>
  </si>
  <si>
    <t>помпи за отвеждане на отпадъчните води</t>
  </si>
  <si>
    <t>оборудване, апаратура и машини за отвеждане на отпадъчните води</t>
  </si>
  <si>
    <t>сгради за отвеждане на отпадъчните води</t>
  </si>
  <si>
    <t>механизация и транспортни средства за отвеждане на отпадъчните води</t>
  </si>
  <si>
    <t>Профилактика</t>
  </si>
  <si>
    <t>Други оперативни ремонти, общи за услугите - разпр.</t>
  </si>
  <si>
    <t>съоръжения за пречистване на отпадъчните води</t>
  </si>
  <si>
    <t>помпи за пречистване на отпадъчните води</t>
  </si>
  <si>
    <t>оборудване, апаратура и машини за пречистване на отпадъчните води</t>
  </si>
  <si>
    <t>сгради за пречистване на отпадъчните води</t>
  </si>
  <si>
    <t>механизация и транспортни средства за пречистване на отпадъчните води</t>
  </si>
  <si>
    <r>
      <t xml:space="preserve">Изменение дял на ра-ди </t>
    </r>
    <r>
      <rPr>
        <u/>
        <sz val="8"/>
        <color theme="1"/>
        <rFont val="Times New Roman"/>
        <family val="1"/>
        <charset val="204"/>
      </rPr>
      <t>Водоснабдяване</t>
    </r>
    <r>
      <rPr>
        <sz val="8"/>
        <color theme="1"/>
        <rFont val="Times New Roman"/>
        <family val="1"/>
        <charset val="204"/>
      </rPr>
      <t>: 
Ремонт на:</t>
    </r>
  </si>
  <si>
    <r>
      <t xml:space="preserve">Изменение дял на ра-ди </t>
    </r>
    <r>
      <rPr>
        <u/>
        <sz val="8"/>
        <color theme="1"/>
        <rFont val="Times New Roman"/>
        <family val="1"/>
        <charset val="204"/>
      </rPr>
      <t>Отвеждане</t>
    </r>
    <r>
      <rPr>
        <sz val="8"/>
        <color theme="1"/>
        <rFont val="Times New Roman"/>
        <family val="1"/>
        <charset val="204"/>
      </rPr>
      <t>: 
Ремонт на:</t>
    </r>
  </si>
  <si>
    <r>
      <t xml:space="preserve">Изменение дял на ра-ди </t>
    </r>
    <r>
      <rPr>
        <u/>
        <sz val="8"/>
        <color theme="1"/>
        <rFont val="Times New Roman"/>
        <family val="1"/>
        <charset val="204"/>
      </rPr>
      <t>Пречистване</t>
    </r>
    <r>
      <rPr>
        <sz val="8"/>
        <color theme="1"/>
        <rFont val="Times New Roman"/>
        <family val="1"/>
        <charset val="204"/>
      </rPr>
      <t>: 
Ремонт на:</t>
    </r>
  </si>
  <si>
    <t>Предложени нива на показателите за качество</t>
  </si>
  <si>
    <r>
      <t>м</t>
    </r>
    <r>
      <rPr>
        <vertAlign val="superscript"/>
        <sz val="7"/>
        <rFont val="Times New Roman"/>
        <family val="1"/>
        <charset val="204"/>
      </rPr>
      <t>3</t>
    </r>
    <r>
      <rPr>
        <sz val="7"/>
        <rFont val="Times New Roman"/>
        <family val="1"/>
        <charset val="204"/>
      </rPr>
      <t>/км/ден</t>
    </r>
  </si>
  <si>
    <t xml:space="preserve"> Енергийна ефективност за дейността по  доставяне на вода на потребителите</t>
  </si>
  <si>
    <r>
      <t>кВч/м</t>
    </r>
    <r>
      <rPr>
        <vertAlign val="superscript"/>
        <sz val="7"/>
        <rFont val="Times New Roman"/>
        <family val="1"/>
        <charset val="204"/>
      </rPr>
      <t>3</t>
    </r>
  </si>
  <si>
    <t>Показател за качество</t>
  </si>
  <si>
    <t>ВС "Основна"</t>
  </si>
  <si>
    <t>ВС "Доставяне вода с непитейни качества"</t>
  </si>
  <si>
    <t>Общо</t>
  </si>
  <si>
    <t>Дял от общо</t>
  </si>
  <si>
    <t>ПСПВ</t>
  </si>
  <si>
    <t>Резервоари, ХС, ПС, хидрофори</t>
  </si>
  <si>
    <t>Разпределителна водопроводна мрежа над 10 м.</t>
  </si>
  <si>
    <t>СВО, СК, ПХ</t>
  </si>
  <si>
    <t>Измерване на вход, зониране - контролно измерване</t>
  </si>
  <si>
    <t>Управление на налягане, проучване и моделиране</t>
  </si>
  <si>
    <t>СКАДА</t>
  </si>
  <si>
    <t>Общо - публични активи водоснабдяване</t>
  </si>
  <si>
    <t>Собствени активи - автомобили, механизация, оборудване</t>
  </si>
  <si>
    <t>КПС</t>
  </si>
  <si>
    <t>Главни канализационни клонове</t>
  </si>
  <si>
    <t>Канализационна мрежа над 10 м.</t>
  </si>
  <si>
    <t>Проучване и моделиране</t>
  </si>
  <si>
    <t>Общо - публични активи канализация</t>
  </si>
  <si>
    <t>ПСОВ</t>
  </si>
  <si>
    <t>Общо - публични активи пречистване</t>
  </si>
  <si>
    <t>Водомери на СВО</t>
  </si>
  <si>
    <t>Информационни системи - собствени активи и ИТ хардуер</t>
  </si>
  <si>
    <t>Собствени активи - сгради, стопански инвентар, автомобили</t>
  </si>
  <si>
    <t>Общо транспорт, администрация и ИТ</t>
  </si>
  <si>
    <t>Общо инвестиции в публични активи</t>
  </si>
  <si>
    <t>Общо инвестиции в собствени активи</t>
  </si>
  <si>
    <t>ОБЩО ИНВЕСТИЦИИ</t>
  </si>
  <si>
    <t>Средно за периода</t>
  </si>
  <si>
    <t>Инвестиции на жител (лв. / брой)</t>
  </si>
  <si>
    <t>Параметър (хил.лв.)</t>
  </si>
  <si>
    <t>Общо за периода</t>
  </si>
  <si>
    <t>Финансиране със собствени средства</t>
  </si>
  <si>
    <t xml:space="preserve">Общо разходи за амортизации от собствени активи </t>
  </si>
  <si>
    <t>Разлика разходи за амортизации - инвестиции</t>
  </si>
  <si>
    <t>Финансиране с привлечени средства</t>
  </si>
  <si>
    <t>Разходи за главници на инвестиционни заеми</t>
  </si>
  <si>
    <t>Общо разходи за амортизации от публични активи от инвестиционна програма</t>
  </si>
  <si>
    <t>Недостиг за финансиране на инвестиционни разходи</t>
  </si>
  <si>
    <t>Общо разходи за амортизации на публични задбалансови активи</t>
  </si>
  <si>
    <t>Общо разходи за амортизации на публични задбалансови активи - предложени в цените</t>
  </si>
  <si>
    <t>Дял на разходи за амортизации на публични задбалансови активи - предложени в цените</t>
  </si>
  <si>
    <t>Инвестиции по договор</t>
  </si>
  <si>
    <t>Инвестиции в бизнес плана</t>
  </si>
  <si>
    <t>(хил.лв.)</t>
  </si>
  <si>
    <t>Инвестиции по направления и услуги</t>
  </si>
  <si>
    <t>Водоизточници и Санитарно-охранителни зони</t>
  </si>
  <si>
    <t xml:space="preserve">Съществуващ дългосрочен заем за изградeни ДА </t>
  </si>
  <si>
    <t>Общо инвестиции в собствени активи за доставяне на вода с непитейни качеста</t>
  </si>
  <si>
    <t>Общо инвестиции в публични активи за доставяне на вода с непитейни качеста</t>
  </si>
  <si>
    <t>Общо инвестиции в публични активи за доставяне на вода на друг ВиК оператор</t>
  </si>
  <si>
    <t>Общо инвестиции в собствени активи за доставяне на вода на друг ВиК оператор</t>
  </si>
  <si>
    <t>Общо инвестиции за доставяне на вода, отвеждане и пречистване на отпадъчни води (хил. лв.)</t>
  </si>
  <si>
    <t>Общ брой на населението, ползващо услугата доставяне на вода на потребителите в обособената територия, обслужвана от ВиК оператора (бр.)</t>
  </si>
  <si>
    <t>Финансиране на инвестиционната програма</t>
  </si>
  <si>
    <t>Финансиране със привлечени средства</t>
  </si>
  <si>
    <t>Разлика между инвестиционни разходи и разходи за амортизация на публични активи</t>
  </si>
  <si>
    <t xml:space="preserve">Нов дългосрочен заем за изграждане на ДА по Оперативна програма "Околна среда 2014-2020"  </t>
  </si>
  <si>
    <t>Общо инвестиционни разходи с финансиране от собствени средства и разходи за главници на инвестиционни заеми за публични активи</t>
  </si>
  <si>
    <t xml:space="preserve"> Нов дългосрочен заем за изграждане на публични ДА  </t>
  </si>
  <si>
    <t>Получен през периода (хил.лв.)</t>
  </si>
  <si>
    <t>Погасяване на главници (хил.лв.)</t>
  </si>
  <si>
    <t>Лихви (хил.лв.)</t>
  </si>
  <si>
    <t>Общо погасителни вноски (хил.лв.)</t>
  </si>
  <si>
    <t>Остатък главница (хил.лв.)</t>
  </si>
  <si>
    <t>Остатъчна стойност от предишния период (хил.лв.)</t>
  </si>
  <si>
    <t>Амортизационен план</t>
  </si>
  <si>
    <t>Раздел I: Собствени Дълготрайни Активи</t>
  </si>
  <si>
    <t>Раздел II: Публични Дълготрайни Активи, изградени със собствени средства</t>
  </si>
  <si>
    <t>Раздел III: Публични Дълготрайни Активи, предоставени на ВиК оператора за експлоатация и поддръжка</t>
  </si>
  <si>
    <t>Общо регулирана дейност</t>
  </si>
  <si>
    <t>Раздел III: Публични Дълготрайни Активи, предоставени на ВиК оператора за експлоатация и поддръжка - отчетна стойност</t>
  </si>
  <si>
    <t xml:space="preserve">Доставяне вода на потребителите, в т.ч. </t>
  </si>
  <si>
    <t>новопридобити през периода на бизнес плана</t>
  </si>
  <si>
    <t>Общо за регулирана дейност:</t>
  </si>
  <si>
    <t>Доставяне на вода на друг ВиК оператор:</t>
  </si>
  <si>
    <t>Доставяне на вода с непитейни качества:</t>
  </si>
  <si>
    <t>Разходи по икономически елементи (хил.лв.)</t>
  </si>
  <si>
    <t>Променливи разходи:</t>
  </si>
  <si>
    <t>Изменение 2022 спр. 2020 г.</t>
  </si>
  <si>
    <t>Изменение 2026 спр. 2020 г.</t>
  </si>
  <si>
    <t>ПРЕКИ РАЗХОДИ</t>
  </si>
  <si>
    <t>разходи за административна дейност</t>
  </si>
  <si>
    <t>Спестявания и увеличения спрямо 2020 г. -нето:</t>
  </si>
  <si>
    <t>НЕПРЕКИ РАЗХОДИ, в т.ч.:</t>
  </si>
  <si>
    <t>Оперативни разходи</t>
  </si>
  <si>
    <t>ОБЩО РАЗХОДИ за оперативен ремонт</t>
  </si>
  <si>
    <t>Бъдещи нови активи и/ или дейности (хил.лв.)</t>
  </si>
  <si>
    <t>20205 г.</t>
  </si>
  <si>
    <t>Бъдещи нови активи и/ или дейности (хил. лв.)</t>
  </si>
  <si>
    <t>ОБЩО за пречистване на отпадъчни води</t>
  </si>
  <si>
    <t>ОБЩО за отвеждане на отпадъчни води</t>
  </si>
  <si>
    <t>ОБЩО за доставяне на вода на потребителите</t>
  </si>
  <si>
    <t>Бъдещи разходи за нови активи и/или нови дейности</t>
  </si>
  <si>
    <t>Доставяне на вода на потребителите:</t>
  </si>
  <si>
    <t>Отвеждане на отпадъчни води:</t>
  </si>
  <si>
    <t>Пречистване на отпадъчни води:</t>
  </si>
  <si>
    <t>Общо регулирана дейност:</t>
  </si>
  <si>
    <t>Наименование  (хил.лв.)</t>
  </si>
  <si>
    <t>Приходи от оперативна дейност (вкл. нерегулирана)</t>
  </si>
  <si>
    <t>Разходи от оперативна дейност  (вкл. нерегулирана)</t>
  </si>
  <si>
    <t>Наименование (хил.лв.)</t>
  </si>
  <si>
    <t>Реална норма на възвръщаемост (ROI) - печалба спрямо разходи от оперативна дейност (вкл. нерегулирана)</t>
  </si>
  <si>
    <t>Прогнозни отчети за приходи и разходи / парични потоци</t>
  </si>
  <si>
    <t>Отчет за парични потоци:</t>
  </si>
  <si>
    <t>Описание (хил.лв.)</t>
  </si>
  <si>
    <t>Описание  (хил.лв.)</t>
  </si>
  <si>
    <t>Предложение за цени и приходи от ВиК услуги</t>
  </si>
  <si>
    <t>Отведени количества вода</t>
  </si>
  <si>
    <t>Пречистени количества вода</t>
  </si>
  <si>
    <t>К-т за степен на замърсеност на отведeни и отпадъчни води</t>
  </si>
  <si>
    <t>Цени на ВиК услуги лв./куб.м без ДДС</t>
  </si>
  <si>
    <t>Необходими годишни приходи</t>
  </si>
  <si>
    <t>Прогнозни количества</t>
  </si>
  <si>
    <t>Цени на ВиК услуги</t>
  </si>
  <si>
    <t>Пределна норма на възвръщаемост на привлечения капитал, утвърдена от комисията</t>
  </si>
  <si>
    <t>Възвръщаемост за доставяне на вода</t>
  </si>
  <si>
    <t>Възвръщаемост за друг ВиК оператор</t>
  </si>
  <si>
    <r>
      <t>Описание  хил.м</t>
    </r>
    <r>
      <rPr>
        <b/>
        <vertAlign val="superscript"/>
        <sz val="9"/>
        <rFont val="Times New Roman"/>
        <family val="1"/>
        <charset val="204"/>
      </rPr>
      <t>3</t>
    </r>
    <r>
      <rPr>
        <b/>
        <sz val="9"/>
        <rFont val="Times New Roman"/>
        <family val="1"/>
      </rPr>
      <t xml:space="preserve">/год </t>
    </r>
  </si>
  <si>
    <r>
      <t>Описание  хил.м</t>
    </r>
    <r>
      <rPr>
        <b/>
        <vertAlign val="subscript"/>
        <sz val="9"/>
        <rFont val="Times New Roman"/>
        <family val="1"/>
        <charset val="204"/>
      </rPr>
      <t>3</t>
    </r>
    <r>
      <rPr>
        <b/>
        <sz val="9"/>
        <rFont val="Times New Roman"/>
        <family val="1"/>
      </rPr>
      <t xml:space="preserve">/год </t>
    </r>
  </si>
  <si>
    <t>Количества доставена вода на потребителите</t>
  </si>
  <si>
    <t>Степен на замърсеност 1</t>
  </si>
  <si>
    <t>Степен на замърсеност 2</t>
  </si>
  <si>
    <t>Степен на замърсеност 3</t>
  </si>
  <si>
    <t>Общ товар, кг/год.</t>
  </si>
  <si>
    <t>Обосновка на избраните коефициенти на замърсеност</t>
  </si>
  <si>
    <t>Лист</t>
  </si>
  <si>
    <t>кг/год.</t>
  </si>
  <si>
    <t>Коефициенти на степен на замърсеност</t>
  </si>
  <si>
    <t xml:space="preserve">Степен на замърсеност 1 </t>
  </si>
  <si>
    <t xml:space="preserve">Степен на замърсеност 2 </t>
  </si>
  <si>
    <t xml:space="preserve">Степен на замърсеност 3 </t>
  </si>
  <si>
    <t>мин. 
ст-ст</t>
  </si>
  <si>
    <t>макс.
 ст-ст</t>
  </si>
  <si>
    <t>Товар БПК5 за степен на замърсеност 2</t>
  </si>
  <si>
    <t>Товар БПК5 за степен на замърсеност 1</t>
  </si>
  <si>
    <t>Товар БПК5 за степен на замърсеност 3</t>
  </si>
  <si>
    <t>Товар БПК5 за степен на замърсеност на пречистени отпадъчни води</t>
  </si>
  <si>
    <t>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2020 г. относно товар БПК5 (кг/год.) за степени на замърсеност 1,2 и 3.</t>
  </si>
  <si>
    <t>Товар БПК5, кг/год</t>
  </si>
  <si>
    <t>ВиК операторът обосновава избраните стойности на коефициентите на замърсеност, съобразно приноса на товара от БПК5 към общия товар на промишлеността.</t>
  </si>
  <si>
    <t xml:space="preserve">Средна цена                                                                                                                                                                                                                                                                                                                                                                                                                      (лв./бр. ремонт) 
</t>
  </si>
  <si>
    <t>Общо оперативен ремонт по услуги</t>
  </si>
  <si>
    <t>Изразходвана ел. еннергия за административни и спомагателни нужди</t>
  </si>
  <si>
    <t xml:space="preserve"> Нов дългосрочен заем за изграждане на собствени ДА  </t>
  </si>
  <si>
    <t xml:space="preserve">Нов дългосрочен заем за изграждане на собствени ДА по Оперативна програма "Околна среда 2014-2020"  </t>
  </si>
  <si>
    <t>куб.м/мес. на 1 чов.</t>
  </si>
  <si>
    <t>Нарастване на БВП съгласно средносрочна бюджетна прогноза 2018 - 2020 г.</t>
  </si>
  <si>
    <t>Социална поносимост на цената на ВиК услугите (с ДДС)</t>
  </si>
  <si>
    <t>Цената на ВиК услугите за битови и приравнени към тях потребители (с ДДС)</t>
  </si>
  <si>
    <t>Вкл. публични ВиК активи</t>
  </si>
  <si>
    <t>Вкл. собствени ВиК активи</t>
  </si>
  <si>
    <t>Инвестиции в публични активи по БП</t>
  </si>
  <si>
    <t>Общо инвестиции по БП</t>
  </si>
  <si>
    <t xml:space="preserve">на , гр. </t>
  </si>
  <si>
    <t xml:space="preserve">ЕИК по БУЛСТАТ: </t>
  </si>
  <si>
    <t xml:space="preserve">Дата: </t>
  </si>
  <si>
    <t>Отчет и прогноза за фактурирани количества, население и потребители по услуги</t>
  </si>
  <si>
    <t>Изменения на годишните разходи спрямо базовата година</t>
  </si>
  <si>
    <t>Базова година:</t>
  </si>
  <si>
    <t>Справка № 12.1. - Изменения на годишните разходи спрямо базовата година</t>
  </si>
  <si>
    <t>Оползотворяване на утайки от ПСОВ</t>
  </si>
  <si>
    <t>Базова година</t>
  </si>
  <si>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ВС</t>
    </r>
  </si>
  <si>
    <r>
      <t>Специфичен разход кВтч/м</t>
    </r>
    <r>
      <rPr>
        <vertAlign val="superscript"/>
        <sz val="9"/>
        <color theme="3"/>
        <rFont val="Times New Roman"/>
        <family val="1"/>
        <charset val="204"/>
      </rPr>
      <t>3</t>
    </r>
    <r>
      <rPr>
        <sz val="9"/>
        <color theme="3"/>
        <rFont val="Times New Roman"/>
        <family val="1"/>
        <charset val="204"/>
      </rPr>
      <t xml:space="preserve"> фактурирана вода</t>
    </r>
  </si>
  <si>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ПСОВ</t>
    </r>
  </si>
  <si>
    <t xml:space="preserve">социални осигуровки за наети с договор за управление и контрол, граждански договор, допълнителен труд съгласно чл. 111 от КТ </t>
  </si>
  <si>
    <t>социални разходи (вкл. ваучери за храна) за наети с договор за управление и контрол, граждански договор, допълнителен труд съгласно чл. 111 от КТ</t>
  </si>
  <si>
    <t>разходи за възнаграждения и хонорари за наети с договор за управление и контрол, граждански договор, допълнителен труд съгласно чл. 111 от КТ</t>
  </si>
  <si>
    <t>2070101; 207080101</t>
  </si>
  <si>
    <t>2070102; 207080102</t>
  </si>
  <si>
    <t>2070103; 207080103</t>
  </si>
  <si>
    <t>2070104; 207080104</t>
  </si>
  <si>
    <t>2070105; 207080105</t>
  </si>
  <si>
    <t>2070106; 207080106</t>
  </si>
  <si>
    <t>2070107; 207080107</t>
  </si>
  <si>
    <t>2070108; 207080108</t>
  </si>
  <si>
    <t>2070109; 207080109</t>
  </si>
  <si>
    <t>2070110; 207080110</t>
  </si>
  <si>
    <t>2070111; 207080111</t>
  </si>
  <si>
    <t>2070112; 207080112</t>
  </si>
  <si>
    <t>2070113; 207080113</t>
  </si>
  <si>
    <t>2070114; 207080114</t>
  </si>
  <si>
    <t>2070115; 207080115</t>
  </si>
  <si>
    <t>2070116; 207080116</t>
  </si>
  <si>
    <t>2070117; 207080117</t>
  </si>
  <si>
    <t>2070118; 207080118</t>
  </si>
  <si>
    <t>2070119; 207080119</t>
  </si>
  <si>
    <t>2070120; 207080120</t>
  </si>
  <si>
    <t>2070121; 207080121</t>
  </si>
  <si>
    <t>2070122; 207080122</t>
  </si>
  <si>
    <t>2070123; 207080123</t>
  </si>
  <si>
    <t>2070124; 207080124</t>
  </si>
  <si>
    <t>2070201; 207080201</t>
  </si>
  <si>
    <t>2070202; 207080202</t>
  </si>
  <si>
    <t>2070203; 207080203</t>
  </si>
  <si>
    <t>2070204; 207080204</t>
  </si>
  <si>
    <t>2070205; 207080205</t>
  </si>
  <si>
    <t>2070206; 207080206</t>
  </si>
  <si>
    <t>2070207; 207080207</t>
  </si>
  <si>
    <t>2070208; 207080208</t>
  </si>
  <si>
    <t>2070209;207080209</t>
  </si>
  <si>
    <t>2070210; 207080210</t>
  </si>
  <si>
    <t>2070211; 207080211</t>
  </si>
  <si>
    <t>2070301; 207080301</t>
  </si>
  <si>
    <t>2070302; 207080302</t>
  </si>
  <si>
    <t>2070303; 207080303</t>
  </si>
  <si>
    <t>2070304; 207080304</t>
  </si>
  <si>
    <t>2070305; 207080305</t>
  </si>
  <si>
    <t>2070306; 207080306</t>
  </si>
  <si>
    <t>2070307; 207080307</t>
  </si>
  <si>
    <t>2070308; 207080308</t>
  </si>
  <si>
    <t>2070401; 207080401</t>
  </si>
  <si>
    <t>2070402; 207080402</t>
  </si>
  <si>
    <t>2070601; 207080601</t>
  </si>
  <si>
    <t>2070602; 207080602</t>
  </si>
  <si>
    <t>2070603; 207080603</t>
  </si>
  <si>
    <t>2070609; 207080609</t>
  </si>
  <si>
    <t>2070604; 207080604</t>
  </si>
  <si>
    <t>2070610; 207080610</t>
  </si>
  <si>
    <t>2070611; 207080611</t>
  </si>
  <si>
    <t>2070605; 207080605</t>
  </si>
  <si>
    <t>2070606; 207080606</t>
  </si>
  <si>
    <t>2070607; 207080607</t>
  </si>
  <si>
    <t>2070608; 207080608</t>
  </si>
  <si>
    <t xml:space="preserve">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указания НРЦВКУ и принципите на ЕСРО за регулаторен период 2022-2026 г. в Справка № 12.  </t>
  </si>
  <si>
    <t>Изразходвана електроенергия "Ниско напрежение"</t>
  </si>
  <si>
    <t>Електроенергия</t>
  </si>
  <si>
    <t>Изразходвана електроенергия "Средно напражение"</t>
  </si>
  <si>
    <t>Изразходвана електроенергия "Високо напрежение"</t>
  </si>
  <si>
    <t>Изразходвана електроенергия, произведена от собствени източници (когенерация, други)</t>
  </si>
  <si>
    <t>Общо изразходвана електроенергия</t>
  </si>
  <si>
    <t>Изразходвана електроенергия произведена от собствени източници (когенерация, други)</t>
  </si>
  <si>
    <t>Изразходвана елетроенергия произведена от собствени източници (когенерация, други)</t>
  </si>
  <si>
    <t>Общо изразходвана електроенергия за технологични нужди</t>
  </si>
  <si>
    <t>Изразходвана електроенергия за административни нужди и спомагателна дейност</t>
  </si>
  <si>
    <t>Изразходвана електроенергия за нерегулирана дейност</t>
  </si>
  <si>
    <t>Обобщена справка за произведена и оползотворена/продадена електроенергия</t>
  </si>
  <si>
    <t>Произведена електроенергия от собствени източници</t>
  </si>
  <si>
    <t>Използвана електроенергия от собствени източници за вътрешни нужди</t>
  </si>
  <si>
    <t>Продадена електроенергия от собствени източници на външния пазар</t>
  </si>
  <si>
    <t>Описание на технически параметри на собствени източници за производство на електроенергия (когенерация, други), година на въвеждане в експлоатация, инсталирана мощност</t>
  </si>
  <si>
    <t>Цена на електроенергия, произведена от собствени източници за производство на ел. енергия (когенерация, други), лв/МВтч</t>
  </si>
  <si>
    <t>Цена по договор на свободен пазар за доставка на електроенергия "Ниско напрежение" лв./мВтч</t>
  </si>
  <si>
    <t>Цена по договор на свободен пазар за доставка на електроенергия "Средно напражение" лв./мВтч</t>
  </si>
  <si>
    <t>Цена по договор на свободен пазар за доставка на електроенергия "Високо напрежение" лв./мВтч</t>
  </si>
  <si>
    <t>Средна цена на електроенергия, лв/МВтч</t>
  </si>
  <si>
    <t>Обобщена справка за консумацията и производството на електроенергия</t>
  </si>
  <si>
    <t>2. В клетка C6 се посочва от падащия лист от коя група е ВиК оператора.</t>
  </si>
  <si>
    <t>1. Попълват се само клетките в жълт цвят за съответната група ВиК оператори, съгласно решение на КЕВР</t>
  </si>
  <si>
    <t>1. Попълват се само клетките в жълт цвят за съответната група ВиК оператори, съглсано решение на КЕВР</t>
  </si>
  <si>
    <t>Интернет страница</t>
  </si>
  <si>
    <t>5.14.</t>
  </si>
  <si>
    <t>Профилактика (почистване, продухване, други);пътни настилки</t>
  </si>
  <si>
    <t>Проверка /равнение брой потребители</t>
  </si>
  <si>
    <t>Включително очаквано присъединяване на нови потребители, в т.ч. промяна на обслужваната територия</t>
  </si>
  <si>
    <t>Очаквано присъединяване на нови потребители, в т.ч. промяна на обслужваната територия (данни с натрупване)</t>
  </si>
  <si>
    <t xml:space="preserve">Включително очаквано присъединяване на нови потребители, в т.ч. промяна на обслужваната територия </t>
  </si>
  <si>
    <t>Продадена фактурирана вода Q3, в т.ч.:</t>
  </si>
  <si>
    <t>ефект от намаление на търговски загуби Q8</t>
  </si>
  <si>
    <t>ВиК оператор ("Водоснабдяване"ЕООД-Брезник):</t>
  </si>
  <si>
    <t>https://www.vik-pernik.eu/</t>
  </si>
  <si>
    <t>0021754/19.08.2008 г.</t>
  </si>
  <si>
    <t>гр.Перник</t>
  </si>
  <si>
    <t>ул."Средец" №11</t>
  </si>
  <si>
    <t>Управител</t>
  </si>
  <si>
    <t>1143000245/22.09.1993 г.</t>
  </si>
  <si>
    <t>Договор от 11.03.2016 г. с АВиК - Перник</t>
  </si>
  <si>
    <t>Община Перник 13940 бр. дяла 34%</t>
  </si>
  <si>
    <t>Община Радомир 3280 бр. дяла 8%</t>
  </si>
  <si>
    <t>Община Брезник 1320 бр. дяла 3%</t>
  </si>
  <si>
    <t>Община Трън 820 бр. дяла 2%</t>
  </si>
  <si>
    <t>Община Земен 820 бр. дяла 2%</t>
  </si>
  <si>
    <t>БДС  ЕN ISO 9000:2084 от 11.08.2020 г.</t>
  </si>
  <si>
    <t>БДС  ЕN ISF 14001:2004 от 11.08.2020 г.</t>
  </si>
  <si>
    <t>БДС  ЕN ISF 45000:2018 от 11.08.2020 г.</t>
  </si>
  <si>
    <t>"Водоснабдяване и канализаиця"ООД</t>
  </si>
  <si>
    <t>Перник</t>
  </si>
  <si>
    <t>823073638</t>
  </si>
  <si>
    <t>24 юни 2021 година</t>
  </si>
  <si>
    <t>гр.Перник, ул."Средец" №11</t>
  </si>
  <si>
    <t>076 64 98 14</t>
  </si>
  <si>
    <t>076 64 98 31</t>
  </si>
  <si>
    <t>vik_pernik@abv.bg</t>
  </si>
  <si>
    <t>076 64 98 21</t>
  </si>
  <si>
    <t>Стефка Стефанова</t>
  </si>
  <si>
    <t>0882366071</t>
  </si>
  <si>
    <t>инж.Антоанета Арсова</t>
  </si>
  <si>
    <t>076 64 98 15</t>
  </si>
  <si>
    <t>0882 966 659</t>
  </si>
  <si>
    <t>0879 254 077</t>
  </si>
  <si>
    <t>Ана Маркова</t>
  </si>
  <si>
    <t xml:space="preserve">Работен проект </t>
  </si>
  <si>
    <t>ПК1, ПК2а и ПК2в, ПК3</t>
  </si>
  <si>
    <t>По график</t>
  </si>
  <si>
    <t>ПК2, ПК3</t>
  </si>
  <si>
    <t>ПК1, ПК2, ПК3, ПК4, ПК5, ПК11г</t>
  </si>
  <si>
    <t>ПК2, ПК3, ПК4, ПК11а</t>
  </si>
  <si>
    <t>Предварително проучване и график</t>
  </si>
  <si>
    <t>ПК3, ПК4</t>
  </si>
  <si>
    <t>ПК2, ПК3, ПК11а</t>
  </si>
  <si>
    <t>По графика на изпълнение.</t>
  </si>
  <si>
    <t>ПК2, ПК3, ПК4, ПК5, ПК6, ПК11г</t>
  </si>
  <si>
    <t>ПК2, ПК3, ПК4б, ПК5</t>
  </si>
  <si>
    <t>ПК4</t>
  </si>
  <si>
    <t>ПК4, ПК6</t>
  </si>
  <si>
    <t>ПК4, ПК5, ПК6</t>
  </si>
  <si>
    <t>ПК2, ПК3, ПК4, ПК5, ПК6</t>
  </si>
  <si>
    <t>ПК3, ПК4, ПК6, ПК11а</t>
  </si>
  <si>
    <t>ПК2</t>
  </si>
  <si>
    <t>ПК3, ПК4, ПК14б</t>
  </si>
  <si>
    <t>ПК3, ПК4, ПК5</t>
  </si>
  <si>
    <t>ПК2, ПК4, ПК11д</t>
  </si>
  <si>
    <t>Работни проекти по график.</t>
  </si>
  <si>
    <t>ПК7, ПК8, ПК9, ПК10</t>
  </si>
  <si>
    <t>ПК7а, ПК10</t>
  </si>
  <si>
    <t>ПК9, ПК10, ПК14б</t>
  </si>
  <si>
    <t>ПК9, ПК10</t>
  </si>
  <si>
    <t>ПК8 , ПК11б, ПК11б</t>
  </si>
  <si>
    <t>ПК11в, ПК8</t>
  </si>
  <si>
    <t>ПК11в, ПК9</t>
  </si>
  <si>
    <t>ПК11б, ПК8</t>
  </si>
  <si>
    <t>ПК12д, ПК12е</t>
  </si>
  <si>
    <t>Система за фактуриране на ВиК оператора и регистрите на НСИ</t>
  </si>
  <si>
    <t>Регистрите на НСИ</t>
  </si>
  <si>
    <t>Регистри на НСИ</t>
  </si>
  <si>
    <t>регистър - програма ФСО</t>
  </si>
  <si>
    <t>Регистър за активите</t>
  </si>
  <si>
    <t>Регистър за лабораторни изследвания, поддържан от В и К оператора</t>
  </si>
  <si>
    <t>Регистър за авариите, поддържан от ВиК оператора</t>
  </si>
  <si>
    <t>Разрешителни за водовземане (по разрешен обем или по отчети от измервателните устройства)</t>
  </si>
  <si>
    <t>Регистър поддържан от ВиК оператора</t>
  </si>
  <si>
    <t>Протоколи от БД - отчети от измервателните устройства</t>
  </si>
  <si>
    <t>Разрешителни за водовземане (по разрешен обем или по отчети от измервателните устройства).Протоколи от БД</t>
  </si>
  <si>
    <t xml:space="preserve">Регистър на енергийни обекти </t>
  </si>
  <si>
    <t>Единна Система за Регулаторна Отчетност (ЕСРО)</t>
  </si>
  <si>
    <t>Програма за администриране на персонала</t>
  </si>
  <si>
    <t>MS Excel ; Регистър за активите - в процес</t>
  </si>
  <si>
    <t xml:space="preserve"> База данни с измерените количества вода на вход ВС</t>
  </si>
  <si>
    <t>Разрешителни за водовземане (по разрешен обем или по отчети от измервателните устройства)и Система за фактуриране на ВиК оператора</t>
  </si>
  <si>
    <t>Регистър поддържан от "Кюбико"</t>
  </si>
  <si>
    <t>Система за отчитане и фактуриране на ВиК оператора</t>
  </si>
  <si>
    <t>Система за  отчитане и фактуриранефактуриране на ВиК оператора и регистрите на НСИ</t>
  </si>
  <si>
    <t>MS Excel ; Регистър на активите - в процес</t>
  </si>
  <si>
    <t>ВЕЦ "Студена" - въведен в експлоатация през 1955 г. Водноелектрическата централа е изградена от две турбини тип "Франсис" с хоризонтална ос, които задвижват два генератора синхронни. Всеки генератор отдава мощност от по 250 кВ/ч.</t>
  </si>
  <si>
    <t>инж.Борислав Любомиров Иванов</t>
  </si>
  <si>
    <t>2 БР. КПС</t>
  </si>
  <si>
    <t>01.01.2024</t>
  </si>
  <si>
    <t>ПО ОПОС 2014-2020</t>
  </si>
  <si>
    <t>КПС 1 - два помпени агрегата с мощност 11,5 кВтч и 15,5 кВтч;  КПС 2 - един помпен агрегат с мощност 75 кВтч. Общата мощност възлиза на 102 кВтч</t>
  </si>
  <si>
    <t>ПДС</t>
  </si>
  <si>
    <t>ПСОВ БАТАНОВЦИ</t>
  </si>
  <si>
    <t>ПЕРНИК</t>
  </si>
  <si>
    <t>01.01.2024 Г.</t>
  </si>
  <si>
    <t>ЕКСПЕРТНА ОЦЕНКА</t>
  </si>
  <si>
    <t>РЕКОНСТРУКЦИЯ НА СЪЩЕСТВУВАЩА ПСОВ</t>
  </si>
  <si>
    <t>Български ВиК Холдинг ЕАД 20910 бр. дяла 51%</t>
  </si>
  <si>
    <t>Софийска вода АД</t>
  </si>
  <si>
    <t>инструменти, гуми за автомобили</t>
  </si>
  <si>
    <t xml:space="preserve"> ЕЛЕКТРОЕНЕРГИЯ ЗА ОБЕКТ ПСОВ Батановци, аб.№: 21500046</t>
  </si>
  <si>
    <t>Период:2022-2026г</t>
  </si>
  <si>
    <t>година</t>
  </si>
  <si>
    <t>общо лв</t>
  </si>
  <si>
    <t>Ефективност</t>
  </si>
  <si>
    <t>СПРАВКА ИЗПОЛЗВАНА ЕЛЕКТРОЕНЕРГИЯ ЗА ОБЕКТ ПСОВ Батановци, аб.№: 21500046</t>
  </si>
  <si>
    <t>Период: 01.01.2022-31.12.2022</t>
  </si>
  <si>
    <t>Година</t>
  </si>
  <si>
    <t>Януари</t>
  </si>
  <si>
    <t>Февруари</t>
  </si>
  <si>
    <t>Март</t>
  </si>
  <si>
    <t>Април</t>
  </si>
  <si>
    <t>Май</t>
  </si>
  <si>
    <t>Юни</t>
  </si>
  <si>
    <t>Юли</t>
  </si>
  <si>
    <t>Август</t>
  </si>
  <si>
    <t>Септември</t>
  </si>
  <si>
    <t>Октомври</t>
  </si>
  <si>
    <t>Ноември</t>
  </si>
  <si>
    <t>Декември</t>
  </si>
  <si>
    <t>2022г</t>
  </si>
  <si>
    <t>43208,85</t>
  </si>
  <si>
    <t>34309,63</t>
  </si>
  <si>
    <r>
      <t xml:space="preserve">общо лв: </t>
    </r>
    <r>
      <rPr>
        <b/>
        <sz val="10"/>
        <color theme="1"/>
        <rFont val="Calibri"/>
        <family val="2"/>
        <charset val="204"/>
        <scheme val="minor"/>
      </rPr>
      <t>49089,40</t>
    </r>
  </si>
  <si>
    <r>
      <t xml:space="preserve">общо лв: </t>
    </r>
    <r>
      <rPr>
        <b/>
        <sz val="10"/>
        <color theme="1"/>
        <rFont val="Calibri"/>
        <family val="2"/>
        <charset val="204"/>
        <scheme val="minor"/>
      </rPr>
      <t>31768,06</t>
    </r>
  </si>
  <si>
    <r>
      <t xml:space="preserve">общо лв: </t>
    </r>
    <r>
      <rPr>
        <b/>
        <sz val="10"/>
        <color theme="1"/>
        <rFont val="Calibri"/>
        <family val="2"/>
        <charset val="204"/>
        <scheme val="minor"/>
      </rPr>
      <t>45179,54</t>
    </r>
  </si>
  <si>
    <r>
      <t xml:space="preserve">общо лв: </t>
    </r>
    <r>
      <rPr>
        <b/>
        <sz val="10"/>
        <color theme="1"/>
        <rFont val="Calibri"/>
        <family val="2"/>
        <charset val="204"/>
        <scheme val="minor"/>
      </rPr>
      <t>35677,15</t>
    </r>
  </si>
  <si>
    <r>
      <t xml:space="preserve">общо лв: </t>
    </r>
    <r>
      <rPr>
        <b/>
        <sz val="10"/>
        <color theme="1"/>
        <rFont val="Calibri"/>
        <family val="2"/>
        <charset val="204"/>
        <scheme val="minor"/>
      </rPr>
      <t>53155,80</t>
    </r>
  </si>
  <si>
    <r>
      <t xml:space="preserve">общо лв: </t>
    </r>
    <r>
      <rPr>
        <b/>
        <sz val="10"/>
        <color theme="1"/>
        <rFont val="Calibri"/>
        <family val="2"/>
        <charset val="204"/>
        <scheme val="minor"/>
      </rPr>
      <t>66887,48</t>
    </r>
  </si>
  <si>
    <r>
      <t xml:space="preserve">общо лв: </t>
    </r>
    <r>
      <rPr>
        <b/>
        <sz val="10"/>
        <color theme="1"/>
        <rFont val="Calibri"/>
        <family val="2"/>
        <charset val="204"/>
        <scheme val="minor"/>
      </rPr>
      <t>36458,23</t>
    </r>
  </si>
  <si>
    <r>
      <t xml:space="preserve">общо лв: </t>
    </r>
    <r>
      <rPr>
        <b/>
        <sz val="10"/>
        <color theme="1"/>
        <rFont val="Calibri"/>
        <family val="2"/>
        <charset val="204"/>
        <scheme val="minor"/>
      </rPr>
      <t>40545,45</t>
    </r>
  </si>
  <si>
    <r>
      <t xml:space="preserve">общо лв: </t>
    </r>
    <r>
      <rPr>
        <b/>
        <sz val="10"/>
        <color theme="1"/>
        <rFont val="Calibri"/>
        <family val="2"/>
        <charset val="204"/>
        <scheme val="minor"/>
      </rPr>
      <t>49906,63</t>
    </r>
  </si>
  <si>
    <r>
      <t xml:space="preserve">общо лв: </t>
    </r>
    <r>
      <rPr>
        <b/>
        <sz val="10"/>
        <color theme="1"/>
        <rFont val="Calibri"/>
        <family val="2"/>
        <charset val="204"/>
        <scheme val="minor"/>
      </rPr>
      <t>553073,69</t>
    </r>
  </si>
  <si>
    <t xml:space="preserve"> ЕЛЕКТРОЕНЕРГИЯ ЗА ОБЕКТ ПСОВ Делта Хил , аб.№: 2105008068</t>
  </si>
  <si>
    <t xml:space="preserve">Електроенергията на ПСОВ Земен се заплаща от Община Земен ,поради това не разполагаме с данни за пртидата и количествата потребена електроенергия </t>
  </si>
  <si>
    <t>Обяснителна записка за стр. 3 - показатели за качество Справка 3 ред 16 ПК 11б  за 2024г Енергийната ефективност не е в норми спрямо 2023г поради присъединяване</t>
  </si>
  <si>
    <t>на ПСОВ Делта хил към количествата електроенергия за 2024г  . От 2025 до 2026 г Енергийната ефективност е съобразена със включването в експлоатация на ПСОВ Делта хил</t>
  </si>
  <si>
    <t>Псов Леко Ко EООД</t>
  </si>
  <si>
    <t>ПСОВ ДЕЛТА ХИЛ</t>
  </si>
  <si>
    <t>01.01.2023Г.</t>
  </si>
  <si>
    <t>ПОС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</si>
</sst>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 _л_в_._-;\-* #,##0.00\ _л_в_._-;_-* &quot;-&quot;??\ _л_в_._-;_-@_-"/>
    <numFmt numFmtId="164" formatCode="_(* #,##0.00_);_(* \(#,##0.00\);_(* &quot;-&quot;??_);_(@_)"/>
    <numFmt numFmtId="165" formatCode="_-* #,##0.00\ _л_в_-;\-* #,##0.00\ _л_в_-;_-* &quot;-&quot;??\ _л_в_-;_-@_-"/>
    <numFmt numFmtId="166" formatCode="#,##0.0000"/>
    <numFmt numFmtId="167" formatCode="#,##0_ ;[Red]\-#,##0\ "/>
    <numFmt numFmtId="168" formatCode="#,##0;[Red]#,##0"/>
    <numFmt numFmtId="169" formatCode="0.0000"/>
    <numFmt numFmtId="170" formatCode="0\ \г."/>
    <numFmt numFmtId="171" formatCode="#,##0.000"/>
    <numFmt numFmtId="172" formatCode="0.0%"/>
    <numFmt numFmtId="173" formatCode="#,##0\ _л_в_."/>
    <numFmt numFmtId="174" formatCode="0_ ;[Red]\-0\ "/>
    <numFmt numFmtId="175" formatCode="#,##0.0"/>
    <numFmt numFmtId="176" formatCode="0.000"/>
    <numFmt numFmtId="177" formatCode="0.0"/>
    <numFmt numFmtId="178" formatCode="#,##0.00_ ;[Red]\-#,##0.00\ "/>
  </numFmts>
  <fonts count="214">
    <font>
      <sz val="10"/>
      <name val="Arial"/>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charset val="204"/>
    </font>
    <font>
      <b/>
      <i/>
      <sz val="10"/>
      <name val="Times New Roman"/>
      <family val="1"/>
      <charset val="204"/>
    </font>
    <font>
      <sz val="9"/>
      <name val="Arial"/>
      <family val="2"/>
      <charset val="204"/>
    </font>
    <font>
      <b/>
      <sz val="14"/>
      <name val="Times New Roman"/>
      <family val="1"/>
      <charset val="204"/>
    </font>
    <font>
      <sz val="14"/>
      <name val="Times New Roman"/>
      <family val="1"/>
      <charset val="204"/>
    </font>
    <font>
      <u/>
      <sz val="10"/>
      <color indexed="12"/>
      <name val="Timok"/>
      <family val="2"/>
    </font>
    <font>
      <u/>
      <sz val="9"/>
      <color indexed="12"/>
      <name val="Timok"/>
      <family val="2"/>
    </font>
    <font>
      <b/>
      <sz val="11"/>
      <name val="Times New Roman"/>
      <family val="1"/>
      <charset val="204"/>
    </font>
    <font>
      <b/>
      <sz val="12"/>
      <name val="Times New Roman"/>
      <family val="1"/>
      <charset val="204"/>
    </font>
    <font>
      <b/>
      <sz val="10"/>
      <name val="Times New Roman"/>
      <family val="1"/>
      <charset val="204"/>
    </font>
    <font>
      <sz val="11"/>
      <color indexed="8"/>
      <name val="Calibri"/>
      <family val="2"/>
      <charset val="204"/>
    </font>
    <font>
      <sz val="11"/>
      <color indexed="9"/>
      <name val="Calibri"/>
      <family val="2"/>
      <charset val="204"/>
    </font>
    <font>
      <sz val="10"/>
      <name val="Hebar"/>
      <family val="2"/>
      <charset val="204"/>
    </font>
    <font>
      <b/>
      <sz val="11"/>
      <color indexed="8"/>
      <name val="Calibri"/>
      <family val="2"/>
      <charset val="204"/>
    </font>
    <font>
      <u/>
      <sz val="11"/>
      <color indexed="12"/>
      <name val="Calibri"/>
      <family val="2"/>
      <charset val="204"/>
    </font>
    <font>
      <sz val="10"/>
      <name val="Arial"/>
      <family val="2"/>
      <charset val="204"/>
    </font>
    <font>
      <b/>
      <sz val="18"/>
      <color indexed="62"/>
      <name val="Cambria"/>
      <family val="2"/>
      <charset val="204"/>
    </font>
    <font>
      <b/>
      <sz val="12"/>
      <color indexed="18"/>
      <name val="Arial"/>
      <family val="2"/>
    </font>
    <font>
      <b/>
      <sz val="9"/>
      <color indexed="81"/>
      <name val="Tahoma"/>
      <family val="2"/>
      <charset val="204"/>
    </font>
    <font>
      <sz val="9"/>
      <color indexed="81"/>
      <name val="Tahoma"/>
      <family val="2"/>
      <charset val="204"/>
    </font>
    <font>
      <b/>
      <i/>
      <sz val="12"/>
      <name val="Times New Roman"/>
      <family val="1"/>
      <charset val="204"/>
    </font>
    <font>
      <i/>
      <sz val="12"/>
      <name val="Times New Roman"/>
      <family val="1"/>
      <charset val="204"/>
    </font>
    <font>
      <sz val="12"/>
      <name val="Times New Roman"/>
      <family val="1"/>
      <charset val="204"/>
    </font>
    <font>
      <i/>
      <sz val="11"/>
      <name val="Times New Roman"/>
      <family val="1"/>
      <charset val="204"/>
    </font>
    <font>
      <i/>
      <sz val="8"/>
      <name val="Times New Roman"/>
      <family val="1"/>
      <charset val="204"/>
    </font>
    <font>
      <i/>
      <sz val="10"/>
      <name val="Arial"/>
      <family val="2"/>
      <charset val="204"/>
    </font>
    <font>
      <sz val="10"/>
      <color theme="1"/>
      <name val="Times New Roman"/>
      <family val="1"/>
      <charset val="204"/>
    </font>
    <font>
      <sz val="10"/>
      <name val="Arial"/>
      <family val="2"/>
      <charset val="204"/>
    </font>
    <font>
      <b/>
      <sz val="9"/>
      <name val="Times New Roman"/>
      <family val="1"/>
      <charset val="204"/>
    </font>
    <font>
      <sz val="9"/>
      <name val="Times New Roman"/>
      <family val="1"/>
      <charset val="204"/>
    </font>
    <font>
      <i/>
      <sz val="9"/>
      <name val="Times New Roman"/>
      <family val="1"/>
      <charset val="204"/>
    </font>
    <font>
      <i/>
      <sz val="10"/>
      <name val="Times New Roman"/>
      <family val="1"/>
      <charset val="204"/>
    </font>
    <font>
      <sz val="12"/>
      <name val="Arial"/>
      <family val="2"/>
      <charset val="204"/>
    </font>
    <font>
      <sz val="9"/>
      <name val="Times New Roman"/>
      <family val="1"/>
    </font>
    <font>
      <b/>
      <i/>
      <sz val="9"/>
      <name val="Times New Roman"/>
      <family val="1"/>
      <charset val="204"/>
    </font>
    <font>
      <b/>
      <sz val="9"/>
      <name val="Times New Roman"/>
      <family val="1"/>
    </font>
    <font>
      <b/>
      <u/>
      <sz val="9"/>
      <name val="Times New Roman"/>
      <family val="1"/>
      <charset val="204"/>
    </font>
    <font>
      <b/>
      <sz val="12"/>
      <color indexed="9"/>
      <name val="Times New Roman"/>
      <family val="1"/>
      <charset val="204"/>
    </font>
    <font>
      <b/>
      <u/>
      <sz val="10"/>
      <name val="Times New Roman"/>
      <family val="1"/>
      <charset val="204"/>
    </font>
    <font>
      <sz val="10"/>
      <color indexed="10"/>
      <name val="Times New Roman"/>
      <family val="1"/>
      <charset val="204"/>
    </font>
    <font>
      <sz val="11"/>
      <name val="Times New Roman"/>
      <family val="1"/>
      <charset val="204"/>
    </font>
    <font>
      <b/>
      <i/>
      <sz val="11"/>
      <name val="Times New Roman"/>
      <family val="1"/>
      <charset val="204"/>
    </font>
    <font>
      <sz val="11"/>
      <name val="Arial"/>
      <family val="2"/>
      <charset val="204"/>
    </font>
    <font>
      <sz val="8"/>
      <name val="Times New Roman"/>
      <family val="1"/>
      <charset val="204"/>
    </font>
    <font>
      <sz val="10"/>
      <color indexed="9"/>
      <name val="Arial"/>
      <family val="2"/>
      <charset val="204"/>
    </font>
    <font>
      <sz val="10"/>
      <name val="Times New Roman"/>
      <family val="1"/>
    </font>
    <font>
      <vertAlign val="superscript"/>
      <sz val="10"/>
      <name val="Times New Roman"/>
      <family val="1"/>
    </font>
    <font>
      <sz val="11"/>
      <color indexed="10"/>
      <name val="Times New Roman"/>
      <family val="1"/>
      <charset val="204"/>
    </font>
    <font>
      <sz val="10"/>
      <color indexed="10"/>
      <name val="Times New Roman"/>
      <family val="1"/>
    </font>
    <font>
      <sz val="9"/>
      <color indexed="10"/>
      <name val="Times New Roman"/>
      <family val="1"/>
    </font>
    <font>
      <sz val="11"/>
      <name val="Times New Roman"/>
      <family val="1"/>
    </font>
    <font>
      <sz val="10"/>
      <color indexed="9"/>
      <name val="Times New Roman"/>
      <family val="1"/>
      <charset val="204"/>
    </font>
    <font>
      <b/>
      <sz val="10"/>
      <color rgb="FFFF0000"/>
      <name val="Times New Roman"/>
      <family val="1"/>
      <charset val="204"/>
    </font>
    <font>
      <b/>
      <sz val="10"/>
      <name val="Times New Roman"/>
      <family val="1"/>
    </font>
    <font>
      <u/>
      <sz val="9"/>
      <color indexed="12"/>
      <name val="Times New Roman"/>
      <family val="1"/>
      <charset val="204"/>
    </font>
    <font>
      <b/>
      <sz val="10"/>
      <color theme="1"/>
      <name val="Times New Roman"/>
      <family val="1"/>
      <charset val="204"/>
    </font>
    <font>
      <b/>
      <sz val="10"/>
      <name val="Arial"/>
      <family val="2"/>
      <charset val="204"/>
    </font>
    <font>
      <b/>
      <sz val="12"/>
      <name val="Times New Roman"/>
      <family val="1"/>
    </font>
    <font>
      <sz val="12"/>
      <name val="Times New Roman"/>
      <family val="1"/>
    </font>
    <font>
      <b/>
      <i/>
      <sz val="12"/>
      <name val="Times New Roman"/>
      <family val="1"/>
    </font>
    <font>
      <i/>
      <sz val="12"/>
      <name val="Times New Roman"/>
      <family val="1"/>
    </font>
    <font>
      <b/>
      <sz val="10"/>
      <color indexed="10"/>
      <name val="Times New Roman"/>
      <family val="1"/>
      <charset val="204"/>
    </font>
    <font>
      <sz val="11"/>
      <color rgb="FFFF0000"/>
      <name val="Times New Roman"/>
      <family val="1"/>
      <charset val="204"/>
    </font>
    <font>
      <sz val="10"/>
      <color rgb="FFFF0000"/>
      <name val="Arial"/>
      <family val="2"/>
      <charset val="204"/>
    </font>
    <font>
      <b/>
      <sz val="9"/>
      <color theme="1"/>
      <name val="Times New Roman"/>
      <family val="1"/>
      <charset val="204"/>
    </font>
    <font>
      <sz val="12"/>
      <name val="TmsCyr"/>
    </font>
    <font>
      <b/>
      <sz val="14"/>
      <name val="Times New Roman"/>
      <family val="1"/>
    </font>
    <font>
      <sz val="10"/>
      <name val="Arial"/>
      <family val="2"/>
    </font>
    <font>
      <sz val="10"/>
      <color rgb="FFFF0000"/>
      <name val="Times New Roman"/>
      <family val="1"/>
      <charset val="204"/>
    </font>
    <font>
      <u/>
      <sz val="11"/>
      <name val="Timok"/>
      <family val="2"/>
    </font>
    <font>
      <b/>
      <i/>
      <sz val="10"/>
      <name val="Times New Roman"/>
      <family val="1"/>
    </font>
    <font>
      <b/>
      <sz val="11"/>
      <name val="Times New Roman"/>
      <family val="1"/>
    </font>
    <font>
      <sz val="9"/>
      <color indexed="81"/>
      <name val="Tahoma"/>
      <family val="2"/>
    </font>
    <font>
      <b/>
      <sz val="9"/>
      <color indexed="81"/>
      <name val="Tahoma"/>
      <family val="2"/>
    </font>
    <font>
      <sz val="11"/>
      <color theme="1"/>
      <name val="Calibri"/>
      <family val="2"/>
      <charset val="204"/>
      <scheme val="minor"/>
    </font>
    <font>
      <i/>
      <sz val="10"/>
      <name val="Times New Roman"/>
      <family val="1"/>
    </font>
    <font>
      <i/>
      <sz val="10"/>
      <color rgb="FF000000"/>
      <name val="Times New Roman"/>
      <family val="1"/>
    </font>
    <font>
      <u/>
      <sz val="12"/>
      <color indexed="12"/>
      <name val="Times New Roman"/>
      <family val="1"/>
    </font>
    <font>
      <sz val="11"/>
      <name val="Arial"/>
      <family val="2"/>
    </font>
    <font>
      <b/>
      <sz val="10"/>
      <name val="Arial"/>
      <family val="2"/>
    </font>
    <font>
      <sz val="10"/>
      <color theme="3"/>
      <name val="Times New Roman"/>
      <family val="1"/>
      <charset val="204"/>
    </font>
    <font>
      <sz val="10"/>
      <color theme="0" tint="-0.34998626667073579"/>
      <name val="Arial"/>
      <family val="2"/>
      <charset val="204"/>
    </font>
    <font>
      <b/>
      <sz val="10"/>
      <color theme="0" tint="-0.34998626667073579"/>
      <name val="Arial"/>
      <family val="2"/>
      <charset val="204"/>
    </font>
    <font>
      <sz val="10"/>
      <color theme="0" tint="-0.499984740745262"/>
      <name val="Times New Roman"/>
      <family val="1"/>
      <charset val="204"/>
    </font>
    <font>
      <sz val="12"/>
      <color theme="0" tint="-0.499984740745262"/>
      <name val="Times New Roman"/>
      <family val="1"/>
      <charset val="204"/>
    </font>
    <font>
      <sz val="10"/>
      <color rgb="FFFF0000"/>
      <name val="Arial"/>
      <family val="2"/>
    </font>
    <font>
      <i/>
      <sz val="10"/>
      <color rgb="FFFF0000"/>
      <name val="Arial"/>
      <family val="2"/>
    </font>
    <font>
      <sz val="11"/>
      <color rgb="FFFF0000"/>
      <name val="Arial"/>
      <family val="2"/>
    </font>
    <font>
      <sz val="9"/>
      <color rgb="FFFF0000"/>
      <name val="Times New Roman"/>
      <family val="1"/>
      <charset val="204"/>
    </font>
    <font>
      <i/>
      <sz val="9"/>
      <color rgb="FFFF0000"/>
      <name val="Times New Roman"/>
      <family val="1"/>
      <charset val="204"/>
    </font>
    <font>
      <sz val="10"/>
      <color theme="1"/>
      <name val="Arial"/>
      <family val="2"/>
      <charset val="204"/>
    </font>
    <font>
      <b/>
      <sz val="10"/>
      <color rgb="FFFF0000"/>
      <name val="Times New Roman"/>
      <family val="1"/>
    </font>
    <font>
      <i/>
      <sz val="10"/>
      <name val="Arial"/>
      <family val="2"/>
    </font>
    <font>
      <sz val="8"/>
      <name val="Times New Roman"/>
      <family val="1"/>
    </font>
    <font>
      <i/>
      <sz val="10"/>
      <color theme="1"/>
      <name val="Times New Roman"/>
      <family val="1"/>
      <charset val="204"/>
    </font>
    <font>
      <i/>
      <sz val="10"/>
      <color rgb="FFFF0000"/>
      <name val="Times New Roman"/>
      <family val="1"/>
    </font>
    <font>
      <sz val="9"/>
      <color theme="3"/>
      <name val="Times New Roman"/>
      <family val="1"/>
      <charset val="204"/>
    </font>
    <font>
      <b/>
      <sz val="9"/>
      <color theme="3"/>
      <name val="Times New Roman"/>
      <family val="1"/>
      <charset val="204"/>
    </font>
    <font>
      <b/>
      <sz val="9"/>
      <color rgb="FFFF0000"/>
      <name val="Times New Roman"/>
      <family val="1"/>
      <charset val="204"/>
    </font>
    <font>
      <vertAlign val="superscript"/>
      <sz val="9"/>
      <name val="Times New Roman"/>
      <family val="1"/>
    </font>
    <font>
      <sz val="9"/>
      <color theme="1"/>
      <name val="Times New Roman"/>
      <family val="1"/>
      <charset val="204"/>
    </font>
    <font>
      <sz val="9"/>
      <name val="Arial"/>
      <family val="2"/>
    </font>
    <font>
      <u/>
      <sz val="12"/>
      <color indexed="12"/>
      <name val="Times New Roman"/>
      <family val="1"/>
      <charset val="204"/>
    </font>
    <font>
      <sz val="10"/>
      <name val="Arial"/>
      <family val="2"/>
      <charset val="204"/>
    </font>
    <font>
      <vertAlign val="superscript"/>
      <sz val="8"/>
      <name val="Times New Roman"/>
      <family val="1"/>
      <charset val="204"/>
    </font>
    <font>
      <vertAlign val="superscript"/>
      <sz val="10"/>
      <name val="Times New Roman"/>
      <family val="1"/>
      <charset val="204"/>
    </font>
    <font>
      <i/>
      <sz val="8"/>
      <color rgb="FFFF0000"/>
      <name val="Arial"/>
      <family val="2"/>
    </font>
    <font>
      <sz val="8"/>
      <name val="Arial"/>
      <family val="2"/>
    </font>
    <font>
      <b/>
      <i/>
      <sz val="10"/>
      <color rgb="FFFF0000"/>
      <name val="Times New Roman"/>
      <family val="1"/>
      <charset val="204"/>
    </font>
    <font>
      <sz val="11"/>
      <color indexed="8"/>
      <name val="Calibri"/>
      <family val="2"/>
    </font>
    <font>
      <sz val="10"/>
      <color indexed="8"/>
      <name val="Times New Roman"/>
      <family val="1"/>
      <charset val="204"/>
    </font>
    <font>
      <b/>
      <sz val="10"/>
      <color indexed="8"/>
      <name val="Times New Roman"/>
      <family val="1"/>
      <charset val="204"/>
    </font>
    <font>
      <i/>
      <sz val="10"/>
      <color indexed="10"/>
      <name val="Times New Roman"/>
      <family val="1"/>
      <charset val="204"/>
    </font>
    <font>
      <i/>
      <sz val="10"/>
      <color rgb="FFFF0000"/>
      <name val="Times New Roman"/>
      <family val="1"/>
      <charset val="204"/>
    </font>
    <font>
      <sz val="9"/>
      <color rgb="FFFF33CC"/>
      <name val="Times New Roman"/>
      <family val="1"/>
      <charset val="204"/>
    </font>
    <font>
      <b/>
      <sz val="10"/>
      <color rgb="FF990000"/>
      <name val="Times New Roman"/>
      <family val="1"/>
      <charset val="204"/>
    </font>
    <font>
      <b/>
      <sz val="11"/>
      <color rgb="FF990000"/>
      <name val="Times New Roman"/>
      <family val="1"/>
      <charset val="204"/>
    </font>
    <font>
      <b/>
      <u/>
      <sz val="11"/>
      <name val="Timok"/>
      <family val="2"/>
    </font>
    <font>
      <b/>
      <sz val="11"/>
      <name val="Arial"/>
      <family val="2"/>
      <charset val="204"/>
    </font>
    <font>
      <i/>
      <u/>
      <sz val="8"/>
      <name val="Timok"/>
      <family val="2"/>
    </font>
    <font>
      <i/>
      <sz val="8"/>
      <name val="Arial"/>
      <family val="2"/>
      <charset val="204"/>
    </font>
    <font>
      <b/>
      <sz val="11"/>
      <name val="Arial"/>
      <family val="2"/>
    </font>
    <font>
      <b/>
      <sz val="11"/>
      <color theme="5"/>
      <name val="Times New Roman"/>
      <family val="1"/>
      <charset val="204"/>
    </font>
    <font>
      <b/>
      <sz val="10"/>
      <color theme="5"/>
      <name val="Arial"/>
      <family val="2"/>
    </font>
    <font>
      <i/>
      <sz val="9"/>
      <name val="Times New Roman"/>
      <family val="1"/>
    </font>
    <font>
      <sz val="14"/>
      <name val="Times New Roman"/>
      <family val="1"/>
    </font>
    <font>
      <b/>
      <i/>
      <sz val="9"/>
      <name val="Times New Roman"/>
      <family val="1"/>
    </font>
    <font>
      <i/>
      <sz val="9"/>
      <color theme="5"/>
      <name val="Times New Roman"/>
      <family val="1"/>
    </font>
    <font>
      <sz val="10"/>
      <color theme="3"/>
      <name val="Times New Roman"/>
      <family val="1"/>
    </font>
    <font>
      <b/>
      <sz val="9"/>
      <color theme="3"/>
      <name val="Times New Roman"/>
      <family val="1"/>
    </font>
    <font>
      <b/>
      <sz val="10"/>
      <color theme="3"/>
      <name val="Times New Roman"/>
      <family val="1"/>
    </font>
    <font>
      <i/>
      <sz val="11"/>
      <name val="Times New Roman"/>
      <family val="1"/>
    </font>
    <font>
      <sz val="11"/>
      <color theme="0"/>
      <name val="Times New Roman"/>
      <family val="1"/>
      <charset val="204"/>
    </font>
    <font>
      <vertAlign val="superscript"/>
      <sz val="10"/>
      <color indexed="8"/>
      <name val="Times New Roman"/>
      <family val="1"/>
      <charset val="204"/>
    </font>
    <font>
      <vertAlign val="superscript"/>
      <sz val="10"/>
      <color rgb="FFFF0000"/>
      <name val="Times New Roman"/>
      <family val="1"/>
      <charset val="204"/>
    </font>
    <font>
      <vertAlign val="superscript"/>
      <sz val="10"/>
      <color theme="1"/>
      <name val="Times New Roman"/>
      <family val="1"/>
      <charset val="204"/>
    </font>
    <font>
      <b/>
      <sz val="10"/>
      <name val="Times Bold Italic"/>
      <family val="1"/>
    </font>
    <font>
      <sz val="10"/>
      <name val="Times Bold Italic"/>
      <family val="1"/>
    </font>
    <font>
      <sz val="9"/>
      <name val="Times Bold Italic"/>
      <family val="1"/>
    </font>
    <font>
      <b/>
      <sz val="9"/>
      <name val="Times Bold Italic"/>
      <family val="1"/>
    </font>
    <font>
      <i/>
      <sz val="10"/>
      <name val="Times Bold Italic"/>
      <family val="1"/>
    </font>
    <font>
      <sz val="9"/>
      <color rgb="FF00B050"/>
      <name val="Times New Roman"/>
      <family val="1"/>
      <charset val="204"/>
    </font>
    <font>
      <b/>
      <u/>
      <sz val="12"/>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7"/>
      <name val="Arial"/>
      <family val="2"/>
      <charset val="204"/>
    </font>
    <font>
      <b/>
      <sz val="7"/>
      <name val="Times New Roman"/>
      <family val="1"/>
      <charset val="204"/>
    </font>
    <font>
      <sz val="7"/>
      <name val="Times New Roman"/>
      <family val="1"/>
      <charset val="204"/>
    </font>
    <font>
      <i/>
      <sz val="7"/>
      <name val="Times New Roman"/>
      <family val="1"/>
      <charset val="204"/>
    </font>
    <font>
      <b/>
      <sz val="8"/>
      <color rgb="FF000000"/>
      <name val="Times New Roman"/>
      <family val="1"/>
      <charset val="204"/>
    </font>
    <font>
      <sz val="8"/>
      <color rgb="FF000000"/>
      <name val="Times New Roman"/>
      <family val="1"/>
      <charset val="204"/>
    </font>
    <font>
      <b/>
      <sz val="8"/>
      <color rgb="FF1F497D"/>
      <name val="Times New Roman"/>
      <family val="1"/>
      <charset val="204"/>
    </font>
    <font>
      <b/>
      <sz val="9"/>
      <color rgb="FF1F497D"/>
      <name val="Times New Roman"/>
      <family val="1"/>
      <charset val="204"/>
    </font>
    <font>
      <b/>
      <vertAlign val="superscript"/>
      <sz val="8"/>
      <color rgb="FF1F497D"/>
      <name val="Times New Roman"/>
      <family val="1"/>
      <charset val="204"/>
    </font>
    <font>
      <b/>
      <i/>
      <sz val="8"/>
      <color rgb="FF000000"/>
      <name val="Times New Roman"/>
      <family val="1"/>
      <charset val="204"/>
    </font>
    <font>
      <i/>
      <sz val="8"/>
      <color rgb="FF000000"/>
      <name val="Times New Roman"/>
      <family val="1"/>
      <charset val="204"/>
    </font>
    <font>
      <i/>
      <sz val="8"/>
      <color theme="1"/>
      <name val="Times New Roman"/>
      <family val="1"/>
      <charset val="204"/>
    </font>
    <font>
      <u/>
      <sz val="8"/>
      <color theme="1"/>
      <name val="Times New Roman"/>
      <family val="1"/>
      <charset val="204"/>
    </font>
    <font>
      <vertAlign val="superscript"/>
      <sz val="7"/>
      <name val="Times New Roman"/>
      <family val="1"/>
      <charset val="204"/>
    </font>
    <font>
      <b/>
      <i/>
      <sz val="8"/>
      <color theme="1"/>
      <name val="Times New Roman"/>
      <family val="1"/>
      <charset val="204"/>
    </font>
    <font>
      <i/>
      <sz val="8"/>
      <color rgb="FFFF0000"/>
      <name val="Times New Roman"/>
      <family val="1"/>
      <charset val="204"/>
    </font>
    <font>
      <sz val="12"/>
      <color theme="1"/>
      <name val="Times New Roman"/>
      <family val="1"/>
      <charset val="204"/>
    </font>
    <font>
      <b/>
      <sz val="8"/>
      <name val="Times New Roman"/>
      <family val="1"/>
    </font>
    <font>
      <b/>
      <vertAlign val="superscript"/>
      <sz val="9"/>
      <name val="Times New Roman"/>
      <family val="1"/>
      <charset val="204"/>
    </font>
    <font>
      <b/>
      <vertAlign val="subscript"/>
      <sz val="9"/>
      <name val="Times New Roman"/>
      <family val="1"/>
      <charset val="204"/>
    </font>
    <font>
      <sz val="8"/>
      <color theme="3" tint="-0.249977111117893"/>
      <name val="Times New Roman"/>
      <family val="1"/>
      <charset val="204"/>
    </font>
    <font>
      <b/>
      <sz val="8"/>
      <color theme="3" tint="-0.249977111117893"/>
      <name val="Times New Roman"/>
      <family val="1"/>
      <charset val="204"/>
    </font>
    <font>
      <vertAlign val="superscript"/>
      <sz val="9"/>
      <color theme="3"/>
      <name val="Times New Roman"/>
      <family val="1"/>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sz val="11"/>
      <color indexed="10"/>
      <name val="Calibri"/>
      <family val="2"/>
      <charset val="204"/>
    </font>
    <font>
      <i/>
      <sz val="9"/>
      <color theme="1"/>
      <name val="Times New Roman"/>
      <family val="1"/>
      <charset val="204"/>
    </font>
    <font>
      <sz val="10"/>
      <color theme="1"/>
      <name val="Times New Roman"/>
      <family val="1"/>
    </font>
    <font>
      <sz val="10"/>
      <color rgb="FFFF0000"/>
      <name val="Times New Roman"/>
      <family val="1"/>
    </font>
    <font>
      <sz val="10"/>
      <color rgb="FF008000"/>
      <name val="Times New Roman"/>
      <family val="1"/>
      <charset val="204"/>
    </font>
    <font>
      <u/>
      <sz val="10"/>
      <color indexed="12"/>
      <name val="Timok"/>
      <charset val="204"/>
    </font>
    <font>
      <b/>
      <sz val="12"/>
      <color indexed="18"/>
      <name val="Arial"/>
      <family val="2"/>
      <charset val="204"/>
    </font>
    <font>
      <b/>
      <sz val="18"/>
      <color indexed="62"/>
      <name val="Cambria"/>
      <family val="1"/>
      <charset val="204"/>
    </font>
    <font>
      <sz val="10"/>
      <color indexed="8"/>
      <name val="Arial"/>
      <family val="2"/>
      <charset val="204"/>
    </font>
    <font>
      <b/>
      <sz val="10"/>
      <color theme="1"/>
      <name val="Calibri"/>
      <family val="2"/>
      <charset val="204"/>
      <scheme val="minor"/>
    </font>
    <font>
      <sz val="12"/>
      <color theme="1"/>
      <name val="Calibri"/>
      <family val="2"/>
      <charset val="204"/>
      <scheme val="minor"/>
    </font>
    <font>
      <sz val="10"/>
      <color theme="1"/>
      <name val="Calibri"/>
      <family val="2"/>
      <charset val="204"/>
      <scheme val="minor"/>
    </font>
    <font>
      <sz val="11"/>
      <color rgb="FFFF0000"/>
      <name val="Calibri"/>
      <family val="2"/>
      <scheme val="minor"/>
    </font>
    <font>
      <sz val="14"/>
      <color theme="1"/>
      <name val="Calibri"/>
      <family val="2"/>
      <charset val="204"/>
      <scheme val="minor"/>
    </font>
    <font>
      <sz val="11"/>
      <name val="Calibri"/>
      <family val="2"/>
      <scheme val="minor"/>
    </font>
    <font>
      <sz val="14"/>
      <color theme="1"/>
      <name val="Calibri"/>
      <family val="2"/>
      <scheme val="minor"/>
    </font>
    <font>
      <sz val="14"/>
      <name val="Arial"/>
      <family val="2"/>
      <charset val="204"/>
    </font>
  </fonts>
  <fills count="75">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15"/>
      </patternFill>
    </fill>
    <fill>
      <patternFill patternType="solid">
        <fgColor indexed="22"/>
      </patternFill>
    </fill>
    <fill>
      <patternFill patternType="gray125">
        <bgColor indexed="4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1"/>
      </patternFill>
    </fill>
    <fill>
      <patternFill patternType="solid">
        <fgColor indexed="44"/>
      </patternFill>
    </fill>
    <fill>
      <patternFill patternType="solid">
        <fgColor indexed="9"/>
        <bgColor indexed="64"/>
      </patternFill>
    </fill>
    <fill>
      <patternFill patternType="solid">
        <fgColor indexed="41"/>
        <bgColor indexed="64"/>
      </patternFill>
    </fill>
    <fill>
      <patternFill patternType="solid">
        <fgColor theme="4" tint="0.79998168889431442"/>
        <bgColor indexed="64"/>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theme="0"/>
        <bgColor indexed="64"/>
      </patternFill>
    </fill>
    <fill>
      <patternFill patternType="solid">
        <fgColor indexed="65"/>
        <bgColor indexed="64"/>
      </patternFill>
    </fill>
    <fill>
      <patternFill patternType="solid">
        <fgColor rgb="FFFFFFCC"/>
        <bgColor indexed="64"/>
      </patternFill>
    </fill>
    <fill>
      <patternFill patternType="lightGray">
        <bgColor theme="0"/>
      </patternFill>
    </fill>
    <fill>
      <patternFill patternType="solid">
        <fgColor rgb="FF07EDF9"/>
        <bgColor indexed="64"/>
      </patternFill>
    </fill>
    <fill>
      <patternFill patternType="solid">
        <fgColor rgb="FFCCFFFF"/>
        <bgColor indexed="64"/>
      </patternFill>
    </fill>
    <fill>
      <patternFill patternType="solid">
        <fgColor rgb="FFB7ECFF"/>
        <bgColor indexed="64"/>
      </patternFill>
    </fill>
    <fill>
      <patternFill patternType="solid">
        <fgColor rgb="FFEAEAEA"/>
        <bgColor indexed="64"/>
      </patternFill>
    </fill>
    <fill>
      <patternFill patternType="solid">
        <fgColor rgb="FF00CCFF"/>
        <bgColor indexed="64"/>
      </patternFill>
    </fill>
    <fill>
      <patternFill patternType="solid">
        <fgColor rgb="FF66FFFF"/>
        <bgColor indexed="64"/>
      </patternFill>
    </fill>
    <fill>
      <patternFill patternType="solid">
        <fgColor rgb="FFCCECFF"/>
        <bgColor indexed="64"/>
      </patternFill>
    </fill>
    <fill>
      <patternFill patternType="solid">
        <fgColor theme="0" tint="-0.14999847407452621"/>
        <bgColor indexed="64"/>
      </patternFill>
    </fill>
    <fill>
      <patternFill patternType="solid">
        <fgColor theme="0" tint="-0.14999847407452621"/>
        <bgColor indexed="63"/>
      </patternFill>
    </fill>
    <fill>
      <patternFill patternType="solid">
        <fgColor theme="7" tint="0.79998168889431442"/>
        <bgColor indexed="64"/>
      </patternFill>
    </fill>
    <fill>
      <patternFill patternType="solid">
        <fgColor rgb="FFCCFFCC"/>
        <bgColor indexed="64"/>
      </patternFill>
    </fill>
    <fill>
      <patternFill patternType="solid">
        <fgColor rgb="FFBCF6C6"/>
        <bgColor indexed="64"/>
      </patternFill>
    </fill>
    <fill>
      <patternFill patternType="solid">
        <fgColor indexed="22"/>
        <bgColor indexed="64"/>
      </patternFill>
    </fill>
    <fill>
      <patternFill patternType="lightGray">
        <bgColor indexed="9"/>
      </patternFill>
    </fill>
    <fill>
      <patternFill patternType="solid">
        <fgColor theme="9" tint="0.79998168889431442"/>
        <bgColor indexed="64"/>
      </patternFill>
    </fill>
    <fill>
      <patternFill patternType="solid">
        <fgColor theme="0" tint="-0.14996795556505021"/>
        <bgColor indexed="64"/>
      </patternFill>
    </fill>
    <fill>
      <patternFill patternType="solid">
        <fgColor rgb="FFFFCC99"/>
        <bgColor indexed="64"/>
      </patternFill>
    </fill>
    <fill>
      <patternFill patternType="solid">
        <fgColor rgb="FFFFFFFF"/>
        <bgColor indexed="64"/>
      </patternFill>
    </fill>
    <fill>
      <patternFill patternType="solid">
        <fgColor rgb="FFD9D9D9"/>
        <bgColor indexed="64"/>
      </patternFill>
    </fill>
    <fill>
      <patternFill patternType="lightGray">
        <fgColor theme="0" tint="-0.24994659260841701"/>
        <bgColor rgb="FFBFBFBF"/>
      </patternFill>
    </fill>
    <fill>
      <patternFill patternType="gray125">
        <bgColor rgb="FFDFDFDF"/>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15"/>
        <bgColor indexed="64"/>
      </patternFill>
    </fill>
    <fill>
      <patternFill patternType="solid">
        <fgColor indexed="21"/>
        <bgColor indexed="64"/>
      </patternFill>
    </fill>
  </fills>
  <borders count="169">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8"/>
      </top>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medium">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medium">
        <color indexed="64"/>
      </right>
      <top/>
      <bottom/>
      <diagonal style="thin">
        <color indexed="64"/>
      </diagonal>
    </border>
    <border diagonalUp="1" diagonalDown="1">
      <left style="thin">
        <color indexed="64"/>
      </left>
      <right style="medium">
        <color indexed="64"/>
      </right>
      <top/>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left style="medium">
        <color indexed="64"/>
      </left>
      <right/>
      <top style="thin">
        <color indexed="8"/>
      </top>
      <bottom/>
      <diagonal/>
    </border>
    <border>
      <left style="thin">
        <color indexed="64"/>
      </left>
      <right/>
      <top/>
      <bottom style="medium">
        <color indexed="64"/>
      </bottom>
      <diagonal/>
    </border>
    <border diagonalUp="1" diagonalDown="1">
      <left style="thin">
        <color indexed="64"/>
      </left>
      <right style="thin">
        <color indexed="64"/>
      </right>
      <top style="medium">
        <color indexed="64"/>
      </top>
      <bottom/>
      <diagonal style="thin">
        <color indexed="64"/>
      </diagonal>
    </border>
    <border diagonalUp="1" diagonalDown="1">
      <left style="thin">
        <color indexed="64"/>
      </left>
      <right style="medium">
        <color indexed="64"/>
      </right>
      <top style="medium">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diagonalUp="1" diagonalDown="1">
      <left/>
      <right style="thin">
        <color indexed="64"/>
      </right>
      <top style="medium">
        <color indexed="64"/>
      </top>
      <bottom/>
      <diagonal style="thin">
        <color indexed="64"/>
      </diagonal>
    </border>
    <border diagonalUp="1" diagonalDown="1">
      <left/>
      <right style="thin">
        <color indexed="64"/>
      </right>
      <top/>
      <bottom/>
      <diagonal style="thin">
        <color indexed="64"/>
      </diagonal>
    </border>
    <border diagonalUp="1" diagonalDown="1">
      <left/>
      <right style="thin">
        <color indexed="64"/>
      </right>
      <top/>
      <bottom style="medium">
        <color indexed="64"/>
      </bottom>
      <diagonal style="thin">
        <color indexed="64"/>
      </diagonal>
    </border>
    <border diagonalUp="1" diagonalDown="1">
      <left style="medium">
        <color indexed="64"/>
      </left>
      <right style="medium">
        <color indexed="64"/>
      </right>
      <top style="medium">
        <color indexed="64"/>
      </top>
      <bottom/>
      <diagonal style="thin">
        <color indexed="64"/>
      </diagonal>
    </border>
    <border diagonalUp="1" diagonalDown="1">
      <left style="medium">
        <color indexed="64"/>
      </left>
      <right style="medium">
        <color indexed="64"/>
      </right>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8"/>
      </top>
      <bottom style="medium">
        <color indexed="64"/>
      </bottom>
      <diagonal/>
    </border>
    <border diagonalUp="1" diagonalDown="1">
      <left style="medium">
        <color indexed="64"/>
      </left>
      <right style="medium">
        <color indexed="64"/>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hair">
        <color indexed="64"/>
      </bottom>
      <diagonal/>
    </border>
    <border diagonalUp="1"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hair">
        <color indexed="64"/>
      </left>
      <right/>
      <top/>
      <bottom/>
      <diagonal/>
    </border>
    <border diagonalUp="1" diagonalDown="1">
      <left/>
      <right style="thin">
        <color indexed="64"/>
      </right>
      <top style="thin">
        <color indexed="64"/>
      </top>
      <bottom style="thin">
        <color indexed="64"/>
      </bottom>
      <diagonal style="thin">
        <color indexed="64"/>
      </diagonal>
    </border>
    <border diagonalUp="1" diagonalDown="1">
      <left/>
      <right style="medium">
        <color indexed="64"/>
      </right>
      <top style="medium">
        <color indexed="64"/>
      </top>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style="thin">
        <color indexed="64"/>
      </left>
      <right style="double">
        <color indexed="64"/>
      </right>
      <top style="thin">
        <color indexed="64"/>
      </top>
      <bottom style="thin">
        <color indexed="64"/>
      </bottom>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medium">
        <color indexed="64"/>
      </left>
      <right style="medium">
        <color indexed="64"/>
      </right>
      <top/>
      <bottom style="thin">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style="medium">
        <color indexed="64"/>
      </left>
      <right style="thin">
        <color indexed="64"/>
      </right>
      <top/>
      <bottom style="medium">
        <color indexed="64"/>
      </bottom>
      <diagonal style="thin">
        <color indexed="64"/>
      </diagonal>
    </border>
    <border diagonalUp="1" diagonalDown="1">
      <left style="medium">
        <color indexed="64"/>
      </left>
      <right style="thin">
        <color indexed="64"/>
      </right>
      <top/>
      <bottom style="thin">
        <color indexed="64"/>
      </bottom>
      <diagonal style="thin">
        <color indexed="64"/>
      </diagonal>
    </border>
    <border diagonalUp="1" diagonalDown="1">
      <left style="medium">
        <color indexed="64"/>
      </left>
      <right style="thin">
        <color indexed="64"/>
      </right>
      <top style="thin">
        <color indexed="64"/>
      </top>
      <bottom/>
      <diagonal style="thin">
        <color indexed="64"/>
      </diagonal>
    </border>
    <border>
      <left/>
      <right style="hair">
        <color indexed="64"/>
      </right>
      <top/>
      <bottom/>
      <diagonal/>
    </border>
    <border>
      <left style="hair">
        <color indexed="64"/>
      </left>
      <right style="hair">
        <color indexed="64"/>
      </right>
      <top style="medium">
        <color indexed="64"/>
      </top>
      <bottom/>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hair">
        <color indexed="64"/>
      </left>
      <right/>
      <top/>
      <bottom style="hair">
        <color indexed="64"/>
      </bottom>
      <diagonal/>
    </border>
    <border>
      <left/>
      <right style="hair">
        <color indexed="64"/>
      </right>
      <top/>
      <bottom style="hair">
        <color indexed="64"/>
      </bottom>
      <diagonal/>
    </border>
    <border diagonalUp="1" diagonalDown="1">
      <left style="hair">
        <color indexed="64"/>
      </left>
      <right style="hair">
        <color indexed="64"/>
      </right>
      <top/>
      <bottom style="hair">
        <color indexed="64"/>
      </bottom>
      <diagonal style="hair">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right style="thin">
        <color indexed="64"/>
      </right>
      <top style="medium">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medium">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right style="thin">
        <color indexed="64"/>
      </right>
      <top/>
      <bottom style="thin">
        <color indexed="64"/>
      </bottom>
      <diagonal style="thin">
        <color indexed="64"/>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s>
  <cellStyleXfs count="342">
    <xf numFmtId="0" fontId="0" fillId="0" borderId="0"/>
    <xf numFmtId="9" fontId="14" fillId="0" borderId="0" applyFont="0" applyFill="0" applyBorder="0" applyAlignment="0" applyProtection="0"/>
    <xf numFmtId="0" fontId="20" fillId="0" borderId="0" applyNumberFormat="0" applyFill="0" applyBorder="0" applyAlignment="0" applyProtection="0">
      <alignment vertical="top"/>
      <protection locked="0"/>
    </xf>
    <xf numFmtId="0" fontId="25" fillId="4" borderId="0" applyNumberFormat="0" applyBorder="0" applyAlignment="0" applyProtection="0"/>
    <xf numFmtId="0" fontId="25" fillId="4" borderId="0" applyNumberFormat="0" applyBorder="0" applyAlignment="0" applyProtection="0"/>
    <xf numFmtId="0" fontId="26"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6" fillId="8" borderId="0" applyNumberFormat="0" applyBorder="0" applyAlignment="0" applyProtection="0"/>
    <xf numFmtId="0" fontId="25" fillId="6" borderId="0" applyNumberFormat="0" applyBorder="0" applyAlignment="0" applyProtection="0"/>
    <xf numFmtId="0" fontId="25" fillId="9"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5" fillId="7" borderId="0" applyNumberFormat="0" applyBorder="0" applyAlignment="0" applyProtection="0"/>
    <xf numFmtId="0" fontId="26" fillId="7" borderId="0" applyNumberFormat="0" applyBorder="0" applyAlignment="0" applyProtection="0"/>
    <xf numFmtId="0" fontId="25" fillId="10" borderId="0" applyNumberFormat="0" applyBorder="0" applyAlignment="0" applyProtection="0"/>
    <xf numFmtId="0" fontId="25" fillId="4" borderId="0" applyNumberFormat="0" applyBorder="0" applyAlignment="0" applyProtection="0"/>
    <xf numFmtId="0" fontId="26"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6" fillId="11" borderId="0" applyNumberFormat="0" applyBorder="0" applyAlignment="0" applyProtection="0"/>
    <xf numFmtId="1" fontId="27" fillId="12" borderId="0">
      <alignment horizontal="center" vertical="center" wrapText="1"/>
    </xf>
    <xf numFmtId="4" fontId="27" fillId="13" borderId="7">
      <alignment vertical="center"/>
      <protection locked="0"/>
    </xf>
    <xf numFmtId="0" fontId="27" fillId="14" borderId="0">
      <alignment horizontal="right"/>
    </xf>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49" fontId="27" fillId="18" borderId="0">
      <alignment vertical="top" wrapText="1"/>
    </xf>
    <xf numFmtId="38" fontId="27" fillId="13" borderId="0">
      <alignment horizontal="right" vertical="center" wrapText="1"/>
    </xf>
    <xf numFmtId="0" fontId="29" fillId="0" borderId="0" applyNumberFormat="0" applyFill="0" applyBorder="0" applyAlignment="0" applyProtection="0">
      <alignment vertical="top"/>
      <protection locked="0"/>
    </xf>
    <xf numFmtId="0" fontId="30" fillId="19" borderId="8">
      <alignment wrapText="1"/>
    </xf>
    <xf numFmtId="0" fontId="25" fillId="0" borderId="0"/>
    <xf numFmtId="0" fontId="30" fillId="0" borderId="0"/>
    <xf numFmtId="9" fontId="25" fillId="0" borderId="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1" fillId="0" borderId="0" applyNumberFormat="0" applyFill="0" applyBorder="0" applyAlignment="0" applyProtection="0"/>
    <xf numFmtId="3" fontId="27" fillId="0" borderId="0">
      <alignment horizontal="right" vertical="center" wrapText="1"/>
      <protection locked="0"/>
    </xf>
    <xf numFmtId="0" fontId="32" fillId="0" borderId="0"/>
    <xf numFmtId="0" fontId="25" fillId="0" borderId="0"/>
    <xf numFmtId="0" fontId="47" fillId="0" borderId="0"/>
    <xf numFmtId="9" fontId="42" fillId="0" borderId="0" applyFont="0" applyFill="0" applyBorder="0" applyAlignment="0" applyProtection="0"/>
    <xf numFmtId="0" fontId="42" fillId="0" borderId="0"/>
    <xf numFmtId="0" fontId="47" fillId="0" borderId="0"/>
    <xf numFmtId="165" fontId="42" fillId="0" borderId="0" applyFont="0" applyFill="0" applyBorder="0" applyAlignment="0" applyProtection="0"/>
    <xf numFmtId="0" fontId="14" fillId="0" borderId="0"/>
    <xf numFmtId="43" fontId="30" fillId="0" borderId="0" applyFont="0" applyFill="0" applyBorder="0" applyAlignment="0" applyProtection="0"/>
    <xf numFmtId="0" fontId="80" fillId="0" borderId="0"/>
    <xf numFmtId="165" fontId="30" fillId="0" borderId="0" applyFont="0" applyFill="0" applyBorder="0" applyAlignment="0" applyProtection="0"/>
    <xf numFmtId="0" fontId="82" fillId="0" borderId="0"/>
    <xf numFmtId="9" fontId="13" fillId="0" borderId="0" applyFont="0" applyFill="0" applyBorder="0" applyAlignment="0" applyProtection="0"/>
    <xf numFmtId="9" fontId="12" fillId="0" borderId="0" applyFont="0" applyFill="0" applyBorder="0" applyAlignment="0" applyProtection="0"/>
    <xf numFmtId="0" fontId="89" fillId="0" borderId="0"/>
    <xf numFmtId="0" fontId="105" fillId="0" borderId="0"/>
    <xf numFmtId="0" fontId="89" fillId="0" borderId="0"/>
    <xf numFmtId="164" fontId="118" fillId="0" borderId="0" applyFont="0" applyFill="0" applyBorder="0" applyAlignment="0" applyProtection="0"/>
    <xf numFmtId="0" fontId="12" fillId="0" borderId="0"/>
    <xf numFmtId="0" fontId="11" fillId="0" borderId="0"/>
    <xf numFmtId="0" fontId="11" fillId="0" borderId="0"/>
    <xf numFmtId="9" fontId="30"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164" fontId="30" fillId="0" borderId="0" applyFont="0" applyFill="0" applyBorder="0" applyAlignment="0" applyProtection="0"/>
    <xf numFmtId="9" fontId="124" fillId="0" borderId="0" applyFont="0" applyFill="0" applyBorder="0" applyAlignment="0" applyProtection="0"/>
    <xf numFmtId="0" fontId="10" fillId="0" borderId="0"/>
    <xf numFmtId="0" fontId="10" fillId="0" borderId="0"/>
    <xf numFmtId="0" fontId="124" fillId="0" borderId="0"/>
    <xf numFmtId="0" fontId="25" fillId="0" borderId="0"/>
    <xf numFmtId="0" fontId="25" fillId="0" borderId="0"/>
    <xf numFmtId="9" fontId="12" fillId="0" borderId="0" applyFont="0" applyFill="0" applyBorder="0" applyAlignment="0" applyProtection="0"/>
    <xf numFmtId="9"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20" fillId="0" borderId="0" applyNumberFormat="0" applyFill="0" applyBorder="0" applyAlignment="0" applyProtection="0">
      <alignment vertical="top"/>
      <protection locked="0"/>
    </xf>
    <xf numFmtId="0" fontId="30" fillId="0" borderId="0"/>
    <xf numFmtId="0" fontId="8" fillId="0" borderId="0"/>
    <xf numFmtId="0" fontId="7" fillId="0" borderId="0"/>
    <xf numFmtId="0" fontId="7" fillId="0" borderId="0"/>
    <xf numFmtId="0" fontId="25" fillId="0" borderId="0"/>
    <xf numFmtId="0" fontId="82" fillId="0" borderId="0"/>
    <xf numFmtId="0" fontId="7" fillId="0" borderId="0"/>
    <xf numFmtId="0" fontId="7" fillId="0" borderId="0"/>
    <xf numFmtId="9" fontId="7" fillId="0" borderId="0" applyFont="0" applyFill="0" applyBorder="0" applyAlignment="0" applyProtection="0"/>
    <xf numFmtId="0" fontId="25" fillId="0" borderId="0"/>
    <xf numFmtId="0" fontId="6" fillId="0" borderId="0"/>
    <xf numFmtId="9" fontId="6" fillId="0" borderId="0" applyFont="0" applyFill="0" applyBorder="0" applyAlignment="0" applyProtection="0"/>
    <xf numFmtId="0" fontId="6" fillId="0" borderId="0"/>
    <xf numFmtId="0" fontId="6" fillId="0" borderId="0"/>
    <xf numFmtId="0" fontId="5" fillId="0" borderId="0"/>
    <xf numFmtId="0" fontId="4" fillId="0" borderId="0"/>
    <xf numFmtId="0" fontId="4" fillId="0" borderId="0"/>
    <xf numFmtId="0" fontId="30" fillId="0" borderId="0"/>
    <xf numFmtId="0" fontId="25" fillId="52"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19"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55" borderId="0" applyNumberFormat="0" applyBorder="0" applyAlignment="0" applyProtection="0"/>
    <xf numFmtId="0" fontId="25" fillId="19" borderId="0" applyNumberFormat="0" applyBorder="0" applyAlignment="0" applyProtection="0"/>
    <xf numFmtId="0" fontId="25" fillId="60" borderId="0" applyNumberFormat="0" applyBorder="0" applyAlignment="0" applyProtection="0"/>
    <xf numFmtId="0" fontId="26" fillId="61" borderId="0" applyNumberFormat="0" applyBorder="0" applyAlignment="0" applyProtection="0"/>
    <xf numFmtId="0" fontId="26" fillId="58" borderId="0" applyNumberFormat="0" applyBorder="0" applyAlignment="0" applyProtection="0"/>
    <xf numFmtId="0" fontId="26" fillId="59" borderId="0" applyNumberFormat="0" applyBorder="0" applyAlignment="0" applyProtection="0"/>
    <xf numFmtId="0" fontId="26" fillId="62" borderId="0" applyNumberFormat="0" applyBorder="0" applyAlignment="0" applyProtection="0"/>
    <xf numFmtId="0" fontId="26" fillId="63" borderId="0" applyNumberFormat="0" applyBorder="0" applyAlignment="0" applyProtection="0"/>
    <xf numFmtId="0" fontId="26" fillId="64" borderId="0" applyNumberFormat="0" applyBorder="0" applyAlignment="0" applyProtection="0"/>
    <xf numFmtId="0" fontId="26" fillId="65" borderId="0" applyNumberFormat="0" applyBorder="0" applyAlignment="0" applyProtection="0"/>
    <xf numFmtId="0" fontId="26" fillId="66" borderId="0" applyNumberFormat="0" applyBorder="0" applyAlignment="0" applyProtection="0"/>
    <xf numFmtId="0" fontId="26" fillId="67" borderId="0" applyNumberFormat="0" applyBorder="0" applyAlignment="0" applyProtection="0"/>
    <xf numFmtId="0" fontId="26" fillId="62" borderId="0" applyNumberFormat="0" applyBorder="0" applyAlignment="0" applyProtection="0"/>
    <xf numFmtId="0" fontId="26" fillId="63" borderId="0" applyNumberFormat="0" applyBorder="0" applyAlignment="0" applyProtection="0"/>
    <xf numFmtId="0" fontId="26" fillId="68" borderId="0" applyNumberFormat="0" applyBorder="0" applyAlignment="0" applyProtection="0"/>
    <xf numFmtId="0" fontId="184" fillId="53" borderId="0" applyNumberFormat="0" applyBorder="0" applyAlignment="0" applyProtection="0"/>
    <xf numFmtId="0" fontId="185" fillId="13" borderId="153" applyNumberFormat="0" applyAlignment="0" applyProtection="0"/>
    <xf numFmtId="0" fontId="186" fillId="69" borderId="154" applyNumberFormat="0" applyAlignment="0" applyProtection="0"/>
    <xf numFmtId="0" fontId="187" fillId="0" borderId="0" applyNumberFormat="0" applyFill="0" applyBorder="0" applyAlignment="0" applyProtection="0"/>
    <xf numFmtId="0" fontId="188" fillId="54" borderId="0" applyNumberFormat="0" applyBorder="0" applyAlignment="0" applyProtection="0"/>
    <xf numFmtId="0" fontId="189" fillId="0" borderId="155" applyNumberFormat="0" applyFill="0" applyAlignment="0" applyProtection="0"/>
    <xf numFmtId="0" fontId="190" fillId="0" borderId="156" applyNumberFormat="0" applyFill="0" applyAlignment="0" applyProtection="0"/>
    <xf numFmtId="0" fontId="191" fillId="0" borderId="157" applyNumberFormat="0" applyFill="0" applyAlignment="0" applyProtection="0"/>
    <xf numFmtId="0" fontId="191" fillId="0" borderId="0" applyNumberFormat="0" applyFill="0" applyBorder="0" applyAlignment="0" applyProtection="0"/>
    <xf numFmtId="0" fontId="192" fillId="57" borderId="153" applyNumberFormat="0" applyAlignment="0" applyProtection="0"/>
    <xf numFmtId="0" fontId="193" fillId="0" borderId="158" applyNumberFormat="0" applyFill="0" applyAlignment="0" applyProtection="0"/>
    <xf numFmtId="0" fontId="194" fillId="70" borderId="0" applyNumberFormat="0" applyBorder="0" applyAlignment="0" applyProtection="0"/>
    <xf numFmtId="0" fontId="25" fillId="0" borderId="0"/>
    <xf numFmtId="0" fontId="25" fillId="71" borderId="159" applyNumberFormat="0" applyFont="0" applyAlignment="0" applyProtection="0"/>
    <xf numFmtId="0" fontId="195" fillId="13" borderId="160" applyNumberFormat="0" applyAlignment="0" applyProtection="0"/>
    <xf numFmtId="0" fontId="196" fillId="0" borderId="0" applyNumberFormat="0" applyFill="0" applyBorder="0" applyAlignment="0" applyProtection="0"/>
    <xf numFmtId="0" fontId="28" fillId="0" borderId="161" applyNumberFormat="0" applyFill="0" applyAlignment="0" applyProtection="0"/>
    <xf numFmtId="0" fontId="197" fillId="0" borderId="0" applyNumberFormat="0" applyFill="0" applyBorder="0" applyAlignment="0" applyProtection="0"/>
    <xf numFmtId="0" fontId="30" fillId="0" borderId="0"/>
    <xf numFmtId="0" fontId="30" fillId="0" borderId="0"/>
    <xf numFmtId="0" fontId="12" fillId="0" borderId="0"/>
    <xf numFmtId="0" fontId="4" fillId="0" borderId="0"/>
    <xf numFmtId="9" fontId="4" fillId="0" borderId="0" applyFont="0" applyFill="0" applyBorder="0" applyAlignment="0" applyProtection="0"/>
    <xf numFmtId="0" fontId="4" fillId="0" borderId="0"/>
    <xf numFmtId="43" fontId="30" fillId="0" borderId="0" applyFont="0" applyFill="0" applyBorder="0" applyAlignment="0" applyProtection="0"/>
    <xf numFmtId="0" fontId="3" fillId="0" borderId="0"/>
    <xf numFmtId="0" fontId="3" fillId="0" borderId="0"/>
    <xf numFmtId="43" fontId="30" fillId="0" borderId="0" applyFont="0" applyFill="0" applyBorder="0" applyAlignment="0" applyProtection="0"/>
    <xf numFmtId="0" fontId="3" fillId="0" borderId="0"/>
    <xf numFmtId="0" fontId="3" fillId="0" borderId="0"/>
    <xf numFmtId="43" fontId="3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30" fillId="0" borderId="0" applyFont="0" applyFill="0" applyBorder="0" applyAlignment="0" applyProtection="0"/>
    <xf numFmtId="0" fontId="2" fillId="0" borderId="0"/>
    <xf numFmtId="0" fontId="2" fillId="0" borderId="0"/>
    <xf numFmtId="43" fontId="30" fillId="0" borderId="0" applyFont="0" applyFill="0" applyBorder="0" applyAlignment="0" applyProtection="0"/>
    <xf numFmtId="0" fontId="2" fillId="0" borderId="0"/>
    <xf numFmtId="0" fontId="2" fillId="0" borderId="0"/>
    <xf numFmtId="43" fontId="3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5" fillId="0" borderId="0" applyFont="0" applyFill="0" applyBorder="0" applyAlignment="0" applyProtection="0"/>
    <xf numFmtId="0" fontId="25" fillId="0" borderId="0"/>
    <xf numFmtId="0" fontId="202" fillId="0" borderId="0" applyNumberFormat="0" applyFill="0" applyBorder="0" applyAlignment="0" applyProtection="0">
      <alignment vertical="top"/>
      <protection locked="0"/>
    </xf>
    <xf numFmtId="0" fontId="25" fillId="0" borderId="0"/>
    <xf numFmtId="0" fontId="25" fillId="0" borderId="0"/>
    <xf numFmtId="0" fontId="25" fillId="0" borderId="0"/>
    <xf numFmtId="0" fontId="25" fillId="0" borderId="0"/>
    <xf numFmtId="0" fontId="25" fillId="0" borderId="0"/>
    <xf numFmtId="4" fontId="27" fillId="42" borderId="7">
      <alignment vertical="center"/>
      <protection locked="0"/>
    </xf>
    <xf numFmtId="0" fontId="25" fillId="0" borderId="0"/>
    <xf numFmtId="0" fontId="25" fillId="0" borderId="0"/>
    <xf numFmtId="0" fontId="30" fillId="0" borderId="0"/>
    <xf numFmtId="0" fontId="25" fillId="0" borderId="0"/>
    <xf numFmtId="0" fontId="25" fillId="0" borderId="0"/>
    <xf numFmtId="0" fontId="25" fillId="0" borderId="0"/>
    <xf numFmtId="1" fontId="27" fillId="73" borderId="0">
      <alignment horizontal="center" vertical="center" wrapText="1"/>
    </xf>
    <xf numFmtId="43" fontId="30" fillId="0" borderId="0" applyFont="0" applyFill="0" applyBorder="0" applyAlignment="0" applyProtection="0"/>
    <xf numFmtId="43" fontId="30" fillId="0" borderId="0" applyFont="0" applyFill="0" applyBorder="0" applyAlignment="0" applyProtection="0"/>
    <xf numFmtId="9" fontId="25" fillId="0" borderId="0" applyFont="0" applyFill="0" applyBorder="0" applyAlignment="0" applyProtection="0"/>
    <xf numFmtId="49" fontId="27" fillId="74" borderId="0">
      <alignment vertical="top" wrapText="1"/>
    </xf>
    <xf numFmtId="38" fontId="27" fillId="42" borderId="0">
      <alignment horizontal="right" vertical="center" wrapText="1"/>
    </xf>
    <xf numFmtId="0" fontId="25" fillId="0" borderId="0"/>
    <xf numFmtId="0" fontId="202" fillId="0" borderId="0" applyNumberFormat="0" applyFill="0" applyBorder="0" applyAlignment="0" applyProtection="0">
      <alignment vertical="top"/>
      <protection locked="0"/>
    </xf>
    <xf numFmtId="0" fontId="30" fillId="72" borderId="8">
      <alignment wrapText="1"/>
    </xf>
    <xf numFmtId="0" fontId="25" fillId="0" borderId="0"/>
    <xf numFmtId="0" fontId="25" fillId="0" borderId="0"/>
    <xf numFmtId="0" fontId="25" fillId="0" borderId="0"/>
    <xf numFmtId="0" fontId="3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0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4" fillId="0" borderId="0" applyNumberFormat="0" applyFill="0" applyBorder="0" applyAlignment="0" applyProtection="0"/>
    <xf numFmtId="0" fontId="203" fillId="0" borderId="0"/>
    <xf numFmtId="43" fontId="30" fillId="0" borderId="0" applyFont="0" applyFill="0" applyBorder="0" applyAlignment="0" applyProtection="0"/>
    <xf numFmtId="43" fontId="30"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3"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cellStyleXfs>
  <cellXfs count="5708">
    <xf numFmtId="0" fontId="0" fillId="0" borderId="0" xfId="0"/>
    <xf numFmtId="0" fontId="15" fillId="0" borderId="0" xfId="0" applyFont="1" applyAlignment="1">
      <alignment vertical="center"/>
    </xf>
    <xf numFmtId="0" fontId="24" fillId="0" borderId="0" xfId="0" applyFont="1"/>
    <xf numFmtId="0" fontId="43" fillId="0" borderId="0" xfId="31" applyFont="1" applyAlignment="1">
      <alignment horizontal="center" vertical="center"/>
    </xf>
    <xf numFmtId="0" fontId="48" fillId="0" borderId="0" xfId="0" applyFont="1" applyAlignment="1" applyProtection="1">
      <alignment vertical="center"/>
    </xf>
    <xf numFmtId="0" fontId="60" fillId="0" borderId="0" xfId="40" quotePrefix="1" applyFont="1" applyBorder="1" applyAlignment="1" applyProtection="1">
      <alignment horizontal="center" vertical="center" wrapText="1"/>
    </xf>
    <xf numFmtId="49" fontId="15" fillId="0" borderId="52" xfId="0" applyNumberFormat="1" applyFont="1" applyBorder="1" applyAlignment="1" applyProtection="1">
      <alignment horizontal="center" vertical="center" wrapText="1"/>
    </xf>
    <xf numFmtId="0" fontId="55" fillId="0" borderId="0" xfId="0" applyFont="1" applyAlignment="1" applyProtection="1">
      <alignment vertical="center"/>
    </xf>
    <xf numFmtId="0" fontId="55" fillId="20" borderId="0" xfId="0" applyFont="1" applyFill="1" applyAlignment="1" applyProtection="1">
      <alignment vertical="center"/>
    </xf>
    <xf numFmtId="0" fontId="48" fillId="20" borderId="0" xfId="40" applyFont="1" applyFill="1" applyAlignment="1" applyProtection="1">
      <alignment vertical="center"/>
    </xf>
    <xf numFmtId="0" fontId="48" fillId="0" borderId="0" xfId="40" applyFont="1" applyAlignment="1" applyProtection="1">
      <alignment vertical="center"/>
    </xf>
    <xf numFmtId="0" fontId="30" fillId="0" borderId="0" xfId="0" applyFont="1"/>
    <xf numFmtId="0" fontId="60" fillId="0" borderId="0" xfId="40" applyFont="1" applyAlignment="1" applyProtection="1">
      <alignment vertical="center"/>
    </xf>
    <xf numFmtId="0" fontId="63" fillId="0" borderId="0" xfId="40" applyFont="1" applyAlignment="1" applyProtection="1">
      <alignment vertical="center"/>
    </xf>
    <xf numFmtId="0" fontId="64" fillId="0" borderId="0" xfId="40" applyFont="1" applyAlignment="1" applyProtection="1">
      <alignment vertical="center"/>
    </xf>
    <xf numFmtId="0" fontId="66" fillId="0" borderId="0" xfId="0" applyFont="1" applyAlignment="1">
      <alignment vertical="center"/>
    </xf>
    <xf numFmtId="0" fontId="67" fillId="0" borderId="0" xfId="0" applyFont="1" applyAlignment="1">
      <alignment vertical="center"/>
    </xf>
    <xf numFmtId="0" fontId="0" fillId="0" borderId="0" xfId="0" applyFill="1"/>
    <xf numFmtId="0" fontId="30" fillId="27" borderId="0" xfId="32" applyFill="1"/>
    <xf numFmtId="49" fontId="72" fillId="20" borderId="17" xfId="32" applyNumberFormat="1" applyFont="1" applyFill="1" applyBorder="1" applyAlignment="1" applyProtection="1">
      <alignment horizontal="left" vertical="center"/>
    </xf>
    <xf numFmtId="0" fontId="55" fillId="26" borderId="0" xfId="0" applyFont="1" applyFill="1" applyAlignment="1">
      <alignment vertical="center"/>
    </xf>
    <xf numFmtId="0" fontId="48" fillId="0" borderId="0" xfId="32" applyFont="1" applyAlignment="1" applyProtection="1">
      <alignment vertical="center"/>
    </xf>
    <xf numFmtId="0" fontId="48" fillId="20" borderId="0" xfId="32" applyFont="1" applyFill="1" applyAlignment="1" applyProtection="1">
      <alignment vertical="center"/>
    </xf>
    <xf numFmtId="0" fontId="15" fillId="27" borderId="0" xfId="32" applyFont="1" applyFill="1"/>
    <xf numFmtId="0" fontId="30" fillId="27" borderId="0" xfId="32" applyFont="1" applyFill="1"/>
    <xf numFmtId="0" fontId="38" fillId="27" borderId="0" xfId="40" applyFont="1" applyFill="1" applyAlignment="1" applyProtection="1">
      <alignment vertical="center"/>
    </xf>
    <xf numFmtId="0" fontId="15" fillId="27" borderId="0" xfId="0" applyFont="1" applyFill="1"/>
    <xf numFmtId="49" fontId="37" fillId="27" borderId="5" xfId="0" applyNumberFormat="1" applyFont="1" applyFill="1" applyBorder="1" applyAlignment="1" applyProtection="1">
      <alignment horizontal="left" vertical="center"/>
    </xf>
    <xf numFmtId="49" fontId="37" fillId="27" borderId="17" xfId="0" applyNumberFormat="1" applyFont="1" applyFill="1" applyBorder="1" applyAlignment="1" applyProtection="1">
      <alignment horizontal="left" vertical="center"/>
    </xf>
    <xf numFmtId="0" fontId="15" fillId="27" borderId="0" xfId="0" applyNumberFormat="1" applyFont="1" applyFill="1"/>
    <xf numFmtId="0" fontId="15" fillId="27" borderId="0" xfId="0" applyNumberFormat="1" applyFont="1" applyFill="1" applyAlignment="1"/>
    <xf numFmtId="49" fontId="15" fillId="27" borderId="0" xfId="0" applyNumberFormat="1" applyFont="1" applyFill="1" applyAlignment="1">
      <alignment horizontal="right"/>
    </xf>
    <xf numFmtId="0" fontId="15" fillId="27" borderId="0" xfId="49" applyFont="1" applyFill="1"/>
    <xf numFmtId="0" fontId="24" fillId="27" borderId="0" xfId="49" applyFont="1" applyFill="1"/>
    <xf numFmtId="0" fontId="71" fillId="27" borderId="0" xfId="49" applyFont="1" applyFill="1"/>
    <xf numFmtId="49" fontId="15" fillId="27" borderId="0" xfId="49" applyNumberFormat="1" applyFont="1" applyFill="1" applyBorder="1" applyAlignment="1" applyProtection="1">
      <alignment horizontal="left" vertical="center" wrapText="1"/>
    </xf>
    <xf numFmtId="0" fontId="15" fillId="27" borderId="0" xfId="0" applyFont="1" applyFill="1" applyAlignment="1">
      <alignment vertical="center"/>
    </xf>
    <xf numFmtId="0" fontId="24" fillId="27" borderId="0" xfId="0" applyNumberFormat="1" applyFont="1" applyFill="1" applyAlignment="1">
      <alignment horizontal="right"/>
    </xf>
    <xf numFmtId="0" fontId="15" fillId="27" borderId="0" xfId="31" applyFont="1" applyFill="1"/>
    <xf numFmtId="0" fontId="39" fillId="27" borderId="0" xfId="0" applyNumberFormat="1" applyFont="1" applyFill="1" applyAlignment="1">
      <alignment horizontal="center"/>
    </xf>
    <xf numFmtId="0" fontId="24" fillId="27" borderId="0" xfId="0" applyNumberFormat="1" applyFont="1" applyFill="1" applyAlignment="1"/>
    <xf numFmtId="49" fontId="24" fillId="27" borderId="0" xfId="0" applyNumberFormat="1" applyFont="1" applyFill="1" applyAlignment="1">
      <alignment horizontal="right"/>
    </xf>
    <xf numFmtId="0" fontId="30" fillId="27" borderId="0" xfId="49" applyFont="1" applyFill="1"/>
    <xf numFmtId="0" fontId="57" fillId="27" borderId="0" xfId="49" applyFont="1" applyFill="1"/>
    <xf numFmtId="3" fontId="57" fillId="27" borderId="0" xfId="49" applyNumberFormat="1" applyFont="1" applyFill="1"/>
    <xf numFmtId="0" fontId="71" fillId="27" borderId="0" xfId="49" applyFont="1" applyFill="1" applyAlignment="1">
      <alignment vertical="center"/>
    </xf>
    <xf numFmtId="167" fontId="24" fillId="27" borderId="0" xfId="49" applyNumberFormat="1" applyFont="1" applyFill="1" applyBorder="1" applyAlignment="1">
      <alignment horizontal="right" vertical="center"/>
    </xf>
    <xf numFmtId="0" fontId="82" fillId="27" borderId="0" xfId="49" applyFont="1" applyFill="1"/>
    <xf numFmtId="0" fontId="68" fillId="27" borderId="0" xfId="0" applyFont="1" applyFill="1" applyAlignment="1">
      <alignment vertical="center"/>
    </xf>
    <xf numFmtId="0" fontId="55" fillId="27" borderId="0" xfId="49" applyFont="1" applyFill="1" applyAlignment="1">
      <alignment vertical="center"/>
    </xf>
    <xf numFmtId="0" fontId="55" fillId="27" borderId="0" xfId="49" applyFont="1" applyFill="1" applyAlignment="1">
      <alignment horizontal="center" vertical="center"/>
    </xf>
    <xf numFmtId="167" fontId="60" fillId="20" borderId="0" xfId="52" applyNumberFormat="1" applyFont="1" applyFill="1" applyBorder="1" applyAlignment="1" applyProtection="1">
      <alignment vertical="center"/>
      <protection locked="0"/>
    </xf>
    <xf numFmtId="167" fontId="60" fillId="20" borderId="0" xfId="52" applyNumberFormat="1" applyFont="1" applyFill="1" applyBorder="1" applyAlignment="1" applyProtection="1">
      <alignment horizontal="right" vertical="center"/>
      <protection locked="0"/>
    </xf>
    <xf numFmtId="167" fontId="60" fillId="20" borderId="0" xfId="52" applyNumberFormat="1" applyFont="1" applyFill="1" applyBorder="1" applyAlignment="1" applyProtection="1">
      <alignment vertical="center"/>
    </xf>
    <xf numFmtId="49" fontId="43" fillId="24" borderId="52" xfId="32" applyNumberFormat="1" applyFont="1" applyFill="1" applyBorder="1" applyAlignment="1" applyProtection="1">
      <alignment horizontal="center" vertical="center" wrapText="1"/>
    </xf>
    <xf numFmtId="0" fontId="43" fillId="24" borderId="53" xfId="32" applyFont="1" applyFill="1" applyBorder="1" applyAlignment="1" applyProtection="1">
      <alignment horizontal="left" vertical="center"/>
    </xf>
    <xf numFmtId="49" fontId="44" fillId="0" borderId="52" xfId="32" applyNumberFormat="1" applyFont="1" applyBorder="1" applyAlignment="1" applyProtection="1">
      <alignment horizontal="center" vertical="center" wrapText="1"/>
    </xf>
    <xf numFmtId="0" fontId="44" fillId="20" borderId="53" xfId="32" applyFont="1" applyFill="1" applyBorder="1" applyAlignment="1" applyProtection="1">
      <alignment vertical="center"/>
    </xf>
    <xf numFmtId="0" fontId="43" fillId="24" borderId="53" xfId="32" applyFont="1" applyFill="1" applyBorder="1" applyAlignment="1" applyProtection="1">
      <alignment horizontal="left" vertical="center" wrapText="1"/>
    </xf>
    <xf numFmtId="49" fontId="44" fillId="0" borderId="54" xfId="32" applyNumberFormat="1" applyFont="1" applyBorder="1" applyAlignment="1" applyProtection="1">
      <alignment horizontal="center" vertical="center" wrapText="1"/>
    </xf>
    <xf numFmtId="0" fontId="44" fillId="20" borderId="53" xfId="32" applyFont="1" applyFill="1" applyBorder="1" applyAlignment="1" applyProtection="1">
      <alignment horizontal="left" vertical="center" wrapText="1"/>
    </xf>
    <xf numFmtId="167" fontId="44" fillId="20" borderId="0" xfId="32" applyNumberFormat="1" applyFont="1" applyFill="1" applyBorder="1" applyAlignment="1" applyProtection="1">
      <alignment horizontal="right" vertical="center"/>
      <protection locked="0"/>
    </xf>
    <xf numFmtId="167" fontId="44" fillId="20" borderId="0" xfId="32" applyNumberFormat="1" applyFont="1" applyFill="1" applyBorder="1" applyAlignment="1" applyProtection="1">
      <alignment vertical="center"/>
    </xf>
    <xf numFmtId="167" fontId="44" fillId="20" borderId="0" xfId="32" applyNumberFormat="1" applyFont="1" applyFill="1" applyBorder="1" applyAlignment="1" applyProtection="1">
      <alignment horizontal="right" vertical="center"/>
    </xf>
    <xf numFmtId="0" fontId="56" fillId="26" borderId="0" xfId="32" applyFont="1" applyFill="1" applyBorder="1" applyAlignment="1">
      <alignment horizontal="right" vertical="center"/>
    </xf>
    <xf numFmtId="0" fontId="55" fillId="26" borderId="0" xfId="0" applyFont="1" applyFill="1" applyAlignment="1">
      <alignment horizontal="center" vertical="center"/>
    </xf>
    <xf numFmtId="3" fontId="55" fillId="26" borderId="0" xfId="0" applyNumberFormat="1" applyFont="1" applyFill="1" applyAlignment="1">
      <alignment horizontal="center" vertical="center"/>
    </xf>
    <xf numFmtId="49" fontId="43" fillId="0" borderId="0" xfId="32" applyNumberFormat="1" applyFont="1" applyFill="1" applyBorder="1" applyAlignment="1" applyProtection="1">
      <alignment horizontal="center" vertical="center" wrapText="1"/>
    </xf>
    <xf numFmtId="0" fontId="43" fillId="0" borderId="0" xfId="32" applyFont="1" applyFill="1" applyBorder="1" applyAlignment="1" applyProtection="1">
      <alignment horizontal="left" vertical="center"/>
    </xf>
    <xf numFmtId="3" fontId="44" fillId="3" borderId="24" xfId="32" applyNumberFormat="1" applyFont="1" applyFill="1" applyBorder="1" applyAlignment="1" applyProtection="1">
      <alignment horizontal="center" vertical="center"/>
      <protection locked="0"/>
    </xf>
    <xf numFmtId="3" fontId="44" fillId="3" borderId="17" xfId="32" applyNumberFormat="1" applyFont="1" applyFill="1" applyBorder="1" applyAlignment="1" applyProtection="1">
      <alignment horizontal="center" vertical="center"/>
      <protection locked="0"/>
    </xf>
    <xf numFmtId="167" fontId="44" fillId="20" borderId="0" xfId="32" applyNumberFormat="1" applyFont="1" applyFill="1" applyBorder="1" applyAlignment="1" applyProtection="1">
      <alignment horizontal="center" vertical="center"/>
    </xf>
    <xf numFmtId="0" fontId="55" fillId="27" borderId="0" xfId="0" applyFont="1" applyFill="1" applyBorder="1" applyAlignment="1" applyProtection="1">
      <alignment horizontal="left" vertical="center" wrapText="1"/>
    </xf>
    <xf numFmtId="0" fontId="107" fillId="27" borderId="0" xfId="49" applyFont="1" applyFill="1"/>
    <xf numFmtId="0" fontId="15" fillId="27" borderId="0" xfId="49" applyFont="1" applyFill="1" applyAlignment="1">
      <alignment horizontal="center"/>
    </xf>
    <xf numFmtId="0" fontId="15" fillId="0" borderId="0" xfId="0" applyFont="1" applyFill="1" applyAlignment="1">
      <alignment vertical="center"/>
    </xf>
    <xf numFmtId="0" fontId="43" fillId="27" borderId="0" xfId="0" applyFont="1" applyFill="1" applyAlignment="1">
      <alignment vertical="center"/>
    </xf>
    <xf numFmtId="0" fontId="44" fillId="27" borderId="0" xfId="0" applyFont="1" applyFill="1" applyAlignment="1">
      <alignment vertical="center"/>
    </xf>
    <xf numFmtId="0" fontId="15" fillId="3" borderId="7" xfId="0" applyFont="1" applyFill="1" applyBorder="1" applyAlignment="1" applyProtection="1">
      <alignment horizontal="center" vertical="center" wrapText="1"/>
      <protection locked="0"/>
    </xf>
    <xf numFmtId="0" fontId="15" fillId="3" borderId="73" xfId="0" applyFont="1" applyFill="1" applyBorder="1" applyAlignment="1" applyProtection="1">
      <alignment horizontal="center" vertical="center" wrapText="1"/>
      <protection locked="0"/>
    </xf>
    <xf numFmtId="0" fontId="15" fillId="3" borderId="76" xfId="0" applyFont="1" applyFill="1" applyBorder="1" applyAlignment="1" applyProtection="1">
      <alignment horizontal="center" vertical="center" wrapText="1"/>
      <protection locked="0"/>
    </xf>
    <xf numFmtId="0" fontId="15" fillId="3" borderId="53" xfId="0" applyFont="1" applyFill="1" applyBorder="1" applyAlignment="1" applyProtection="1">
      <alignment horizontal="center" vertical="center" wrapText="1"/>
      <protection locked="0"/>
    </xf>
    <xf numFmtId="0" fontId="15" fillId="3" borderId="77" xfId="0" applyFont="1" applyFill="1" applyBorder="1" applyAlignment="1" applyProtection="1">
      <alignment horizontal="center" vertical="center" wrapText="1"/>
      <protection locked="0"/>
    </xf>
    <xf numFmtId="0" fontId="15" fillId="3" borderId="57" xfId="0" applyFont="1" applyFill="1" applyBorder="1" applyAlignment="1" applyProtection="1">
      <alignment horizontal="center" vertical="center" wrapText="1"/>
      <protection locked="0"/>
    </xf>
    <xf numFmtId="0" fontId="15" fillId="3" borderId="72" xfId="0" applyFont="1" applyFill="1" applyBorder="1" applyAlignment="1" applyProtection="1">
      <alignment horizontal="center" vertical="center" wrapText="1"/>
      <protection locked="0"/>
    </xf>
    <xf numFmtId="0" fontId="15" fillId="3" borderId="32" xfId="0" applyFont="1" applyFill="1" applyBorder="1" applyAlignment="1" applyProtection="1">
      <alignment horizontal="center" vertical="center" wrapText="1"/>
      <protection locked="0"/>
    </xf>
    <xf numFmtId="0" fontId="15" fillId="3" borderId="79" xfId="0" applyFont="1" applyFill="1" applyBorder="1" applyAlignment="1" applyProtection="1">
      <alignment horizontal="center" vertical="center" wrapText="1"/>
      <protection locked="0"/>
    </xf>
    <xf numFmtId="0" fontId="15" fillId="3" borderId="51" xfId="0" applyFont="1" applyFill="1" applyBorder="1" applyAlignment="1" applyProtection="1">
      <alignment horizontal="center" vertical="center" wrapText="1"/>
      <protection locked="0"/>
    </xf>
    <xf numFmtId="0" fontId="15" fillId="3" borderId="17" xfId="0" applyFont="1" applyFill="1" applyBorder="1" applyAlignment="1" applyProtection="1">
      <alignment horizontal="center" vertical="center" wrapText="1"/>
      <protection locked="0"/>
    </xf>
    <xf numFmtId="0" fontId="15" fillId="3" borderId="21" xfId="0" applyFont="1" applyFill="1" applyBorder="1" applyAlignment="1" applyProtection="1">
      <alignment horizontal="center" vertical="center" wrapText="1"/>
      <protection locked="0"/>
    </xf>
    <xf numFmtId="49" fontId="60" fillId="27" borderId="17" xfId="52" applyNumberFormat="1" applyFont="1" applyFill="1" applyBorder="1" applyAlignment="1" applyProtection="1">
      <alignment horizontal="center" vertical="center" wrapText="1"/>
    </xf>
    <xf numFmtId="49" fontId="90" fillId="27" borderId="17" xfId="52" applyNumberFormat="1" applyFont="1" applyFill="1" applyBorder="1" applyAlignment="1" applyProtection="1">
      <alignment horizontal="center" vertical="center" wrapText="1"/>
    </xf>
    <xf numFmtId="49" fontId="68" fillId="27" borderId="21" xfId="52" applyNumberFormat="1" applyFont="1" applyFill="1" applyBorder="1" applyAlignment="1" applyProtection="1">
      <alignment horizontal="center" vertical="center" wrapText="1"/>
    </xf>
    <xf numFmtId="49" fontId="60" fillId="26" borderId="17" xfId="52" applyNumberFormat="1" applyFont="1" applyFill="1" applyBorder="1" applyAlignment="1" applyProtection="1">
      <alignment horizontal="center" vertical="center" wrapText="1"/>
    </xf>
    <xf numFmtId="49" fontId="60" fillId="26" borderId="21" xfId="52" applyNumberFormat="1" applyFont="1" applyFill="1" applyBorder="1" applyAlignment="1" applyProtection="1">
      <alignment horizontal="center" vertical="center" wrapText="1"/>
    </xf>
    <xf numFmtId="49" fontId="68" fillId="23" borderId="2" xfId="52" applyNumberFormat="1" applyFont="1" applyFill="1" applyBorder="1" applyAlignment="1" applyProtection="1">
      <alignment horizontal="center" vertical="center" wrapText="1"/>
    </xf>
    <xf numFmtId="0" fontId="60" fillId="27" borderId="51" xfId="40" quotePrefix="1" applyFont="1" applyFill="1" applyBorder="1" applyAlignment="1" applyProtection="1">
      <alignment horizontal="center" vertical="center" wrapText="1"/>
    </xf>
    <xf numFmtId="49" fontId="60" fillId="27" borderId="17" xfId="40" applyNumberFormat="1" applyFont="1" applyFill="1" applyBorder="1" applyAlignment="1" applyProtection="1">
      <alignment horizontal="center" vertical="center" wrapText="1"/>
    </xf>
    <xf numFmtId="0" fontId="68" fillId="23" borderId="2" xfId="40" applyFont="1" applyFill="1" applyBorder="1" applyAlignment="1" applyProtection="1">
      <alignment horizontal="center" vertical="center" wrapText="1"/>
    </xf>
    <xf numFmtId="49" fontId="60" fillId="27" borderId="51" xfId="40" quotePrefix="1" applyNumberFormat="1" applyFont="1" applyFill="1" applyBorder="1" applyAlignment="1" applyProtection="1">
      <alignment horizontal="center" vertical="center" wrapText="1"/>
    </xf>
    <xf numFmtId="49" fontId="60" fillId="27" borderId="21" xfId="40" applyNumberFormat="1" applyFont="1" applyFill="1" applyBorder="1" applyAlignment="1" applyProtection="1">
      <alignment horizontal="center" vertical="center" wrapText="1"/>
    </xf>
    <xf numFmtId="0" fontId="90" fillId="20" borderId="17" xfId="52" applyFont="1" applyFill="1" applyBorder="1" applyAlignment="1" applyProtection="1">
      <alignment horizontal="left" vertical="center"/>
    </xf>
    <xf numFmtId="0" fontId="68" fillId="20" borderId="21" xfId="52" applyFont="1" applyFill="1" applyBorder="1" applyAlignment="1" applyProtection="1">
      <alignment horizontal="left" vertical="center" wrapText="1"/>
    </xf>
    <xf numFmtId="0" fontId="60" fillId="26" borderId="17" xfId="52" applyFont="1" applyFill="1" applyBorder="1" applyAlignment="1" applyProtection="1">
      <alignment horizontal="left" vertical="center"/>
    </xf>
    <xf numFmtId="0" fontId="60" fillId="26" borderId="21" xfId="52" applyFont="1" applyFill="1" applyBorder="1" applyAlignment="1" applyProtection="1">
      <alignment horizontal="left" vertical="center"/>
    </xf>
    <xf numFmtId="0" fontId="60" fillId="26" borderId="17" xfId="52" applyFont="1" applyFill="1" applyBorder="1" applyAlignment="1" applyProtection="1">
      <alignment horizontal="left" vertical="center" wrapText="1"/>
    </xf>
    <xf numFmtId="0" fontId="60" fillId="20" borderId="21" xfId="52" applyFont="1" applyFill="1" applyBorder="1" applyAlignment="1" applyProtection="1">
      <alignment horizontal="left" vertical="center"/>
    </xf>
    <xf numFmtId="0" fontId="44" fillId="27" borderId="7" xfId="0" applyFont="1" applyFill="1" applyBorder="1" applyAlignment="1" applyProtection="1">
      <alignment horizontal="left" vertical="center" wrapText="1"/>
    </xf>
    <xf numFmtId="0" fontId="15" fillId="3" borderId="14" xfId="0" applyFont="1" applyFill="1" applyBorder="1" applyAlignment="1" applyProtection="1">
      <alignment horizontal="center" vertical="center" wrapText="1"/>
      <protection locked="0"/>
    </xf>
    <xf numFmtId="0" fontId="15" fillId="3" borderId="15" xfId="0" applyFont="1" applyFill="1" applyBorder="1" applyAlignment="1" applyProtection="1">
      <alignment horizontal="center" vertical="center" wrapText="1"/>
      <protection locked="0"/>
    </xf>
    <xf numFmtId="0" fontId="44" fillId="0" borderId="7" xfId="0" applyFont="1" applyFill="1" applyBorder="1" applyAlignment="1" applyProtection="1">
      <alignment horizontal="left" vertical="center" wrapText="1"/>
    </xf>
    <xf numFmtId="0" fontId="44" fillId="0" borderId="63" xfId="0" applyFont="1" applyFill="1" applyBorder="1" applyAlignment="1" applyProtection="1">
      <alignment horizontal="left" vertical="center" wrapText="1"/>
    </xf>
    <xf numFmtId="3" fontId="15" fillId="3" borderId="75" xfId="32" applyNumberFormat="1" applyFont="1" applyFill="1" applyBorder="1" applyAlignment="1" applyProtection="1">
      <alignment horizontal="center" vertical="center"/>
      <protection locked="0"/>
    </xf>
    <xf numFmtId="0" fontId="50" fillId="0" borderId="52" xfId="40" quotePrefix="1" applyFont="1" applyBorder="1" applyAlignment="1" applyProtection="1">
      <alignment horizontal="center" vertical="center" wrapText="1"/>
    </xf>
    <xf numFmtId="0" fontId="48" fillId="0" borderId="52" xfId="40" quotePrefix="1" applyFont="1" applyBorder="1" applyAlignment="1" applyProtection="1">
      <alignment horizontal="center" vertical="center" wrapText="1"/>
    </xf>
    <xf numFmtId="0" fontId="48" fillId="0" borderId="56" xfId="40" quotePrefix="1" applyFont="1" applyBorder="1" applyAlignment="1" applyProtection="1">
      <alignment horizontal="center" vertical="center" wrapText="1"/>
    </xf>
    <xf numFmtId="49" fontId="15" fillId="0" borderId="75" xfId="0" applyNumberFormat="1" applyFont="1" applyBorder="1" applyAlignment="1" applyProtection="1">
      <alignment horizontal="center" vertical="center" wrapText="1"/>
    </xf>
    <xf numFmtId="49" fontId="15" fillId="0" borderId="56" xfId="0" applyNumberFormat="1" applyFont="1" applyBorder="1" applyAlignment="1" applyProtection="1">
      <alignment horizontal="center" vertical="center" wrapText="1"/>
    </xf>
    <xf numFmtId="49" fontId="44" fillId="27" borderId="49" xfId="49" applyNumberFormat="1" applyFont="1" applyFill="1" applyBorder="1" applyAlignment="1" applyProtection="1">
      <alignment horizontal="left" vertical="center" wrapText="1"/>
    </xf>
    <xf numFmtId="49" fontId="43" fillId="24" borderId="38" xfId="49" applyNumberFormat="1" applyFont="1" applyFill="1" applyBorder="1" applyAlignment="1" applyProtection="1">
      <alignment horizontal="left" vertical="center" wrapText="1"/>
    </xf>
    <xf numFmtId="0" fontId="43" fillId="24" borderId="38" xfId="49" applyFont="1" applyFill="1" applyBorder="1" applyAlignment="1" applyProtection="1">
      <alignment horizontal="left" vertical="center" wrapText="1"/>
    </xf>
    <xf numFmtId="0" fontId="44" fillId="20" borderId="27" xfId="49" applyFont="1" applyFill="1" applyBorder="1" applyAlignment="1" applyProtection="1">
      <alignment horizontal="left" vertical="center" wrapText="1"/>
    </xf>
    <xf numFmtId="0" fontId="44" fillId="27" borderId="54" xfId="49" applyFont="1" applyFill="1" applyBorder="1" applyAlignment="1" applyProtection="1">
      <alignment horizontal="left" vertical="center" wrapText="1"/>
    </xf>
    <xf numFmtId="0" fontId="44" fillId="20" borderId="52" xfId="49" applyFont="1" applyFill="1" applyBorder="1" applyAlignment="1" applyProtection="1">
      <alignment horizontal="left" vertical="center" wrapText="1"/>
    </xf>
    <xf numFmtId="0" fontId="50" fillId="0" borderId="7" xfId="0" applyFont="1" applyFill="1" applyBorder="1" applyAlignment="1" applyProtection="1">
      <alignment horizontal="left" vertical="center" wrapText="1"/>
    </xf>
    <xf numFmtId="0" fontId="50" fillId="0" borderId="7" xfId="0" applyFont="1" applyFill="1" applyBorder="1" applyAlignment="1" applyProtection="1">
      <alignment horizontal="center" vertical="center" wrapText="1"/>
    </xf>
    <xf numFmtId="10" fontId="50" fillId="0" borderId="7" xfId="41" applyNumberFormat="1" applyFont="1" applyBorder="1" applyAlignment="1" applyProtection="1">
      <alignment horizontal="center" vertical="center"/>
    </xf>
    <xf numFmtId="10" fontId="50" fillId="0" borderId="53" xfId="41" applyNumberFormat="1" applyFont="1" applyBorder="1" applyAlignment="1" applyProtection="1">
      <alignment horizontal="center" vertical="center"/>
    </xf>
    <xf numFmtId="0" fontId="50" fillId="21" borderId="7" xfId="0" applyFont="1" applyFill="1" applyBorder="1" applyAlignment="1" applyProtection="1">
      <alignment horizontal="left" vertical="center" wrapText="1"/>
    </xf>
    <xf numFmtId="0" fontId="50" fillId="21" borderId="7" xfId="0" applyFont="1" applyFill="1" applyBorder="1" applyAlignment="1" applyProtection="1">
      <alignment horizontal="center" vertical="center" wrapText="1"/>
    </xf>
    <xf numFmtId="3" fontId="48" fillId="0" borderId="7" xfId="41" applyNumberFormat="1" applyFont="1" applyFill="1" applyBorder="1" applyAlignment="1" applyProtection="1">
      <alignment horizontal="center" vertical="center"/>
    </xf>
    <xf numFmtId="3" fontId="48" fillId="0" borderId="53" xfId="41" applyNumberFormat="1" applyFont="1" applyFill="1" applyBorder="1" applyAlignment="1" applyProtection="1">
      <alignment horizontal="center" vertical="center"/>
    </xf>
    <xf numFmtId="49" fontId="48" fillId="20" borderId="52" xfId="32" applyNumberFormat="1" applyFont="1" applyFill="1" applyBorder="1" applyAlignment="1" applyProtection="1">
      <alignment horizontal="center" vertical="center" wrapText="1"/>
    </xf>
    <xf numFmtId="0" fontId="48" fillId="0" borderId="23" xfId="32" applyFont="1" applyFill="1" applyBorder="1" applyAlignment="1" applyProtection="1">
      <alignment vertical="center" wrapText="1"/>
    </xf>
    <xf numFmtId="0" fontId="50" fillId="0" borderId="52" xfId="0" applyFont="1" applyFill="1" applyBorder="1" applyAlignment="1" applyProtection="1">
      <alignment horizontal="center" vertical="center" wrapText="1"/>
    </xf>
    <xf numFmtId="0" fontId="50" fillId="21" borderId="52" xfId="0" applyFont="1" applyFill="1" applyBorder="1" applyAlignment="1" applyProtection="1">
      <alignment horizontal="center" vertical="center" wrapText="1"/>
    </xf>
    <xf numFmtId="0" fontId="50" fillId="21" borderId="38" xfId="32" applyFont="1" applyFill="1" applyBorder="1" applyAlignment="1" applyProtection="1">
      <alignment horizontal="center" vertical="center" wrapText="1"/>
    </xf>
    <xf numFmtId="0" fontId="50" fillId="21" borderId="8" xfId="32" applyFont="1" applyFill="1" applyBorder="1" applyAlignment="1" applyProtection="1">
      <alignment vertical="center" wrapText="1"/>
    </xf>
    <xf numFmtId="0" fontId="15" fillId="3" borderId="31" xfId="0" applyFont="1" applyFill="1" applyBorder="1" applyAlignment="1" applyProtection="1">
      <alignment horizontal="center" vertical="center" wrapText="1"/>
      <protection locked="0"/>
    </xf>
    <xf numFmtId="0" fontId="15" fillId="3" borderId="50" xfId="0" applyFont="1" applyFill="1" applyBorder="1" applyAlignment="1" applyProtection="1">
      <alignment horizontal="center" vertical="center" wrapText="1"/>
      <protection locked="0"/>
    </xf>
    <xf numFmtId="0" fontId="15" fillId="3" borderId="18" xfId="0" applyFont="1" applyFill="1" applyBorder="1" applyAlignment="1" applyProtection="1">
      <alignment horizontal="center" vertical="center" wrapText="1"/>
      <protection locked="0"/>
    </xf>
    <xf numFmtId="0" fontId="15" fillId="3" borderId="5" xfId="0" applyFont="1" applyFill="1" applyBorder="1" applyAlignment="1" applyProtection="1">
      <alignment horizontal="center" vertical="center" wrapText="1"/>
      <protection locked="0"/>
    </xf>
    <xf numFmtId="0" fontId="15" fillId="3" borderId="44" xfId="0" applyFont="1" applyFill="1" applyBorder="1" applyAlignment="1" applyProtection="1">
      <alignment horizontal="center" vertical="center" wrapText="1"/>
      <protection locked="0"/>
    </xf>
    <xf numFmtId="0" fontId="15" fillId="3" borderId="74" xfId="0" applyFont="1" applyFill="1" applyBorder="1" applyAlignment="1" applyProtection="1">
      <alignment horizontal="center" vertical="center" wrapText="1"/>
      <protection locked="0"/>
    </xf>
    <xf numFmtId="0" fontId="15" fillId="3" borderId="62" xfId="0" applyFont="1" applyFill="1" applyBorder="1" applyAlignment="1" applyProtection="1">
      <alignment horizontal="center" vertical="center" wrapText="1"/>
      <protection locked="0"/>
    </xf>
    <xf numFmtId="0" fontId="15" fillId="3" borderId="78" xfId="0" applyFont="1" applyFill="1" applyBorder="1" applyAlignment="1" applyProtection="1">
      <alignment horizontal="center" vertical="center" wrapText="1"/>
      <protection locked="0"/>
    </xf>
    <xf numFmtId="0" fontId="44" fillId="27" borderId="53" xfId="49" applyFont="1" applyFill="1" applyBorder="1" applyAlignment="1" applyProtection="1">
      <alignment horizontal="left" vertical="center" wrapText="1"/>
    </xf>
    <xf numFmtId="49" fontId="43" fillId="20" borderId="52" xfId="32" applyNumberFormat="1" applyFont="1" applyFill="1" applyBorder="1" applyAlignment="1" applyProtection="1">
      <alignment horizontal="center" vertical="center" wrapText="1"/>
    </xf>
    <xf numFmtId="0" fontId="43" fillId="0" borderId="23" xfId="32" applyFont="1" applyFill="1" applyBorder="1" applyAlignment="1" applyProtection="1">
      <alignment vertical="center" wrapText="1"/>
    </xf>
    <xf numFmtId="0" fontId="43" fillId="0" borderId="0" xfId="32" applyFont="1" applyAlignment="1" applyProtection="1">
      <alignment vertical="center"/>
    </xf>
    <xf numFmtId="49" fontId="43" fillId="0" borderId="52" xfId="32" applyNumberFormat="1" applyFont="1" applyFill="1" applyBorder="1" applyAlignment="1" applyProtection="1">
      <alignment horizontal="center" vertical="center" wrapText="1"/>
    </xf>
    <xf numFmtId="49" fontId="43" fillId="20" borderId="49" xfId="32" applyNumberFormat="1" applyFont="1" applyFill="1" applyBorder="1" applyAlignment="1" applyProtection="1">
      <alignment horizontal="center" vertical="center" wrapText="1"/>
    </xf>
    <xf numFmtId="0" fontId="43" fillId="0" borderId="33" xfId="32" applyFont="1" applyFill="1" applyBorder="1" applyAlignment="1" applyProtection="1">
      <alignment vertical="center" wrapText="1"/>
    </xf>
    <xf numFmtId="49" fontId="43" fillId="0" borderId="52" xfId="32" applyNumberFormat="1" applyFont="1" applyBorder="1" applyAlignment="1" applyProtection="1">
      <alignment horizontal="center" vertical="center" wrapText="1"/>
    </xf>
    <xf numFmtId="0" fontId="43" fillId="0" borderId="54" xfId="32" applyFont="1" applyBorder="1" applyAlignment="1" applyProtection="1">
      <alignment horizontal="center" vertical="center"/>
    </xf>
    <xf numFmtId="0" fontId="43" fillId="0" borderId="37" xfId="32" applyFont="1" applyFill="1" applyBorder="1" applyAlignment="1" applyProtection="1">
      <alignment vertical="center" wrapText="1"/>
    </xf>
    <xf numFmtId="0" fontId="0" fillId="26" borderId="0" xfId="0" applyFill="1" applyAlignment="1">
      <alignment horizontal="center" vertical="center"/>
    </xf>
    <xf numFmtId="0" fontId="0" fillId="26" borderId="0" xfId="0" applyFill="1" applyAlignment="1">
      <alignment vertical="center"/>
    </xf>
    <xf numFmtId="0" fontId="0" fillId="27" borderId="0" xfId="0" applyFill="1" applyAlignment="1">
      <alignment vertical="center"/>
    </xf>
    <xf numFmtId="0" fontId="0" fillId="27" borderId="0" xfId="0" applyFill="1" applyAlignment="1">
      <alignment horizontal="center" vertical="center"/>
    </xf>
    <xf numFmtId="0" fontId="22" fillId="26" borderId="0" xfId="0" applyFont="1" applyFill="1" applyBorder="1" applyAlignment="1" applyProtection="1">
      <alignment vertical="center" wrapText="1"/>
    </xf>
    <xf numFmtId="0" fontId="22" fillId="26" borderId="0" xfId="0" applyFont="1" applyFill="1" applyBorder="1" applyAlignment="1" applyProtection="1">
      <alignment horizontal="center" vertical="center" wrapText="1"/>
    </xf>
    <xf numFmtId="0" fontId="44" fillId="27" borderId="0" xfId="0" applyFont="1" applyFill="1" applyAlignment="1">
      <alignment horizontal="center" vertical="center"/>
    </xf>
    <xf numFmtId="0" fontId="43" fillId="27" borderId="0" xfId="0" applyFont="1" applyFill="1" applyAlignment="1">
      <alignment horizontal="center" vertical="center"/>
    </xf>
    <xf numFmtId="0" fontId="30" fillId="27" borderId="0" xfId="32" applyFill="1" applyAlignment="1">
      <alignment vertical="center"/>
    </xf>
    <xf numFmtId="0" fontId="71" fillId="27" borderId="0" xfId="32" applyFont="1" applyFill="1" applyAlignment="1">
      <alignment vertical="center"/>
    </xf>
    <xf numFmtId="0" fontId="30" fillId="26" borderId="0" xfId="32" applyFill="1" applyAlignment="1">
      <alignment vertical="center"/>
    </xf>
    <xf numFmtId="170" fontId="43" fillId="37" borderId="56" xfId="0" applyNumberFormat="1" applyFont="1" applyFill="1" applyBorder="1" applyAlignment="1" applyProtection="1">
      <alignment horizontal="center" vertical="center" wrapText="1"/>
    </xf>
    <xf numFmtId="170" fontId="43" fillId="37" borderId="77" xfId="0" applyNumberFormat="1" applyFont="1" applyFill="1" applyBorder="1" applyAlignment="1" applyProtection="1">
      <alignment horizontal="center" vertical="center" wrapText="1"/>
    </xf>
    <xf numFmtId="170" fontId="43" fillId="37" borderId="57" xfId="0" applyNumberFormat="1" applyFont="1" applyFill="1" applyBorder="1" applyAlignment="1" applyProtection="1">
      <alignment horizontal="center" vertical="center" wrapText="1"/>
    </xf>
    <xf numFmtId="170" fontId="43" fillId="37" borderId="56" xfId="32" applyNumberFormat="1" applyFont="1" applyFill="1" applyBorder="1" applyAlignment="1" applyProtection="1">
      <alignment horizontal="center" vertical="center" wrapText="1"/>
    </xf>
    <xf numFmtId="170" fontId="43" fillId="37" borderId="77" xfId="32" applyNumberFormat="1" applyFont="1" applyFill="1" applyBorder="1" applyAlignment="1" applyProtection="1">
      <alignment horizontal="center" vertical="center" wrapText="1"/>
    </xf>
    <xf numFmtId="170" fontId="43" fillId="37" borderId="57" xfId="32" applyNumberFormat="1" applyFont="1" applyFill="1" applyBorder="1" applyAlignment="1" applyProtection="1">
      <alignment horizontal="center" vertical="center" wrapText="1"/>
    </xf>
    <xf numFmtId="170" fontId="43" fillId="31" borderId="75" xfId="0" applyNumberFormat="1" applyFont="1" applyFill="1" applyBorder="1" applyAlignment="1" applyProtection="1">
      <alignment horizontal="center" vertical="center" wrapText="1"/>
    </xf>
    <xf numFmtId="170" fontId="43" fillId="31" borderId="73" xfId="0" applyNumberFormat="1" applyFont="1" applyFill="1" applyBorder="1" applyAlignment="1" applyProtection="1">
      <alignment horizontal="center" vertical="center" wrapText="1"/>
    </xf>
    <xf numFmtId="170" fontId="43" fillId="31" borderId="76" xfId="0" applyNumberFormat="1" applyFont="1" applyFill="1" applyBorder="1" applyAlignment="1" applyProtection="1">
      <alignment horizontal="center" vertical="center" wrapText="1"/>
    </xf>
    <xf numFmtId="170" fontId="43" fillId="31" borderId="75" xfId="32" applyNumberFormat="1" applyFont="1" applyFill="1" applyBorder="1" applyAlignment="1" applyProtection="1">
      <alignment horizontal="center" vertical="center" wrapText="1"/>
    </xf>
    <xf numFmtId="170" fontId="43" fillId="31" borderId="73" xfId="32" applyNumberFormat="1" applyFont="1" applyFill="1" applyBorder="1" applyAlignment="1" applyProtection="1">
      <alignment horizontal="center" vertical="center" wrapText="1"/>
    </xf>
    <xf numFmtId="170" fontId="43" fillId="31" borderId="76" xfId="32" applyNumberFormat="1" applyFont="1" applyFill="1" applyBorder="1" applyAlignment="1" applyProtection="1">
      <alignment horizontal="center" vertical="center" wrapText="1"/>
    </xf>
    <xf numFmtId="0" fontId="30" fillId="26" borderId="0" xfId="32" applyFont="1" applyFill="1" applyAlignment="1">
      <alignment vertical="center"/>
    </xf>
    <xf numFmtId="0" fontId="30" fillId="26" borderId="0" xfId="0" applyFont="1" applyFill="1" applyAlignment="1">
      <alignment vertical="center"/>
    </xf>
    <xf numFmtId="0" fontId="71" fillId="27" borderId="0" xfId="0" applyFont="1" applyFill="1" applyAlignment="1">
      <alignment vertical="center"/>
    </xf>
    <xf numFmtId="0" fontId="94" fillId="27" borderId="0" xfId="0" applyFont="1" applyFill="1" applyAlignment="1">
      <alignment vertical="center"/>
    </xf>
    <xf numFmtId="0" fontId="68" fillId="23" borderId="35" xfId="52" applyFont="1" applyFill="1" applyBorder="1" applyAlignment="1" applyProtection="1">
      <alignment horizontal="center" vertical="center" wrapText="1"/>
    </xf>
    <xf numFmtId="49" fontId="68" fillId="31" borderId="29" xfId="52" applyNumberFormat="1" applyFont="1" applyFill="1" applyBorder="1" applyAlignment="1" applyProtection="1">
      <alignment horizontal="center" vertical="center" wrapText="1"/>
    </xf>
    <xf numFmtId="49" fontId="60" fillId="27" borderId="24" xfId="52" applyNumberFormat="1" applyFont="1" applyFill="1" applyBorder="1" applyAlignment="1" applyProtection="1">
      <alignment horizontal="center" vertical="center" wrapText="1"/>
    </xf>
    <xf numFmtId="49" fontId="60" fillId="27" borderId="30" xfId="52" applyNumberFormat="1" applyFont="1" applyFill="1" applyBorder="1" applyAlignment="1" applyProtection="1">
      <alignment horizontal="center" vertical="center" wrapText="1"/>
    </xf>
    <xf numFmtId="0" fontId="68" fillId="31" borderId="29" xfId="52" applyFont="1" applyFill="1" applyBorder="1" applyAlignment="1" applyProtection="1">
      <alignment horizontal="left" vertical="center" wrapText="1"/>
    </xf>
    <xf numFmtId="0" fontId="68" fillId="23" borderId="11" xfId="52" applyFont="1" applyFill="1" applyBorder="1" applyAlignment="1" applyProtection="1">
      <alignment horizontal="center" vertical="center" wrapText="1"/>
    </xf>
    <xf numFmtId="0" fontId="68" fillId="23" borderId="41" xfId="52" applyFont="1" applyFill="1" applyBorder="1" applyAlignment="1" applyProtection="1">
      <alignment horizontal="center" vertical="center" wrapText="1"/>
    </xf>
    <xf numFmtId="0" fontId="68" fillId="37" borderId="2" xfId="52" applyFont="1" applyFill="1" applyBorder="1" applyAlignment="1" applyProtection="1">
      <alignment horizontal="center" vertical="center" wrapText="1"/>
    </xf>
    <xf numFmtId="0" fontId="68" fillId="37" borderId="9" xfId="54" applyFont="1" applyFill="1" applyBorder="1" applyAlignment="1" applyProtection="1">
      <alignment horizontal="center" vertical="center" wrapText="1"/>
    </xf>
    <xf numFmtId="0" fontId="68" fillId="37" borderId="10" xfId="54" applyFont="1" applyFill="1" applyBorder="1" applyAlignment="1" applyProtection="1">
      <alignment horizontal="center" vertical="center" wrapText="1"/>
    </xf>
    <xf numFmtId="3" fontId="44" fillId="3" borderId="7" xfId="0" applyNumberFormat="1" applyFont="1" applyFill="1" applyBorder="1" applyAlignment="1" applyProtection="1">
      <alignment horizontal="center" vertical="center"/>
      <protection locked="0"/>
    </xf>
    <xf numFmtId="49" fontId="15" fillId="27" borderId="0" xfId="49" applyNumberFormat="1" applyFont="1" applyFill="1" applyBorder="1" applyAlignment="1" applyProtection="1">
      <alignment horizontal="center" vertical="center" wrapText="1"/>
    </xf>
    <xf numFmtId="0" fontId="22" fillId="27" borderId="0" xfId="49" applyFont="1" applyFill="1" applyBorder="1" applyAlignment="1">
      <alignment vertical="center" wrapText="1"/>
    </xf>
    <xf numFmtId="0" fontId="15" fillId="27" borderId="0" xfId="49" applyFont="1" applyFill="1" applyAlignment="1">
      <alignment horizontal="center" vertical="center" wrapText="1"/>
    </xf>
    <xf numFmtId="0" fontId="15" fillId="27" borderId="0" xfId="49" applyFont="1" applyFill="1" applyAlignment="1">
      <alignment vertical="center" wrapText="1"/>
    </xf>
    <xf numFmtId="0" fontId="0" fillId="0" borderId="0" xfId="0" applyAlignment="1">
      <alignment horizontal="center"/>
    </xf>
    <xf numFmtId="0" fontId="18" fillId="27" borderId="0" xfId="32" applyFont="1" applyFill="1" applyAlignment="1" applyProtection="1">
      <alignment vertical="center" wrapText="1"/>
    </xf>
    <xf numFmtId="0" fontId="23" fillId="27" borderId="0" xfId="32" applyFont="1" applyFill="1" applyAlignment="1" applyProtection="1">
      <alignment vertical="center" wrapText="1"/>
    </xf>
    <xf numFmtId="3" fontId="15" fillId="3" borderId="73" xfId="0" applyNumberFormat="1" applyFont="1" applyFill="1" applyBorder="1" applyAlignment="1" applyProtection="1">
      <alignment horizontal="center" vertical="center" wrapText="1"/>
      <protection locked="0"/>
    </xf>
    <xf numFmtId="3" fontId="15" fillId="3" borderId="76" xfId="0" applyNumberFormat="1" applyFont="1" applyFill="1" applyBorder="1" applyAlignment="1" applyProtection="1">
      <alignment horizontal="center" vertical="center" wrapText="1"/>
      <protection locked="0"/>
    </xf>
    <xf numFmtId="3" fontId="15" fillId="3" borderId="7" xfId="0" applyNumberFormat="1" applyFont="1" applyFill="1" applyBorder="1" applyAlignment="1" applyProtection="1">
      <alignment horizontal="center" vertical="center" wrapText="1"/>
      <protection locked="0"/>
    </xf>
    <xf numFmtId="3" fontId="15" fillId="3" borderId="53" xfId="0" applyNumberFormat="1" applyFont="1" applyFill="1" applyBorder="1" applyAlignment="1" applyProtection="1">
      <alignment horizontal="center" vertical="center" wrapText="1"/>
      <protection locked="0"/>
    </xf>
    <xf numFmtId="3" fontId="15" fillId="3" borderId="32" xfId="0" applyNumberFormat="1" applyFont="1" applyFill="1" applyBorder="1" applyAlignment="1" applyProtection="1">
      <alignment horizontal="center" vertical="center" wrapText="1"/>
      <protection locked="0"/>
    </xf>
    <xf numFmtId="3" fontId="15" fillId="3" borderId="77" xfId="0" applyNumberFormat="1" applyFont="1" applyFill="1" applyBorder="1" applyAlignment="1" applyProtection="1">
      <alignment horizontal="center" vertical="center" wrapText="1"/>
      <protection locked="0"/>
    </xf>
    <xf numFmtId="3" fontId="15" fillId="3" borderId="57" xfId="0" applyNumberFormat="1" applyFont="1" applyFill="1" applyBorder="1" applyAlignment="1" applyProtection="1">
      <alignment horizontal="center" vertical="center" wrapText="1"/>
      <protection locked="0"/>
    </xf>
    <xf numFmtId="3" fontId="15" fillId="3" borderId="31" xfId="0" applyNumberFormat="1" applyFont="1" applyFill="1" applyBorder="1" applyAlignment="1" applyProtection="1">
      <alignment horizontal="center" vertical="center" wrapText="1"/>
      <protection locked="0"/>
    </xf>
    <xf numFmtId="3" fontId="15" fillId="3" borderId="50" xfId="0" applyNumberFormat="1" applyFont="1" applyFill="1" applyBorder="1" applyAlignment="1" applyProtection="1">
      <alignment horizontal="center" vertical="center" wrapText="1"/>
      <protection locked="0"/>
    </xf>
    <xf numFmtId="3" fontId="15" fillId="3" borderId="62" xfId="0" applyNumberFormat="1" applyFont="1" applyFill="1" applyBorder="1" applyAlignment="1" applyProtection="1">
      <alignment horizontal="center" vertical="center" wrapText="1"/>
      <protection locked="0"/>
    </xf>
    <xf numFmtId="3" fontId="15" fillId="3" borderId="15" xfId="0" applyNumberFormat="1" applyFont="1" applyFill="1" applyBorder="1" applyAlignment="1" applyProtection="1">
      <alignment horizontal="center" vertical="center" wrapText="1"/>
      <protection locked="0"/>
    </xf>
    <xf numFmtId="3" fontId="15" fillId="3" borderId="79" xfId="0" applyNumberFormat="1" applyFont="1" applyFill="1" applyBorder="1" applyAlignment="1" applyProtection="1">
      <alignment horizontal="center" vertical="center" wrapText="1"/>
      <protection locked="0"/>
    </xf>
    <xf numFmtId="172" fontId="15" fillId="3" borderId="7" xfId="0" applyNumberFormat="1" applyFont="1" applyFill="1" applyBorder="1" applyAlignment="1" applyProtection="1">
      <alignment horizontal="center" vertical="center" wrapText="1"/>
      <protection locked="0"/>
    </xf>
    <xf numFmtId="172" fontId="15" fillId="3" borderId="53" xfId="0" applyNumberFormat="1" applyFont="1" applyFill="1" applyBorder="1" applyAlignment="1" applyProtection="1">
      <alignment horizontal="center" vertical="center" wrapText="1"/>
      <protection locked="0"/>
    </xf>
    <xf numFmtId="3" fontId="68" fillId="24" borderId="44" xfId="52" applyNumberFormat="1" applyFont="1" applyFill="1" applyBorder="1" applyAlignment="1" applyProtection="1">
      <alignment horizontal="center" vertical="center" wrapText="1"/>
    </xf>
    <xf numFmtId="3" fontId="68" fillId="24" borderId="31" xfId="52" applyNumberFormat="1" applyFont="1" applyFill="1" applyBorder="1" applyAlignment="1" applyProtection="1">
      <alignment horizontal="center" vertical="center" wrapText="1"/>
    </xf>
    <xf numFmtId="3" fontId="68" fillId="24" borderId="50" xfId="52" applyNumberFormat="1" applyFont="1" applyFill="1" applyBorder="1" applyAlignment="1" applyProtection="1">
      <alignment horizontal="center" vertical="center" wrapText="1"/>
    </xf>
    <xf numFmtId="172" fontId="68" fillId="24" borderId="69" xfId="52" applyNumberFormat="1" applyFont="1" applyFill="1" applyBorder="1" applyAlignment="1" applyProtection="1">
      <alignment horizontal="center" vertical="center" wrapText="1"/>
    </xf>
    <xf numFmtId="172" fontId="68" fillId="24" borderId="63" xfId="52" applyNumberFormat="1" applyFont="1" applyFill="1" applyBorder="1" applyAlignment="1" applyProtection="1">
      <alignment horizontal="center" vertical="center" wrapText="1"/>
    </xf>
    <xf numFmtId="172" fontId="68" fillId="24" borderId="55" xfId="52" applyNumberFormat="1" applyFont="1" applyFill="1" applyBorder="1" applyAlignment="1" applyProtection="1">
      <alignment horizontal="center" vertical="center" wrapText="1"/>
    </xf>
    <xf numFmtId="3" fontId="68" fillId="31" borderId="72" xfId="52" applyNumberFormat="1" applyFont="1" applyFill="1" applyBorder="1" applyAlignment="1" applyProtection="1">
      <alignment horizontal="center" vertical="center"/>
    </xf>
    <xf numFmtId="3" fontId="68" fillId="31" borderId="14" xfId="52" applyNumberFormat="1" applyFont="1" applyFill="1" applyBorder="1" applyAlignment="1" applyProtection="1">
      <alignment horizontal="center" vertical="center"/>
    </xf>
    <xf numFmtId="3" fontId="60" fillId="3" borderId="32" xfId="52" applyNumberFormat="1" applyFont="1" applyFill="1" applyBorder="1" applyAlignment="1" applyProtection="1">
      <alignment horizontal="center" vertical="center"/>
      <protection locked="0"/>
    </xf>
    <xf numFmtId="3" fontId="60" fillId="3" borderId="15" xfId="52" applyNumberFormat="1" applyFont="1" applyFill="1" applyBorder="1" applyAlignment="1" applyProtection="1">
      <alignment horizontal="center" vertical="center"/>
      <protection locked="0"/>
    </xf>
    <xf numFmtId="3" fontId="60" fillId="3" borderId="7" xfId="52" applyNumberFormat="1" applyFont="1" applyFill="1" applyBorder="1" applyAlignment="1" applyProtection="1">
      <alignment horizontal="center" vertical="center"/>
      <protection locked="0"/>
    </xf>
    <xf numFmtId="3" fontId="60" fillId="3" borderId="53" xfId="52" applyNumberFormat="1" applyFont="1" applyFill="1" applyBorder="1" applyAlignment="1" applyProtection="1">
      <alignment horizontal="center" vertical="center"/>
      <protection locked="0"/>
    </xf>
    <xf numFmtId="3" fontId="60" fillId="3" borderId="79" xfId="52" applyNumberFormat="1" applyFont="1" applyFill="1" applyBorder="1" applyAlignment="1" applyProtection="1">
      <alignment horizontal="center" vertical="center"/>
      <protection locked="0"/>
    </xf>
    <xf numFmtId="3" fontId="60" fillId="3" borderId="77" xfId="52" applyNumberFormat="1" applyFont="1" applyFill="1" applyBorder="1" applyAlignment="1" applyProtection="1">
      <alignment horizontal="center" vertical="center"/>
      <protection locked="0"/>
    </xf>
    <xf numFmtId="3" fontId="68" fillId="31" borderId="44" xfId="52" applyNumberFormat="1" applyFont="1" applyFill="1" applyBorder="1" applyAlignment="1" applyProtection="1">
      <alignment horizontal="center" vertical="center"/>
    </xf>
    <xf numFmtId="3" fontId="68" fillId="31" borderId="31" xfId="52" applyNumberFormat="1" applyFont="1" applyFill="1" applyBorder="1" applyAlignment="1" applyProtection="1">
      <alignment horizontal="center" vertical="center"/>
    </xf>
    <xf numFmtId="3" fontId="68" fillId="31" borderId="50" xfId="52" applyNumberFormat="1" applyFont="1" applyFill="1" applyBorder="1" applyAlignment="1" applyProtection="1">
      <alignment horizontal="center" vertical="center"/>
    </xf>
    <xf numFmtId="172" fontId="68" fillId="31" borderId="69" xfId="52" applyNumberFormat="1" applyFont="1" applyFill="1" applyBorder="1" applyAlignment="1" applyProtection="1">
      <alignment horizontal="center" vertical="center"/>
    </xf>
    <xf numFmtId="172" fontId="68" fillId="31" borderId="63" xfId="52" applyNumberFormat="1" applyFont="1" applyFill="1" applyBorder="1" applyAlignment="1" applyProtection="1">
      <alignment horizontal="center" vertical="center"/>
    </xf>
    <xf numFmtId="172" fontId="68" fillId="31" borderId="55" xfId="52" applyNumberFormat="1" applyFont="1" applyFill="1" applyBorder="1" applyAlignment="1" applyProtection="1">
      <alignment horizontal="center" vertical="center"/>
    </xf>
    <xf numFmtId="3" fontId="68" fillId="27" borderId="72" xfId="52" applyNumberFormat="1" applyFont="1" applyFill="1" applyBorder="1" applyAlignment="1" applyProtection="1">
      <alignment horizontal="center" vertical="center"/>
    </xf>
    <xf numFmtId="3" fontId="68" fillId="27" borderId="73" xfId="52" applyNumberFormat="1" applyFont="1" applyFill="1" applyBorder="1" applyAlignment="1" applyProtection="1">
      <alignment horizontal="center" vertical="center"/>
    </xf>
    <xf numFmtId="3" fontId="68" fillId="27" borderId="76" xfId="52" applyNumberFormat="1" applyFont="1" applyFill="1" applyBorder="1" applyAlignment="1" applyProtection="1">
      <alignment horizontal="center" vertical="center"/>
    </xf>
    <xf numFmtId="172" fontId="68" fillId="27" borderId="32" xfId="52" applyNumberFormat="1" applyFont="1" applyFill="1" applyBorder="1" applyAlignment="1" applyProtection="1">
      <alignment horizontal="center" vertical="center"/>
    </xf>
    <xf numFmtId="172" fontId="68" fillId="27" borderId="7" xfId="52" applyNumberFormat="1" applyFont="1" applyFill="1" applyBorder="1" applyAlignment="1" applyProtection="1">
      <alignment horizontal="center" vertical="center"/>
    </xf>
    <xf numFmtId="172" fontId="68" fillId="27" borderId="53" xfId="52" applyNumberFormat="1" applyFont="1" applyFill="1" applyBorder="1" applyAlignment="1" applyProtection="1">
      <alignment horizontal="center" vertical="center"/>
    </xf>
    <xf numFmtId="3" fontId="68" fillId="27" borderId="32" xfId="52" applyNumberFormat="1" applyFont="1" applyFill="1" applyBorder="1" applyAlignment="1" applyProtection="1">
      <alignment horizontal="center" vertical="center"/>
    </xf>
    <xf numFmtId="3" fontId="68" fillId="27" borderId="7" xfId="52" applyNumberFormat="1" applyFont="1" applyFill="1" applyBorder="1" applyAlignment="1" applyProtection="1">
      <alignment horizontal="center" vertical="center"/>
    </xf>
    <xf numFmtId="3" fontId="68" fillId="27" borderId="53" xfId="52" applyNumberFormat="1" applyFont="1" applyFill="1" applyBorder="1" applyAlignment="1" applyProtection="1">
      <alignment horizontal="center" vertical="center"/>
    </xf>
    <xf numFmtId="10" fontId="68" fillId="27" borderId="32" xfId="52" applyNumberFormat="1" applyFont="1" applyFill="1" applyBorder="1" applyAlignment="1" applyProtection="1">
      <alignment horizontal="center" vertical="center"/>
    </xf>
    <xf numFmtId="10" fontId="68" fillId="27" borderId="7" xfId="52" applyNumberFormat="1" applyFont="1" applyFill="1" applyBorder="1" applyAlignment="1" applyProtection="1">
      <alignment horizontal="center" vertical="center"/>
    </xf>
    <xf numFmtId="10" fontId="68" fillId="27" borderId="53" xfId="52" applyNumberFormat="1" applyFont="1" applyFill="1" applyBorder="1" applyAlignment="1" applyProtection="1">
      <alignment horizontal="center" vertical="center"/>
    </xf>
    <xf numFmtId="3" fontId="60" fillId="3" borderId="19" xfId="52" applyNumberFormat="1" applyFont="1" applyFill="1" applyBorder="1" applyAlignment="1" applyProtection="1">
      <alignment horizontal="center" vertical="center"/>
      <protection locked="0"/>
    </xf>
    <xf numFmtId="3" fontId="68" fillId="31" borderId="73" xfId="52" applyNumberFormat="1" applyFont="1" applyFill="1" applyBorder="1" applyAlignment="1" applyProtection="1">
      <alignment horizontal="center" vertical="center"/>
    </xf>
    <xf numFmtId="3" fontId="68" fillId="31" borderId="76" xfId="52" applyNumberFormat="1" applyFont="1" applyFill="1" applyBorder="1" applyAlignment="1" applyProtection="1">
      <alignment horizontal="center" vertical="center"/>
    </xf>
    <xf numFmtId="172" fontId="68" fillId="31" borderId="32" xfId="52" applyNumberFormat="1" applyFont="1" applyFill="1" applyBorder="1" applyAlignment="1" applyProtection="1">
      <alignment horizontal="center" vertical="center"/>
    </xf>
    <xf numFmtId="172" fontId="68" fillId="31" borderId="7" xfId="52" applyNumberFormat="1" applyFont="1" applyFill="1" applyBorder="1" applyAlignment="1" applyProtection="1">
      <alignment horizontal="center" vertical="center"/>
    </xf>
    <xf numFmtId="172" fontId="68" fillId="31" borderId="53" xfId="52" applyNumberFormat="1" applyFont="1" applyFill="1" applyBorder="1" applyAlignment="1" applyProtection="1">
      <alignment horizontal="center" vertical="center"/>
    </xf>
    <xf numFmtId="4" fontId="68" fillId="31" borderId="69" xfId="52" applyNumberFormat="1" applyFont="1" applyFill="1" applyBorder="1" applyAlignment="1" applyProtection="1">
      <alignment horizontal="center" vertical="center"/>
    </xf>
    <xf numFmtId="4" fontId="68" fillId="31" borderId="63" xfId="52" applyNumberFormat="1" applyFont="1" applyFill="1" applyBorder="1" applyAlignment="1" applyProtection="1">
      <alignment horizontal="center" vertical="center"/>
    </xf>
    <xf numFmtId="4" fontId="68" fillId="31" borderId="55" xfId="52" applyNumberFormat="1" applyFont="1" applyFill="1" applyBorder="1" applyAlignment="1" applyProtection="1">
      <alignment horizontal="center" vertical="center"/>
    </xf>
    <xf numFmtId="3" fontId="68" fillId="26" borderId="72" xfId="52" applyNumberFormat="1" applyFont="1" applyFill="1" applyBorder="1" applyAlignment="1" applyProtection="1">
      <alignment horizontal="center" vertical="center"/>
    </xf>
    <xf numFmtId="3" fontId="68" fillId="26" borderId="73" xfId="52" applyNumberFormat="1" applyFont="1" applyFill="1" applyBorder="1" applyAlignment="1" applyProtection="1">
      <alignment horizontal="center" vertical="center"/>
    </xf>
    <xf numFmtId="3" fontId="68" fillId="26" borderId="76" xfId="52" applyNumberFormat="1" applyFont="1" applyFill="1" applyBorder="1" applyAlignment="1" applyProtection="1">
      <alignment horizontal="center" vertical="center"/>
    </xf>
    <xf numFmtId="172" fontId="68" fillId="26" borderId="32" xfId="52" applyNumberFormat="1" applyFont="1" applyFill="1" applyBorder="1" applyAlignment="1" applyProtection="1">
      <alignment horizontal="center" vertical="center"/>
    </xf>
    <xf numFmtId="172" fontId="68" fillId="26" borderId="7" xfId="52" applyNumberFormat="1" applyFont="1" applyFill="1" applyBorder="1" applyAlignment="1" applyProtection="1">
      <alignment horizontal="center" vertical="center"/>
    </xf>
    <xf numFmtId="172" fontId="68" fillId="26" borderId="53" xfId="52" applyNumberFormat="1" applyFont="1" applyFill="1" applyBorder="1" applyAlignment="1" applyProtection="1">
      <alignment horizontal="center" vertical="center"/>
    </xf>
    <xf numFmtId="4" fontId="68" fillId="31" borderId="32" xfId="52" applyNumberFormat="1" applyFont="1" applyFill="1" applyBorder="1" applyAlignment="1" applyProtection="1">
      <alignment horizontal="center" vertical="center"/>
    </xf>
    <xf numFmtId="4" fontId="68" fillId="31" borderId="7" xfId="52" applyNumberFormat="1" applyFont="1" applyFill="1" applyBorder="1" applyAlignment="1" applyProtection="1">
      <alignment horizontal="center" vertical="center"/>
    </xf>
    <xf numFmtId="4" fontId="68" fillId="31" borderId="53" xfId="52" applyNumberFormat="1" applyFont="1" applyFill="1" applyBorder="1" applyAlignment="1" applyProtection="1">
      <alignment horizontal="center" vertical="center"/>
    </xf>
    <xf numFmtId="3" fontId="106" fillId="31" borderId="79" xfId="52" applyNumberFormat="1" applyFont="1" applyFill="1" applyBorder="1" applyAlignment="1" applyProtection="1">
      <alignment horizontal="center" vertical="center"/>
    </xf>
    <xf numFmtId="3" fontId="106" fillId="31" borderId="77" xfId="52" applyNumberFormat="1" applyFont="1" applyFill="1" applyBorder="1" applyAlignment="1" applyProtection="1">
      <alignment horizontal="center" vertical="center"/>
    </xf>
    <xf numFmtId="3" fontId="106" fillId="31" borderId="57" xfId="52" applyNumberFormat="1" applyFont="1" applyFill="1" applyBorder="1" applyAlignment="1" applyProtection="1">
      <alignment horizontal="center" vertical="center"/>
    </xf>
    <xf numFmtId="9" fontId="44" fillId="3" borderId="24" xfId="32" applyNumberFormat="1" applyFont="1" applyFill="1" applyBorder="1" applyAlignment="1" applyProtection="1">
      <alignment horizontal="center" vertical="center"/>
      <protection locked="0"/>
    </xf>
    <xf numFmtId="3" fontId="44" fillId="28" borderId="24" xfId="32" applyNumberFormat="1" applyFont="1" applyFill="1" applyBorder="1" applyAlignment="1" applyProtection="1">
      <alignment horizontal="center" vertical="center"/>
      <protection locked="0"/>
    </xf>
    <xf numFmtId="0" fontId="44" fillId="0" borderId="53" xfId="31" applyFont="1" applyFill="1" applyBorder="1" applyAlignment="1" applyProtection="1">
      <alignment vertical="center" wrapText="1"/>
    </xf>
    <xf numFmtId="0" fontId="43" fillId="0" borderId="1" xfId="31" applyFont="1" applyFill="1" applyBorder="1" applyAlignment="1" applyProtection="1">
      <alignment horizontal="center" vertical="center" wrapText="1"/>
    </xf>
    <xf numFmtId="0" fontId="43" fillId="0" borderId="3" xfId="31" applyFont="1" applyFill="1" applyBorder="1" applyAlignment="1" applyProtection="1">
      <alignment horizontal="center" vertical="center" wrapText="1"/>
    </xf>
    <xf numFmtId="170" fontId="43" fillId="37" borderId="2" xfId="32" applyNumberFormat="1" applyFont="1" applyFill="1" applyBorder="1" applyAlignment="1" applyProtection="1">
      <alignment horizontal="center" wrapText="1"/>
    </xf>
    <xf numFmtId="170" fontId="43" fillId="37" borderId="65" xfId="32" applyNumberFormat="1" applyFont="1" applyFill="1" applyBorder="1" applyAlignment="1" applyProtection="1">
      <alignment horizontal="center" wrapText="1"/>
    </xf>
    <xf numFmtId="170" fontId="43" fillId="37" borderId="9" xfId="32" applyNumberFormat="1" applyFont="1" applyFill="1" applyBorder="1" applyAlignment="1" applyProtection="1">
      <alignment horizontal="center" wrapText="1"/>
    </xf>
    <xf numFmtId="170" fontId="43" fillId="37" borderId="10" xfId="32" applyNumberFormat="1" applyFont="1" applyFill="1" applyBorder="1" applyAlignment="1" applyProtection="1">
      <alignment horizontal="center" wrapText="1"/>
    </xf>
    <xf numFmtId="170" fontId="50" fillId="37" borderId="77" xfId="0" applyNumberFormat="1" applyFont="1" applyFill="1" applyBorder="1" applyAlignment="1" applyProtection="1">
      <alignment horizontal="center" wrapText="1"/>
    </xf>
    <xf numFmtId="170" fontId="50" fillId="37" borderId="57" xfId="0" applyNumberFormat="1" applyFont="1" applyFill="1" applyBorder="1" applyAlignment="1" applyProtection="1">
      <alignment horizontal="center" wrapText="1"/>
    </xf>
    <xf numFmtId="170" fontId="50" fillId="37" borderId="56" xfId="0" applyNumberFormat="1" applyFont="1" applyFill="1" applyBorder="1" applyAlignment="1" applyProtection="1">
      <alignment horizontal="center" wrapText="1"/>
    </xf>
    <xf numFmtId="0" fontId="50" fillId="37" borderId="38" xfId="0" applyFont="1" applyFill="1" applyBorder="1" applyAlignment="1" applyProtection="1">
      <alignment horizontal="center" vertical="center" wrapText="1"/>
    </xf>
    <xf numFmtId="0" fontId="50" fillId="37" borderId="9" xfId="0" applyFont="1" applyFill="1" applyBorder="1" applyAlignment="1" applyProtection="1">
      <alignment horizontal="center" vertical="center" wrapText="1"/>
    </xf>
    <xf numFmtId="0" fontId="50" fillId="37" borderId="9" xfId="40" applyFont="1" applyFill="1" applyBorder="1" applyAlignment="1" applyProtection="1">
      <alignment horizontal="center" vertical="center"/>
    </xf>
    <xf numFmtId="173" fontId="104" fillId="26" borderId="9" xfId="37" applyNumberFormat="1" applyFont="1" applyFill="1" applyBorder="1" applyAlignment="1" applyProtection="1">
      <alignment horizontal="left" vertical="center" wrapText="1"/>
    </xf>
    <xf numFmtId="173" fontId="103" fillId="26" borderId="9" xfId="37" applyNumberFormat="1" applyFont="1" applyFill="1" applyBorder="1" applyAlignment="1" applyProtection="1">
      <alignment horizontal="center" vertical="center" wrapText="1"/>
    </xf>
    <xf numFmtId="3" fontId="15" fillId="3" borderId="24" xfId="32" applyNumberFormat="1" applyFont="1" applyFill="1" applyBorder="1" applyAlignment="1" applyProtection="1">
      <alignment horizontal="center" vertical="center"/>
      <protection locked="0"/>
    </xf>
    <xf numFmtId="3" fontId="15" fillId="3" borderId="15" xfId="32" applyNumberFormat="1" applyFont="1" applyFill="1" applyBorder="1" applyAlignment="1" applyProtection="1">
      <alignment horizontal="center" vertical="center"/>
      <protection locked="0"/>
    </xf>
    <xf numFmtId="3" fontId="15" fillId="3" borderId="62" xfId="32" applyNumberFormat="1" applyFont="1" applyFill="1" applyBorder="1" applyAlignment="1" applyProtection="1">
      <alignment horizontal="center" vertical="center"/>
      <protection locked="0"/>
    </xf>
    <xf numFmtId="4" fontId="44" fillId="0" borderId="32" xfId="0" applyNumberFormat="1" applyFont="1" applyFill="1" applyBorder="1" applyAlignment="1" applyProtection="1">
      <alignment horizontal="center" vertical="center"/>
    </xf>
    <xf numFmtId="4" fontId="44" fillId="0" borderId="15" xfId="0" applyNumberFormat="1" applyFont="1" applyFill="1" applyBorder="1" applyAlignment="1" applyProtection="1">
      <alignment horizontal="center" vertical="center"/>
    </xf>
    <xf numFmtId="4" fontId="43" fillId="20" borderId="32" xfId="0" applyNumberFormat="1" applyFont="1" applyFill="1" applyBorder="1" applyAlignment="1" applyProtection="1">
      <alignment horizontal="center" vertical="center"/>
    </xf>
    <xf numFmtId="4" fontId="43" fillId="20" borderId="15" xfId="0" applyNumberFormat="1" applyFont="1" applyFill="1" applyBorder="1" applyAlignment="1" applyProtection="1">
      <alignment horizontal="center" vertical="center"/>
    </xf>
    <xf numFmtId="4" fontId="44" fillId="0" borderId="7" xfId="0" applyNumberFormat="1" applyFont="1" applyFill="1" applyBorder="1" applyAlignment="1" applyProtection="1">
      <alignment horizontal="center" vertical="center"/>
    </xf>
    <xf numFmtId="4" fontId="44" fillId="20" borderId="32" xfId="0" applyNumberFormat="1" applyFont="1" applyFill="1" applyBorder="1" applyAlignment="1" applyProtection="1">
      <alignment horizontal="center" vertical="center"/>
    </xf>
    <xf numFmtId="4" fontId="44" fillId="20" borderId="7" xfId="0" applyNumberFormat="1" applyFont="1" applyFill="1" applyBorder="1" applyAlignment="1" applyProtection="1">
      <alignment horizontal="center" vertical="center"/>
    </xf>
    <xf numFmtId="4" fontId="44" fillId="20" borderId="15" xfId="0" applyNumberFormat="1" applyFont="1" applyFill="1" applyBorder="1" applyAlignment="1" applyProtection="1">
      <alignment horizontal="center" vertical="center"/>
    </xf>
    <xf numFmtId="10" fontId="44" fillId="0" borderId="69" xfId="1" applyNumberFormat="1" applyFont="1" applyFill="1" applyBorder="1" applyAlignment="1" applyProtection="1">
      <alignment horizontal="center" vertical="center"/>
    </xf>
    <xf numFmtId="10" fontId="44" fillId="0" borderId="63" xfId="1" applyNumberFormat="1" applyFont="1" applyFill="1" applyBorder="1" applyAlignment="1" applyProtection="1">
      <alignment horizontal="center" vertical="center"/>
    </xf>
    <xf numFmtId="4" fontId="44" fillId="20" borderId="69" xfId="0" applyNumberFormat="1" applyFont="1" applyFill="1" applyBorder="1" applyAlignment="1" applyProtection="1">
      <alignment horizontal="center" vertical="center"/>
    </xf>
    <xf numFmtId="4" fontId="44" fillId="20" borderId="63" xfId="0" applyNumberFormat="1" applyFont="1" applyFill="1" applyBorder="1" applyAlignment="1" applyProtection="1">
      <alignment horizontal="center" vertical="center"/>
    </xf>
    <xf numFmtId="4" fontId="44" fillId="20" borderId="55" xfId="0" applyNumberFormat="1" applyFont="1" applyFill="1" applyBorder="1" applyAlignment="1" applyProtection="1">
      <alignment horizontal="center" vertical="center"/>
    </xf>
    <xf numFmtId="4" fontId="43" fillId="21" borderId="65" xfId="0" applyNumberFormat="1" applyFont="1" applyFill="1" applyBorder="1" applyAlignment="1" applyProtection="1">
      <alignment horizontal="center" vertical="center"/>
    </xf>
    <xf numFmtId="4" fontId="43" fillId="21" borderId="9" xfId="0" applyNumberFormat="1" applyFont="1" applyFill="1" applyBorder="1" applyAlignment="1" applyProtection="1">
      <alignment horizontal="center" vertical="center"/>
    </xf>
    <xf numFmtId="4" fontId="43" fillId="21" borderId="10" xfId="0" applyNumberFormat="1" applyFont="1" applyFill="1" applyBorder="1" applyAlignment="1" applyProtection="1">
      <alignment horizontal="center" vertical="center"/>
    </xf>
    <xf numFmtId="0" fontId="24" fillId="0" borderId="40" xfId="40" quotePrefix="1" applyFont="1" applyBorder="1" applyAlignment="1" applyProtection="1">
      <alignment horizontal="center" vertical="center" wrapText="1"/>
    </xf>
    <xf numFmtId="170" fontId="50" fillId="37" borderId="63" xfId="0" applyNumberFormat="1" applyFont="1" applyFill="1" applyBorder="1" applyAlignment="1" applyProtection="1">
      <alignment horizontal="center" wrapText="1"/>
    </xf>
    <xf numFmtId="170" fontId="50" fillId="37" borderId="55" xfId="0" applyNumberFormat="1" applyFont="1" applyFill="1" applyBorder="1" applyAlignment="1" applyProtection="1">
      <alignment horizontal="center" wrapText="1"/>
    </xf>
    <xf numFmtId="0" fontId="43" fillId="37" borderId="58" xfId="0" applyFont="1" applyFill="1" applyBorder="1" applyAlignment="1" applyProtection="1">
      <alignment horizontal="center" vertical="center" wrapText="1"/>
    </xf>
    <xf numFmtId="0" fontId="48" fillId="0" borderId="0" xfId="40" applyFont="1" applyAlignment="1" applyProtection="1">
      <alignment horizontal="right" vertical="center"/>
    </xf>
    <xf numFmtId="3" fontId="15" fillId="0" borderId="73" xfId="0" applyNumberFormat="1" applyFont="1" applyFill="1" applyBorder="1" applyAlignment="1" applyProtection="1">
      <alignment horizontal="center" vertical="center" wrapText="1"/>
    </xf>
    <xf numFmtId="3" fontId="15" fillId="0" borderId="76" xfId="0" applyNumberFormat="1" applyFont="1" applyFill="1" applyBorder="1" applyAlignment="1" applyProtection="1">
      <alignment horizontal="center" vertical="center" wrapText="1"/>
    </xf>
    <xf numFmtId="3" fontId="15" fillId="0" borderId="77" xfId="0" applyNumberFormat="1" applyFont="1" applyFill="1" applyBorder="1" applyAlignment="1" applyProtection="1">
      <alignment horizontal="center" vertical="center" wrapText="1"/>
    </xf>
    <xf numFmtId="3" fontId="15" fillId="0" borderId="57" xfId="0" applyNumberFormat="1" applyFont="1" applyFill="1" applyBorder="1" applyAlignment="1" applyProtection="1">
      <alignment horizontal="center" vertical="center" wrapText="1"/>
    </xf>
    <xf numFmtId="3" fontId="15" fillId="0" borderId="7" xfId="0" applyNumberFormat="1" applyFont="1" applyFill="1" applyBorder="1" applyAlignment="1" applyProtection="1">
      <alignment horizontal="center" vertical="center" wrapText="1"/>
    </xf>
    <xf numFmtId="3" fontId="15" fillId="0" borderId="53" xfId="0" applyNumberFormat="1" applyFont="1" applyFill="1" applyBorder="1" applyAlignment="1" applyProtection="1">
      <alignment horizontal="center" vertical="center" wrapText="1"/>
    </xf>
    <xf numFmtId="3" fontId="15" fillId="26" borderId="73" xfId="0" applyNumberFormat="1" applyFont="1" applyFill="1" applyBorder="1" applyAlignment="1" applyProtection="1">
      <alignment horizontal="center" vertical="center" wrapText="1"/>
    </xf>
    <xf numFmtId="3" fontId="15" fillId="26" borderId="76" xfId="0" applyNumberFormat="1" applyFont="1" applyFill="1" applyBorder="1" applyAlignment="1" applyProtection="1">
      <alignment horizontal="center" vertical="center" wrapText="1"/>
    </xf>
    <xf numFmtId="3" fontId="15" fillId="26" borderId="77" xfId="0" applyNumberFormat="1" applyFont="1" applyFill="1" applyBorder="1" applyAlignment="1" applyProtection="1">
      <alignment horizontal="center" vertical="center" wrapText="1"/>
    </xf>
    <xf numFmtId="3" fontId="15" fillId="26" borderId="57" xfId="0" applyNumberFormat="1" applyFont="1" applyFill="1" applyBorder="1" applyAlignment="1" applyProtection="1">
      <alignment horizontal="center" vertical="center" wrapText="1"/>
    </xf>
    <xf numFmtId="172" fontId="24" fillId="26" borderId="7" xfId="0" applyNumberFormat="1" applyFont="1" applyFill="1" applyBorder="1" applyAlignment="1" applyProtection="1">
      <alignment horizontal="center" vertical="center" wrapText="1"/>
    </xf>
    <xf numFmtId="172" fontId="24" fillId="26" borderId="53" xfId="0" applyNumberFormat="1" applyFont="1" applyFill="1" applyBorder="1" applyAlignment="1" applyProtection="1">
      <alignment horizontal="center" vertical="center" wrapText="1"/>
    </xf>
    <xf numFmtId="3" fontId="44" fillId="28" borderId="52" xfId="0" applyNumberFormat="1" applyFont="1" applyFill="1" applyBorder="1" applyAlignment="1" applyProtection="1">
      <alignment horizontal="center" vertical="center"/>
      <protection locked="0"/>
    </xf>
    <xf numFmtId="3" fontId="44" fillId="28" borderId="7" xfId="0" applyNumberFormat="1" applyFont="1" applyFill="1" applyBorder="1" applyAlignment="1" applyProtection="1">
      <alignment horizontal="center" vertical="center"/>
      <protection locked="0"/>
    </xf>
    <xf numFmtId="3" fontId="44" fillId="28" borderId="52" xfId="0" applyNumberFormat="1" applyFont="1" applyFill="1" applyBorder="1" applyAlignment="1" applyProtection="1">
      <alignment horizontal="right" vertical="center"/>
      <protection locked="0"/>
    </xf>
    <xf numFmtId="3" fontId="44" fillId="28" borderId="7" xfId="0" applyNumberFormat="1" applyFont="1" applyFill="1" applyBorder="1" applyAlignment="1" applyProtection="1">
      <alignment horizontal="right" vertical="center"/>
      <protection locked="0"/>
    </xf>
    <xf numFmtId="3" fontId="44" fillId="28" borderId="53" xfId="0" applyNumberFormat="1" applyFont="1" applyFill="1" applyBorder="1" applyAlignment="1" applyProtection="1">
      <alignment horizontal="right" vertical="center"/>
      <protection locked="0"/>
    </xf>
    <xf numFmtId="3" fontId="45" fillId="28" borderId="56" xfId="0" applyNumberFormat="1" applyFont="1" applyFill="1" applyBorder="1" applyAlignment="1" applyProtection="1">
      <alignment horizontal="center" vertical="center"/>
      <protection locked="0"/>
    </xf>
    <xf numFmtId="3" fontId="45" fillId="28" borderId="77" xfId="0" applyNumberFormat="1" applyFont="1" applyFill="1" applyBorder="1" applyAlignment="1" applyProtection="1">
      <alignment horizontal="center" vertical="center"/>
      <protection locked="0"/>
    </xf>
    <xf numFmtId="3" fontId="45" fillId="28" borderId="57" xfId="0" applyNumberFormat="1" applyFont="1" applyFill="1" applyBorder="1" applyAlignment="1" applyProtection="1">
      <alignment horizontal="center" vertical="center"/>
      <protection locked="0"/>
    </xf>
    <xf numFmtId="171" fontId="44" fillId="27" borderId="7" xfId="0" applyNumberFormat="1" applyFont="1" applyFill="1" applyBorder="1" applyAlignment="1" applyProtection="1">
      <alignment horizontal="center" vertical="center"/>
    </xf>
    <xf numFmtId="171" fontId="43" fillId="24" borderId="7" xfId="0" applyNumberFormat="1" applyFont="1" applyFill="1" applyBorder="1" applyAlignment="1" applyProtection="1">
      <alignment horizontal="center" vertical="center"/>
    </xf>
    <xf numFmtId="3" fontId="44" fillId="29" borderId="7" xfId="49" applyNumberFormat="1" applyFont="1" applyFill="1" applyBorder="1" applyAlignment="1" applyProtection="1">
      <alignment horizontal="right" vertical="center"/>
    </xf>
    <xf numFmtId="4" fontId="17" fillId="26" borderId="7" xfId="0" applyNumberFormat="1" applyFont="1" applyFill="1" applyBorder="1" applyAlignment="1" applyProtection="1">
      <alignment horizontal="center" vertical="center"/>
    </xf>
    <xf numFmtId="171" fontId="112" fillId="26" borderId="7" xfId="49" applyNumberFormat="1" applyFont="1" applyFill="1" applyBorder="1" applyAlignment="1" applyProtection="1">
      <alignment horizontal="center" vertical="center"/>
    </xf>
    <xf numFmtId="3" fontId="44" fillId="27" borderId="0" xfId="49" applyNumberFormat="1" applyFont="1" applyFill="1" applyBorder="1" applyAlignment="1" applyProtection="1">
      <alignment horizontal="center" vertical="center"/>
    </xf>
    <xf numFmtId="0" fontId="0" fillId="27" borderId="0" xfId="0" applyFill="1" applyBorder="1" applyAlignment="1" applyProtection="1">
      <alignment horizontal="center" vertical="center"/>
    </xf>
    <xf numFmtId="0" fontId="111" fillId="0" borderId="7" xfId="0" applyFont="1" applyFill="1" applyBorder="1" applyAlignment="1" applyProtection="1">
      <alignment horizontal="left" vertical="center" wrapText="1"/>
    </xf>
    <xf numFmtId="0" fontId="0" fillId="27" borderId="0" xfId="0" applyFill="1" applyBorder="1" applyAlignment="1" applyProtection="1">
      <alignment vertical="center"/>
    </xf>
    <xf numFmtId="3" fontId="43" fillId="24" borderId="7" xfId="0" applyNumberFormat="1" applyFont="1" applyFill="1" applyBorder="1" applyAlignment="1" applyProtection="1">
      <alignment horizontal="left" vertical="center" wrapText="1"/>
    </xf>
    <xf numFmtId="3" fontId="43" fillId="24" borderId="17" xfId="32" applyNumberFormat="1" applyFont="1" applyFill="1" applyBorder="1" applyAlignment="1" applyProtection="1">
      <alignment horizontal="center" vertical="center"/>
    </xf>
    <xf numFmtId="3" fontId="44" fillId="26" borderId="17" xfId="32" applyNumberFormat="1" applyFont="1" applyFill="1" applyBorder="1" applyAlignment="1" applyProtection="1">
      <alignment horizontal="center" vertical="center"/>
    </xf>
    <xf numFmtId="3" fontId="44" fillId="26" borderId="23" xfId="32" applyNumberFormat="1" applyFont="1" applyFill="1" applyBorder="1" applyAlignment="1" applyProtection="1">
      <alignment horizontal="center" vertical="center"/>
    </xf>
    <xf numFmtId="3" fontId="44" fillId="26" borderId="24" xfId="32" applyNumberFormat="1" applyFont="1" applyFill="1" applyBorder="1" applyAlignment="1" applyProtection="1">
      <alignment horizontal="center" vertical="center"/>
    </xf>
    <xf numFmtId="3" fontId="43" fillId="31" borderId="17" xfId="32" applyNumberFormat="1" applyFont="1" applyFill="1" applyBorder="1" applyAlignment="1" applyProtection="1">
      <alignment horizontal="center" vertical="center"/>
    </xf>
    <xf numFmtId="175" fontId="43" fillId="24" borderId="17" xfId="32" applyNumberFormat="1" applyFont="1" applyFill="1" applyBorder="1" applyAlignment="1" applyProtection="1">
      <alignment horizontal="center" vertical="center"/>
    </xf>
    <xf numFmtId="175" fontId="43" fillId="0" borderId="0" xfId="32" applyNumberFormat="1" applyFont="1" applyFill="1" applyBorder="1" applyAlignment="1" applyProtection="1">
      <alignment horizontal="center" vertical="center"/>
    </xf>
    <xf numFmtId="3" fontId="43" fillId="31" borderId="38" xfId="32" applyNumberFormat="1" applyFont="1" applyFill="1" applyBorder="1" applyAlignment="1" applyProtection="1">
      <alignment horizontal="center" vertical="center"/>
    </xf>
    <xf numFmtId="3" fontId="43" fillId="31" borderId="9" xfId="32" applyNumberFormat="1" applyFont="1" applyFill="1" applyBorder="1" applyAlignment="1" applyProtection="1">
      <alignment horizontal="center" vertical="center"/>
    </xf>
    <xf numFmtId="3" fontId="43" fillId="31" borderId="65" xfId="32" applyNumberFormat="1" applyFont="1" applyFill="1" applyBorder="1" applyAlignment="1" applyProtection="1">
      <alignment horizontal="center" vertical="center"/>
    </xf>
    <xf numFmtId="3" fontId="43" fillId="31" borderId="80" xfId="32" applyNumberFormat="1" applyFont="1" applyFill="1" applyBorder="1" applyAlignment="1" applyProtection="1">
      <alignment horizontal="center" vertical="center"/>
    </xf>
    <xf numFmtId="3" fontId="43" fillId="31" borderId="58" xfId="32" applyNumberFormat="1" applyFont="1" applyFill="1" applyBorder="1" applyAlignment="1" applyProtection="1">
      <alignment horizontal="center" vertical="center"/>
    </xf>
    <xf numFmtId="4" fontId="44" fillId="3" borderId="7" xfId="0" applyNumberFormat="1" applyFont="1" applyFill="1" applyBorder="1" applyAlignment="1" applyProtection="1">
      <alignment horizontal="center" vertical="center"/>
      <protection locked="0"/>
    </xf>
    <xf numFmtId="0" fontId="43" fillId="31" borderId="75" xfId="32" applyFont="1" applyFill="1" applyBorder="1" applyAlignment="1" applyProtection="1">
      <alignment horizontal="center" vertical="center"/>
    </xf>
    <xf numFmtId="0" fontId="43" fillId="31" borderId="76" xfId="32" applyFont="1" applyFill="1" applyBorder="1" applyAlignment="1" applyProtection="1">
      <alignment vertical="center"/>
    </xf>
    <xf numFmtId="49" fontId="44" fillId="27" borderId="56" xfId="32" applyNumberFormat="1" applyFont="1" applyFill="1" applyBorder="1" applyAlignment="1" applyProtection="1">
      <alignment horizontal="center" vertical="center" wrapText="1"/>
    </xf>
    <xf numFmtId="49" fontId="24" fillId="37" borderId="35" xfId="0" applyNumberFormat="1" applyFont="1" applyFill="1" applyBorder="1" applyAlignment="1" applyProtection="1">
      <alignment horizontal="center" vertical="center"/>
    </xf>
    <xf numFmtId="49" fontId="24" fillId="37" borderId="41" xfId="0" applyNumberFormat="1" applyFont="1" applyFill="1" applyBorder="1" applyAlignment="1" applyProtection="1">
      <alignment horizontal="center" vertical="center"/>
    </xf>
    <xf numFmtId="0" fontId="24" fillId="37" borderId="35" xfId="0" applyFont="1" applyFill="1" applyBorder="1" applyAlignment="1" applyProtection="1">
      <alignment horizontal="center" vertical="center"/>
    </xf>
    <xf numFmtId="0" fontId="24" fillId="37" borderId="2" xfId="0" applyFont="1" applyFill="1" applyBorder="1" applyAlignment="1" applyProtection="1">
      <alignment horizontal="center" vertical="center" wrapText="1"/>
    </xf>
    <xf numFmtId="0" fontId="24" fillId="37" borderId="3" xfId="0" applyFont="1" applyFill="1" applyBorder="1" applyAlignment="1" applyProtection="1">
      <alignment horizontal="center" vertical="center" wrapText="1"/>
    </xf>
    <xf numFmtId="0" fontId="24" fillId="37" borderId="1" xfId="0" applyFont="1" applyFill="1" applyBorder="1" applyAlignment="1" applyProtection="1">
      <alignment horizontal="center" vertical="center" wrapText="1"/>
    </xf>
    <xf numFmtId="0" fontId="24" fillId="37" borderId="26" xfId="0" applyFont="1" applyFill="1" applyBorder="1" applyAlignment="1" applyProtection="1">
      <alignment horizontal="center" vertical="center" wrapText="1"/>
    </xf>
    <xf numFmtId="0" fontId="24" fillId="37" borderId="4" xfId="0" applyFont="1" applyFill="1" applyBorder="1" applyAlignment="1" applyProtection="1">
      <alignment horizontal="center" vertical="center" wrapText="1"/>
    </xf>
    <xf numFmtId="0" fontId="24" fillId="37" borderId="68" xfId="0" applyFont="1" applyFill="1" applyBorder="1" applyAlignment="1" applyProtection="1">
      <alignment horizontal="center" vertical="center" wrapText="1"/>
    </xf>
    <xf numFmtId="0" fontId="24" fillId="37" borderId="67" xfId="0" applyFont="1" applyFill="1" applyBorder="1" applyAlignment="1" applyProtection="1">
      <alignment horizontal="center" vertical="center" wrapText="1"/>
    </xf>
    <xf numFmtId="0" fontId="15" fillId="0" borderId="0" xfId="0" applyFont="1" applyAlignment="1">
      <alignment horizontal="center" vertical="center"/>
    </xf>
    <xf numFmtId="3" fontId="15" fillId="3" borderId="17" xfId="0" applyNumberFormat="1" applyFont="1" applyFill="1" applyBorder="1" applyAlignment="1" applyProtection="1">
      <alignment horizontal="center" vertical="center" wrapText="1"/>
      <protection locked="0"/>
    </xf>
    <xf numFmtId="3" fontId="15" fillId="3" borderId="51" xfId="0" applyNumberFormat="1" applyFont="1" applyFill="1" applyBorder="1" applyAlignment="1" applyProtection="1">
      <alignment horizontal="center" vertical="center" wrapText="1"/>
      <protection locked="0"/>
    </xf>
    <xf numFmtId="3" fontId="15" fillId="3" borderId="21" xfId="0" applyNumberFormat="1" applyFont="1" applyFill="1" applyBorder="1" applyAlignment="1" applyProtection="1">
      <alignment horizontal="center" vertical="center" wrapText="1"/>
      <protection locked="0"/>
    </xf>
    <xf numFmtId="3" fontId="15" fillId="0" borderId="51" xfId="0" applyNumberFormat="1" applyFont="1" applyFill="1" applyBorder="1" applyAlignment="1" applyProtection="1">
      <alignment horizontal="center" vertical="center" wrapText="1"/>
    </xf>
    <xf numFmtId="3" fontId="15" fillId="0" borderId="17" xfId="0" applyNumberFormat="1" applyFont="1" applyFill="1" applyBorder="1" applyAlignment="1" applyProtection="1">
      <alignment horizontal="center" vertical="center" wrapText="1"/>
    </xf>
    <xf numFmtId="3" fontId="15" fillId="0" borderId="39" xfId="0" applyNumberFormat="1" applyFont="1" applyFill="1" applyBorder="1" applyAlignment="1" applyProtection="1">
      <alignment horizontal="center" vertical="center" wrapText="1"/>
    </xf>
    <xf numFmtId="172" fontId="15" fillId="3" borderId="17" xfId="0" applyNumberFormat="1" applyFont="1" applyFill="1" applyBorder="1" applyAlignment="1" applyProtection="1">
      <alignment horizontal="center" vertical="center" wrapText="1"/>
      <protection locked="0"/>
    </xf>
    <xf numFmtId="172" fontId="24" fillId="26" borderId="17" xfId="0" applyNumberFormat="1" applyFont="1" applyFill="1" applyBorder="1" applyAlignment="1" applyProtection="1">
      <alignment horizontal="center" vertical="center" wrapText="1"/>
    </xf>
    <xf numFmtId="3" fontId="15" fillId="3" borderId="5" xfId="0" applyNumberFormat="1" applyFont="1" applyFill="1" applyBorder="1" applyAlignment="1" applyProtection="1">
      <alignment horizontal="center" vertical="center" wrapText="1"/>
      <protection locked="0"/>
    </xf>
    <xf numFmtId="3" fontId="15" fillId="26" borderId="51" xfId="0" applyNumberFormat="1" applyFont="1" applyFill="1" applyBorder="1" applyAlignment="1" applyProtection="1">
      <alignment horizontal="center" vertical="center" wrapText="1"/>
    </xf>
    <xf numFmtId="3" fontId="15" fillId="26" borderId="21" xfId="0" applyNumberFormat="1" applyFont="1" applyFill="1" applyBorder="1" applyAlignment="1" applyProtection="1">
      <alignment horizontal="center" vertical="center" wrapText="1"/>
    </xf>
    <xf numFmtId="3" fontId="15" fillId="0" borderId="21" xfId="0" applyNumberFormat="1" applyFont="1" applyFill="1" applyBorder="1" applyAlignment="1" applyProtection="1">
      <alignment horizontal="center" vertical="center" wrapText="1"/>
    </xf>
    <xf numFmtId="0" fontId="15" fillId="0" borderId="0" xfId="2" applyFont="1" applyBorder="1" applyAlignment="1" applyProtection="1">
      <alignment horizontal="center" vertical="center"/>
    </xf>
    <xf numFmtId="0" fontId="73" fillId="27" borderId="29" xfId="0" applyNumberFormat="1" applyFont="1" applyFill="1" applyBorder="1" applyAlignment="1" applyProtection="1">
      <alignment horizontal="left" vertical="center"/>
    </xf>
    <xf numFmtId="49" fontId="36" fillId="27" borderId="14" xfId="0" applyNumberFormat="1" applyFont="1" applyFill="1" applyBorder="1" applyAlignment="1" applyProtection="1">
      <alignment horizontal="left" vertical="center"/>
    </xf>
    <xf numFmtId="49" fontId="36" fillId="27" borderId="6" xfId="0" applyNumberFormat="1" applyFont="1" applyFill="1" applyBorder="1" applyAlignment="1" applyProtection="1">
      <alignment horizontal="left" vertical="center"/>
    </xf>
    <xf numFmtId="49" fontId="36" fillId="27" borderId="24" xfId="0" applyNumberFormat="1" applyFont="1" applyFill="1" applyBorder="1" applyAlignment="1" applyProtection="1">
      <alignment horizontal="left" vertical="center"/>
    </xf>
    <xf numFmtId="49" fontId="36" fillId="27" borderId="15" xfId="0" applyNumberFormat="1" applyFont="1" applyFill="1" applyBorder="1" applyAlignment="1" applyProtection="1">
      <alignment horizontal="left" vertical="center"/>
    </xf>
    <xf numFmtId="167" fontId="15" fillId="27" borderId="0" xfId="49" applyNumberFormat="1" applyFont="1" applyFill="1" applyBorder="1" applyAlignment="1" applyProtection="1">
      <alignment horizontal="right" vertical="center" wrapText="1"/>
    </xf>
    <xf numFmtId="167" fontId="15" fillId="27" borderId="0" xfId="49" applyNumberFormat="1" applyFont="1" applyFill="1" applyBorder="1" applyAlignment="1" applyProtection="1">
      <alignment horizontal="center" vertical="center" wrapText="1"/>
    </xf>
    <xf numFmtId="4" fontId="43" fillId="27" borderId="75" xfId="49" applyNumberFormat="1" applyFont="1" applyFill="1" applyBorder="1" applyAlignment="1" applyProtection="1">
      <alignment horizontal="center" vertical="center"/>
    </xf>
    <xf numFmtId="4" fontId="43" fillId="27" borderId="73" xfId="49" applyNumberFormat="1" applyFont="1" applyFill="1" applyBorder="1" applyAlignment="1" applyProtection="1">
      <alignment horizontal="center" vertical="center"/>
    </xf>
    <xf numFmtId="4" fontId="43" fillId="27" borderId="76" xfId="49" applyNumberFormat="1" applyFont="1" applyFill="1" applyBorder="1" applyAlignment="1" applyProtection="1">
      <alignment horizontal="center" vertical="center"/>
    </xf>
    <xf numFmtId="4" fontId="43" fillId="27" borderId="72" xfId="49" applyNumberFormat="1" applyFont="1" applyFill="1" applyBorder="1" applyAlignment="1" applyProtection="1">
      <alignment horizontal="center" vertical="center"/>
    </xf>
    <xf numFmtId="4" fontId="43" fillId="27" borderId="52" xfId="49" applyNumberFormat="1" applyFont="1" applyFill="1" applyBorder="1" applyAlignment="1" applyProtection="1">
      <alignment horizontal="center" vertical="center"/>
    </xf>
    <xf numFmtId="4" fontId="43" fillId="27" borderId="7" xfId="49" applyNumberFormat="1" applyFont="1" applyFill="1" applyBorder="1" applyAlignment="1" applyProtection="1">
      <alignment horizontal="center" vertical="center"/>
    </xf>
    <xf numFmtId="4" fontId="43" fillId="27" borderId="53" xfId="49" applyNumberFormat="1" applyFont="1" applyFill="1" applyBorder="1" applyAlignment="1" applyProtection="1">
      <alignment horizontal="center" vertical="center"/>
    </xf>
    <xf numFmtId="4" fontId="43" fillId="27" borderId="32" xfId="49" applyNumberFormat="1" applyFont="1" applyFill="1" applyBorder="1" applyAlignment="1" applyProtection="1">
      <alignment horizontal="center" vertical="center"/>
    </xf>
    <xf numFmtId="4" fontId="43" fillId="27" borderId="56" xfId="49" applyNumberFormat="1" applyFont="1" applyFill="1" applyBorder="1" applyAlignment="1" applyProtection="1">
      <alignment horizontal="center" vertical="center"/>
    </xf>
    <xf numFmtId="4" fontId="43" fillId="27" borderId="77" xfId="49" applyNumberFormat="1" applyFont="1" applyFill="1" applyBorder="1" applyAlignment="1" applyProtection="1">
      <alignment horizontal="center" vertical="center"/>
    </xf>
    <xf numFmtId="4" fontId="43" fillId="27" borderId="57" xfId="49" applyNumberFormat="1" applyFont="1" applyFill="1" applyBorder="1" applyAlignment="1" applyProtection="1">
      <alignment horizontal="center" vertical="center"/>
    </xf>
    <xf numFmtId="4" fontId="43" fillId="27" borderId="79" xfId="49" applyNumberFormat="1" applyFont="1" applyFill="1" applyBorder="1" applyAlignment="1" applyProtection="1">
      <alignment horizontal="center" vertical="center"/>
    </xf>
    <xf numFmtId="0" fontId="68" fillId="37" borderId="2" xfId="52" applyFont="1" applyFill="1" applyBorder="1" applyAlignment="1" applyProtection="1">
      <alignment horizontal="center" vertical="center"/>
    </xf>
    <xf numFmtId="0" fontId="68" fillId="37" borderId="65" xfId="52" applyFont="1" applyFill="1" applyBorder="1" applyAlignment="1" applyProtection="1">
      <alignment horizontal="center" vertical="center"/>
    </xf>
    <xf numFmtId="0" fontId="68" fillId="23" borderId="11" xfId="52" applyFont="1" applyFill="1" applyBorder="1" applyAlignment="1" applyProtection="1">
      <alignment horizontal="center" vertical="center"/>
    </xf>
    <xf numFmtId="0" fontId="60" fillId="31" borderId="51" xfId="52" applyFont="1" applyFill="1" applyBorder="1" applyAlignment="1" applyProtection="1">
      <alignment horizontal="center" vertical="center" wrapText="1"/>
    </xf>
    <xf numFmtId="0" fontId="44" fillId="26" borderId="24" xfId="0" applyFont="1" applyFill="1" applyBorder="1" applyAlignment="1" applyProtection="1">
      <alignment vertical="center" wrapText="1"/>
    </xf>
    <xf numFmtId="0" fontId="60" fillId="20" borderId="17" xfId="52" applyFont="1" applyFill="1" applyBorder="1" applyAlignment="1" applyProtection="1">
      <alignment horizontal="center" vertical="center" wrapText="1"/>
    </xf>
    <xf numFmtId="0" fontId="60" fillId="31" borderId="5" xfId="52" applyFont="1" applyFill="1" applyBorder="1" applyAlignment="1" applyProtection="1">
      <alignment horizontal="center" vertical="center" wrapText="1"/>
    </xf>
    <xf numFmtId="0" fontId="60" fillId="31" borderId="39" xfId="52" applyFont="1" applyFill="1" applyBorder="1" applyAlignment="1" applyProtection="1">
      <alignment horizontal="center" vertical="center" wrapText="1"/>
    </xf>
    <xf numFmtId="0" fontId="60" fillId="20" borderId="51" xfId="52" applyFont="1" applyFill="1" applyBorder="1" applyAlignment="1" applyProtection="1">
      <alignment horizontal="center" vertical="center" wrapText="1"/>
    </xf>
    <xf numFmtId="0" fontId="60" fillId="20" borderId="21" xfId="52" applyFont="1" applyFill="1" applyBorder="1" applyAlignment="1" applyProtection="1">
      <alignment horizontal="center" vertical="center" wrapText="1"/>
    </xf>
    <xf numFmtId="0" fontId="60" fillId="31" borderId="17" xfId="52" applyFont="1" applyFill="1" applyBorder="1" applyAlignment="1" applyProtection="1">
      <alignment horizontal="center" vertical="center" wrapText="1"/>
    </xf>
    <xf numFmtId="0" fontId="60" fillId="31" borderId="21" xfId="52" applyFont="1" applyFill="1" applyBorder="1" applyAlignment="1" applyProtection="1">
      <alignment horizontal="center" vertical="center" wrapText="1"/>
    </xf>
    <xf numFmtId="0" fontId="60" fillId="23" borderId="8" xfId="52" applyFont="1" applyFill="1" applyBorder="1" applyAlignment="1" applyProtection="1">
      <alignment horizontal="center" vertical="center" wrapText="1"/>
    </xf>
    <xf numFmtId="4" fontId="43" fillId="20" borderId="17" xfId="0" applyNumberFormat="1" applyFont="1" applyFill="1" applyBorder="1" applyAlignment="1" applyProtection="1">
      <alignment horizontal="center" vertical="center"/>
    </xf>
    <xf numFmtId="4" fontId="44" fillId="0" borderId="17" xfId="0" applyNumberFormat="1" applyFont="1" applyFill="1" applyBorder="1" applyAlignment="1" applyProtection="1">
      <alignment horizontal="center" vertical="center"/>
    </xf>
    <xf numFmtId="4" fontId="44" fillId="20" borderId="17" xfId="0" applyNumberFormat="1" applyFont="1" applyFill="1" applyBorder="1" applyAlignment="1" applyProtection="1">
      <alignment horizontal="center" vertical="center"/>
    </xf>
    <xf numFmtId="10" fontId="44" fillId="0" borderId="39" xfId="1" applyNumberFormat="1" applyFont="1" applyFill="1" applyBorder="1" applyAlignment="1" applyProtection="1">
      <alignment horizontal="center" vertical="center"/>
    </xf>
    <xf numFmtId="4" fontId="44" fillId="20" borderId="39" xfId="0" applyNumberFormat="1" applyFont="1" applyFill="1" applyBorder="1" applyAlignment="1" applyProtection="1">
      <alignment horizontal="center" vertical="center"/>
    </xf>
    <xf numFmtId="4" fontId="43" fillId="21" borderId="2" xfId="0" applyNumberFormat="1" applyFont="1" applyFill="1" applyBorder="1" applyAlignment="1" applyProtection="1">
      <alignment horizontal="center" vertical="center"/>
    </xf>
    <xf numFmtId="10" fontId="43" fillId="31" borderId="1" xfId="1" applyNumberFormat="1" applyFont="1" applyFill="1" applyBorder="1" applyAlignment="1" applyProtection="1">
      <alignment horizontal="center" vertical="center"/>
    </xf>
    <xf numFmtId="10" fontId="43" fillId="31" borderId="2" xfId="1" applyNumberFormat="1" applyFont="1" applyFill="1" applyBorder="1" applyAlignment="1" applyProtection="1">
      <alignment horizontal="center" vertical="center"/>
    </xf>
    <xf numFmtId="10" fontId="43" fillId="31" borderId="65" xfId="1" applyNumberFormat="1" applyFont="1" applyFill="1" applyBorder="1" applyAlignment="1" applyProtection="1">
      <alignment horizontal="center" vertical="center"/>
    </xf>
    <xf numFmtId="10" fontId="43" fillId="31" borderId="9" xfId="1" applyNumberFormat="1" applyFont="1" applyFill="1" applyBorder="1" applyAlignment="1" applyProtection="1">
      <alignment horizontal="center" vertical="center"/>
    </xf>
    <xf numFmtId="10" fontId="43" fillId="31" borderId="10" xfId="1" applyNumberFormat="1" applyFont="1" applyFill="1" applyBorder="1" applyAlignment="1" applyProtection="1">
      <alignment horizontal="center" vertical="center"/>
    </xf>
    <xf numFmtId="0" fontId="38" fillId="27" borderId="0" xfId="40" applyFont="1" applyFill="1" applyAlignment="1" applyProtection="1">
      <alignment horizontal="left" vertical="center"/>
    </xf>
    <xf numFmtId="0" fontId="44" fillId="0" borderId="10" xfId="49" applyFont="1" applyFill="1" applyBorder="1" applyAlignment="1" applyProtection="1">
      <alignment horizontal="left" vertical="center" wrapText="1"/>
    </xf>
    <xf numFmtId="3" fontId="44" fillId="29" borderId="17" xfId="32" applyNumberFormat="1" applyFont="1" applyFill="1" applyBorder="1" applyAlignment="1" applyProtection="1">
      <alignment horizontal="center" vertical="center"/>
    </xf>
    <xf numFmtId="0" fontId="44" fillId="26" borderId="60" xfId="49" applyFont="1" applyFill="1" applyBorder="1" applyAlignment="1" applyProtection="1">
      <alignment horizontal="left" vertical="center" wrapText="1"/>
    </xf>
    <xf numFmtId="168" fontId="45" fillId="26" borderId="99" xfId="49" applyNumberFormat="1" applyFont="1" applyFill="1" applyBorder="1" applyAlignment="1" applyProtection="1">
      <alignment horizontal="center" vertical="center" wrapText="1"/>
    </xf>
    <xf numFmtId="168" fontId="45" fillId="26" borderId="90" xfId="49" applyNumberFormat="1" applyFont="1" applyFill="1" applyBorder="1" applyAlignment="1" applyProtection="1">
      <alignment horizontal="center" vertical="center" wrapText="1"/>
    </xf>
    <xf numFmtId="0" fontId="15" fillId="3" borderId="29" xfId="0" applyFont="1" applyFill="1" applyBorder="1" applyAlignment="1" applyProtection="1">
      <alignment horizontal="center" vertical="center" wrapText="1"/>
      <protection locked="0"/>
    </xf>
    <xf numFmtId="0" fontId="15" fillId="3" borderId="24" xfId="0" applyFont="1" applyFill="1" applyBorder="1" applyAlignment="1" applyProtection="1">
      <alignment horizontal="center" vertical="center" wrapText="1"/>
      <protection locked="0"/>
    </xf>
    <xf numFmtId="0" fontId="15" fillId="3" borderId="71" xfId="0" applyFont="1" applyFill="1" applyBorder="1" applyAlignment="1" applyProtection="1">
      <alignment horizontal="center" vertical="center" wrapText="1"/>
      <protection locked="0"/>
    </xf>
    <xf numFmtId="3" fontId="15" fillId="3" borderId="23" xfId="0" applyNumberFormat="1" applyFont="1" applyFill="1" applyBorder="1" applyAlignment="1" applyProtection="1">
      <alignment horizontal="center" vertical="center" wrapText="1"/>
      <protection locked="0"/>
    </xf>
    <xf numFmtId="0" fontId="15" fillId="3" borderId="52" xfId="0" applyFont="1" applyFill="1" applyBorder="1" applyAlignment="1" applyProtection="1">
      <alignment horizontal="center" vertical="center" wrapText="1"/>
      <protection locked="0"/>
    </xf>
    <xf numFmtId="0" fontId="15" fillId="3" borderId="75" xfId="0" applyFont="1" applyFill="1" applyBorder="1" applyAlignment="1" applyProtection="1">
      <alignment horizontal="center" vertical="center" wrapText="1"/>
      <protection locked="0"/>
    </xf>
    <xf numFmtId="0" fontId="15" fillId="3" borderId="101" xfId="0" applyFont="1" applyFill="1" applyBorder="1" applyAlignment="1" applyProtection="1">
      <alignment horizontal="center" vertical="center" wrapText="1"/>
      <protection locked="0"/>
    </xf>
    <xf numFmtId="10" fontId="15" fillId="3" borderId="17" xfId="0" applyNumberFormat="1" applyFont="1" applyFill="1" applyBorder="1" applyAlignment="1" applyProtection="1">
      <alignment horizontal="center" vertical="center" wrapText="1"/>
      <protection locked="0"/>
    </xf>
    <xf numFmtId="3" fontId="15" fillId="3" borderId="52" xfId="32" applyNumberFormat="1" applyFont="1" applyFill="1" applyBorder="1" applyAlignment="1" applyProtection="1">
      <alignment horizontal="center" vertical="center"/>
      <protection locked="0"/>
    </xf>
    <xf numFmtId="49" fontId="44" fillId="26" borderId="49" xfId="49" applyNumberFormat="1" applyFont="1" applyFill="1" applyBorder="1" applyAlignment="1" applyProtection="1">
      <alignment horizontal="left" vertical="center" wrapText="1"/>
    </xf>
    <xf numFmtId="3" fontId="15" fillId="28" borderId="17" xfId="32" applyNumberFormat="1" applyFont="1" applyFill="1" applyBorder="1" applyAlignment="1" applyProtection="1">
      <alignment horizontal="center" vertical="center"/>
      <protection locked="0"/>
    </xf>
    <xf numFmtId="3" fontId="44" fillId="28" borderId="17" xfId="32" applyNumberFormat="1" applyFont="1" applyFill="1" applyBorder="1" applyAlignment="1" applyProtection="1">
      <alignment horizontal="center"/>
      <protection locked="0"/>
    </xf>
    <xf numFmtId="171" fontId="44" fillId="0" borderId="72" xfId="0" applyNumberFormat="1" applyFont="1" applyFill="1" applyBorder="1" applyAlignment="1" applyProtection="1">
      <alignment horizontal="center" vertical="center"/>
    </xf>
    <xf numFmtId="171" fontId="44" fillId="0" borderId="14" xfId="0" applyNumberFormat="1" applyFont="1" applyFill="1" applyBorder="1" applyAlignment="1" applyProtection="1">
      <alignment horizontal="center" vertical="center"/>
    </xf>
    <xf numFmtId="171" fontId="44" fillId="0" borderId="32" xfId="0" applyNumberFormat="1" applyFont="1" applyFill="1" applyBorder="1" applyAlignment="1" applyProtection="1">
      <alignment horizontal="center" vertical="center"/>
    </xf>
    <xf numFmtId="171" fontId="44" fillId="0" borderId="15" xfId="0" applyNumberFormat="1" applyFont="1" applyFill="1" applyBorder="1" applyAlignment="1" applyProtection="1">
      <alignment horizontal="center" vertical="center"/>
    </xf>
    <xf numFmtId="2" fontId="15" fillId="3" borderId="21" xfId="0" applyNumberFormat="1" applyFont="1" applyFill="1" applyBorder="1" applyAlignment="1" applyProtection="1">
      <alignment horizontal="center" vertical="center" wrapText="1"/>
      <protection locked="0"/>
    </xf>
    <xf numFmtId="9" fontId="15" fillId="3" borderId="51" xfId="0" applyNumberFormat="1" applyFont="1" applyFill="1" applyBorder="1" applyAlignment="1" applyProtection="1">
      <alignment horizontal="center" vertical="center" wrapText="1"/>
      <protection locked="0"/>
    </xf>
    <xf numFmtId="9" fontId="15" fillId="3" borderId="17" xfId="0" applyNumberFormat="1" applyFont="1" applyFill="1" applyBorder="1" applyAlignment="1" applyProtection="1">
      <alignment horizontal="center" vertical="center" wrapText="1"/>
      <protection locked="0"/>
    </xf>
    <xf numFmtId="4" fontId="43" fillId="24" borderId="7" xfId="0" applyNumberFormat="1" applyFont="1" applyFill="1" applyBorder="1" applyAlignment="1" applyProtection="1">
      <alignment horizontal="center" vertical="center"/>
    </xf>
    <xf numFmtId="3" fontId="15" fillId="3" borderId="17" xfId="32" applyNumberFormat="1" applyFont="1" applyFill="1" applyBorder="1" applyAlignment="1" applyProtection="1">
      <alignment horizontal="center" vertical="center"/>
      <protection locked="0"/>
    </xf>
    <xf numFmtId="3" fontId="15" fillId="3" borderId="21" xfId="32" applyNumberFormat="1" applyFont="1" applyFill="1" applyBorder="1" applyAlignment="1" applyProtection="1">
      <alignment horizontal="center" vertical="center"/>
      <protection locked="0"/>
    </xf>
    <xf numFmtId="3" fontId="15" fillId="3" borderId="7" xfId="32" applyNumberFormat="1" applyFont="1" applyFill="1" applyBorder="1" applyAlignment="1" applyProtection="1">
      <alignment horizontal="center" vertical="center"/>
      <protection locked="0"/>
    </xf>
    <xf numFmtId="3" fontId="15" fillId="3" borderId="53" xfId="32" applyNumberFormat="1" applyFont="1" applyFill="1" applyBorder="1" applyAlignment="1" applyProtection="1">
      <alignment horizontal="center" vertical="center"/>
      <protection locked="0"/>
    </xf>
    <xf numFmtId="3" fontId="15" fillId="3" borderId="32" xfId="32" applyNumberFormat="1" applyFont="1" applyFill="1" applyBorder="1" applyAlignment="1" applyProtection="1">
      <alignment horizontal="center" vertical="center"/>
      <protection locked="0"/>
    </xf>
    <xf numFmtId="3" fontId="43" fillId="31" borderId="60" xfId="32" applyNumberFormat="1" applyFont="1" applyFill="1" applyBorder="1" applyAlignment="1" applyProtection="1">
      <alignment horizontal="center" vertical="center"/>
    </xf>
    <xf numFmtId="3" fontId="44" fillId="3" borderId="52" xfId="32" applyNumberFormat="1" applyFont="1" applyFill="1" applyBorder="1" applyAlignment="1" applyProtection="1">
      <alignment horizontal="center" vertical="center"/>
      <protection locked="0"/>
    </xf>
    <xf numFmtId="3" fontId="44" fillId="3" borderId="7" xfId="32" applyNumberFormat="1" applyFont="1" applyFill="1" applyBorder="1" applyAlignment="1" applyProtection="1">
      <alignment horizontal="center" vertical="center"/>
      <protection locked="0"/>
    </xf>
    <xf numFmtId="3" fontId="43" fillId="31" borderId="1" xfId="32" applyNumberFormat="1" applyFont="1" applyFill="1" applyBorder="1" applyAlignment="1" applyProtection="1">
      <alignment horizontal="center" vertical="center"/>
    </xf>
    <xf numFmtId="3" fontId="44" fillId="3" borderId="58" xfId="32" applyNumberFormat="1" applyFont="1" applyFill="1" applyBorder="1" applyAlignment="1" applyProtection="1">
      <alignment horizontal="center" vertical="center"/>
      <protection locked="0"/>
    </xf>
    <xf numFmtId="3" fontId="44" fillId="29" borderId="56" xfId="49" applyNumberFormat="1" applyFont="1" applyFill="1" applyBorder="1" applyAlignment="1" applyProtection="1">
      <alignment horizontal="right" vertical="center"/>
    </xf>
    <xf numFmtId="3" fontId="44" fillId="29" borderId="77" xfId="49" applyNumberFormat="1" applyFont="1" applyFill="1" applyBorder="1" applyAlignment="1" applyProtection="1">
      <alignment horizontal="right" vertical="center"/>
    </xf>
    <xf numFmtId="3" fontId="44" fillId="29" borderId="57" xfId="49" applyNumberFormat="1" applyFont="1" applyFill="1" applyBorder="1" applyAlignment="1" applyProtection="1">
      <alignment horizontal="right" vertical="center"/>
    </xf>
    <xf numFmtId="3" fontId="45" fillId="3" borderId="7" xfId="32" applyNumberFormat="1" applyFont="1" applyFill="1" applyBorder="1" applyAlignment="1" applyProtection="1">
      <alignment horizontal="center" vertical="center"/>
      <protection locked="0"/>
    </xf>
    <xf numFmtId="3" fontId="45" fillId="3" borderId="53" xfId="32" applyNumberFormat="1" applyFont="1" applyFill="1" applyBorder="1" applyAlignment="1" applyProtection="1">
      <alignment horizontal="center" vertical="center"/>
      <protection locked="0"/>
    </xf>
    <xf numFmtId="3" fontId="45" fillId="3" borderId="63" xfId="32" applyNumberFormat="1" applyFont="1" applyFill="1" applyBorder="1" applyAlignment="1" applyProtection="1">
      <alignment horizontal="center" vertical="center"/>
      <protection locked="0"/>
    </xf>
    <xf numFmtId="3" fontId="45" fillId="3" borderId="55" xfId="32" applyNumberFormat="1" applyFont="1" applyFill="1" applyBorder="1" applyAlignment="1" applyProtection="1">
      <alignment horizontal="center" vertical="center"/>
      <protection locked="0"/>
    </xf>
    <xf numFmtId="3" fontId="43" fillId="31" borderId="8" xfId="32" applyNumberFormat="1" applyFont="1" applyFill="1" applyBorder="1" applyAlignment="1" applyProtection="1">
      <alignment vertical="center"/>
    </xf>
    <xf numFmtId="3" fontId="43" fillId="31" borderId="3" xfId="32" applyNumberFormat="1" applyFont="1" applyFill="1" applyBorder="1" applyAlignment="1" applyProtection="1">
      <alignment vertical="center"/>
    </xf>
    <xf numFmtId="0" fontId="44" fillId="27" borderId="49" xfId="32" applyFont="1" applyFill="1" applyBorder="1" applyAlignment="1" applyProtection="1">
      <alignment horizontal="center" vertical="center"/>
    </xf>
    <xf numFmtId="0" fontId="44" fillId="27" borderId="52" xfId="32" applyFont="1" applyFill="1" applyBorder="1" applyAlignment="1" applyProtection="1">
      <alignment horizontal="center" vertical="center"/>
    </xf>
    <xf numFmtId="0" fontId="44" fillId="27" borderId="54" xfId="32" applyFont="1" applyFill="1" applyBorder="1" applyAlignment="1" applyProtection="1">
      <alignment horizontal="center" vertical="center"/>
    </xf>
    <xf numFmtId="3" fontId="44" fillId="3" borderId="53" xfId="32" applyNumberFormat="1" applyFont="1" applyFill="1" applyBorder="1" applyAlignment="1" applyProtection="1">
      <alignment horizontal="center" vertical="center"/>
      <protection locked="0"/>
    </xf>
    <xf numFmtId="0" fontId="44" fillId="27" borderId="24" xfId="32" applyFont="1" applyFill="1" applyBorder="1" applyAlignment="1" applyProtection="1">
      <alignment horizontal="center" vertical="center"/>
    </xf>
    <xf numFmtId="3" fontId="44" fillId="3" borderId="54" xfId="32" applyNumberFormat="1" applyFont="1" applyFill="1" applyBorder="1" applyAlignment="1" applyProtection="1">
      <alignment horizontal="center" vertical="center"/>
      <protection locked="0"/>
    </xf>
    <xf numFmtId="3" fontId="44" fillId="3" borderId="49" xfId="32" applyNumberFormat="1" applyFont="1" applyFill="1" applyBorder="1" applyAlignment="1" applyProtection="1">
      <alignment horizontal="center" vertical="center"/>
      <protection locked="0"/>
    </xf>
    <xf numFmtId="3" fontId="44" fillId="3" borderId="31" xfId="32" applyNumberFormat="1" applyFont="1" applyFill="1" applyBorder="1" applyAlignment="1" applyProtection="1">
      <alignment horizontal="center" vertical="center"/>
      <protection locked="0"/>
    </xf>
    <xf numFmtId="3" fontId="44" fillId="3" borderId="50" xfId="32" applyNumberFormat="1" applyFont="1" applyFill="1" applyBorder="1" applyAlignment="1" applyProtection="1">
      <alignment horizontal="center" vertical="center"/>
      <protection locked="0"/>
    </xf>
    <xf numFmtId="3" fontId="45" fillId="3" borderId="75" xfId="32" applyNumberFormat="1" applyFont="1" applyFill="1" applyBorder="1" applyAlignment="1" applyProtection="1">
      <alignment horizontal="center" vertical="center"/>
      <protection locked="0"/>
    </xf>
    <xf numFmtId="3" fontId="45" fillId="3" borderId="73" xfId="32" applyNumberFormat="1" applyFont="1" applyFill="1" applyBorder="1" applyAlignment="1" applyProtection="1">
      <alignment horizontal="center" vertical="center"/>
      <protection locked="0"/>
    </xf>
    <xf numFmtId="3" fontId="45" fillId="3" borderId="76" xfId="32" applyNumberFormat="1" applyFont="1" applyFill="1" applyBorder="1" applyAlignment="1" applyProtection="1">
      <alignment horizontal="center" vertical="center"/>
      <protection locked="0"/>
    </xf>
    <xf numFmtId="3" fontId="45" fillId="3" borderId="52" xfId="32" applyNumberFormat="1" applyFont="1" applyFill="1" applyBorder="1" applyAlignment="1" applyProtection="1">
      <alignment horizontal="center" vertical="center"/>
      <protection locked="0"/>
    </xf>
    <xf numFmtId="3" fontId="44" fillId="28" borderId="52" xfId="32" applyNumberFormat="1" applyFont="1" applyFill="1" applyBorder="1" applyAlignment="1" applyProtection="1">
      <alignment horizontal="center" vertical="center"/>
      <protection locked="0"/>
    </xf>
    <xf numFmtId="0" fontId="101" fillId="27" borderId="0" xfId="49" applyFont="1" applyFill="1" applyBorder="1" applyAlignment="1" applyProtection="1">
      <alignment horizontal="left" vertical="center" wrapText="1"/>
    </xf>
    <xf numFmtId="0" fontId="0" fillId="27" borderId="0" xfId="0" applyFill="1" applyBorder="1" applyAlignment="1" applyProtection="1">
      <alignment horizontal="left" vertical="center" wrapText="1"/>
    </xf>
    <xf numFmtId="3" fontId="83" fillId="27" borderId="0" xfId="49" applyNumberFormat="1" applyFont="1" applyFill="1" applyBorder="1" applyAlignment="1" applyProtection="1">
      <alignment horizontal="center" vertical="center"/>
    </xf>
    <xf numFmtId="3" fontId="15" fillId="3" borderId="51" xfId="31" applyNumberFormat="1" applyFont="1" applyFill="1" applyBorder="1" applyAlignment="1" applyProtection="1">
      <alignment horizontal="center" vertical="center" wrapText="1"/>
      <protection locked="0"/>
    </xf>
    <xf numFmtId="3" fontId="15" fillId="3" borderId="72" xfId="31" applyNumberFormat="1" applyFont="1" applyFill="1" applyBorder="1" applyAlignment="1" applyProtection="1">
      <alignment horizontal="center" vertical="center" wrapText="1"/>
      <protection locked="0"/>
    </xf>
    <xf numFmtId="3" fontId="15" fillId="3" borderId="14" xfId="31" applyNumberFormat="1" applyFont="1" applyFill="1" applyBorder="1" applyAlignment="1" applyProtection="1">
      <alignment horizontal="center" vertical="center" wrapText="1"/>
      <protection locked="0"/>
    </xf>
    <xf numFmtId="3" fontId="15" fillId="3" borderId="17" xfId="31" applyNumberFormat="1" applyFont="1" applyFill="1" applyBorder="1" applyAlignment="1" applyProtection="1">
      <alignment horizontal="center" vertical="center" wrapText="1"/>
      <protection locked="0"/>
    </xf>
    <xf numFmtId="3" fontId="15" fillId="3" borderId="32" xfId="31" applyNumberFormat="1" applyFont="1" applyFill="1" applyBorder="1" applyAlignment="1" applyProtection="1">
      <alignment horizontal="center" vertical="center" wrapText="1"/>
      <protection locked="0"/>
    </xf>
    <xf numFmtId="3" fontId="15" fillId="3" borderId="15" xfId="31" applyNumberFormat="1" applyFont="1" applyFill="1" applyBorder="1" applyAlignment="1" applyProtection="1">
      <alignment horizontal="center" vertical="center" wrapText="1"/>
      <protection locked="0"/>
    </xf>
    <xf numFmtId="3" fontId="15" fillId="3" borderId="5" xfId="31" applyNumberFormat="1" applyFont="1" applyFill="1" applyBorder="1" applyAlignment="1" applyProtection="1">
      <alignment horizontal="center" vertical="center" wrapText="1"/>
      <protection locked="0"/>
    </xf>
    <xf numFmtId="3" fontId="15" fillId="3" borderId="44" xfId="31" applyNumberFormat="1" applyFont="1" applyFill="1" applyBorder="1" applyAlignment="1" applyProtection="1">
      <alignment horizontal="center" vertical="center" wrapText="1"/>
      <protection locked="0"/>
    </xf>
    <xf numFmtId="3" fontId="15" fillId="3" borderId="6" xfId="31" applyNumberFormat="1" applyFont="1" applyFill="1" applyBorder="1" applyAlignment="1" applyProtection="1">
      <alignment horizontal="center" vertical="center" wrapText="1"/>
      <protection locked="0"/>
    </xf>
    <xf numFmtId="3" fontId="15" fillId="3" borderId="23" xfId="31" applyNumberFormat="1" applyFont="1" applyFill="1" applyBorder="1" applyAlignment="1" applyProtection="1">
      <alignment horizontal="center" vertical="center" wrapText="1"/>
      <protection locked="0"/>
    </xf>
    <xf numFmtId="3" fontId="15" fillId="3" borderId="7" xfId="31" applyNumberFormat="1" applyFont="1" applyFill="1" applyBorder="1" applyAlignment="1" applyProtection="1">
      <alignment horizontal="center" vertical="center" wrapText="1"/>
      <protection locked="0"/>
    </xf>
    <xf numFmtId="3" fontId="15" fillId="3" borderId="53" xfId="31" applyNumberFormat="1" applyFont="1" applyFill="1" applyBorder="1" applyAlignment="1" applyProtection="1">
      <alignment horizontal="center" vertical="center" wrapText="1"/>
      <protection locked="0"/>
    </xf>
    <xf numFmtId="3" fontId="15" fillId="3" borderId="62" xfId="31" applyNumberFormat="1" applyFont="1" applyFill="1" applyBorder="1" applyAlignment="1" applyProtection="1">
      <alignment horizontal="center" vertical="center" wrapText="1"/>
      <protection locked="0"/>
    </xf>
    <xf numFmtId="3" fontId="15" fillId="3" borderId="2" xfId="31" applyNumberFormat="1" applyFont="1" applyFill="1" applyBorder="1" applyAlignment="1" applyProtection="1">
      <alignment horizontal="center" vertical="center" wrapText="1"/>
      <protection locked="0"/>
    </xf>
    <xf numFmtId="3" fontId="15" fillId="3" borderId="38" xfId="31" applyNumberFormat="1" applyFont="1" applyFill="1" applyBorder="1" applyAlignment="1" applyProtection="1">
      <alignment horizontal="center" vertical="center" wrapText="1"/>
      <protection locked="0"/>
    </xf>
    <xf numFmtId="3" fontId="15" fillId="3" borderId="8" xfId="31" applyNumberFormat="1" applyFont="1" applyFill="1" applyBorder="1" applyAlignment="1" applyProtection="1">
      <alignment horizontal="center" vertical="center" wrapText="1"/>
      <protection locked="0"/>
    </xf>
    <xf numFmtId="3" fontId="15" fillId="3" borderId="60" xfId="31" applyNumberFormat="1" applyFont="1" applyFill="1" applyBorder="1" applyAlignment="1" applyProtection="1">
      <alignment horizontal="center" vertical="center" wrapText="1"/>
      <protection locked="0"/>
    </xf>
    <xf numFmtId="3" fontId="15" fillId="3" borderId="9" xfId="31" applyNumberFormat="1" applyFont="1" applyFill="1" applyBorder="1" applyAlignment="1" applyProtection="1">
      <alignment horizontal="center" vertical="center" wrapText="1"/>
      <protection locked="0"/>
    </xf>
    <xf numFmtId="3" fontId="15" fillId="3" borderId="10" xfId="31" applyNumberFormat="1" applyFont="1" applyFill="1" applyBorder="1" applyAlignment="1" applyProtection="1">
      <alignment horizontal="center" vertical="center" wrapText="1"/>
      <protection locked="0"/>
    </xf>
    <xf numFmtId="3" fontId="15" fillId="3" borderId="3" xfId="31" applyNumberFormat="1" applyFont="1" applyFill="1" applyBorder="1" applyAlignment="1" applyProtection="1">
      <alignment horizontal="center" vertical="center" wrapText="1"/>
      <protection locked="0"/>
    </xf>
    <xf numFmtId="3" fontId="15" fillId="3" borderId="75" xfId="31" applyNumberFormat="1" applyFont="1" applyFill="1" applyBorder="1" applyAlignment="1" applyProtection="1">
      <alignment horizontal="center" vertical="center" wrapText="1"/>
      <protection locked="0"/>
    </xf>
    <xf numFmtId="3" fontId="15" fillId="3" borderId="73" xfId="31" applyNumberFormat="1" applyFont="1" applyFill="1" applyBorder="1" applyAlignment="1" applyProtection="1">
      <alignment horizontal="center" vertical="center" wrapText="1"/>
      <protection locked="0"/>
    </xf>
    <xf numFmtId="0" fontId="15" fillId="3" borderId="72" xfId="31" applyFont="1" applyFill="1" applyBorder="1" applyAlignment="1" applyProtection="1">
      <alignment horizontal="center" vertical="center" wrapText="1"/>
      <protection locked="0"/>
    </xf>
    <xf numFmtId="0" fontId="15" fillId="3" borderId="74" xfId="31" applyFont="1" applyFill="1" applyBorder="1" applyAlignment="1" applyProtection="1">
      <alignment horizontal="center" vertical="center" wrapText="1"/>
      <protection locked="0"/>
    </xf>
    <xf numFmtId="3" fontId="15" fillId="3" borderId="76" xfId="31" applyNumberFormat="1" applyFont="1" applyFill="1" applyBorder="1" applyAlignment="1" applyProtection="1">
      <alignment horizontal="center" vertical="center" wrapText="1"/>
      <protection locked="0"/>
    </xf>
    <xf numFmtId="0" fontId="15" fillId="3" borderId="75" xfId="31" applyFont="1" applyFill="1" applyBorder="1" applyAlignment="1" applyProtection="1">
      <alignment horizontal="center" vertical="center" wrapText="1"/>
      <protection locked="0"/>
    </xf>
    <xf numFmtId="0" fontId="15" fillId="3" borderId="73" xfId="31" applyFont="1" applyFill="1" applyBorder="1" applyAlignment="1" applyProtection="1">
      <alignment horizontal="center" vertical="center" wrapText="1"/>
      <protection locked="0"/>
    </xf>
    <xf numFmtId="3" fontId="15" fillId="3" borderId="74" xfId="31" applyNumberFormat="1" applyFont="1" applyFill="1" applyBorder="1" applyAlignment="1" applyProtection="1">
      <alignment horizontal="center" vertical="center" wrapText="1"/>
      <protection locked="0"/>
    </xf>
    <xf numFmtId="0" fontId="15" fillId="3" borderId="76" xfId="31" applyFont="1" applyFill="1" applyBorder="1" applyAlignment="1" applyProtection="1">
      <alignment horizontal="center" vertical="center" wrapText="1"/>
      <protection locked="0"/>
    </xf>
    <xf numFmtId="3" fontId="15" fillId="3" borderId="77" xfId="31" applyNumberFormat="1" applyFont="1" applyFill="1" applyBorder="1" applyAlignment="1" applyProtection="1">
      <alignment horizontal="center" vertical="center" wrapText="1"/>
      <protection locked="0"/>
    </xf>
    <xf numFmtId="0" fontId="15" fillId="3" borderId="32" xfId="31" applyFont="1" applyFill="1" applyBorder="1" applyAlignment="1" applyProtection="1">
      <alignment horizontal="center" vertical="center" wrapText="1"/>
      <protection locked="0"/>
    </xf>
    <xf numFmtId="0" fontId="15" fillId="3" borderId="62" xfId="31" applyFont="1" applyFill="1" applyBorder="1" applyAlignment="1" applyProtection="1">
      <alignment horizontal="center" vertical="center" wrapText="1"/>
      <protection locked="0"/>
    </xf>
    <xf numFmtId="3" fontId="15" fillId="3" borderId="19" xfId="31" applyNumberFormat="1" applyFont="1" applyFill="1" applyBorder="1" applyAlignment="1" applyProtection="1">
      <alignment horizontal="center" vertical="center" wrapText="1"/>
      <protection locked="0"/>
    </xf>
    <xf numFmtId="0" fontId="15" fillId="3" borderId="56" xfId="31" applyFont="1" applyFill="1" applyBorder="1" applyAlignment="1" applyProtection="1">
      <alignment horizontal="center" vertical="center" wrapText="1"/>
      <protection locked="0"/>
    </xf>
    <xf numFmtId="0" fontId="15" fillId="3" borderId="64" xfId="31" applyFont="1" applyFill="1" applyBorder="1" applyAlignment="1" applyProtection="1">
      <alignment horizontal="center" vertical="center" wrapText="1"/>
      <protection locked="0"/>
    </xf>
    <xf numFmtId="3" fontId="15" fillId="3" borderId="64" xfId="31" applyNumberFormat="1" applyFont="1" applyFill="1" applyBorder="1" applyAlignment="1" applyProtection="1">
      <alignment horizontal="center" vertical="center" wrapText="1"/>
      <protection locked="0"/>
    </xf>
    <xf numFmtId="0" fontId="15" fillId="3" borderId="57" xfId="31" applyFont="1" applyFill="1" applyBorder="1" applyAlignment="1" applyProtection="1">
      <alignment horizontal="center" vertical="center" wrapText="1"/>
      <protection locked="0"/>
    </xf>
    <xf numFmtId="0" fontId="15" fillId="3" borderId="37" xfId="31" applyFont="1" applyFill="1" applyBorder="1" applyAlignment="1" applyProtection="1">
      <alignment horizontal="center" vertical="center" wrapText="1"/>
      <protection locked="0"/>
    </xf>
    <xf numFmtId="3" fontId="15" fillId="3" borderId="57" xfId="31" applyNumberFormat="1" applyFont="1" applyFill="1" applyBorder="1" applyAlignment="1" applyProtection="1">
      <alignment horizontal="center" vertical="center" wrapText="1"/>
      <protection locked="0"/>
    </xf>
    <xf numFmtId="3" fontId="15" fillId="28" borderId="51" xfId="31" applyNumberFormat="1" applyFont="1" applyFill="1" applyBorder="1" applyAlignment="1" applyProtection="1">
      <alignment horizontal="center" vertical="center" wrapText="1"/>
      <protection locked="0"/>
    </xf>
    <xf numFmtId="0" fontId="15" fillId="28" borderId="73" xfId="31" applyFont="1" applyFill="1" applyBorder="1" applyAlignment="1" applyProtection="1">
      <alignment horizontal="center" vertical="center" wrapText="1"/>
      <protection locked="0"/>
    </xf>
    <xf numFmtId="3" fontId="15" fillId="28" borderId="73" xfId="31" applyNumberFormat="1" applyFont="1" applyFill="1" applyBorder="1" applyAlignment="1" applyProtection="1">
      <alignment horizontal="center" vertical="center" wrapText="1"/>
      <protection locked="0"/>
    </xf>
    <xf numFmtId="0" fontId="15" fillId="28" borderId="74" xfId="31" applyFont="1" applyFill="1" applyBorder="1" applyAlignment="1" applyProtection="1">
      <alignment horizontal="center" vertical="center" wrapText="1"/>
      <protection locked="0"/>
    </xf>
    <xf numFmtId="3" fontId="15" fillId="28" borderId="77" xfId="31" applyNumberFormat="1" applyFont="1" applyFill="1" applyBorder="1" applyAlignment="1" applyProtection="1">
      <alignment horizontal="center" vertical="center" wrapText="1"/>
      <protection locked="0"/>
    </xf>
    <xf numFmtId="0" fontId="15" fillId="28" borderId="57" xfId="31" applyFont="1" applyFill="1" applyBorder="1" applyAlignment="1" applyProtection="1">
      <alignment horizontal="center" vertical="center" wrapText="1"/>
      <protection locked="0"/>
    </xf>
    <xf numFmtId="0" fontId="15" fillId="0" borderId="51" xfId="2" applyFont="1" applyBorder="1" applyAlignment="1" applyProtection="1">
      <alignment horizontal="center" vertical="center" wrapText="1"/>
    </xf>
    <xf numFmtId="0" fontId="15" fillId="0" borderId="17" xfId="2" applyFont="1" applyBorder="1" applyAlignment="1" applyProtection="1">
      <alignment horizontal="center" vertical="center" wrapText="1"/>
    </xf>
    <xf numFmtId="0" fontId="15" fillId="0" borderId="21" xfId="2" applyFont="1" applyBorder="1" applyAlignment="1" applyProtection="1">
      <alignment horizontal="center" vertical="center" wrapText="1"/>
    </xf>
    <xf numFmtId="0" fontId="15" fillId="0" borderId="5" xfId="2" applyFont="1" applyBorder="1" applyAlignment="1" applyProtection="1">
      <alignment horizontal="center" vertical="center" wrapText="1"/>
    </xf>
    <xf numFmtId="3" fontId="24" fillId="0" borderId="51" xfId="0" applyNumberFormat="1" applyFont="1" applyFill="1" applyBorder="1" applyAlignment="1" applyProtection="1">
      <alignment horizontal="center" vertical="center" wrapText="1"/>
    </xf>
    <xf numFmtId="3" fontId="24" fillId="0" borderId="73" xfId="0" applyNumberFormat="1" applyFont="1" applyFill="1" applyBorder="1" applyAlignment="1" applyProtection="1">
      <alignment horizontal="center" vertical="center" wrapText="1"/>
    </xf>
    <xf numFmtId="3" fontId="24" fillId="0" borderId="76" xfId="0" applyNumberFormat="1" applyFont="1" applyFill="1" applyBorder="1" applyAlignment="1" applyProtection="1">
      <alignment horizontal="center" vertical="center" wrapText="1"/>
    </xf>
    <xf numFmtId="3" fontId="24" fillId="0" borderId="17" xfId="0" applyNumberFormat="1" applyFont="1" applyFill="1" applyBorder="1" applyAlignment="1" applyProtection="1">
      <alignment horizontal="center" vertical="center" wrapText="1"/>
    </xf>
    <xf numFmtId="3" fontId="24" fillId="0" borderId="7" xfId="0" applyNumberFormat="1" applyFont="1" applyFill="1" applyBorder="1" applyAlignment="1" applyProtection="1">
      <alignment horizontal="center" vertical="center" wrapText="1"/>
    </xf>
    <xf numFmtId="3" fontId="24" fillId="0" borderId="53" xfId="0" applyNumberFormat="1" applyFont="1" applyFill="1" applyBorder="1" applyAlignment="1" applyProtection="1">
      <alignment horizontal="center" vertical="center" wrapText="1"/>
    </xf>
    <xf numFmtId="0" fontId="15" fillId="0" borderId="39" xfId="2" applyFont="1" applyBorder="1" applyAlignment="1" applyProtection="1">
      <alignment horizontal="center" vertical="center" wrapText="1"/>
    </xf>
    <xf numFmtId="0" fontId="24" fillId="0" borderId="17" xfId="2" applyFont="1" applyBorder="1" applyAlignment="1" applyProtection="1">
      <alignment horizontal="center" vertical="center" wrapText="1"/>
    </xf>
    <xf numFmtId="0" fontId="15" fillId="0" borderId="51" xfId="77" applyFont="1" applyFill="1" applyBorder="1" applyAlignment="1" applyProtection="1">
      <alignment horizontal="center" vertical="center" wrapText="1"/>
    </xf>
    <xf numFmtId="0" fontId="15" fillId="0" borderId="51" xfId="77" applyFont="1" applyBorder="1" applyAlignment="1" applyProtection="1">
      <alignment horizontal="center" vertical="center" wrapText="1"/>
    </xf>
    <xf numFmtId="0" fontId="15" fillId="0" borderId="17" xfId="77" applyFont="1" applyBorder="1" applyAlignment="1" applyProtection="1">
      <alignment horizontal="center" vertical="center" wrapText="1"/>
    </xf>
    <xf numFmtId="0" fontId="15" fillId="0" borderId="21" xfId="77" applyFont="1" applyBorder="1" applyAlignment="1" applyProtection="1">
      <alignment horizontal="center" vertical="center" wrapText="1"/>
    </xf>
    <xf numFmtId="0" fontId="15" fillId="0" borderId="5" xfId="77" applyFont="1" applyBorder="1" applyAlignment="1" applyProtection="1">
      <alignment horizontal="center" vertical="center" wrapText="1"/>
    </xf>
    <xf numFmtId="3" fontId="15" fillId="0" borderId="51" xfId="77" applyNumberFormat="1" applyFont="1" applyBorder="1" applyAlignment="1" applyProtection="1">
      <alignment horizontal="center" vertical="center" wrapText="1"/>
    </xf>
    <xf numFmtId="3" fontId="15" fillId="0" borderId="73" xfId="77" applyNumberFormat="1" applyFont="1" applyBorder="1" applyAlignment="1" applyProtection="1">
      <alignment horizontal="center" vertical="center" wrapText="1"/>
    </xf>
    <xf numFmtId="3" fontId="15" fillId="0" borderId="17" xfId="77" applyNumberFormat="1" applyFont="1" applyBorder="1" applyAlignment="1" applyProtection="1">
      <alignment horizontal="center" vertical="center" wrapText="1"/>
    </xf>
    <xf numFmtId="3" fontId="15" fillId="0" borderId="7" xfId="77" applyNumberFormat="1" applyFont="1" applyBorder="1" applyAlignment="1" applyProtection="1">
      <alignment horizontal="center" vertical="center" wrapText="1"/>
    </xf>
    <xf numFmtId="3" fontId="15" fillId="0" borderId="21" xfId="77" applyNumberFormat="1" applyFont="1" applyBorder="1" applyAlignment="1" applyProtection="1">
      <alignment horizontal="center" vertical="center" wrapText="1"/>
    </xf>
    <xf numFmtId="3" fontId="15" fillId="0" borderId="77" xfId="77" applyNumberFormat="1" applyFont="1" applyBorder="1" applyAlignment="1" applyProtection="1">
      <alignment horizontal="center" vertical="center" wrapText="1"/>
    </xf>
    <xf numFmtId="3" fontId="15" fillId="3" borderId="21" xfId="31" applyNumberFormat="1" applyFont="1" applyFill="1" applyBorder="1" applyAlignment="1" applyProtection="1">
      <alignment horizontal="center" vertical="center" wrapText="1"/>
      <protection locked="0"/>
    </xf>
    <xf numFmtId="0" fontId="68" fillId="23" borderId="2" xfId="57" applyFont="1" applyFill="1" applyBorder="1" applyAlignment="1" applyProtection="1">
      <alignment horizontal="center" vertical="center" wrapText="1"/>
    </xf>
    <xf numFmtId="0" fontId="68" fillId="23" borderId="65" xfId="57" applyFont="1" applyFill="1" applyBorder="1" applyAlignment="1" applyProtection="1">
      <alignment horizontal="center" vertical="center" wrapText="1"/>
    </xf>
    <xf numFmtId="0" fontId="68" fillId="23" borderId="9" xfId="57" applyFont="1" applyFill="1" applyBorder="1" applyAlignment="1" applyProtection="1">
      <alignment horizontal="center" vertical="center" wrapText="1"/>
    </xf>
    <xf numFmtId="0" fontId="68" fillId="23" borderId="10" xfId="57" applyFont="1" applyFill="1" applyBorder="1" applyAlignment="1" applyProtection="1">
      <alignment horizontal="center" vertical="center" wrapText="1"/>
    </xf>
    <xf numFmtId="49" fontId="68" fillId="31" borderId="17" xfId="57" applyNumberFormat="1" applyFont="1" applyFill="1" applyBorder="1" applyAlignment="1" applyProtection="1">
      <alignment horizontal="center" vertical="center" wrapText="1"/>
    </xf>
    <xf numFmtId="0" fontId="68" fillId="31" borderId="15" xfId="57" applyFont="1" applyFill="1" applyBorder="1" applyAlignment="1" applyProtection="1">
      <alignment horizontal="left" vertical="center" wrapText="1"/>
    </xf>
    <xf numFmtId="0" fontId="60" fillId="31" borderId="51" xfId="57" applyFont="1" applyFill="1" applyBorder="1" applyAlignment="1" applyProtection="1">
      <alignment horizontal="center" vertical="center" wrapText="1"/>
    </xf>
    <xf numFmtId="3" fontId="68" fillId="31" borderId="49" xfId="57" applyNumberFormat="1" applyFont="1" applyFill="1" applyBorder="1" applyAlignment="1" applyProtection="1">
      <alignment horizontal="center" vertical="center"/>
    </xf>
    <xf numFmtId="3" fontId="68" fillId="31" borderId="31" xfId="57" applyNumberFormat="1" applyFont="1" applyFill="1" applyBorder="1" applyAlignment="1" applyProtection="1">
      <alignment horizontal="center" vertical="center"/>
    </xf>
    <xf numFmtId="3" fontId="68" fillId="31" borderId="50" xfId="57" applyNumberFormat="1" applyFont="1" applyFill="1" applyBorder="1" applyAlignment="1" applyProtection="1">
      <alignment horizontal="center" vertical="center"/>
    </xf>
    <xf numFmtId="49" fontId="60" fillId="27" borderId="17" xfId="57" applyNumberFormat="1" applyFont="1" applyFill="1" applyBorder="1" applyAlignment="1" applyProtection="1">
      <alignment horizontal="center" vertical="center" wrapText="1"/>
    </xf>
    <xf numFmtId="0" fontId="60" fillId="20" borderId="17" xfId="57" applyFont="1" applyFill="1" applyBorder="1" applyAlignment="1" applyProtection="1">
      <alignment horizontal="center" vertical="center" wrapText="1"/>
    </xf>
    <xf numFmtId="3" fontId="60" fillId="3" borderId="52" xfId="57" applyNumberFormat="1" applyFont="1" applyFill="1" applyBorder="1" applyAlignment="1" applyProtection="1">
      <alignment horizontal="center" vertical="center"/>
      <protection locked="0"/>
    </xf>
    <xf numFmtId="3" fontId="60" fillId="3" borderId="7" xfId="57" applyNumberFormat="1" applyFont="1" applyFill="1" applyBorder="1" applyAlignment="1" applyProtection="1">
      <alignment horizontal="center" vertical="center"/>
      <protection locked="0"/>
    </xf>
    <xf numFmtId="3" fontId="60" fillId="3" borderId="53" xfId="57" applyNumberFormat="1" applyFont="1" applyFill="1" applyBorder="1" applyAlignment="1" applyProtection="1">
      <alignment horizontal="center" vertical="center"/>
      <protection locked="0"/>
    </xf>
    <xf numFmtId="49" fontId="60" fillId="27" borderId="39" xfId="57" applyNumberFormat="1" applyFont="1" applyFill="1" applyBorder="1" applyAlignment="1" applyProtection="1">
      <alignment horizontal="center" vertical="center" wrapText="1"/>
    </xf>
    <xf numFmtId="3" fontId="68" fillId="31" borderId="75" xfId="57" applyNumberFormat="1" applyFont="1" applyFill="1" applyBorder="1" applyAlignment="1" applyProtection="1">
      <alignment horizontal="center" vertical="center"/>
    </xf>
    <xf numFmtId="3" fontId="68" fillId="31" borderId="73" xfId="57" applyNumberFormat="1" applyFont="1" applyFill="1" applyBorder="1" applyAlignment="1" applyProtection="1">
      <alignment horizontal="center" vertical="center"/>
    </xf>
    <xf numFmtId="3" fontId="68" fillId="31" borderId="76" xfId="57" applyNumberFormat="1" applyFont="1" applyFill="1" applyBorder="1" applyAlignment="1" applyProtection="1">
      <alignment horizontal="center" vertical="center"/>
    </xf>
    <xf numFmtId="0" fontId="60" fillId="31" borderId="17" xfId="57" applyFont="1" applyFill="1" applyBorder="1" applyAlignment="1" applyProtection="1">
      <alignment horizontal="center" vertical="center" wrapText="1"/>
    </xf>
    <xf numFmtId="172" fontId="68" fillId="31" borderId="52" xfId="57" applyNumberFormat="1" applyFont="1" applyFill="1" applyBorder="1" applyAlignment="1" applyProtection="1">
      <alignment horizontal="center" vertical="center"/>
    </xf>
    <xf numFmtId="172" fontId="68" fillId="31" borderId="7" xfId="57" applyNumberFormat="1" applyFont="1" applyFill="1" applyBorder="1" applyAlignment="1" applyProtection="1">
      <alignment horizontal="center" vertical="center"/>
    </xf>
    <xf numFmtId="172" fontId="68" fillId="31" borderId="53" xfId="57" applyNumberFormat="1" applyFont="1" applyFill="1" applyBorder="1" applyAlignment="1" applyProtection="1">
      <alignment horizontal="center" vertical="center"/>
    </xf>
    <xf numFmtId="0" fontId="60" fillId="20" borderId="5" xfId="57" applyFont="1" applyFill="1" applyBorder="1" applyAlignment="1" applyProtection="1">
      <alignment horizontal="center" vertical="center" wrapText="1"/>
    </xf>
    <xf numFmtId="3" fontId="68" fillId="27" borderId="49" xfId="57" applyNumberFormat="1" applyFont="1" applyFill="1" applyBorder="1" applyAlignment="1" applyProtection="1">
      <alignment horizontal="center" vertical="center"/>
    </xf>
    <xf numFmtId="3" fontId="68" fillId="27" borderId="31" xfId="57" applyNumberFormat="1" applyFont="1" applyFill="1" applyBorder="1" applyAlignment="1" applyProtection="1">
      <alignment horizontal="center" vertical="center"/>
    </xf>
    <xf numFmtId="3" fontId="68" fillId="27" borderId="50" xfId="57" applyNumberFormat="1" applyFont="1" applyFill="1" applyBorder="1" applyAlignment="1" applyProtection="1">
      <alignment horizontal="center" vertical="center"/>
    </xf>
    <xf numFmtId="172" fontId="68" fillId="27" borderId="52" xfId="57" applyNumberFormat="1" applyFont="1" applyFill="1" applyBorder="1" applyAlignment="1" applyProtection="1">
      <alignment horizontal="center" vertical="center"/>
    </xf>
    <xf numFmtId="172" fontId="68" fillId="27" borderId="7" xfId="57" applyNumberFormat="1" applyFont="1" applyFill="1" applyBorder="1" applyAlignment="1" applyProtection="1">
      <alignment horizontal="center" vertical="center"/>
    </xf>
    <xf numFmtId="172" fontId="68" fillId="27" borderId="53" xfId="57" applyNumberFormat="1" applyFont="1" applyFill="1" applyBorder="1" applyAlignment="1" applyProtection="1">
      <alignment horizontal="center" vertical="center"/>
    </xf>
    <xf numFmtId="0" fontId="60" fillId="20" borderId="21" xfId="57" applyFont="1" applyFill="1" applyBorder="1" applyAlignment="1" applyProtection="1">
      <alignment horizontal="center" vertical="center" wrapText="1"/>
    </xf>
    <xf numFmtId="49" fontId="68" fillId="27" borderId="17" xfId="57" applyNumberFormat="1" applyFont="1" applyFill="1" applyBorder="1" applyAlignment="1" applyProtection="1">
      <alignment horizontal="center" vertical="center" wrapText="1"/>
    </xf>
    <xf numFmtId="0" fontId="68" fillId="20" borderId="15" xfId="57" applyFont="1" applyFill="1" applyBorder="1" applyAlignment="1" applyProtection="1">
      <alignment horizontal="left" vertical="center" wrapText="1"/>
    </xf>
    <xf numFmtId="49" fontId="68" fillId="27" borderId="21" xfId="57" applyNumberFormat="1" applyFont="1" applyFill="1" applyBorder="1" applyAlignment="1" applyProtection="1">
      <alignment horizontal="center" vertical="center" wrapText="1"/>
    </xf>
    <xf numFmtId="0" fontId="68" fillId="20" borderId="19" xfId="57" applyFont="1" applyFill="1" applyBorder="1" applyAlignment="1" applyProtection="1">
      <alignment horizontal="left" vertical="center" wrapText="1"/>
    </xf>
    <xf numFmtId="3" fontId="60" fillId="3" borderId="56" xfId="57" applyNumberFormat="1" applyFont="1" applyFill="1" applyBorder="1" applyAlignment="1" applyProtection="1">
      <alignment horizontal="center" vertical="center"/>
      <protection locked="0"/>
    </xf>
    <xf numFmtId="3" fontId="60" fillId="3" borderId="77" xfId="57" applyNumberFormat="1" applyFont="1" applyFill="1" applyBorder="1" applyAlignment="1" applyProtection="1">
      <alignment horizontal="center" vertical="center"/>
      <protection locked="0"/>
    </xf>
    <xf numFmtId="3" fontId="60" fillId="3" borderId="57" xfId="57" applyNumberFormat="1" applyFont="1" applyFill="1" applyBorder="1" applyAlignment="1" applyProtection="1">
      <alignment horizontal="center" vertical="center"/>
      <protection locked="0"/>
    </xf>
    <xf numFmtId="4" fontId="68" fillId="31" borderId="52" xfId="57" applyNumberFormat="1" applyFont="1" applyFill="1" applyBorder="1" applyAlignment="1" applyProtection="1">
      <alignment horizontal="center" vertical="center"/>
    </xf>
    <xf numFmtId="4" fontId="68" fillId="31" borderId="7" xfId="57" applyNumberFormat="1" applyFont="1" applyFill="1" applyBorder="1" applyAlignment="1" applyProtection="1">
      <alignment horizontal="center" vertical="center"/>
    </xf>
    <xf numFmtId="3" fontId="68" fillId="26" borderId="49" xfId="57" applyNumberFormat="1" applyFont="1" applyFill="1" applyBorder="1" applyAlignment="1" applyProtection="1">
      <alignment horizontal="center" vertical="center"/>
    </xf>
    <xf numFmtId="3" fontId="68" fillId="26" borderId="31" xfId="57" applyNumberFormat="1" applyFont="1" applyFill="1" applyBorder="1" applyAlignment="1" applyProtection="1">
      <alignment horizontal="center" vertical="center"/>
    </xf>
    <xf numFmtId="3" fontId="68" fillId="26" borderId="50" xfId="57" applyNumberFormat="1" applyFont="1" applyFill="1" applyBorder="1" applyAlignment="1" applyProtection="1">
      <alignment horizontal="center" vertical="center"/>
    </xf>
    <xf numFmtId="172" fontId="68" fillId="26" borderId="52" xfId="57" applyNumberFormat="1" applyFont="1" applyFill="1" applyBorder="1" applyAlignment="1" applyProtection="1">
      <alignment horizontal="center" vertical="center"/>
    </xf>
    <xf numFmtId="172" fontId="68" fillId="26" borderId="7" xfId="57" applyNumberFormat="1" applyFont="1" applyFill="1" applyBorder="1" applyAlignment="1" applyProtection="1">
      <alignment horizontal="center" vertical="center"/>
    </xf>
    <xf numFmtId="172" fontId="68" fillId="26" borderId="53" xfId="57" applyNumberFormat="1" applyFont="1" applyFill="1" applyBorder="1" applyAlignment="1" applyProtection="1">
      <alignment horizontal="center" vertical="center"/>
    </xf>
    <xf numFmtId="49" fontId="60" fillId="26" borderId="17" xfId="57" applyNumberFormat="1" applyFont="1" applyFill="1" applyBorder="1" applyAlignment="1" applyProtection="1">
      <alignment horizontal="center" vertical="center" wrapText="1"/>
    </xf>
    <xf numFmtId="0" fontId="60" fillId="26" borderId="15" xfId="57" applyFont="1" applyFill="1" applyBorder="1" applyAlignment="1" applyProtection="1">
      <alignment horizontal="left" vertical="center"/>
    </xf>
    <xf numFmtId="49" fontId="60" fillId="26" borderId="21" xfId="57" applyNumberFormat="1" applyFont="1" applyFill="1" applyBorder="1" applyAlignment="1" applyProtection="1">
      <alignment horizontal="center" vertical="center" wrapText="1"/>
    </xf>
    <xf numFmtId="0" fontId="60" fillId="26" borderId="19" xfId="57" applyFont="1" applyFill="1" applyBorder="1" applyAlignment="1" applyProtection="1">
      <alignment horizontal="left" vertical="center"/>
    </xf>
    <xf numFmtId="0" fontId="60" fillId="20" borderId="51" xfId="57" applyFont="1" applyFill="1" applyBorder="1" applyAlignment="1" applyProtection="1">
      <alignment horizontal="center" vertical="center" wrapText="1"/>
    </xf>
    <xf numFmtId="0" fontId="60" fillId="26" borderId="15" xfId="57" applyFont="1" applyFill="1" applyBorder="1" applyAlignment="1" applyProtection="1">
      <alignment horizontal="left" vertical="center" wrapText="1"/>
    </xf>
    <xf numFmtId="0" fontId="60" fillId="20" borderId="19" xfId="57" applyFont="1" applyFill="1" applyBorder="1" applyAlignment="1" applyProtection="1">
      <alignment horizontal="left" vertical="center"/>
    </xf>
    <xf numFmtId="0" fontId="60" fillId="31" borderId="5" xfId="57" applyFont="1" applyFill="1" applyBorder="1" applyAlignment="1" applyProtection="1">
      <alignment horizontal="center" vertical="center" wrapText="1"/>
    </xf>
    <xf numFmtId="0" fontId="60" fillId="31" borderId="21" xfId="57" applyFont="1" applyFill="1" applyBorder="1" applyAlignment="1" applyProtection="1">
      <alignment horizontal="center" vertical="center" wrapText="1"/>
    </xf>
    <xf numFmtId="3" fontId="106" fillId="31" borderId="56" xfId="58" applyNumberFormat="1" applyFont="1" applyFill="1" applyBorder="1" applyAlignment="1" applyProtection="1">
      <alignment horizontal="center" vertical="center"/>
    </xf>
    <xf numFmtId="3" fontId="106" fillId="31" borderId="77" xfId="58" applyNumberFormat="1" applyFont="1" applyFill="1" applyBorder="1" applyAlignment="1" applyProtection="1">
      <alignment horizontal="center" vertical="center"/>
    </xf>
    <xf numFmtId="3" fontId="106" fillId="31" borderId="57" xfId="58" applyNumberFormat="1" applyFont="1" applyFill="1" applyBorder="1" applyAlignment="1" applyProtection="1">
      <alignment horizontal="center" vertical="center"/>
    </xf>
    <xf numFmtId="3" fontId="15" fillId="0" borderId="76" xfId="77" applyNumberFormat="1" applyFont="1" applyBorder="1" applyAlignment="1" applyProtection="1">
      <alignment horizontal="center" vertical="center" wrapText="1"/>
    </xf>
    <xf numFmtId="3" fontId="15" fillId="0" borderId="53" xfId="77" applyNumberFormat="1" applyFont="1" applyBorder="1" applyAlignment="1" applyProtection="1">
      <alignment horizontal="center" vertical="center" wrapText="1"/>
    </xf>
    <xf numFmtId="3" fontId="15" fillId="0" borderId="57" xfId="77" applyNumberFormat="1" applyFont="1" applyBorder="1" applyAlignment="1" applyProtection="1">
      <alignment horizontal="center" vertical="center" wrapText="1"/>
    </xf>
    <xf numFmtId="4" fontId="68" fillId="31" borderId="24" xfId="57" applyNumberFormat="1" applyFont="1" applyFill="1" applyBorder="1" applyAlignment="1" applyProtection="1">
      <alignment horizontal="center" vertical="center"/>
    </xf>
    <xf numFmtId="4" fontId="68" fillId="31" borderId="62" xfId="57" applyNumberFormat="1" applyFont="1" applyFill="1" applyBorder="1" applyAlignment="1" applyProtection="1">
      <alignment horizontal="center" vertical="center"/>
    </xf>
    <xf numFmtId="4" fontId="68" fillId="31" borderId="23" xfId="57" applyNumberFormat="1" applyFont="1" applyFill="1" applyBorder="1" applyAlignment="1" applyProtection="1">
      <alignment horizontal="center" vertical="center"/>
    </xf>
    <xf numFmtId="4" fontId="68" fillId="31" borderId="53" xfId="57" applyNumberFormat="1" applyFont="1" applyFill="1" applyBorder="1" applyAlignment="1" applyProtection="1">
      <alignment horizontal="center" vertical="center"/>
    </xf>
    <xf numFmtId="49" fontId="68" fillId="0" borderId="29" xfId="80" applyNumberFormat="1" applyFont="1" applyFill="1" applyBorder="1" applyAlignment="1" applyProtection="1">
      <alignment horizontal="center" vertical="center" wrapText="1"/>
    </xf>
    <xf numFmtId="0" fontId="60" fillId="20" borderId="17" xfId="80" applyFont="1" applyFill="1" applyBorder="1" applyAlignment="1" applyProtection="1">
      <alignment horizontal="center" vertical="center" wrapText="1"/>
    </xf>
    <xf numFmtId="3" fontId="60" fillId="3" borderId="32" xfId="80" applyNumberFormat="1" applyFont="1" applyFill="1" applyBorder="1" applyAlignment="1" applyProtection="1">
      <alignment horizontal="center" vertical="center"/>
      <protection locked="0"/>
    </xf>
    <xf numFmtId="3" fontId="60" fillId="3" borderId="7" xfId="80" applyNumberFormat="1" applyFont="1" applyFill="1" applyBorder="1" applyAlignment="1" applyProtection="1">
      <alignment horizontal="center" vertical="center"/>
      <protection locked="0"/>
    </xf>
    <xf numFmtId="3" fontId="60" fillId="3" borderId="53" xfId="80" applyNumberFormat="1" applyFont="1" applyFill="1" applyBorder="1" applyAlignment="1" applyProtection="1">
      <alignment horizontal="center" vertical="center"/>
      <protection locked="0"/>
    </xf>
    <xf numFmtId="0" fontId="44" fillId="0" borderId="26" xfId="0" applyFont="1" applyFill="1" applyBorder="1" applyAlignment="1" applyProtection="1">
      <alignment horizontal="left" vertical="center" wrapText="1"/>
    </xf>
    <xf numFmtId="3" fontId="60" fillId="3" borderId="69" xfId="80" applyNumberFormat="1" applyFont="1" applyFill="1" applyBorder="1" applyAlignment="1" applyProtection="1">
      <alignment horizontal="center" vertical="center"/>
      <protection locked="0"/>
    </xf>
    <xf numFmtId="3" fontId="60" fillId="3" borderId="63" xfId="80" applyNumberFormat="1" applyFont="1" applyFill="1" applyBorder="1" applyAlignment="1" applyProtection="1">
      <alignment horizontal="center" vertical="center"/>
      <protection locked="0"/>
    </xf>
    <xf numFmtId="3" fontId="60" fillId="3" borderId="55" xfId="80" applyNumberFormat="1" applyFont="1" applyFill="1" applyBorder="1" applyAlignment="1" applyProtection="1">
      <alignment horizontal="center" vertical="center"/>
      <protection locked="0"/>
    </xf>
    <xf numFmtId="3" fontId="60" fillId="3" borderId="54" xfId="80" applyNumberFormat="1" applyFont="1" applyFill="1" applyBorder="1" applyAlignment="1" applyProtection="1">
      <alignment horizontal="center" vertical="center"/>
      <protection locked="0"/>
    </xf>
    <xf numFmtId="3" fontId="60" fillId="3" borderId="64" xfId="80" applyNumberFormat="1" applyFont="1" applyFill="1" applyBorder="1" applyAlignment="1" applyProtection="1">
      <alignment horizontal="center" vertical="center"/>
      <protection locked="0"/>
    </xf>
    <xf numFmtId="3" fontId="60" fillId="3" borderId="18" xfId="80" applyNumberFormat="1"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xf>
    <xf numFmtId="0" fontId="44" fillId="0" borderId="17" xfId="0" applyFont="1" applyFill="1" applyBorder="1" applyAlignment="1" applyProtection="1">
      <alignment vertical="center" wrapText="1"/>
    </xf>
    <xf numFmtId="0" fontId="44" fillId="0" borderId="21" xfId="0" applyFont="1" applyFill="1" applyBorder="1" applyAlignment="1" applyProtection="1">
      <alignment vertical="center" wrapText="1"/>
    </xf>
    <xf numFmtId="0" fontId="15" fillId="3" borderId="48" xfId="0" applyFont="1" applyFill="1" applyBorder="1" applyAlignment="1" applyProtection="1">
      <alignment horizontal="center" vertical="center" wrapText="1"/>
      <protection locked="0"/>
    </xf>
    <xf numFmtId="0" fontId="15" fillId="3" borderId="6" xfId="0" applyFont="1" applyFill="1" applyBorder="1" applyAlignment="1" applyProtection="1">
      <alignment horizontal="center" vertical="center" wrapText="1"/>
      <protection locked="0"/>
    </xf>
    <xf numFmtId="0" fontId="15" fillId="3" borderId="25" xfId="0" applyFont="1" applyFill="1" applyBorder="1" applyAlignment="1" applyProtection="1">
      <alignment horizontal="center" vertical="center" wrapText="1"/>
      <protection locked="0"/>
    </xf>
    <xf numFmtId="0" fontId="15" fillId="3" borderId="30" xfId="0" applyFont="1" applyFill="1" applyBorder="1" applyAlignment="1" applyProtection="1">
      <alignment horizontal="center" vertical="center" wrapText="1"/>
      <protection locked="0"/>
    </xf>
    <xf numFmtId="0" fontId="15" fillId="3" borderId="41" xfId="0" applyFont="1" applyFill="1" applyBorder="1" applyAlignment="1" applyProtection="1">
      <alignment horizontal="center" vertical="center" wrapText="1"/>
      <protection locked="0"/>
    </xf>
    <xf numFmtId="0" fontId="15" fillId="3" borderId="56" xfId="0" applyFont="1" applyFill="1" applyBorder="1" applyAlignment="1" applyProtection="1">
      <alignment horizontal="center" vertical="center" wrapText="1"/>
      <protection locked="0"/>
    </xf>
    <xf numFmtId="0" fontId="15" fillId="3" borderId="27" xfId="0" applyFont="1" applyFill="1" applyBorder="1" applyAlignment="1" applyProtection="1">
      <alignment horizontal="center" vertical="center" wrapText="1"/>
      <protection locked="0"/>
    </xf>
    <xf numFmtId="0" fontId="15" fillId="3" borderId="36" xfId="0" applyFont="1" applyFill="1" applyBorder="1" applyAlignment="1" applyProtection="1">
      <alignment horizontal="center" vertical="center" wrapText="1"/>
      <protection locked="0"/>
    </xf>
    <xf numFmtId="0" fontId="15" fillId="3" borderId="22" xfId="0" applyFont="1" applyFill="1" applyBorder="1" applyAlignment="1" applyProtection="1">
      <alignment horizontal="center" vertical="center" wrapText="1"/>
      <protection locked="0"/>
    </xf>
    <xf numFmtId="0" fontId="15" fillId="3" borderId="58" xfId="0" applyFont="1" applyFill="1" applyBorder="1" applyAlignment="1" applyProtection="1">
      <alignment horizontal="center" vertical="center" wrapText="1"/>
      <protection locked="0"/>
    </xf>
    <xf numFmtId="4" fontId="60" fillId="3" borderId="7" xfId="80" applyNumberFormat="1" applyFont="1" applyFill="1" applyBorder="1" applyAlignment="1" applyProtection="1">
      <alignment horizontal="center" vertical="center"/>
      <protection locked="0"/>
    </xf>
    <xf numFmtId="4" fontId="60" fillId="3" borderId="53" xfId="80" applyNumberFormat="1" applyFont="1" applyFill="1" applyBorder="1" applyAlignment="1" applyProtection="1">
      <alignment horizontal="center" vertical="center"/>
      <protection locked="0"/>
    </xf>
    <xf numFmtId="4" fontId="60" fillId="3" borderId="32" xfId="80" applyNumberFormat="1" applyFont="1" applyFill="1" applyBorder="1" applyAlignment="1" applyProtection="1">
      <alignment horizontal="center" vertical="center"/>
      <protection locked="0"/>
    </xf>
    <xf numFmtId="49" fontId="46" fillId="3" borderId="24" xfId="31" applyNumberFormat="1" applyFont="1" applyFill="1" applyBorder="1" applyAlignment="1" applyProtection="1">
      <alignment horizontal="right" vertical="center"/>
      <protection locked="0"/>
    </xf>
    <xf numFmtId="0" fontId="72" fillId="20" borderId="17" xfId="32" applyFont="1" applyFill="1" applyBorder="1" applyAlignment="1" applyProtection="1">
      <alignment horizontal="right" vertical="center"/>
    </xf>
    <xf numFmtId="0" fontId="44" fillId="26" borderId="36" xfId="0" applyFont="1" applyFill="1" applyBorder="1" applyAlignment="1" applyProtection="1">
      <alignment vertical="center" wrapText="1"/>
    </xf>
    <xf numFmtId="0" fontId="43" fillId="24" borderId="55" xfId="32" applyFont="1" applyFill="1" applyBorder="1" applyAlignment="1" applyProtection="1">
      <alignment horizontal="left" vertical="center"/>
    </xf>
    <xf numFmtId="0" fontId="43" fillId="26" borderId="0" xfId="0" applyFont="1" applyFill="1" applyBorder="1" applyAlignment="1" applyProtection="1">
      <alignment horizontal="center" vertical="center" wrapText="1"/>
    </xf>
    <xf numFmtId="2" fontId="43" fillId="26" borderId="0" xfId="0" applyNumberFormat="1" applyFont="1" applyFill="1" applyBorder="1" applyAlignment="1" applyProtection="1">
      <alignment horizontal="center" vertical="center" wrapText="1"/>
    </xf>
    <xf numFmtId="170" fontId="43" fillId="26" borderId="0" xfId="0" applyNumberFormat="1" applyFont="1" applyFill="1" applyBorder="1" applyAlignment="1" applyProtection="1">
      <alignment horizontal="center" vertical="center" wrapText="1"/>
    </xf>
    <xf numFmtId="0" fontId="22" fillId="27" borderId="20" xfId="32" applyFont="1" applyFill="1" applyBorder="1" applyAlignment="1" applyProtection="1">
      <alignment horizontal="center" vertical="center" wrapText="1"/>
    </xf>
    <xf numFmtId="171" fontId="17" fillId="26" borderId="7" xfId="0" applyNumberFormat="1" applyFont="1" applyFill="1" applyBorder="1" applyAlignment="1" applyProtection="1">
      <alignment horizontal="center" vertical="center"/>
    </xf>
    <xf numFmtId="170" fontId="43" fillId="37" borderId="47" xfId="32" applyNumberFormat="1" applyFont="1" applyFill="1" applyBorder="1" applyAlignment="1" applyProtection="1">
      <alignment horizontal="center" vertical="center" wrapText="1"/>
    </xf>
    <xf numFmtId="170" fontId="43" fillId="37" borderId="71" xfId="32" applyNumberFormat="1" applyFont="1" applyFill="1" applyBorder="1" applyAlignment="1" applyProtection="1">
      <alignment horizontal="center" vertical="center" wrapText="1"/>
    </xf>
    <xf numFmtId="170" fontId="43" fillId="37" borderId="48" xfId="32" applyNumberFormat="1" applyFont="1" applyFill="1" applyBorder="1" applyAlignment="1" applyProtection="1">
      <alignment horizontal="center" vertical="center" wrapText="1"/>
    </xf>
    <xf numFmtId="170" fontId="43" fillId="31" borderId="51" xfId="32" applyNumberFormat="1" applyFont="1" applyFill="1" applyBorder="1" applyAlignment="1" applyProtection="1">
      <alignment horizontal="center" vertical="center" wrapText="1"/>
    </xf>
    <xf numFmtId="3" fontId="44" fillId="28" borderId="53" xfId="0" applyNumberFormat="1" applyFont="1" applyFill="1" applyBorder="1" applyAlignment="1" applyProtection="1">
      <alignment horizontal="center" vertical="center"/>
      <protection locked="0"/>
    </xf>
    <xf numFmtId="3" fontId="44" fillId="28" borderId="49" xfId="0" applyNumberFormat="1" applyFont="1" applyFill="1" applyBorder="1" applyAlignment="1" applyProtection="1">
      <alignment horizontal="center" vertical="center"/>
      <protection locked="0"/>
    </xf>
    <xf numFmtId="3" fontId="44" fillId="28" borderId="31" xfId="0" applyNumberFormat="1" applyFont="1" applyFill="1" applyBorder="1" applyAlignment="1" applyProtection="1">
      <alignment horizontal="center" vertical="center"/>
      <protection locked="0"/>
    </xf>
    <xf numFmtId="3" fontId="44" fillId="28" borderId="50" xfId="0" applyNumberFormat="1" applyFont="1" applyFill="1" applyBorder="1" applyAlignment="1" applyProtection="1">
      <alignment horizontal="center" vertical="center"/>
      <protection locked="0"/>
    </xf>
    <xf numFmtId="3" fontId="44" fillId="28" borderId="56" xfId="0" applyNumberFormat="1" applyFont="1" applyFill="1" applyBorder="1" applyAlignment="1" applyProtection="1">
      <alignment horizontal="center" vertical="center"/>
      <protection locked="0"/>
    </xf>
    <xf numFmtId="3" fontId="44" fillId="28" borderId="77" xfId="0" applyNumberFormat="1" applyFont="1" applyFill="1" applyBorder="1" applyAlignment="1" applyProtection="1">
      <alignment horizontal="center" vertical="center"/>
      <protection locked="0"/>
    </xf>
    <xf numFmtId="3" fontId="44" fillId="28" borderId="57" xfId="0" applyNumberFormat="1" applyFont="1" applyFill="1" applyBorder="1" applyAlignment="1" applyProtection="1">
      <alignment horizontal="center" vertical="center"/>
      <protection locked="0"/>
    </xf>
    <xf numFmtId="0" fontId="44" fillId="26" borderId="53" xfId="0" applyFont="1" applyFill="1" applyBorder="1" applyAlignment="1" applyProtection="1">
      <alignment vertical="center" wrapText="1"/>
    </xf>
    <xf numFmtId="0" fontId="45" fillId="27" borderId="25" xfId="0" applyFont="1" applyFill="1" applyBorder="1" applyAlignment="1" applyProtection="1">
      <alignment horizontal="center" vertical="center" wrapText="1"/>
    </xf>
    <xf numFmtId="0" fontId="45" fillId="0" borderId="50" xfId="0" applyFont="1" applyFill="1" applyBorder="1" applyAlignment="1" applyProtection="1">
      <alignment horizontal="right" vertical="center" wrapText="1"/>
    </xf>
    <xf numFmtId="0" fontId="45" fillId="0" borderId="53" xfId="0" applyFont="1" applyFill="1" applyBorder="1" applyAlignment="1" applyProtection="1">
      <alignment horizontal="right" vertical="center" wrapText="1"/>
    </xf>
    <xf numFmtId="0" fontId="45" fillId="0" borderId="57" xfId="0" applyFont="1" applyFill="1" applyBorder="1" applyAlignment="1" applyProtection="1">
      <alignment horizontal="right" vertical="center"/>
    </xf>
    <xf numFmtId="3" fontId="129" fillId="28" borderId="52" xfId="0" applyNumberFormat="1" applyFont="1" applyFill="1" applyBorder="1" applyAlignment="1" applyProtection="1">
      <alignment horizontal="center" vertical="center"/>
      <protection locked="0"/>
    </xf>
    <xf numFmtId="3" fontId="129" fillId="28" borderId="7" xfId="0" applyNumberFormat="1" applyFont="1" applyFill="1" applyBorder="1" applyAlignment="1" applyProtection="1">
      <alignment horizontal="center" vertical="center"/>
      <protection locked="0"/>
    </xf>
    <xf numFmtId="3" fontId="129" fillId="28" borderId="53" xfId="0" applyNumberFormat="1" applyFont="1" applyFill="1" applyBorder="1" applyAlignment="1" applyProtection="1">
      <alignment horizontal="center" vertical="center"/>
      <protection locked="0"/>
    </xf>
    <xf numFmtId="167" fontId="44" fillId="3" borderId="7" xfId="0" applyNumberFormat="1" applyFont="1" applyFill="1" applyBorder="1" applyAlignment="1" applyProtection="1">
      <alignment horizontal="center" vertical="center"/>
      <protection locked="0"/>
    </xf>
    <xf numFmtId="167" fontId="44" fillId="3" borderId="7" xfId="0" applyNumberFormat="1" applyFont="1" applyFill="1" applyBorder="1" applyAlignment="1" applyProtection="1">
      <alignment horizontal="center" vertical="center" wrapText="1"/>
      <protection locked="0"/>
    </xf>
    <xf numFmtId="167" fontId="43" fillId="24" borderId="7" xfId="0" applyNumberFormat="1" applyFont="1" applyFill="1" applyBorder="1" applyAlignment="1" applyProtection="1">
      <alignment horizontal="center" vertical="center"/>
    </xf>
    <xf numFmtId="167" fontId="44" fillId="29" borderId="7" xfId="49" applyNumberFormat="1" applyFont="1" applyFill="1" applyBorder="1" applyAlignment="1" applyProtection="1">
      <alignment horizontal="right" vertical="center"/>
    </xf>
    <xf numFmtId="167" fontId="17" fillId="26" borderId="7" xfId="0" applyNumberFormat="1" applyFont="1" applyFill="1" applyBorder="1" applyAlignment="1" applyProtection="1">
      <alignment horizontal="center" vertical="center"/>
    </xf>
    <xf numFmtId="167" fontId="44" fillId="27" borderId="7" xfId="0" applyNumberFormat="1" applyFont="1" applyFill="1" applyBorder="1" applyAlignment="1" applyProtection="1">
      <alignment horizontal="center" vertical="center"/>
    </xf>
    <xf numFmtId="0" fontId="48" fillId="0" borderId="0" xfId="32" applyFont="1" applyAlignment="1" applyProtection="1">
      <alignment horizontal="center" vertical="center"/>
    </xf>
    <xf numFmtId="0" fontId="48" fillId="0" borderId="0" xfId="43" applyFont="1" applyBorder="1" applyAlignment="1" applyProtection="1">
      <alignment horizontal="center" vertical="center"/>
    </xf>
    <xf numFmtId="167" fontId="50" fillId="21" borderId="38" xfId="48" applyNumberFormat="1" applyFont="1" applyFill="1" applyBorder="1" applyAlignment="1" applyProtection="1">
      <alignment horizontal="center" vertical="center"/>
    </xf>
    <xf numFmtId="167" fontId="50" fillId="21" borderId="9" xfId="48" applyNumberFormat="1" applyFont="1" applyFill="1" applyBorder="1" applyAlignment="1" applyProtection="1">
      <alignment horizontal="center" vertical="center"/>
    </xf>
    <xf numFmtId="167" fontId="50" fillId="21" borderId="10" xfId="48" applyNumberFormat="1" applyFont="1" applyFill="1" applyBorder="1" applyAlignment="1" applyProtection="1">
      <alignment horizontal="center" vertical="center"/>
    </xf>
    <xf numFmtId="0" fontId="131" fillId="0" borderId="0" xfId="0" quotePrefix="1" applyFont="1" applyFill="1" applyBorder="1" applyAlignment="1" applyProtection="1">
      <alignment horizontal="center" vertical="center"/>
    </xf>
    <xf numFmtId="0" fontId="131" fillId="0" borderId="0" xfId="0" applyFont="1" applyFill="1" applyBorder="1" applyAlignment="1" applyProtection="1">
      <alignment vertical="center"/>
    </xf>
    <xf numFmtId="0" fontId="130" fillId="0" borderId="0" xfId="0" applyFont="1" applyFill="1" applyBorder="1" applyAlignment="1" applyProtection="1">
      <alignment horizontal="center" vertical="center"/>
    </xf>
    <xf numFmtId="3" fontId="130" fillId="0" borderId="0" xfId="0" applyNumberFormat="1" applyFont="1" applyFill="1" applyBorder="1" applyAlignment="1" applyProtection="1">
      <alignment horizontal="center" vertical="center"/>
    </xf>
    <xf numFmtId="170" fontId="50" fillId="37" borderId="79" xfId="0" applyNumberFormat="1" applyFont="1" applyFill="1" applyBorder="1" applyAlignment="1" applyProtection="1">
      <alignment horizontal="center" wrapText="1"/>
    </xf>
    <xf numFmtId="0" fontId="44" fillId="0" borderId="46" xfId="49" applyFont="1" applyFill="1" applyBorder="1" applyAlignment="1" applyProtection="1">
      <alignment horizontal="left" vertical="center" wrapText="1"/>
    </xf>
    <xf numFmtId="0" fontId="30" fillId="27" borderId="0" xfId="0" applyFont="1" applyFill="1" applyAlignment="1">
      <alignment vertical="center"/>
    </xf>
    <xf numFmtId="0" fontId="45" fillId="0" borderId="53" xfId="0" applyFont="1" applyFill="1" applyBorder="1" applyAlignment="1" applyProtection="1">
      <alignment horizontal="right" vertical="center"/>
    </xf>
    <xf numFmtId="0" fontId="93" fillId="27" borderId="0" xfId="49" applyFont="1" applyFill="1" applyAlignment="1">
      <alignment vertical="center"/>
    </xf>
    <xf numFmtId="3" fontId="15" fillId="3" borderId="1" xfId="32" applyNumberFormat="1" applyFont="1" applyFill="1" applyBorder="1" applyAlignment="1" applyProtection="1">
      <alignment horizontal="center" vertical="center"/>
      <protection locked="0"/>
    </xf>
    <xf numFmtId="3" fontId="15" fillId="3" borderId="65" xfId="32" applyNumberFormat="1" applyFont="1" applyFill="1" applyBorder="1" applyAlignment="1" applyProtection="1">
      <alignment horizontal="center" vertical="center"/>
      <protection locked="0"/>
    </xf>
    <xf numFmtId="3" fontId="15" fillId="3" borderId="9" xfId="32" applyNumberFormat="1" applyFont="1" applyFill="1" applyBorder="1" applyAlignment="1" applyProtection="1">
      <alignment horizontal="center" vertical="center"/>
      <protection locked="0"/>
    </xf>
    <xf numFmtId="49" fontId="44" fillId="0" borderId="53" xfId="0" applyNumberFormat="1" applyFont="1" applyFill="1" applyBorder="1" applyAlignment="1" applyProtection="1">
      <alignment vertical="center" wrapText="1"/>
    </xf>
    <xf numFmtId="49" fontId="44" fillId="0" borderId="57" xfId="0" applyNumberFormat="1" applyFont="1" applyFill="1" applyBorder="1" applyAlignment="1" applyProtection="1">
      <alignment vertical="center" wrapText="1"/>
    </xf>
    <xf numFmtId="0" fontId="44" fillId="26" borderId="7" xfId="0" applyFont="1" applyFill="1" applyBorder="1" applyAlignment="1" applyProtection="1">
      <alignment horizontal="left" vertical="center" wrapText="1"/>
    </xf>
    <xf numFmtId="0" fontId="23" fillId="27" borderId="0" xfId="49" applyFont="1" applyFill="1" applyBorder="1" applyAlignment="1">
      <alignment horizontal="center" vertical="center"/>
    </xf>
    <xf numFmtId="0" fontId="30" fillId="27" borderId="0" xfId="32" applyFont="1" applyFill="1" applyAlignment="1">
      <alignment vertical="center"/>
    </xf>
    <xf numFmtId="0" fontId="71" fillId="26" borderId="0" xfId="0" applyFont="1" applyFill="1" applyAlignment="1">
      <alignment vertical="center"/>
    </xf>
    <xf numFmtId="0" fontId="40" fillId="26" borderId="0" xfId="0" applyFont="1" applyFill="1" applyAlignment="1">
      <alignment vertical="center"/>
    </xf>
    <xf numFmtId="0" fontId="15" fillId="0" borderId="0" xfId="31" applyFont="1" applyAlignment="1">
      <alignment vertical="center"/>
    </xf>
    <xf numFmtId="0" fontId="19" fillId="0" borderId="0" xfId="0" applyFont="1" applyFill="1" applyAlignment="1">
      <alignment vertical="center"/>
    </xf>
    <xf numFmtId="49" fontId="15" fillId="0" borderId="0" xfId="31" applyNumberFormat="1" applyFont="1" applyAlignment="1">
      <alignment horizontal="center" vertical="center"/>
    </xf>
    <xf numFmtId="0" fontId="69" fillId="0" borderId="0" xfId="2" quotePrefix="1" applyFont="1" applyAlignment="1" applyProtection="1">
      <alignment vertical="center"/>
    </xf>
    <xf numFmtId="0" fontId="44" fillId="0" borderId="0" xfId="0" applyFont="1" applyAlignment="1">
      <alignment vertical="center"/>
    </xf>
    <xf numFmtId="0" fontId="46" fillId="0" borderId="0" xfId="31" applyFont="1" applyAlignment="1">
      <alignment horizontal="right" vertical="center"/>
    </xf>
    <xf numFmtId="0" fontId="44" fillId="0" borderId="0" xfId="31" applyFont="1" applyAlignment="1">
      <alignment horizontal="right" vertical="center"/>
    </xf>
    <xf numFmtId="0" fontId="15" fillId="0" borderId="0" xfId="31" applyFont="1" applyFill="1" applyAlignment="1">
      <alignment vertical="center"/>
    </xf>
    <xf numFmtId="3" fontId="69" fillId="0" borderId="0" xfId="2" quotePrefix="1" applyNumberFormat="1" applyFont="1" applyFill="1" applyAlignment="1" applyProtection="1">
      <alignment vertical="center"/>
    </xf>
    <xf numFmtId="0" fontId="15" fillId="0" borderId="0" xfId="31" applyFont="1" applyFill="1" applyAlignment="1">
      <alignment horizontal="center" vertical="center"/>
    </xf>
    <xf numFmtId="0" fontId="24" fillId="0" borderId="0" xfId="31" applyFont="1" applyAlignment="1">
      <alignment horizontal="center" vertical="center"/>
    </xf>
    <xf numFmtId="0" fontId="15" fillId="0" borderId="0" xfId="0" applyFont="1" applyFill="1" applyBorder="1" applyAlignment="1">
      <alignment vertical="center"/>
    </xf>
    <xf numFmtId="173" fontId="44" fillId="0" borderId="73" xfId="28" applyNumberFormat="1" applyFont="1" applyFill="1" applyBorder="1" applyAlignment="1" applyProtection="1">
      <alignment horizontal="right" vertical="center" wrapText="1"/>
    </xf>
    <xf numFmtId="173" fontId="44" fillId="0" borderId="76" xfId="28" applyNumberFormat="1" applyFont="1" applyFill="1" applyBorder="1" applyAlignment="1" applyProtection="1">
      <alignment horizontal="right" vertical="center" wrapText="1"/>
    </xf>
    <xf numFmtId="173" fontId="44" fillId="0" borderId="73" xfId="37" applyNumberFormat="1" applyFont="1" applyFill="1" applyBorder="1" applyAlignment="1" applyProtection="1">
      <alignment horizontal="right" vertical="center" wrapText="1"/>
    </xf>
    <xf numFmtId="49" fontId="15" fillId="0" borderId="0" xfId="31" applyNumberFormat="1" applyFont="1" applyAlignment="1">
      <alignment vertical="center"/>
    </xf>
    <xf numFmtId="0" fontId="57" fillId="27" borderId="0" xfId="49" applyFont="1" applyFill="1" applyAlignment="1">
      <alignment vertical="center"/>
    </xf>
    <xf numFmtId="0" fontId="82" fillId="27" borderId="0" xfId="49" applyFont="1" applyFill="1" applyAlignment="1">
      <alignment vertical="center"/>
    </xf>
    <xf numFmtId="0" fontId="18" fillId="27" borderId="0" xfId="49" applyFont="1" applyFill="1" applyAlignment="1" applyProtection="1">
      <alignment vertical="center" wrapText="1"/>
    </xf>
    <xf numFmtId="0" fontId="55" fillId="27" borderId="0" xfId="49" applyFont="1" applyFill="1" applyAlignment="1">
      <alignment horizontal="left" vertical="center"/>
    </xf>
    <xf numFmtId="0" fontId="84" fillId="27" borderId="0" xfId="2" quotePrefix="1" applyFont="1" applyFill="1" applyAlignment="1" applyProtection="1">
      <alignment vertical="center"/>
    </xf>
    <xf numFmtId="10" fontId="65" fillId="27" borderId="0" xfId="49" applyNumberFormat="1" applyFont="1" applyFill="1" applyBorder="1" applyAlignment="1" applyProtection="1">
      <alignment horizontal="center" vertical="center" wrapText="1"/>
    </xf>
    <xf numFmtId="0" fontId="22" fillId="27" borderId="0" xfId="49" applyFont="1" applyFill="1" applyBorder="1" applyAlignment="1" applyProtection="1">
      <alignment vertical="center" wrapText="1"/>
    </xf>
    <xf numFmtId="169" fontId="22" fillId="27" borderId="0" xfId="49" applyNumberFormat="1" applyFont="1" applyFill="1" applyBorder="1" applyAlignment="1" applyProtection="1">
      <alignment horizontal="center" vertical="center" wrapText="1"/>
    </xf>
    <xf numFmtId="0" fontId="22" fillId="27" borderId="0" xfId="49" applyFont="1" applyFill="1" applyBorder="1" applyAlignment="1" applyProtection="1">
      <alignment horizontal="center" vertical="center" wrapText="1"/>
    </xf>
    <xf numFmtId="9" fontId="65" fillId="27" borderId="0" xfId="49" applyNumberFormat="1" applyFont="1" applyFill="1" applyBorder="1" applyAlignment="1" applyProtection="1">
      <alignment horizontal="center" vertical="center" wrapText="1"/>
    </xf>
    <xf numFmtId="1" fontId="43" fillId="27" borderId="0" xfId="49" applyNumberFormat="1" applyFont="1" applyFill="1" applyBorder="1" applyAlignment="1" applyProtection="1">
      <alignment horizontal="center" vertical="center" wrapText="1"/>
    </xf>
    <xf numFmtId="0" fontId="38" fillId="27" borderId="20" xfId="49" applyFont="1" applyFill="1" applyBorder="1" applyAlignment="1" applyProtection="1">
      <alignment vertical="center" wrapText="1"/>
    </xf>
    <xf numFmtId="170" fontId="43" fillId="37" borderId="2" xfId="49" applyNumberFormat="1" applyFont="1" applyFill="1" applyBorder="1" applyAlignment="1" applyProtection="1">
      <alignment horizontal="center" vertical="center" wrapText="1"/>
    </xf>
    <xf numFmtId="170" fontId="43" fillId="37" borderId="79" xfId="49" applyNumberFormat="1" applyFont="1" applyFill="1" applyBorder="1" applyAlignment="1" applyProtection="1">
      <alignment horizontal="center" vertical="center" wrapText="1"/>
    </xf>
    <xf numFmtId="170" fontId="43" fillId="37" borderId="77" xfId="49" applyNumberFormat="1" applyFont="1" applyFill="1" applyBorder="1" applyAlignment="1" applyProtection="1">
      <alignment horizontal="center" vertical="center" wrapText="1"/>
    </xf>
    <xf numFmtId="170" fontId="43" fillId="37" borderId="43" xfId="49" applyNumberFormat="1" applyFont="1" applyFill="1" applyBorder="1" applyAlignment="1" applyProtection="1">
      <alignment horizontal="center" vertical="center" wrapText="1"/>
    </xf>
    <xf numFmtId="0" fontId="38" fillId="27" borderId="0" xfId="49" applyFont="1" applyFill="1" applyAlignment="1">
      <alignment vertical="center"/>
    </xf>
    <xf numFmtId="0" fontId="40" fillId="27" borderId="0" xfId="49" applyFont="1" applyFill="1" applyAlignment="1">
      <alignment vertical="center"/>
    </xf>
    <xf numFmtId="0" fontId="30" fillId="27" borderId="0" xfId="49" applyFont="1" applyFill="1" applyAlignment="1">
      <alignment vertical="center"/>
    </xf>
    <xf numFmtId="0" fontId="55" fillId="27" borderId="0" xfId="49" applyFont="1" applyFill="1" applyAlignment="1" applyProtection="1">
      <alignment vertical="center" wrapText="1"/>
    </xf>
    <xf numFmtId="0" fontId="55" fillId="26" borderId="0" xfId="49" applyFont="1" applyFill="1" applyAlignment="1" applyProtection="1">
      <alignment vertical="center" wrapText="1"/>
    </xf>
    <xf numFmtId="0" fontId="84" fillId="26" borderId="0" xfId="2" quotePrefix="1" applyFont="1" applyFill="1" applyAlignment="1" applyProtection="1">
      <alignment vertical="center"/>
    </xf>
    <xf numFmtId="0" fontId="57" fillId="26" borderId="0" xfId="49" applyFont="1" applyFill="1" applyAlignment="1">
      <alignment vertical="center"/>
    </xf>
    <xf numFmtId="0" fontId="82" fillId="26" borderId="0" xfId="49" applyFont="1" applyFill="1" applyAlignment="1">
      <alignment vertical="center"/>
    </xf>
    <xf numFmtId="0" fontId="38" fillId="27" borderId="0" xfId="49" applyFont="1" applyFill="1" applyAlignment="1" applyProtection="1">
      <alignment vertical="center" wrapText="1"/>
    </xf>
    <xf numFmtId="0" fontId="22" fillId="27" borderId="0" xfId="49" applyFont="1" applyFill="1" applyAlignment="1" applyProtection="1">
      <alignment vertical="center" wrapText="1"/>
    </xf>
    <xf numFmtId="0" fontId="84" fillId="27" borderId="0" xfId="2" applyFont="1" applyFill="1" applyAlignment="1" applyProtection="1">
      <alignment vertical="center"/>
    </xf>
    <xf numFmtId="0" fontId="55" fillId="26" borderId="0" xfId="49" applyFont="1" applyFill="1" applyAlignment="1">
      <alignment vertical="center"/>
    </xf>
    <xf numFmtId="0" fontId="38" fillId="20" borderId="0" xfId="49" applyFont="1" applyFill="1" applyAlignment="1">
      <alignment vertical="center"/>
    </xf>
    <xf numFmtId="0" fontId="55" fillId="27" borderId="0" xfId="49" applyFont="1" applyFill="1" applyBorder="1" applyAlignment="1">
      <alignment vertical="center"/>
    </xf>
    <xf numFmtId="0" fontId="82" fillId="27" borderId="0" xfId="49" applyFont="1" applyFill="1" applyBorder="1" applyAlignment="1">
      <alignment vertical="center"/>
    </xf>
    <xf numFmtId="0" fontId="22" fillId="27" borderId="0" xfId="49" applyFont="1" applyFill="1" applyAlignment="1">
      <alignment horizontal="center" vertical="center"/>
    </xf>
    <xf numFmtId="0" fontId="15" fillId="27" borderId="0" xfId="49" applyFont="1" applyFill="1" applyAlignment="1">
      <alignment vertical="center"/>
    </xf>
    <xf numFmtId="0" fontId="24" fillId="27" borderId="0" xfId="0" applyNumberFormat="1" applyFont="1" applyFill="1" applyAlignment="1">
      <alignment horizontal="right" vertical="center"/>
    </xf>
    <xf numFmtId="0" fontId="15" fillId="27" borderId="0" xfId="0" applyNumberFormat="1" applyFont="1" applyFill="1" applyAlignment="1">
      <alignment vertical="center"/>
    </xf>
    <xf numFmtId="49" fontId="15" fillId="27" borderId="0" xfId="0" applyNumberFormat="1" applyFont="1" applyFill="1" applyAlignment="1">
      <alignment horizontal="right" vertical="center"/>
    </xf>
    <xf numFmtId="0" fontId="15" fillId="27" borderId="0" xfId="31" applyFont="1" applyFill="1" applyAlignment="1">
      <alignment vertical="center"/>
    </xf>
    <xf numFmtId="0" fontId="39" fillId="27" borderId="0" xfId="0" applyNumberFormat="1" applyFont="1" applyFill="1" applyAlignment="1">
      <alignment horizontal="center" vertical="center"/>
    </xf>
    <xf numFmtId="49" fontId="55" fillId="27" borderId="0" xfId="49" applyNumberFormat="1" applyFont="1" applyFill="1" applyAlignment="1">
      <alignment horizontal="center" vertical="center"/>
    </xf>
    <xf numFmtId="0" fontId="24" fillId="27" borderId="0" xfId="49" applyFont="1" applyFill="1" applyAlignment="1">
      <alignment vertical="center"/>
    </xf>
    <xf numFmtId="0" fontId="22" fillId="27" borderId="0" xfId="49" applyFont="1" applyFill="1" applyAlignment="1">
      <alignment vertical="center"/>
    </xf>
    <xf numFmtId="49" fontId="24" fillId="27" borderId="0" xfId="0" applyNumberFormat="1" applyFont="1" applyFill="1" applyAlignment="1">
      <alignment horizontal="right" vertical="center"/>
    </xf>
    <xf numFmtId="0" fontId="55" fillId="27" borderId="0" xfId="49" applyFont="1" applyFill="1" applyAlignment="1" applyProtection="1">
      <alignment horizontal="center" vertical="center" wrapText="1"/>
    </xf>
    <xf numFmtId="0" fontId="38" fillId="27" borderId="0" xfId="49" applyFont="1" applyFill="1" applyAlignment="1">
      <alignment horizontal="left" vertical="center"/>
    </xf>
    <xf numFmtId="0" fontId="65" fillId="27" borderId="0" xfId="49" applyFont="1" applyFill="1" applyAlignment="1">
      <alignment vertical="center"/>
    </xf>
    <xf numFmtId="0" fontId="65" fillId="27" borderId="0" xfId="49" applyFont="1" applyFill="1" applyBorder="1" applyAlignment="1">
      <alignment horizontal="center" vertical="center"/>
    </xf>
    <xf numFmtId="0" fontId="55" fillId="27" borderId="0" xfId="49" applyFont="1" applyFill="1" applyBorder="1" applyAlignment="1" applyProtection="1">
      <alignment horizontal="center" vertical="center" wrapText="1"/>
    </xf>
    <xf numFmtId="0" fontId="55" fillId="27" borderId="0" xfId="49" applyFont="1" applyFill="1" applyBorder="1" applyAlignment="1" applyProtection="1">
      <alignment horizontal="left" vertical="center" wrapText="1"/>
    </xf>
    <xf numFmtId="0" fontId="55" fillId="27" borderId="0" xfId="49" applyFont="1" applyFill="1" applyAlignment="1" applyProtection="1">
      <alignment horizontal="left" vertical="center" wrapText="1"/>
    </xf>
    <xf numFmtId="170" fontId="43" fillId="37" borderId="78" xfId="49" applyNumberFormat="1" applyFont="1" applyFill="1" applyBorder="1" applyAlignment="1" applyProtection="1">
      <alignment horizontal="center" vertical="center" wrapText="1"/>
    </xf>
    <xf numFmtId="170" fontId="43" fillId="37" borderId="28" xfId="49" applyNumberFormat="1" applyFont="1" applyFill="1" applyBorder="1" applyAlignment="1" applyProtection="1">
      <alignment horizontal="center" vertical="center" wrapText="1"/>
    </xf>
    <xf numFmtId="170" fontId="43" fillId="37" borderId="20" xfId="49" applyNumberFormat="1" applyFont="1" applyFill="1" applyBorder="1" applyAlignment="1" applyProtection="1">
      <alignment horizontal="center" vertical="center" wrapText="1"/>
    </xf>
    <xf numFmtId="0" fontId="55" fillId="27" borderId="0" xfId="49" applyFont="1" applyFill="1" applyAlignment="1" applyProtection="1">
      <alignment vertical="center"/>
    </xf>
    <xf numFmtId="0" fontId="22" fillId="27" borderId="0" xfId="49" applyFont="1" applyFill="1" applyAlignment="1" applyProtection="1">
      <alignment horizontal="center" vertical="center"/>
    </xf>
    <xf numFmtId="170" fontId="43" fillId="37" borderId="56" xfId="49" applyNumberFormat="1" applyFont="1" applyFill="1" applyBorder="1" applyAlignment="1" applyProtection="1">
      <alignment horizontal="center" vertical="center"/>
    </xf>
    <xf numFmtId="170" fontId="43" fillId="37" borderId="77" xfId="49" applyNumberFormat="1" applyFont="1" applyFill="1" applyBorder="1" applyAlignment="1" applyProtection="1">
      <alignment horizontal="center" vertical="center"/>
    </xf>
    <xf numFmtId="170" fontId="43" fillId="37" borderId="57" xfId="49" applyNumberFormat="1" applyFont="1" applyFill="1" applyBorder="1" applyAlignment="1" applyProtection="1">
      <alignment horizontal="center" vertical="center"/>
    </xf>
    <xf numFmtId="170" fontId="43" fillId="37" borderId="79" xfId="49" applyNumberFormat="1" applyFont="1" applyFill="1" applyBorder="1" applyAlignment="1" applyProtection="1">
      <alignment horizontal="center" vertical="center"/>
    </xf>
    <xf numFmtId="0" fontId="44" fillId="27" borderId="29" xfId="49" applyFont="1" applyFill="1" applyBorder="1" applyAlignment="1" applyProtection="1">
      <alignment vertical="center" wrapText="1"/>
    </xf>
    <xf numFmtId="0" fontId="44" fillId="27" borderId="24" xfId="49" applyFont="1" applyFill="1" applyBorder="1" applyAlignment="1" applyProtection="1">
      <alignment vertical="center" wrapText="1"/>
    </xf>
    <xf numFmtId="0" fontId="44" fillId="27" borderId="30" xfId="49" applyFont="1" applyFill="1" applyBorder="1" applyAlignment="1" applyProtection="1">
      <alignment vertical="center" wrapText="1"/>
    </xf>
    <xf numFmtId="167" fontId="44" fillId="37" borderId="31" xfId="49" applyNumberFormat="1" applyFont="1" applyFill="1" applyBorder="1" applyAlignment="1" applyProtection="1">
      <alignment horizontal="center" vertical="center" wrapText="1"/>
    </xf>
    <xf numFmtId="167" fontId="44" fillId="37" borderId="33" xfId="49" applyNumberFormat="1" applyFont="1" applyFill="1" applyBorder="1" applyAlignment="1" applyProtection="1">
      <alignment horizontal="center" vertical="center" wrapText="1"/>
    </xf>
    <xf numFmtId="167" fontId="44" fillId="37" borderId="6" xfId="49" applyNumberFormat="1" applyFont="1" applyFill="1" applyBorder="1" applyAlignment="1" applyProtection="1">
      <alignment horizontal="center" vertical="center" wrapText="1"/>
    </xf>
    <xf numFmtId="9" fontId="44" fillId="33" borderId="53" xfId="1" applyFont="1" applyFill="1" applyBorder="1" applyAlignment="1" applyProtection="1">
      <alignment horizontal="center" vertical="center" wrapText="1"/>
    </xf>
    <xf numFmtId="174" fontId="55" fillId="27" borderId="0" xfId="49" applyNumberFormat="1" applyFont="1" applyFill="1" applyAlignment="1">
      <alignment horizontal="center" vertical="center"/>
    </xf>
    <xf numFmtId="174" fontId="55" fillId="27" borderId="0" xfId="49" applyNumberFormat="1" applyFont="1" applyFill="1" applyAlignment="1" applyProtection="1">
      <alignment horizontal="center" vertical="center" wrapText="1"/>
    </xf>
    <xf numFmtId="174" fontId="22" fillId="27" borderId="0" xfId="49" applyNumberFormat="1" applyFont="1" applyFill="1" applyBorder="1" applyAlignment="1" applyProtection="1">
      <alignment horizontal="center" vertical="center" wrapText="1"/>
    </xf>
    <xf numFmtId="174" fontId="44" fillId="37" borderId="31" xfId="49" applyNumberFormat="1" applyFont="1" applyFill="1" applyBorder="1" applyAlignment="1" applyProtection="1">
      <alignment horizontal="center" vertical="center" wrapText="1"/>
    </xf>
    <xf numFmtId="174" fontId="18" fillId="27" borderId="0" xfId="49" applyNumberFormat="1" applyFont="1" applyFill="1" applyAlignment="1" applyProtection="1">
      <alignment vertical="center" wrapText="1"/>
    </xf>
    <xf numFmtId="174" fontId="43" fillId="27" borderId="0" xfId="49" applyNumberFormat="1" applyFont="1" applyFill="1" applyBorder="1" applyAlignment="1" applyProtection="1">
      <alignment horizontal="center" vertical="center" wrapText="1"/>
    </xf>
    <xf numFmtId="49" fontId="44" fillId="0" borderId="49" xfId="32" applyNumberFormat="1" applyFont="1" applyFill="1" applyBorder="1" applyAlignment="1" applyProtection="1">
      <alignment horizontal="center" vertical="center" wrapText="1"/>
    </xf>
    <xf numFmtId="49" fontId="44" fillId="0" borderId="50" xfId="0" applyNumberFormat="1" applyFont="1" applyFill="1" applyBorder="1" applyAlignment="1" applyProtection="1">
      <alignment vertical="center" wrapText="1"/>
    </xf>
    <xf numFmtId="0" fontId="30" fillId="0" borderId="0" xfId="0" applyFont="1" applyFill="1" applyAlignment="1">
      <alignment vertical="center"/>
    </xf>
    <xf numFmtId="49" fontId="44" fillId="0" borderId="52" xfId="32" applyNumberFormat="1" applyFont="1" applyFill="1" applyBorder="1" applyAlignment="1" applyProtection="1">
      <alignment horizontal="center" vertical="center" wrapText="1"/>
    </xf>
    <xf numFmtId="0" fontId="43" fillId="31" borderId="76" xfId="32" applyFont="1" applyFill="1" applyBorder="1" applyAlignment="1" applyProtection="1">
      <alignment vertical="center" wrapText="1"/>
    </xf>
    <xf numFmtId="16" fontId="44" fillId="26" borderId="24" xfId="32" applyNumberFormat="1" applyFont="1" applyFill="1" applyBorder="1" applyAlignment="1" applyProtection="1">
      <alignment horizontal="center" vertical="center"/>
    </xf>
    <xf numFmtId="0" fontId="45" fillId="27" borderId="29" xfId="0" applyFont="1" applyFill="1" applyBorder="1" applyAlignment="1" applyProtection="1">
      <alignment horizontal="center" vertical="center" wrapText="1"/>
    </xf>
    <xf numFmtId="0" fontId="45" fillId="0" borderId="76" xfId="0" applyFont="1" applyFill="1" applyBorder="1" applyAlignment="1" applyProtection="1">
      <alignment horizontal="right" vertical="center" wrapText="1"/>
    </xf>
    <xf numFmtId="167" fontId="44" fillId="28" borderId="7" xfId="0" applyNumberFormat="1" applyFont="1" applyFill="1" applyBorder="1" applyAlignment="1" applyProtection="1">
      <alignment horizontal="center" vertical="center"/>
      <protection locked="0"/>
    </xf>
    <xf numFmtId="0" fontId="15" fillId="3" borderId="34" xfId="88" applyFont="1" applyFill="1" applyBorder="1" applyAlignment="1" applyProtection="1">
      <alignment horizontal="center" vertical="center" wrapText="1"/>
      <protection locked="0"/>
    </xf>
    <xf numFmtId="0" fontId="15" fillId="3" borderId="21" xfId="88" applyFont="1" applyFill="1" applyBorder="1" applyAlignment="1" applyProtection="1">
      <alignment horizontal="center" vertical="center" wrapText="1"/>
      <protection locked="0"/>
    </xf>
    <xf numFmtId="0" fontId="15" fillId="3" borderId="17" xfId="88" applyFont="1" applyFill="1" applyBorder="1" applyAlignment="1" applyProtection="1">
      <alignment horizontal="center" vertical="center" wrapText="1"/>
      <protection locked="0"/>
    </xf>
    <xf numFmtId="0" fontId="15" fillId="3" borderId="51" xfId="88" applyFont="1" applyFill="1" applyBorder="1" applyAlignment="1" applyProtection="1">
      <alignment horizontal="center" vertical="center" wrapText="1"/>
      <protection locked="0"/>
    </xf>
    <xf numFmtId="3" fontId="15" fillId="3" borderId="53" xfId="88" applyNumberFormat="1" applyFont="1" applyFill="1" applyBorder="1" applyAlignment="1" applyProtection="1">
      <alignment horizontal="center" vertical="center" wrapText="1"/>
      <protection locked="0"/>
    </xf>
    <xf numFmtId="3" fontId="15" fillId="3" borderId="7" xfId="88" applyNumberFormat="1" applyFont="1" applyFill="1" applyBorder="1" applyAlignment="1" applyProtection="1">
      <alignment horizontal="center" vertical="center" wrapText="1"/>
      <protection locked="0"/>
    </xf>
    <xf numFmtId="0" fontId="15" fillId="3" borderId="5" xfId="88" applyFont="1" applyFill="1" applyBorder="1" applyAlignment="1" applyProtection="1">
      <alignment horizontal="center" vertical="center" wrapText="1"/>
      <protection locked="0"/>
    </xf>
    <xf numFmtId="3" fontId="15" fillId="3" borderId="76" xfId="88" applyNumberFormat="1" applyFont="1" applyFill="1" applyBorder="1" applyAlignment="1" applyProtection="1">
      <alignment horizontal="center" vertical="center" wrapText="1"/>
      <protection locked="0"/>
    </xf>
    <xf numFmtId="3" fontId="15" fillId="3" borderId="73" xfId="88" applyNumberFormat="1" applyFont="1" applyFill="1" applyBorder="1" applyAlignment="1" applyProtection="1">
      <alignment horizontal="center" vertical="center" wrapText="1"/>
      <protection locked="0"/>
    </xf>
    <xf numFmtId="3" fontId="15" fillId="3" borderId="32" xfId="88" applyNumberFormat="1" applyFont="1" applyFill="1" applyBorder="1" applyAlignment="1" applyProtection="1">
      <alignment horizontal="center" vertical="center" wrapText="1"/>
      <protection locked="0"/>
    </xf>
    <xf numFmtId="3" fontId="15" fillId="3" borderId="52" xfId="88" applyNumberFormat="1" applyFont="1" applyFill="1" applyBorder="1" applyAlignment="1" applyProtection="1">
      <alignment horizontal="center" vertical="center" wrapText="1"/>
      <protection locked="0"/>
    </xf>
    <xf numFmtId="3" fontId="15" fillId="3" borderId="61" xfId="88" applyNumberFormat="1" applyFont="1" applyFill="1" applyBorder="1" applyAlignment="1" applyProtection="1">
      <alignment horizontal="center" vertical="center" wrapText="1"/>
      <protection locked="0"/>
    </xf>
    <xf numFmtId="3" fontId="15" fillId="3" borderId="31" xfId="88" applyNumberFormat="1" applyFont="1" applyFill="1" applyBorder="1" applyAlignment="1" applyProtection="1">
      <alignment horizontal="center" vertical="center" wrapText="1"/>
      <protection locked="0"/>
    </xf>
    <xf numFmtId="3" fontId="15" fillId="3" borderId="74" xfId="88" applyNumberFormat="1" applyFont="1" applyFill="1" applyBorder="1" applyAlignment="1" applyProtection="1">
      <alignment horizontal="center" vertical="center" wrapText="1"/>
      <protection locked="0"/>
    </xf>
    <xf numFmtId="3" fontId="15" fillId="28" borderId="7" xfId="88" applyNumberFormat="1" applyFont="1" applyFill="1" applyBorder="1" applyAlignment="1" applyProtection="1">
      <alignment horizontal="center" vertical="center" wrapText="1"/>
      <protection locked="0"/>
    </xf>
    <xf numFmtId="3" fontId="15" fillId="28" borderId="53" xfId="88" applyNumberFormat="1" applyFont="1" applyFill="1" applyBorder="1" applyAlignment="1" applyProtection="1">
      <alignment horizontal="center" vertical="center" wrapText="1"/>
      <protection locked="0"/>
    </xf>
    <xf numFmtId="3" fontId="15" fillId="3" borderId="15" xfId="88" applyNumberFormat="1" applyFont="1" applyFill="1" applyBorder="1" applyAlignment="1" applyProtection="1">
      <alignment horizontal="center" vertical="center" wrapText="1"/>
      <protection locked="0"/>
    </xf>
    <xf numFmtId="3" fontId="15" fillId="28" borderId="14" xfId="88" applyNumberFormat="1" applyFont="1" applyFill="1" applyBorder="1" applyAlignment="1" applyProtection="1">
      <alignment horizontal="center" vertical="center" wrapText="1"/>
      <protection locked="0"/>
    </xf>
    <xf numFmtId="3" fontId="15" fillId="28" borderId="73" xfId="88" applyNumberFormat="1" applyFont="1" applyFill="1" applyBorder="1" applyAlignment="1" applyProtection="1">
      <alignment horizontal="center" vertical="center" wrapText="1"/>
      <protection locked="0"/>
    </xf>
    <xf numFmtId="3" fontId="15" fillId="28" borderId="74" xfId="88" applyNumberFormat="1" applyFont="1" applyFill="1" applyBorder="1" applyAlignment="1" applyProtection="1">
      <alignment horizontal="center" vertical="center" wrapText="1"/>
      <protection locked="0"/>
    </xf>
    <xf numFmtId="3" fontId="15" fillId="28" borderId="31" xfId="88" applyNumberFormat="1" applyFont="1" applyFill="1" applyBorder="1" applyAlignment="1" applyProtection="1">
      <alignment horizontal="center" vertical="center" wrapText="1"/>
      <protection locked="0"/>
    </xf>
    <xf numFmtId="0" fontId="23" fillId="20" borderId="29" xfId="0" applyFont="1" applyFill="1" applyBorder="1" applyAlignment="1" applyProtection="1">
      <alignment horizontal="right" vertical="center"/>
    </xf>
    <xf numFmtId="0" fontId="23" fillId="20" borderId="24" xfId="0" applyFont="1" applyFill="1" applyBorder="1" applyAlignment="1" applyProtection="1">
      <alignment horizontal="right" vertical="center"/>
    </xf>
    <xf numFmtId="170" fontId="43" fillId="37" borderId="34" xfId="32" applyNumberFormat="1" applyFont="1" applyFill="1" applyBorder="1" applyAlignment="1" applyProtection="1">
      <alignment horizontal="center" vertical="center" wrapText="1"/>
    </xf>
    <xf numFmtId="0" fontId="68" fillId="31" borderId="15" xfId="52" applyFont="1" applyFill="1" applyBorder="1" applyAlignment="1" applyProtection="1">
      <alignment horizontal="left" vertical="center" wrapText="1"/>
    </xf>
    <xf numFmtId="0" fontId="60" fillId="20" borderId="15" xfId="52" applyFont="1" applyFill="1" applyBorder="1" applyAlignment="1" applyProtection="1">
      <alignment horizontal="left" vertical="center"/>
    </xf>
    <xf numFmtId="49" fontId="60" fillId="27" borderId="39" xfId="52" applyNumberFormat="1" applyFont="1" applyFill="1" applyBorder="1" applyAlignment="1" applyProtection="1">
      <alignment horizontal="center" vertical="center" wrapText="1"/>
    </xf>
    <xf numFmtId="0" fontId="60" fillId="20" borderId="39" xfId="52" applyFont="1" applyFill="1" applyBorder="1" applyAlignment="1" applyProtection="1">
      <alignment horizontal="center" vertical="center" wrapText="1"/>
    </xf>
    <xf numFmtId="49" fontId="65" fillId="27" borderId="0" xfId="40" applyNumberFormat="1" applyFont="1" applyFill="1" applyBorder="1" applyAlignment="1" applyProtection="1">
      <alignment horizontal="center" vertical="center" wrapText="1"/>
    </xf>
    <xf numFmtId="0" fontId="60" fillId="20" borderId="30" xfId="80" applyFont="1" applyFill="1" applyBorder="1" applyAlignment="1" applyProtection="1">
      <alignment horizontal="center" vertical="center" wrapText="1"/>
    </xf>
    <xf numFmtId="0" fontId="86" fillId="45" borderId="2" xfId="52" applyFont="1" applyFill="1" applyBorder="1" applyAlignment="1" applyProtection="1">
      <alignment horizontal="center" vertical="center" wrapText="1"/>
    </xf>
    <xf numFmtId="0" fontId="23" fillId="27" borderId="20" xfId="32" applyFont="1" applyFill="1" applyBorder="1" applyAlignment="1" applyProtection="1">
      <alignment horizontal="center" vertical="center" wrapText="1"/>
    </xf>
    <xf numFmtId="3" fontId="15" fillId="3" borderId="52" xfId="0" applyNumberFormat="1" applyFont="1" applyFill="1" applyBorder="1" applyAlignment="1" applyProtection="1">
      <alignment horizontal="center" vertical="center" wrapText="1"/>
      <protection locked="0"/>
    </xf>
    <xf numFmtId="3" fontId="15" fillId="3" borderId="24" xfId="0" applyNumberFormat="1" applyFont="1" applyFill="1" applyBorder="1" applyAlignment="1" applyProtection="1">
      <alignment horizontal="center" vertical="center" wrapText="1"/>
      <protection locked="0"/>
    </xf>
    <xf numFmtId="0" fontId="60" fillId="31" borderId="39" xfId="57" applyFont="1" applyFill="1" applyBorder="1" applyAlignment="1" applyProtection="1">
      <alignment horizontal="center" vertical="center" wrapText="1"/>
    </xf>
    <xf numFmtId="172" fontId="68" fillId="31" borderId="54" xfId="57" applyNumberFormat="1" applyFont="1" applyFill="1" applyBorder="1" applyAlignment="1" applyProtection="1">
      <alignment horizontal="center" vertical="center"/>
    </xf>
    <xf numFmtId="3" fontId="68" fillId="26" borderId="75" xfId="57" applyNumberFormat="1" applyFont="1" applyFill="1" applyBorder="1" applyAlignment="1" applyProtection="1">
      <alignment horizontal="center" vertical="center"/>
    </xf>
    <xf numFmtId="172" fontId="68" fillId="31" borderId="63" xfId="57" applyNumberFormat="1" applyFont="1" applyFill="1" applyBorder="1" applyAlignment="1" applyProtection="1">
      <alignment horizontal="center" vertical="center"/>
    </xf>
    <xf numFmtId="3" fontId="68" fillId="26" borderId="73" xfId="57" applyNumberFormat="1" applyFont="1" applyFill="1" applyBorder="1" applyAlignment="1" applyProtection="1">
      <alignment horizontal="center" vertical="center"/>
    </xf>
    <xf numFmtId="172" fontId="68" fillId="31" borderId="77" xfId="57" applyNumberFormat="1" applyFont="1" applyFill="1" applyBorder="1" applyAlignment="1" applyProtection="1">
      <alignment horizontal="center" vertical="center"/>
    </xf>
    <xf numFmtId="172" fontId="68" fillId="31" borderId="55" xfId="57" applyNumberFormat="1" applyFont="1" applyFill="1" applyBorder="1" applyAlignment="1" applyProtection="1">
      <alignment horizontal="center" vertical="center"/>
    </xf>
    <xf numFmtId="3" fontId="68" fillId="26" borderId="76" xfId="57" applyNumberFormat="1" applyFont="1" applyFill="1" applyBorder="1" applyAlignment="1" applyProtection="1">
      <alignment horizontal="center" vertical="center"/>
    </xf>
    <xf numFmtId="0" fontId="72" fillId="20" borderId="1" xfId="32" applyFont="1" applyFill="1" applyBorder="1" applyAlignment="1" applyProtection="1">
      <alignment horizontal="right" vertical="center"/>
    </xf>
    <xf numFmtId="0" fontId="60" fillId="20" borderId="39" xfId="80" applyFont="1" applyFill="1" applyBorder="1" applyAlignment="1" applyProtection="1">
      <alignment horizontal="center" vertical="center" wrapText="1"/>
    </xf>
    <xf numFmtId="0" fontId="60" fillId="20" borderId="21" xfId="80" applyFont="1" applyFill="1" applyBorder="1" applyAlignment="1" applyProtection="1">
      <alignment horizontal="center" vertical="center" wrapText="1"/>
    </xf>
    <xf numFmtId="0" fontId="108" fillId="0" borderId="17" xfId="2" applyFont="1" applyBorder="1" applyAlignment="1" applyProtection="1">
      <alignment horizontal="center" vertical="center" wrapText="1"/>
    </xf>
    <xf numFmtId="0" fontId="108" fillId="0" borderId="21" xfId="2" applyFont="1" applyBorder="1" applyAlignment="1" applyProtection="1">
      <alignment horizontal="center" vertical="center" wrapText="1"/>
    </xf>
    <xf numFmtId="0" fontId="19" fillId="27" borderId="0" xfId="32" applyFont="1" applyFill="1" applyAlignment="1" applyProtection="1">
      <alignment vertical="center" wrapText="1"/>
    </xf>
    <xf numFmtId="0" fontId="37" fillId="27" borderId="0" xfId="32" applyFont="1" applyFill="1" applyAlignment="1" applyProtection="1">
      <alignment vertical="center" wrapText="1"/>
    </xf>
    <xf numFmtId="170" fontId="44" fillId="31" borderId="51" xfId="32" applyNumberFormat="1" applyFont="1" applyFill="1" applyBorder="1" applyAlignment="1" applyProtection="1">
      <alignment horizontal="center" vertical="center" wrapText="1"/>
    </xf>
    <xf numFmtId="0" fontId="82" fillId="27" borderId="0" xfId="0" applyFont="1" applyFill="1" applyAlignment="1">
      <alignment vertical="center"/>
    </xf>
    <xf numFmtId="0" fontId="43" fillId="26" borderId="53" xfId="0" applyFont="1" applyFill="1" applyBorder="1" applyAlignment="1" applyProtection="1">
      <alignment horizontal="left" vertical="center" wrapText="1"/>
    </xf>
    <xf numFmtId="49" fontId="44" fillId="27" borderId="47" xfId="32" applyNumberFormat="1" applyFont="1" applyFill="1" applyBorder="1" applyAlignment="1" applyProtection="1">
      <alignment horizontal="center" vertical="center" wrapText="1"/>
    </xf>
    <xf numFmtId="0" fontId="44" fillId="27" borderId="48" xfId="32" applyFont="1" applyFill="1" applyBorder="1" applyAlignment="1" applyProtection="1">
      <alignment horizontal="left" vertical="center" wrapText="1"/>
    </xf>
    <xf numFmtId="49" fontId="44" fillId="27" borderId="75" xfId="32" applyNumberFormat="1" applyFont="1" applyFill="1" applyBorder="1" applyAlignment="1" applyProtection="1">
      <alignment horizontal="center" vertical="center" wrapText="1"/>
    </xf>
    <xf numFmtId="49" fontId="44" fillId="27" borderId="6" xfId="32" applyNumberFormat="1" applyFont="1" applyFill="1" applyBorder="1" applyAlignment="1" applyProtection="1">
      <alignment vertical="center" wrapText="1"/>
    </xf>
    <xf numFmtId="49" fontId="44" fillId="27" borderId="19" xfId="32" applyNumberFormat="1" applyFont="1" applyFill="1" applyBorder="1" applyAlignment="1" applyProtection="1">
      <alignment vertical="center" wrapText="1"/>
    </xf>
    <xf numFmtId="0" fontId="45" fillId="27" borderId="27" xfId="0" applyFont="1" applyFill="1" applyBorder="1" applyAlignment="1" applyProtection="1">
      <alignment horizontal="center" vertical="center" wrapText="1"/>
    </xf>
    <xf numFmtId="0" fontId="45" fillId="0" borderId="25" xfId="0" applyFont="1" applyFill="1" applyBorder="1" applyAlignment="1" applyProtection="1">
      <alignment horizontal="center" vertical="center" wrapText="1"/>
    </xf>
    <xf numFmtId="0" fontId="45" fillId="0" borderId="24" xfId="0" applyFont="1" applyFill="1" applyBorder="1" applyAlignment="1" applyProtection="1">
      <alignment horizontal="center" vertical="center" wrapText="1"/>
    </xf>
    <xf numFmtId="0" fontId="71" fillId="26" borderId="0" xfId="32" applyFont="1" applyFill="1" applyAlignment="1">
      <alignment vertical="center"/>
    </xf>
    <xf numFmtId="0" fontId="93" fillId="0" borderId="0" xfId="49" applyFont="1" applyFill="1" applyAlignment="1">
      <alignment vertical="center"/>
    </xf>
    <xf numFmtId="0" fontId="43" fillId="0" borderId="29" xfId="31" applyFont="1" applyFill="1" applyBorder="1" applyAlignment="1" applyProtection="1">
      <alignment horizontal="center" vertical="center" wrapText="1"/>
    </xf>
    <xf numFmtId="0" fontId="43" fillId="0" borderId="14" xfId="31" applyFont="1" applyFill="1" applyBorder="1" applyAlignment="1" applyProtection="1">
      <alignment horizontal="center" vertical="center" wrapText="1"/>
    </xf>
    <xf numFmtId="10" fontId="15" fillId="0" borderId="75" xfId="0" applyNumberFormat="1" applyFont="1" applyFill="1" applyBorder="1" applyAlignment="1" applyProtection="1">
      <alignment horizontal="center" vertical="center"/>
    </xf>
    <xf numFmtId="10" fontId="15" fillId="0" borderId="73" xfId="0" applyNumberFormat="1" applyFont="1" applyFill="1" applyBorder="1" applyAlignment="1" applyProtection="1">
      <alignment horizontal="center" vertical="center"/>
    </xf>
    <xf numFmtId="10" fontId="15" fillId="0" borderId="52" xfId="0" applyNumberFormat="1" applyFont="1" applyFill="1" applyBorder="1" applyAlignment="1" applyProtection="1">
      <alignment horizontal="center" vertical="center"/>
    </xf>
    <xf numFmtId="10" fontId="15" fillId="0" borderId="7" xfId="0" applyNumberFormat="1" applyFont="1" applyFill="1" applyBorder="1" applyAlignment="1" applyProtection="1">
      <alignment horizontal="center" vertical="center"/>
    </xf>
    <xf numFmtId="10" fontId="15" fillId="0" borderId="14" xfId="0" applyNumberFormat="1" applyFont="1" applyFill="1" applyBorder="1" applyAlignment="1" applyProtection="1">
      <alignment horizontal="center" vertical="center"/>
    </xf>
    <xf numFmtId="10" fontId="15" fillId="0" borderId="15" xfId="0" applyNumberFormat="1" applyFont="1" applyFill="1" applyBorder="1" applyAlignment="1" applyProtection="1">
      <alignment horizontal="center" vertical="center"/>
    </xf>
    <xf numFmtId="2" fontId="15" fillId="0" borderId="15" xfId="0" applyNumberFormat="1" applyFont="1" applyFill="1" applyBorder="1" applyAlignment="1" applyProtection="1">
      <alignment horizontal="center" vertical="center"/>
    </xf>
    <xf numFmtId="0" fontId="22" fillId="2" borderId="42" xfId="0" applyFont="1" applyFill="1" applyBorder="1" applyAlignment="1" applyProtection="1">
      <alignment vertical="center" wrapText="1"/>
    </xf>
    <xf numFmtId="0" fontId="22" fillId="2" borderId="48" xfId="0" applyFont="1" applyFill="1" applyBorder="1" applyAlignment="1" applyProtection="1">
      <alignment vertical="center" wrapText="1"/>
    </xf>
    <xf numFmtId="0" fontId="22" fillId="2" borderId="101" xfId="0" applyFont="1" applyFill="1" applyBorder="1" applyAlignment="1" applyProtection="1">
      <alignment vertical="center" wrapText="1"/>
    </xf>
    <xf numFmtId="3" fontId="68" fillId="31" borderId="29" xfId="57" applyNumberFormat="1" applyFont="1" applyFill="1" applyBorder="1" applyAlignment="1" applyProtection="1">
      <alignment horizontal="center" vertical="center"/>
    </xf>
    <xf numFmtId="3" fontId="68" fillId="31" borderId="49" xfId="52" applyNumberFormat="1" applyFont="1" applyFill="1" applyBorder="1" applyAlignment="1" applyProtection="1">
      <alignment horizontal="center" vertical="center"/>
    </xf>
    <xf numFmtId="3" fontId="60" fillId="3" borderId="52" xfId="52" applyNumberFormat="1" applyFont="1" applyFill="1" applyBorder="1" applyAlignment="1" applyProtection="1">
      <alignment horizontal="center" vertical="center"/>
      <protection locked="0"/>
    </xf>
    <xf numFmtId="3" fontId="60" fillId="3" borderId="56" xfId="52" applyNumberFormat="1" applyFont="1" applyFill="1" applyBorder="1" applyAlignment="1" applyProtection="1">
      <alignment horizontal="center" vertical="center"/>
      <protection locked="0"/>
    </xf>
    <xf numFmtId="3" fontId="60" fillId="3" borderId="63" xfId="52" applyNumberFormat="1" applyFont="1" applyFill="1" applyBorder="1" applyAlignment="1" applyProtection="1">
      <alignment horizontal="center" vertical="center"/>
      <protection locked="0"/>
    </xf>
    <xf numFmtId="3" fontId="60" fillId="3" borderId="55" xfId="52" applyNumberFormat="1" applyFont="1" applyFill="1" applyBorder="1" applyAlignment="1" applyProtection="1">
      <alignment horizontal="center" vertical="center"/>
      <protection locked="0"/>
    </xf>
    <xf numFmtId="10" fontId="68" fillId="27" borderId="52" xfId="52" applyNumberFormat="1" applyFont="1" applyFill="1" applyBorder="1" applyAlignment="1" applyProtection="1">
      <alignment horizontal="center" vertical="center"/>
    </xf>
    <xf numFmtId="3" fontId="68" fillId="31" borderId="75" xfId="52" applyNumberFormat="1" applyFont="1" applyFill="1" applyBorder="1" applyAlignment="1" applyProtection="1">
      <alignment horizontal="center" vertical="center"/>
    </xf>
    <xf numFmtId="3" fontId="106" fillId="31" borderId="56" xfId="54" applyNumberFormat="1" applyFont="1" applyFill="1" applyBorder="1" applyAlignment="1" applyProtection="1">
      <alignment horizontal="center" vertical="center"/>
    </xf>
    <xf numFmtId="3" fontId="106" fillId="31" borderId="77" xfId="54" applyNumberFormat="1" applyFont="1" applyFill="1" applyBorder="1" applyAlignment="1" applyProtection="1">
      <alignment horizontal="center" vertical="center"/>
    </xf>
    <xf numFmtId="3" fontId="106" fillId="31" borderId="57" xfId="54" applyNumberFormat="1" applyFont="1" applyFill="1" applyBorder="1" applyAlignment="1" applyProtection="1">
      <alignment horizontal="center" vertical="center"/>
    </xf>
    <xf numFmtId="3" fontId="68" fillId="27" borderId="73" xfId="57" applyNumberFormat="1" applyFont="1" applyFill="1" applyBorder="1" applyAlignment="1" applyProtection="1">
      <alignment horizontal="center" vertical="center"/>
    </xf>
    <xf numFmtId="3" fontId="68" fillId="27" borderId="76" xfId="57" applyNumberFormat="1" applyFont="1" applyFill="1" applyBorder="1" applyAlignment="1" applyProtection="1">
      <alignment horizontal="center" vertical="center"/>
    </xf>
    <xf numFmtId="0" fontId="55" fillId="27" borderId="0" xfId="49" applyFont="1" applyFill="1" applyBorder="1" applyAlignment="1" applyProtection="1">
      <alignment horizontal="left" vertical="center" wrapText="1"/>
    </xf>
    <xf numFmtId="0" fontId="45" fillId="0" borderId="50" xfId="32" applyFont="1" applyFill="1" applyBorder="1" applyAlignment="1" applyProtection="1">
      <alignment horizontal="right" vertical="center" wrapText="1"/>
    </xf>
    <xf numFmtId="0" fontId="45" fillId="0" borderId="68" xfId="32" applyFont="1" applyFill="1" applyBorder="1" applyAlignment="1" applyProtection="1">
      <alignment horizontal="right" vertical="center" wrapText="1"/>
    </xf>
    <xf numFmtId="49" fontId="44" fillId="0" borderId="25" xfId="32" applyNumberFormat="1" applyFont="1" applyFill="1" applyBorder="1" applyAlignment="1" applyProtection="1">
      <alignment horizontal="center" vertical="center" wrapText="1"/>
    </xf>
    <xf numFmtId="49" fontId="44" fillId="26" borderId="49" xfId="32" applyNumberFormat="1" applyFont="1" applyFill="1" applyBorder="1" applyAlignment="1" applyProtection="1">
      <alignment horizontal="center" vertical="center" wrapText="1"/>
    </xf>
    <xf numFmtId="0" fontId="44" fillId="26" borderId="50" xfId="32" applyFont="1" applyFill="1" applyBorder="1" applyAlignment="1" applyProtection="1">
      <alignment vertical="center" wrapText="1"/>
    </xf>
    <xf numFmtId="0" fontId="44" fillId="0" borderId="50" xfId="32" applyFont="1" applyFill="1" applyBorder="1" applyAlignment="1" applyProtection="1">
      <alignment vertical="center" wrapText="1"/>
    </xf>
    <xf numFmtId="0" fontId="44" fillId="0" borderId="53" xfId="32" applyFont="1" applyFill="1" applyBorder="1" applyAlignment="1" applyProtection="1">
      <alignment vertical="center" wrapText="1"/>
    </xf>
    <xf numFmtId="16" fontId="43" fillId="26" borderId="52" xfId="32" applyNumberFormat="1" applyFont="1" applyFill="1" applyBorder="1" applyAlignment="1" applyProtection="1">
      <alignment horizontal="center" vertical="center"/>
    </xf>
    <xf numFmtId="0" fontId="43" fillId="26" borderId="53" xfId="0" applyFont="1" applyFill="1" applyBorder="1" applyAlignment="1" applyProtection="1">
      <alignment vertical="center" wrapText="1"/>
    </xf>
    <xf numFmtId="170" fontId="43" fillId="37" borderId="10" xfId="49" applyNumberFormat="1" applyFont="1" applyFill="1" applyBorder="1" applyAlignment="1" applyProtection="1">
      <alignment horizontal="center" vertical="center" wrapText="1"/>
    </xf>
    <xf numFmtId="9" fontId="43" fillId="24" borderId="10" xfId="1" applyFont="1" applyFill="1" applyBorder="1" applyAlignment="1" applyProtection="1">
      <alignment horizontal="center" vertical="center" wrapText="1"/>
    </xf>
    <xf numFmtId="9" fontId="44" fillId="33" borderId="50" xfId="1" applyFont="1" applyFill="1" applyBorder="1" applyAlignment="1" applyProtection="1">
      <alignment horizontal="center" vertical="center" wrapText="1"/>
    </xf>
    <xf numFmtId="9" fontId="44" fillId="26" borderId="53" xfId="1" applyFont="1" applyFill="1" applyBorder="1" applyAlignment="1" applyProtection="1">
      <alignment horizontal="center" vertical="center" wrapText="1"/>
    </xf>
    <xf numFmtId="9" fontId="44" fillId="44" borderId="76" xfId="1" applyFont="1" applyFill="1" applyBorder="1" applyAlignment="1" applyProtection="1">
      <alignment horizontal="center" vertical="center" wrapText="1"/>
    </xf>
    <xf numFmtId="9" fontId="44" fillId="44" borderId="53" xfId="1" applyFont="1" applyFill="1" applyBorder="1" applyAlignment="1" applyProtection="1">
      <alignment horizontal="center" vertical="center" wrapText="1"/>
    </xf>
    <xf numFmtId="9" fontId="44" fillId="44" borderId="57" xfId="1" applyFont="1" applyFill="1" applyBorder="1" applyAlignment="1" applyProtection="1">
      <alignment horizontal="center" vertical="center" wrapText="1"/>
    </xf>
    <xf numFmtId="9" fontId="44" fillId="0" borderId="53" xfId="1" applyFont="1" applyFill="1" applyBorder="1" applyAlignment="1" applyProtection="1">
      <alignment horizontal="center" vertical="center" wrapText="1"/>
    </xf>
    <xf numFmtId="9" fontId="43" fillId="0" borderId="10" xfId="1" applyFont="1" applyFill="1" applyBorder="1" applyAlignment="1" applyProtection="1">
      <alignment horizontal="center" vertical="center" wrapText="1"/>
    </xf>
    <xf numFmtId="0" fontId="43" fillId="37" borderId="14" xfId="49" applyFont="1" applyFill="1" applyBorder="1" applyAlignment="1" applyProtection="1">
      <alignment horizontal="center" vertical="center" wrapText="1"/>
    </xf>
    <xf numFmtId="170" fontId="43" fillId="37" borderId="19" xfId="49" applyNumberFormat="1" applyFont="1" applyFill="1" applyBorder="1" applyAlignment="1" applyProtection="1">
      <alignment horizontal="center" vertical="center"/>
    </xf>
    <xf numFmtId="4" fontId="43" fillId="27" borderId="14" xfId="49" applyNumberFormat="1" applyFont="1" applyFill="1" applyBorder="1" applyAlignment="1" applyProtection="1">
      <alignment horizontal="center" vertical="center"/>
    </xf>
    <xf numFmtId="4" fontId="43" fillId="27" borderId="15" xfId="49" applyNumberFormat="1" applyFont="1" applyFill="1" applyBorder="1" applyAlignment="1" applyProtection="1">
      <alignment horizontal="center" vertical="center"/>
    </xf>
    <xf numFmtId="4" fontId="43" fillId="27" borderId="19" xfId="49" applyNumberFormat="1" applyFont="1" applyFill="1" applyBorder="1" applyAlignment="1" applyProtection="1">
      <alignment horizontal="center" vertical="center"/>
    </xf>
    <xf numFmtId="0" fontId="43" fillId="37" borderId="22" xfId="49" applyFont="1" applyFill="1" applyBorder="1" applyAlignment="1" applyProtection="1">
      <alignment horizontal="center" vertical="center" wrapText="1"/>
    </xf>
    <xf numFmtId="170" fontId="43" fillId="37" borderId="28" xfId="49" applyNumberFormat="1" applyFont="1" applyFill="1" applyBorder="1" applyAlignment="1" applyProtection="1">
      <alignment horizontal="center" vertical="center"/>
    </xf>
    <xf numFmtId="4" fontId="43" fillId="27" borderId="22" xfId="49" applyNumberFormat="1" applyFont="1" applyFill="1" applyBorder="1" applyAlignment="1" applyProtection="1">
      <alignment horizontal="center" vertical="center"/>
    </xf>
    <xf numFmtId="4" fontId="43" fillId="27" borderId="23" xfId="49" applyNumberFormat="1" applyFont="1" applyFill="1" applyBorder="1" applyAlignment="1" applyProtection="1">
      <alignment horizontal="center" vertical="center"/>
    </xf>
    <xf numFmtId="4" fontId="43" fillId="27" borderId="28" xfId="49" applyNumberFormat="1" applyFont="1" applyFill="1" applyBorder="1" applyAlignment="1" applyProtection="1">
      <alignment horizontal="center" vertical="center"/>
    </xf>
    <xf numFmtId="49" fontId="44" fillId="27" borderId="52" xfId="49" applyNumberFormat="1" applyFont="1" applyFill="1" applyBorder="1" applyAlignment="1" applyProtection="1">
      <alignment horizontal="left" vertical="center" wrapText="1"/>
    </xf>
    <xf numFmtId="49" fontId="45" fillId="27" borderId="52" xfId="49" applyNumberFormat="1" applyFont="1" applyFill="1" applyBorder="1" applyAlignment="1" applyProtection="1">
      <alignment horizontal="left" vertical="center" wrapText="1"/>
    </xf>
    <xf numFmtId="49" fontId="45" fillId="27" borderId="49" xfId="49" applyNumberFormat="1" applyFont="1" applyFill="1" applyBorder="1" applyAlignment="1" applyProtection="1">
      <alignment horizontal="left" vertical="center" wrapText="1"/>
    </xf>
    <xf numFmtId="49" fontId="45" fillId="27" borderId="54" xfId="49" applyNumberFormat="1" applyFont="1" applyFill="1" applyBorder="1" applyAlignment="1" applyProtection="1">
      <alignment horizontal="left" vertical="center" wrapText="1"/>
    </xf>
    <xf numFmtId="0" fontId="43" fillId="0" borderId="42" xfId="31" applyFont="1" applyFill="1" applyBorder="1" applyAlignment="1" applyProtection="1">
      <alignment horizontal="center" vertical="center" wrapText="1"/>
    </xf>
    <xf numFmtId="0" fontId="43" fillId="0" borderId="43" xfId="31" applyFont="1" applyFill="1" applyBorder="1" applyAlignment="1" applyProtection="1">
      <alignment horizontal="center" vertical="center" wrapText="1"/>
    </xf>
    <xf numFmtId="167" fontId="55" fillId="27" borderId="0" xfId="49" applyNumberFormat="1" applyFont="1" applyFill="1" applyAlignment="1">
      <alignment horizontal="center" vertical="center"/>
    </xf>
    <xf numFmtId="167" fontId="65" fillId="27" borderId="0" xfId="49" applyNumberFormat="1" applyFont="1" applyFill="1" applyBorder="1" applyAlignment="1" applyProtection="1">
      <alignment horizontal="center" vertical="center" wrapText="1"/>
    </xf>
    <xf numFmtId="167" fontId="65" fillId="27" borderId="0" xfId="49" applyNumberFormat="1" applyFont="1" applyFill="1" applyBorder="1" applyAlignment="1" applyProtection="1">
      <alignment horizontal="right" vertical="center" wrapText="1"/>
    </xf>
    <xf numFmtId="167" fontId="55" fillId="27" borderId="0" xfId="49" applyNumberFormat="1" applyFont="1" applyFill="1" applyAlignment="1" applyProtection="1">
      <alignment horizontal="center" vertical="center" wrapText="1"/>
    </xf>
    <xf numFmtId="167" fontId="22" fillId="27" borderId="0" xfId="49" applyNumberFormat="1" applyFont="1" applyFill="1" applyBorder="1" applyAlignment="1" applyProtection="1">
      <alignment horizontal="center" vertical="center" wrapText="1"/>
    </xf>
    <xf numFmtId="167" fontId="55" fillId="27" borderId="0" xfId="49" applyNumberFormat="1" applyFont="1" applyFill="1" applyBorder="1" applyAlignment="1" applyProtection="1">
      <alignment horizontal="center" vertical="center" wrapText="1"/>
    </xf>
    <xf numFmtId="167" fontId="22" fillId="27" borderId="0" xfId="49" applyNumberFormat="1" applyFont="1" applyFill="1" applyAlignment="1">
      <alignment horizontal="center" vertical="center"/>
    </xf>
    <xf numFmtId="167" fontId="43" fillId="37" borderId="42" xfId="49" applyNumberFormat="1" applyFont="1" applyFill="1" applyBorder="1" applyAlignment="1" applyProtection="1">
      <alignment horizontal="center" vertical="center" wrapText="1"/>
    </xf>
    <xf numFmtId="167" fontId="22" fillId="27" borderId="0" xfId="49" applyNumberFormat="1" applyFont="1" applyFill="1" applyAlignment="1" applyProtection="1">
      <alignment horizontal="center" vertical="center"/>
    </xf>
    <xf numFmtId="167" fontId="43" fillId="37" borderId="29" xfId="49" applyNumberFormat="1" applyFont="1" applyFill="1" applyBorder="1" applyAlignment="1" applyProtection="1">
      <alignment horizontal="center" vertical="center" wrapText="1"/>
    </xf>
    <xf numFmtId="167" fontId="43" fillId="37" borderId="30" xfId="49" applyNumberFormat="1" applyFont="1" applyFill="1" applyBorder="1" applyAlignment="1" applyProtection="1">
      <alignment horizontal="center" vertical="center"/>
    </xf>
    <xf numFmtId="167" fontId="43" fillId="27" borderId="29" xfId="49" applyNumberFormat="1" applyFont="1" applyFill="1" applyBorder="1" applyAlignment="1" applyProtection="1">
      <alignment horizontal="center" vertical="center"/>
    </xf>
    <xf numFmtId="167" fontId="43" fillId="27" borderId="24" xfId="49" applyNumberFormat="1" applyFont="1" applyFill="1" applyBorder="1" applyAlignment="1" applyProtection="1">
      <alignment horizontal="center" vertical="center"/>
    </xf>
    <xf numFmtId="167" fontId="43" fillId="27" borderId="30" xfId="49" applyNumberFormat="1" applyFont="1" applyFill="1" applyBorder="1" applyAlignment="1" applyProtection="1">
      <alignment horizontal="center" vertical="center"/>
    </xf>
    <xf numFmtId="167" fontId="43" fillId="37" borderId="22" xfId="49" applyNumberFormat="1" applyFont="1" applyFill="1" applyBorder="1" applyAlignment="1" applyProtection="1">
      <alignment horizontal="center" vertical="center" wrapText="1"/>
    </xf>
    <xf numFmtId="167" fontId="43" fillId="37" borderId="28" xfId="49" applyNumberFormat="1" applyFont="1" applyFill="1" applyBorder="1" applyAlignment="1" applyProtection="1">
      <alignment horizontal="center" vertical="center"/>
    </xf>
    <xf numFmtId="167" fontId="43" fillId="27" borderId="22" xfId="49" applyNumberFormat="1" applyFont="1" applyFill="1" applyBorder="1" applyAlignment="1" applyProtection="1">
      <alignment horizontal="center" vertical="center"/>
    </xf>
    <xf numFmtId="167" fontId="43" fillId="27" borderId="23" xfId="49" applyNumberFormat="1" applyFont="1" applyFill="1" applyBorder="1" applyAlignment="1" applyProtection="1">
      <alignment horizontal="center" vertical="center"/>
    </xf>
    <xf numFmtId="167" fontId="43" fillId="27" borderId="28" xfId="49" applyNumberFormat="1" applyFont="1" applyFill="1" applyBorder="1" applyAlignment="1" applyProtection="1">
      <alignment horizontal="center" vertical="center"/>
    </xf>
    <xf numFmtId="167" fontId="18" fillId="27" borderId="0" xfId="49" applyNumberFormat="1" applyFont="1" applyFill="1" applyAlignment="1" applyProtection="1">
      <alignment vertical="center" wrapText="1"/>
    </xf>
    <xf numFmtId="0" fontId="24" fillId="26" borderId="0" xfId="0" applyFont="1" applyFill="1" applyBorder="1" applyAlignment="1" applyProtection="1">
      <alignment horizontal="center" vertical="center" wrapText="1"/>
    </xf>
    <xf numFmtId="49" fontId="24" fillId="26" borderId="0" xfId="0" applyNumberFormat="1" applyFont="1" applyFill="1" applyBorder="1" applyAlignment="1" applyProtection="1">
      <alignment horizontal="center" vertical="center"/>
    </xf>
    <xf numFmtId="10" fontId="24" fillId="0" borderId="52" xfId="0" applyNumberFormat="1" applyFont="1" applyFill="1" applyBorder="1" applyAlignment="1" applyProtection="1">
      <alignment horizontal="center" vertical="center"/>
    </xf>
    <xf numFmtId="10" fontId="24" fillId="0" borderId="45" xfId="0" applyNumberFormat="1" applyFont="1" applyFill="1" applyBorder="1" applyAlignment="1" applyProtection="1">
      <alignment horizontal="center" vertical="center"/>
    </xf>
    <xf numFmtId="10" fontId="24" fillId="0" borderId="21" xfId="0" applyNumberFormat="1" applyFont="1" applyFill="1" applyBorder="1" applyAlignment="1" applyProtection="1">
      <alignment horizontal="center" vertical="center"/>
    </xf>
    <xf numFmtId="10" fontId="24" fillId="0" borderId="17" xfId="0" applyNumberFormat="1" applyFont="1" applyFill="1" applyBorder="1" applyAlignment="1" applyProtection="1">
      <alignment horizontal="center" vertical="center"/>
    </xf>
    <xf numFmtId="10" fontId="24" fillId="0" borderId="66" xfId="0" applyNumberFormat="1" applyFont="1" applyFill="1" applyBorder="1" applyAlignment="1" applyProtection="1">
      <alignment horizontal="center" vertical="center"/>
    </xf>
    <xf numFmtId="0" fontId="24" fillId="37" borderId="11" xfId="0" applyFont="1" applyFill="1" applyBorder="1" applyAlignment="1" applyProtection="1">
      <alignment horizontal="center" vertical="center" wrapText="1"/>
    </xf>
    <xf numFmtId="0" fontId="24" fillId="37" borderId="58" xfId="0" applyFont="1" applyFill="1" applyBorder="1" applyAlignment="1" applyProtection="1">
      <alignment horizontal="center" vertical="center" wrapText="1"/>
    </xf>
    <xf numFmtId="0" fontId="24" fillId="37" borderId="59" xfId="0" applyFont="1" applyFill="1" applyBorder="1" applyAlignment="1" applyProtection="1">
      <alignment horizontal="center" vertical="center" wrapText="1"/>
    </xf>
    <xf numFmtId="3" fontId="15" fillId="3" borderId="29" xfId="31" applyNumberFormat="1" applyFont="1" applyFill="1" applyBorder="1" applyAlignment="1" applyProtection="1">
      <alignment horizontal="center" vertical="center" wrapText="1"/>
      <protection locked="0"/>
    </xf>
    <xf numFmtId="3" fontId="15" fillId="0" borderId="30" xfId="0" applyNumberFormat="1" applyFont="1" applyFill="1" applyBorder="1" applyAlignment="1" applyProtection="1">
      <alignment horizontal="center" vertical="center" wrapText="1"/>
    </xf>
    <xf numFmtId="3" fontId="15" fillId="0" borderId="78" xfId="0" applyNumberFormat="1" applyFont="1" applyFill="1" applyBorder="1" applyAlignment="1" applyProtection="1">
      <alignment horizontal="center" vertical="center" wrapText="1"/>
    </xf>
    <xf numFmtId="0" fontId="43" fillId="24" borderId="76" xfId="78" applyFont="1" applyFill="1" applyBorder="1" applyAlignment="1" applyProtection="1">
      <alignment horizontal="left" vertical="center"/>
    </xf>
    <xf numFmtId="0" fontId="44" fillId="26" borderId="53" xfId="78" applyFont="1" applyFill="1" applyBorder="1" applyAlignment="1" applyProtection="1">
      <alignment horizontal="left" vertical="center" wrapText="1"/>
    </xf>
    <xf numFmtId="0" fontId="44" fillId="26" borderId="53" xfId="78" applyFont="1" applyFill="1" applyBorder="1" applyAlignment="1" applyProtection="1">
      <alignment horizontal="left" vertical="center"/>
    </xf>
    <xf numFmtId="0" fontId="43" fillId="31" borderId="53" xfId="78" applyFont="1" applyFill="1" applyBorder="1" applyAlignment="1" applyProtection="1">
      <alignment horizontal="left" vertical="center"/>
    </xf>
    <xf numFmtId="0" fontId="43" fillId="24" borderId="53" xfId="78" applyFont="1" applyFill="1" applyBorder="1" applyAlignment="1" applyProtection="1">
      <alignment horizontal="left" vertical="center"/>
    </xf>
    <xf numFmtId="0" fontId="55" fillId="27" borderId="0" xfId="49" applyFont="1" applyFill="1" applyBorder="1" applyAlignment="1" applyProtection="1">
      <alignment horizontal="left" vertical="center" wrapText="1"/>
    </xf>
    <xf numFmtId="3" fontId="57" fillId="27" borderId="0" xfId="32" applyNumberFormat="1" applyFont="1" applyFill="1"/>
    <xf numFmtId="9" fontId="43" fillId="24" borderId="9" xfId="1" applyFont="1" applyFill="1" applyBorder="1" applyAlignment="1" applyProtection="1">
      <alignment horizontal="center" vertical="center" wrapText="1"/>
    </xf>
    <xf numFmtId="9" fontId="44" fillId="33" borderId="31" xfId="1" applyFont="1" applyFill="1" applyBorder="1" applyAlignment="1" applyProtection="1">
      <alignment horizontal="center" vertical="center" wrapText="1"/>
    </xf>
    <xf numFmtId="9" fontId="44" fillId="26" borderId="7" xfId="1" applyFont="1" applyFill="1" applyBorder="1" applyAlignment="1" applyProtection="1">
      <alignment horizontal="center" vertical="center" wrapText="1"/>
    </xf>
    <xf numFmtId="9" fontId="44" fillId="33" borderId="7" xfId="1" applyFont="1" applyFill="1" applyBorder="1" applyAlignment="1" applyProtection="1">
      <alignment horizontal="center" vertical="center" wrapText="1"/>
    </xf>
    <xf numFmtId="9" fontId="44" fillId="44" borderId="73" xfId="1" applyFont="1" applyFill="1" applyBorder="1" applyAlignment="1" applyProtection="1">
      <alignment horizontal="center" vertical="center" wrapText="1"/>
    </xf>
    <xf numFmtId="9" fontId="44" fillId="44" borderId="7" xfId="1" applyFont="1" applyFill="1" applyBorder="1" applyAlignment="1" applyProtection="1">
      <alignment horizontal="center" vertical="center" wrapText="1"/>
    </xf>
    <xf numFmtId="9" fontId="44" fillId="44" borderId="77" xfId="1" applyFont="1" applyFill="1" applyBorder="1" applyAlignment="1" applyProtection="1">
      <alignment horizontal="center" vertical="center" wrapText="1"/>
    </xf>
    <xf numFmtId="9" fontId="44" fillId="26" borderId="77" xfId="1" applyFont="1" applyFill="1" applyBorder="1" applyAlignment="1" applyProtection="1">
      <alignment horizontal="center" vertical="center" wrapText="1"/>
    </xf>
    <xf numFmtId="9" fontId="43" fillId="0" borderId="9" xfId="1" applyFont="1" applyFill="1" applyBorder="1" applyAlignment="1" applyProtection="1">
      <alignment horizontal="center" vertical="center" wrapText="1"/>
    </xf>
    <xf numFmtId="9" fontId="43" fillId="24" borderId="60" xfId="1" applyFont="1" applyFill="1" applyBorder="1" applyAlignment="1" applyProtection="1">
      <alignment horizontal="center" vertical="center" wrapText="1"/>
    </xf>
    <xf numFmtId="9" fontId="44" fillId="33" borderId="62" xfId="1" applyFont="1" applyFill="1" applyBorder="1" applyAlignment="1" applyProtection="1">
      <alignment horizontal="center" vertical="center" wrapText="1"/>
    </xf>
    <xf numFmtId="9" fontId="44" fillId="26" borderId="23" xfId="1" applyFont="1" applyFill="1" applyBorder="1" applyAlignment="1" applyProtection="1">
      <alignment horizontal="center" vertical="center" wrapText="1"/>
    </xf>
    <xf numFmtId="9" fontId="44" fillId="33" borderId="61" xfId="1" applyFont="1" applyFill="1" applyBorder="1" applyAlignment="1" applyProtection="1">
      <alignment horizontal="center" vertical="center" wrapText="1"/>
    </xf>
    <xf numFmtId="9" fontId="43" fillId="24" borderId="8" xfId="1" applyFont="1" applyFill="1" applyBorder="1" applyAlignment="1" applyProtection="1">
      <alignment horizontal="center" vertical="center" wrapText="1"/>
    </xf>
    <xf numFmtId="9" fontId="43" fillId="0" borderId="60" xfId="1" applyFont="1" applyFill="1" applyBorder="1" applyAlignment="1" applyProtection="1">
      <alignment horizontal="center" vertical="center" wrapText="1"/>
    </xf>
    <xf numFmtId="9" fontId="43" fillId="24" borderId="3" xfId="1" applyFont="1" applyFill="1" applyBorder="1" applyAlignment="1" applyProtection="1">
      <alignment horizontal="center" vertical="center" wrapText="1"/>
    </xf>
    <xf numFmtId="9" fontId="44" fillId="26" borderId="15" xfId="1" applyFont="1" applyFill="1" applyBorder="1" applyAlignment="1" applyProtection="1">
      <alignment horizontal="center" vertical="center" wrapText="1"/>
    </xf>
    <xf numFmtId="9" fontId="44" fillId="33" borderId="33" xfId="1" applyFont="1" applyFill="1" applyBorder="1" applyAlignment="1" applyProtection="1">
      <alignment horizontal="center" vertical="center" wrapText="1"/>
    </xf>
    <xf numFmtId="9" fontId="44" fillId="33" borderId="6" xfId="1" applyFont="1" applyFill="1" applyBorder="1" applyAlignment="1" applyProtection="1">
      <alignment horizontal="center" vertical="center" wrapText="1"/>
    </xf>
    <xf numFmtId="0" fontId="43" fillId="24" borderId="3" xfId="49" applyFont="1" applyFill="1" applyBorder="1" applyAlignment="1" applyProtection="1">
      <alignment horizontal="left" vertical="center" wrapText="1"/>
    </xf>
    <xf numFmtId="0" fontId="44" fillId="27" borderId="50" xfId="49" applyFont="1" applyFill="1" applyBorder="1" applyAlignment="1" applyProtection="1">
      <alignment horizontal="left" vertical="center" wrapText="1"/>
    </xf>
    <xf numFmtId="0" fontId="44" fillId="0" borderId="53" xfId="49" applyFont="1" applyFill="1" applyBorder="1" applyAlignment="1" applyProtection="1">
      <alignment horizontal="left" vertical="center" wrapText="1"/>
    </xf>
    <xf numFmtId="0" fontId="43" fillId="24" borderId="10" xfId="49" applyFont="1" applyFill="1" applyBorder="1" applyAlignment="1" applyProtection="1">
      <alignment horizontal="left" vertical="center" wrapText="1"/>
    </xf>
    <xf numFmtId="0" fontId="44" fillId="0" borderId="50" xfId="49" applyFont="1" applyFill="1" applyBorder="1" applyAlignment="1" applyProtection="1">
      <alignment horizontal="left" vertical="center" wrapText="1"/>
    </xf>
    <xf numFmtId="49" fontId="45" fillId="27" borderId="36" xfId="49" applyNumberFormat="1" applyFont="1" applyFill="1" applyBorder="1" applyAlignment="1" applyProtection="1">
      <alignment horizontal="left" vertical="center" wrapText="1"/>
    </xf>
    <xf numFmtId="0" fontId="44" fillId="0" borderId="55" xfId="49" applyFont="1" applyFill="1" applyBorder="1" applyAlignment="1" applyProtection="1">
      <alignment horizontal="left" vertical="center" wrapText="1"/>
    </xf>
    <xf numFmtId="0" fontId="44" fillId="0" borderId="50" xfId="31" applyFont="1" applyFill="1" applyBorder="1" applyAlignment="1" applyProtection="1">
      <alignment horizontal="left" vertical="center" wrapText="1"/>
    </xf>
    <xf numFmtId="49" fontId="44" fillId="0" borderId="53" xfId="49" applyNumberFormat="1" applyFont="1" applyFill="1" applyBorder="1" applyAlignment="1" applyProtection="1">
      <alignment horizontal="left" vertical="center" wrapText="1"/>
    </xf>
    <xf numFmtId="49" fontId="44" fillId="27" borderId="53" xfId="49" applyNumberFormat="1" applyFont="1" applyFill="1" applyBorder="1" applyAlignment="1" applyProtection="1">
      <alignment horizontal="left" vertical="center" wrapText="1"/>
    </xf>
    <xf numFmtId="174" fontId="44" fillId="37" borderId="33" xfId="49" applyNumberFormat="1" applyFont="1" applyFill="1" applyBorder="1" applyAlignment="1" applyProtection="1">
      <alignment horizontal="center" vertical="center" wrapText="1"/>
    </xf>
    <xf numFmtId="0" fontId="43" fillId="37" borderId="2" xfId="49" applyFont="1" applyFill="1" applyBorder="1" applyAlignment="1" applyProtection="1">
      <alignment horizontal="center" vertical="center"/>
    </xf>
    <xf numFmtId="3" fontId="43" fillId="24" borderId="65" xfId="49" applyNumberFormat="1" applyFont="1" applyFill="1" applyBorder="1" applyAlignment="1" applyProtection="1">
      <alignment horizontal="center" vertical="center" wrapText="1"/>
    </xf>
    <xf numFmtId="3" fontId="44" fillId="27" borderId="44" xfId="49" applyNumberFormat="1" applyFont="1" applyFill="1" applyBorder="1" applyAlignment="1" applyProtection="1">
      <alignment horizontal="center" vertical="center" wrapText="1"/>
    </xf>
    <xf numFmtId="3" fontId="44" fillId="0" borderId="32" xfId="49" applyNumberFormat="1" applyFont="1" applyFill="1" applyBorder="1" applyAlignment="1" applyProtection="1">
      <alignment horizontal="center" vertical="center" wrapText="1"/>
    </xf>
    <xf numFmtId="3" fontId="44" fillId="27" borderId="32" xfId="49" applyNumberFormat="1" applyFont="1" applyFill="1" applyBorder="1" applyAlignment="1" applyProtection="1">
      <alignment horizontal="center" vertical="center" wrapText="1"/>
    </xf>
    <xf numFmtId="9" fontId="44" fillId="26" borderId="62" xfId="1" applyFont="1" applyFill="1" applyBorder="1" applyAlignment="1" applyProtection="1">
      <alignment horizontal="center" vertical="center" wrapText="1"/>
    </xf>
    <xf numFmtId="49" fontId="68" fillId="0" borderId="0" xfId="57" applyNumberFormat="1" applyFont="1" applyFill="1" applyBorder="1" applyAlignment="1" applyProtection="1">
      <alignment horizontal="center" vertical="center" wrapText="1"/>
    </xf>
    <xf numFmtId="49" fontId="68" fillId="0" borderId="135" xfId="57" applyNumberFormat="1" applyFont="1" applyFill="1" applyBorder="1" applyAlignment="1" applyProtection="1">
      <alignment horizontal="center" vertical="center" wrapText="1"/>
    </xf>
    <xf numFmtId="3" fontId="60" fillId="3" borderId="69" xfId="52" applyNumberFormat="1" applyFont="1" applyFill="1" applyBorder="1" applyAlignment="1" applyProtection="1">
      <alignment horizontal="center" vertical="center"/>
      <protection locked="0"/>
    </xf>
    <xf numFmtId="3" fontId="68" fillId="31" borderId="22" xfId="57" applyNumberFormat="1" applyFont="1" applyFill="1" applyBorder="1" applyAlignment="1" applyProtection="1">
      <alignment horizontal="center" vertical="center"/>
    </xf>
    <xf numFmtId="3" fontId="68" fillId="31" borderId="74" xfId="57" applyNumberFormat="1" applyFont="1" applyFill="1" applyBorder="1" applyAlignment="1" applyProtection="1">
      <alignment horizontal="center" vertical="center"/>
    </xf>
    <xf numFmtId="3" fontId="15" fillId="26" borderId="5" xfId="0" applyNumberFormat="1" applyFont="1" applyFill="1" applyBorder="1" applyAlignment="1" applyProtection="1">
      <alignment horizontal="center" vertical="center" wrapText="1"/>
    </xf>
    <xf numFmtId="0" fontId="15" fillId="26" borderId="17" xfId="0" applyFont="1" applyFill="1" applyBorder="1" applyAlignment="1" applyProtection="1">
      <alignment horizontal="center" vertical="center" wrapText="1"/>
    </xf>
    <xf numFmtId="1" fontId="15" fillId="26" borderId="17" xfId="0" applyNumberFormat="1" applyFont="1" applyFill="1" applyBorder="1" applyAlignment="1" applyProtection="1">
      <alignment horizontal="center" vertical="center" wrapText="1"/>
    </xf>
    <xf numFmtId="0" fontId="15" fillId="26" borderId="21" xfId="0" applyFont="1" applyFill="1" applyBorder="1" applyAlignment="1" applyProtection="1">
      <alignment horizontal="center" vertical="center" wrapText="1"/>
    </xf>
    <xf numFmtId="3" fontId="15" fillId="26" borderId="17" xfId="0" applyNumberFormat="1" applyFont="1" applyFill="1" applyBorder="1" applyAlignment="1" applyProtection="1">
      <alignment horizontal="center" vertical="center" wrapText="1"/>
    </xf>
    <xf numFmtId="3" fontId="15" fillId="26" borderId="39" xfId="0" applyNumberFormat="1" applyFont="1" applyFill="1" applyBorder="1" applyAlignment="1" applyProtection="1">
      <alignment horizontal="center" vertical="center" wrapText="1"/>
    </xf>
    <xf numFmtId="3" fontId="15" fillId="3" borderId="72" xfId="88" applyNumberFormat="1" applyFont="1" applyFill="1" applyBorder="1" applyAlignment="1" applyProtection="1">
      <alignment horizontal="center" vertical="center" wrapText="1"/>
      <protection locked="0"/>
    </xf>
    <xf numFmtId="3" fontId="15" fillId="28" borderId="44" xfId="88" applyNumberFormat="1" applyFont="1" applyFill="1" applyBorder="1" applyAlignment="1" applyProtection="1">
      <alignment horizontal="center" vertical="center" wrapText="1"/>
      <protection locked="0"/>
    </xf>
    <xf numFmtId="3" fontId="15" fillId="3" borderId="44" xfId="88" applyNumberFormat="1" applyFont="1" applyFill="1" applyBorder="1" applyAlignment="1" applyProtection="1">
      <alignment horizontal="center" vertical="center" wrapText="1"/>
      <protection locked="0"/>
    </xf>
    <xf numFmtId="172" fontId="68" fillId="31" borderId="56" xfId="57" applyNumberFormat="1" applyFont="1" applyFill="1" applyBorder="1" applyAlignment="1" applyProtection="1">
      <alignment horizontal="center" vertical="center"/>
    </xf>
    <xf numFmtId="172" fontId="68" fillId="31" borderId="57" xfId="57" applyNumberFormat="1" applyFont="1" applyFill="1" applyBorder="1" applyAlignment="1" applyProtection="1">
      <alignment horizontal="center" vertical="center"/>
    </xf>
    <xf numFmtId="0" fontId="60" fillId="20" borderId="39" xfId="57" applyFont="1" applyFill="1" applyBorder="1" applyAlignment="1" applyProtection="1">
      <alignment horizontal="center" vertical="center" wrapText="1"/>
    </xf>
    <xf numFmtId="172" fontId="68" fillId="27" borderId="56" xfId="57" applyNumberFormat="1" applyFont="1" applyFill="1" applyBorder="1" applyAlignment="1" applyProtection="1">
      <alignment horizontal="center" vertical="center"/>
    </xf>
    <xf numFmtId="172" fontId="68" fillId="27" borderId="77" xfId="57" applyNumberFormat="1" applyFont="1" applyFill="1" applyBorder="1" applyAlignment="1" applyProtection="1">
      <alignment horizontal="center" vertical="center"/>
    </xf>
    <xf numFmtId="172" fontId="68" fillId="27" borderId="57" xfId="57" applyNumberFormat="1" applyFont="1" applyFill="1" applyBorder="1" applyAlignment="1" applyProtection="1">
      <alignment horizontal="center" vertical="center"/>
    </xf>
    <xf numFmtId="172" fontId="68" fillId="26" borderId="56" xfId="57" applyNumberFormat="1" applyFont="1" applyFill="1" applyBorder="1" applyAlignment="1" applyProtection="1">
      <alignment horizontal="center" vertical="center"/>
    </xf>
    <xf numFmtId="172" fontId="68" fillId="26" borderId="77" xfId="57" applyNumberFormat="1" applyFont="1" applyFill="1" applyBorder="1" applyAlignment="1" applyProtection="1">
      <alignment horizontal="center" vertical="center"/>
    </xf>
    <xf numFmtId="172" fontId="68" fillId="26" borderId="57" xfId="57" applyNumberFormat="1" applyFont="1" applyFill="1" applyBorder="1" applyAlignment="1" applyProtection="1">
      <alignment horizontal="center" vertical="center"/>
    </xf>
    <xf numFmtId="0" fontId="68" fillId="23" borderId="8" xfId="57" applyFont="1" applyFill="1" applyBorder="1" applyAlignment="1" applyProtection="1">
      <alignment horizontal="center" vertical="center"/>
    </xf>
    <xf numFmtId="3" fontId="60" fillId="0" borderId="32" xfId="52" applyNumberFormat="1" applyFont="1" applyFill="1" applyBorder="1" applyAlignment="1" applyProtection="1">
      <alignment horizontal="center" vertical="center"/>
    </xf>
    <xf numFmtId="3" fontId="60" fillId="0" borderId="53" xfId="52" applyNumberFormat="1" applyFont="1" applyFill="1" applyBorder="1" applyAlignment="1" applyProtection="1">
      <alignment horizontal="center" vertical="center"/>
    </xf>
    <xf numFmtId="3" fontId="60" fillId="0" borderId="57" xfId="52" applyNumberFormat="1" applyFont="1" applyFill="1" applyBorder="1" applyAlignment="1" applyProtection="1">
      <alignment horizontal="center" vertical="center"/>
    </xf>
    <xf numFmtId="0" fontId="127" fillId="20" borderId="119" xfId="88" applyFont="1" applyFill="1" applyBorder="1" applyAlignment="1" applyProtection="1">
      <alignment horizontal="right" vertical="center" wrapText="1"/>
    </xf>
    <xf numFmtId="3" fontId="127" fillId="20" borderId="118" xfId="88" applyNumberFormat="1" applyFont="1" applyFill="1" applyBorder="1" applyAlignment="1" applyProtection="1">
      <alignment horizontal="center" vertical="center" wrapText="1"/>
    </xf>
    <xf numFmtId="3" fontId="127" fillId="20" borderId="136" xfId="88" applyNumberFormat="1" applyFont="1" applyFill="1" applyBorder="1" applyAlignment="1" applyProtection="1">
      <alignment horizontal="center" vertical="center" wrapText="1"/>
    </xf>
    <xf numFmtId="0" fontId="41" fillId="26" borderId="121" xfId="88" applyFont="1" applyFill="1" applyBorder="1" applyAlignment="1" applyProtection="1">
      <alignment horizontal="center" vertical="center" wrapText="1"/>
    </xf>
    <xf numFmtId="3" fontId="127" fillId="20" borderId="119" xfId="88" applyNumberFormat="1" applyFont="1" applyFill="1" applyBorder="1" applyAlignment="1" applyProtection="1">
      <alignment horizontal="center" vertical="center" wrapText="1"/>
    </xf>
    <xf numFmtId="3" fontId="127" fillId="20" borderId="121" xfId="88" applyNumberFormat="1" applyFont="1" applyFill="1" applyBorder="1" applyAlignment="1" applyProtection="1">
      <alignment horizontal="center" vertical="center" wrapText="1"/>
    </xf>
    <xf numFmtId="10" fontId="68" fillId="31" borderId="52" xfId="57" applyNumberFormat="1" applyFont="1" applyFill="1" applyBorder="1" applyAlignment="1" applyProtection="1">
      <alignment horizontal="center" vertical="center"/>
    </xf>
    <xf numFmtId="10" fontId="68" fillId="31" borderId="7" xfId="57" applyNumberFormat="1" applyFont="1" applyFill="1" applyBorder="1" applyAlignment="1" applyProtection="1">
      <alignment horizontal="center" vertical="center"/>
    </xf>
    <xf numFmtId="10" fontId="68" fillId="31" borderId="53" xfId="57" applyNumberFormat="1" applyFont="1" applyFill="1" applyBorder="1" applyAlignment="1" applyProtection="1">
      <alignment horizontal="center" vertical="center"/>
    </xf>
    <xf numFmtId="10" fontId="68" fillId="31" borderId="32" xfId="52" applyNumberFormat="1" applyFont="1" applyFill="1" applyBorder="1" applyAlignment="1" applyProtection="1">
      <alignment horizontal="center" vertical="center"/>
    </xf>
    <xf numFmtId="10" fontId="68" fillId="31" borderId="7" xfId="52" applyNumberFormat="1" applyFont="1" applyFill="1" applyBorder="1" applyAlignment="1" applyProtection="1">
      <alignment horizontal="center" vertical="center"/>
    </xf>
    <xf numFmtId="10" fontId="68" fillId="31" borderId="53" xfId="52" applyNumberFormat="1" applyFont="1" applyFill="1" applyBorder="1" applyAlignment="1" applyProtection="1">
      <alignment horizontal="center" vertical="center"/>
    </xf>
    <xf numFmtId="3" fontId="44" fillId="29" borderId="19" xfId="49" applyNumberFormat="1" applyFont="1" applyFill="1" applyBorder="1" applyAlignment="1" applyProtection="1">
      <alignment horizontal="right" vertical="center"/>
    </xf>
    <xf numFmtId="3" fontId="104" fillId="26" borderId="70" xfId="32" applyNumberFormat="1" applyFont="1" applyFill="1" applyBorder="1" applyAlignment="1" applyProtection="1">
      <alignment horizontal="center" vertical="center"/>
    </xf>
    <xf numFmtId="3" fontId="45" fillId="3" borderId="54" xfId="32" applyNumberFormat="1" applyFont="1" applyFill="1" applyBorder="1" applyAlignment="1" applyProtection="1">
      <alignment horizontal="center" vertical="center"/>
      <protection locked="0"/>
    </xf>
    <xf numFmtId="3" fontId="104" fillId="26" borderId="47" xfId="32" applyNumberFormat="1" applyFont="1" applyFill="1" applyBorder="1" applyAlignment="1" applyProtection="1">
      <alignment horizontal="center" vertical="center"/>
    </xf>
    <xf numFmtId="3" fontId="104" fillId="26" borderId="43" xfId="32" applyNumberFormat="1" applyFont="1" applyFill="1" applyBorder="1" applyAlignment="1" applyProtection="1">
      <alignment horizontal="center" vertical="center"/>
    </xf>
    <xf numFmtId="3" fontId="44" fillId="29" borderId="8" xfId="49" applyNumberFormat="1" applyFont="1" applyFill="1" applyBorder="1" applyAlignment="1" applyProtection="1">
      <alignment horizontal="right" vertical="center"/>
    </xf>
    <xf numFmtId="3" fontId="44" fillId="29" borderId="3" xfId="49" applyNumberFormat="1" applyFont="1" applyFill="1" applyBorder="1" applyAlignment="1" applyProtection="1">
      <alignment horizontal="right" vertical="center"/>
    </xf>
    <xf numFmtId="3" fontId="44" fillId="29" borderId="79" xfId="49" applyNumberFormat="1" applyFont="1" applyFill="1" applyBorder="1" applyAlignment="1" applyProtection="1">
      <alignment horizontal="right" vertical="center"/>
    </xf>
    <xf numFmtId="3" fontId="43" fillId="31" borderId="10" xfId="32" applyNumberFormat="1" applyFont="1" applyFill="1" applyBorder="1" applyAlignment="1" applyProtection="1">
      <alignment horizontal="center" vertical="center"/>
    </xf>
    <xf numFmtId="0" fontId="43" fillId="26" borderId="49" xfId="32" applyFont="1" applyFill="1" applyBorder="1" applyAlignment="1" applyProtection="1">
      <alignment horizontal="center" vertical="center"/>
    </xf>
    <xf numFmtId="0" fontId="43" fillId="26" borderId="50" xfId="32" applyFont="1" applyFill="1" applyBorder="1" applyAlignment="1" applyProtection="1">
      <alignment vertical="center"/>
    </xf>
    <xf numFmtId="49" fontId="43" fillId="27" borderId="49" xfId="32" applyNumberFormat="1" applyFont="1" applyFill="1" applyBorder="1" applyAlignment="1" applyProtection="1">
      <alignment horizontal="center" vertical="center" wrapText="1"/>
    </xf>
    <xf numFmtId="0" fontId="43" fillId="27" borderId="50" xfId="32" applyFont="1" applyFill="1" applyBorder="1" applyAlignment="1" applyProtection="1">
      <alignment horizontal="left" vertical="center" wrapText="1"/>
    </xf>
    <xf numFmtId="1" fontId="24" fillId="26" borderId="51" xfId="0" applyNumberFormat="1" applyFont="1" applyFill="1" applyBorder="1" applyAlignment="1" applyProtection="1">
      <alignment horizontal="center" vertical="center"/>
    </xf>
    <xf numFmtId="9" fontId="24" fillId="26" borderId="17" xfId="0" applyNumberFormat="1" applyFont="1" applyFill="1" applyBorder="1" applyAlignment="1" applyProtection="1">
      <alignment horizontal="center" vertical="center"/>
    </xf>
    <xf numFmtId="1" fontId="24" fillId="26" borderId="17" xfId="0" applyNumberFormat="1" applyFont="1" applyFill="1" applyBorder="1" applyAlignment="1" applyProtection="1">
      <alignment horizontal="center" vertical="center"/>
    </xf>
    <xf numFmtId="10" fontId="24" fillId="26" borderId="17" xfId="0" applyNumberFormat="1" applyFont="1" applyFill="1" applyBorder="1" applyAlignment="1" applyProtection="1">
      <alignment horizontal="center" vertical="center"/>
    </xf>
    <xf numFmtId="177" fontId="24" fillId="26" borderId="21" xfId="0" applyNumberFormat="1" applyFont="1" applyFill="1" applyBorder="1" applyAlignment="1" applyProtection="1">
      <alignment horizontal="center" vertical="center"/>
    </xf>
    <xf numFmtId="3" fontId="43" fillId="0" borderId="52" xfId="0" applyNumberFormat="1" applyFont="1" applyFill="1" applyBorder="1" applyAlignment="1" applyProtection="1">
      <alignment horizontal="center" vertical="center"/>
    </xf>
    <xf numFmtId="3" fontId="43" fillId="0" borderId="7" xfId="0" applyNumberFormat="1" applyFont="1" applyFill="1" applyBorder="1" applyAlignment="1" applyProtection="1">
      <alignment horizontal="center" vertical="center"/>
    </xf>
    <xf numFmtId="3" fontId="43" fillId="0" borderId="53" xfId="0" applyNumberFormat="1" applyFont="1" applyFill="1" applyBorder="1" applyAlignment="1" applyProtection="1">
      <alignment horizontal="center" vertical="center"/>
    </xf>
    <xf numFmtId="3" fontId="43" fillId="27" borderId="52" xfId="0" applyNumberFormat="1" applyFont="1" applyFill="1" applyBorder="1" applyAlignment="1" applyProtection="1">
      <alignment horizontal="center" vertical="center"/>
    </xf>
    <xf numFmtId="3" fontId="43" fillId="27" borderId="7" xfId="0" applyNumberFormat="1" applyFont="1" applyFill="1" applyBorder="1" applyAlignment="1" applyProtection="1">
      <alignment horizontal="center" vertical="center"/>
    </xf>
    <xf numFmtId="3" fontId="43" fillId="27" borderId="53" xfId="0" applyNumberFormat="1" applyFont="1" applyFill="1" applyBorder="1" applyAlignment="1" applyProtection="1">
      <alignment horizontal="center" vertical="center"/>
    </xf>
    <xf numFmtId="172" fontId="43" fillId="27" borderId="17" xfId="70" applyNumberFormat="1" applyFont="1" applyFill="1" applyBorder="1" applyAlignment="1" applyProtection="1">
      <alignment horizontal="center" vertical="center"/>
    </xf>
    <xf numFmtId="3" fontId="44" fillId="27" borderId="52" xfId="0" applyNumberFormat="1" applyFont="1" applyFill="1" applyBorder="1" applyAlignment="1" applyProtection="1">
      <alignment horizontal="center" vertical="center"/>
    </xf>
    <xf numFmtId="3" fontId="44" fillId="27" borderId="7" xfId="0" applyNumberFormat="1" applyFont="1" applyFill="1" applyBorder="1" applyAlignment="1" applyProtection="1">
      <alignment horizontal="center" vertical="center"/>
    </xf>
    <xf numFmtId="3" fontId="44" fillId="27" borderId="53" xfId="0" applyNumberFormat="1" applyFont="1" applyFill="1" applyBorder="1" applyAlignment="1" applyProtection="1">
      <alignment horizontal="center" vertical="center"/>
    </xf>
    <xf numFmtId="172" fontId="44" fillId="27" borderId="17" xfId="70" applyNumberFormat="1" applyFont="1" applyFill="1" applyBorder="1" applyAlignment="1" applyProtection="1">
      <alignment horizontal="center" vertical="center"/>
    </xf>
    <xf numFmtId="3" fontId="44" fillId="27" borderId="49" xfId="0" applyNumberFormat="1" applyFont="1" applyFill="1" applyBorder="1" applyAlignment="1" applyProtection="1">
      <alignment horizontal="center" vertical="center"/>
    </xf>
    <xf numFmtId="3" fontId="44" fillId="27" borderId="31" xfId="0" applyNumberFormat="1" applyFont="1" applyFill="1" applyBorder="1" applyAlignment="1" applyProtection="1">
      <alignment horizontal="center" vertical="center"/>
    </xf>
    <xf numFmtId="3" fontId="44" fillId="27" borderId="50" xfId="0" applyNumberFormat="1" applyFont="1" applyFill="1" applyBorder="1" applyAlignment="1" applyProtection="1">
      <alignment horizontal="center" vertical="center"/>
    </xf>
    <xf numFmtId="172" fontId="44" fillId="27" borderId="5" xfId="70" applyNumberFormat="1" applyFont="1" applyFill="1" applyBorder="1" applyAlignment="1" applyProtection="1">
      <alignment horizontal="center" vertical="center"/>
    </xf>
    <xf numFmtId="172" fontId="43" fillId="27" borderId="5" xfId="70" applyNumberFormat="1" applyFont="1" applyFill="1" applyBorder="1" applyAlignment="1" applyProtection="1">
      <alignment horizontal="center" vertical="center"/>
    </xf>
    <xf numFmtId="3" fontId="60" fillId="26" borderId="32" xfId="80" applyNumberFormat="1" applyFont="1" applyFill="1" applyBorder="1" applyAlignment="1" applyProtection="1">
      <alignment horizontal="center" vertical="center"/>
    </xf>
    <xf numFmtId="3" fontId="60" fillId="26" borderId="53" xfId="80" applyNumberFormat="1" applyFont="1" applyFill="1" applyBorder="1" applyAlignment="1" applyProtection="1">
      <alignment horizontal="center" vertical="center"/>
    </xf>
    <xf numFmtId="3" fontId="60" fillId="26" borderId="30" xfId="80" applyNumberFormat="1" applyFont="1" applyFill="1" applyBorder="1" applyAlignment="1" applyProtection="1">
      <alignment horizontal="center" vertical="center"/>
    </xf>
    <xf numFmtId="3" fontId="60" fillId="26" borderId="77" xfId="80" applyNumberFormat="1" applyFont="1" applyFill="1" applyBorder="1" applyAlignment="1" applyProtection="1">
      <alignment horizontal="center" vertical="center"/>
    </xf>
    <xf numFmtId="3" fontId="60" fillId="26" borderId="28" xfId="80" applyNumberFormat="1" applyFont="1" applyFill="1" applyBorder="1" applyAlignment="1" applyProtection="1">
      <alignment horizontal="center" vertical="center"/>
    </xf>
    <xf numFmtId="3" fontId="60" fillId="26" borderId="78" xfId="80" applyNumberFormat="1" applyFont="1" applyFill="1" applyBorder="1" applyAlignment="1" applyProtection="1">
      <alignment horizontal="center" vertical="center"/>
    </xf>
    <xf numFmtId="3" fontId="60" fillId="26" borderId="57" xfId="80" applyNumberFormat="1" applyFont="1" applyFill="1" applyBorder="1" applyAlignment="1" applyProtection="1">
      <alignment horizontal="center" vertical="center"/>
    </xf>
    <xf numFmtId="3" fontId="60" fillId="0" borderId="69" xfId="80" applyNumberFormat="1" applyFont="1" applyFill="1" applyBorder="1" applyAlignment="1" applyProtection="1">
      <alignment horizontal="center" vertical="center"/>
    </xf>
    <xf numFmtId="3" fontId="60" fillId="0" borderId="18" xfId="80" applyNumberFormat="1" applyFont="1" applyFill="1" applyBorder="1" applyAlignment="1" applyProtection="1">
      <alignment horizontal="center" vertical="center"/>
    </xf>
    <xf numFmtId="3" fontId="60" fillId="0" borderId="56" xfId="80" applyNumberFormat="1" applyFont="1" applyFill="1" applyBorder="1" applyAlignment="1" applyProtection="1">
      <alignment horizontal="center" vertical="center"/>
    </xf>
    <xf numFmtId="3" fontId="60" fillId="0" borderId="4" xfId="80" applyNumberFormat="1" applyFont="1" applyFill="1" applyBorder="1" applyAlignment="1" applyProtection="1">
      <alignment horizontal="center" vertical="center"/>
    </xf>
    <xf numFmtId="3" fontId="60" fillId="0" borderId="77" xfId="80" applyNumberFormat="1" applyFont="1" applyFill="1" applyBorder="1" applyAlignment="1" applyProtection="1">
      <alignment horizontal="center" vertical="center"/>
    </xf>
    <xf numFmtId="3" fontId="60" fillId="0" borderId="57" xfId="80" applyNumberFormat="1" applyFont="1" applyFill="1" applyBorder="1" applyAlignment="1" applyProtection="1">
      <alignment horizontal="center" vertical="center"/>
    </xf>
    <xf numFmtId="3" fontId="60" fillId="0" borderId="31" xfId="80" applyNumberFormat="1" applyFont="1" applyFill="1" applyBorder="1" applyAlignment="1" applyProtection="1">
      <alignment horizontal="center" vertical="center"/>
    </xf>
    <xf numFmtId="3" fontId="60" fillId="0" borderId="53" xfId="80" applyNumberFormat="1" applyFont="1" applyFill="1" applyBorder="1" applyAlignment="1" applyProtection="1">
      <alignment horizontal="center" vertical="center"/>
    </xf>
    <xf numFmtId="3" fontId="15" fillId="26" borderId="90" xfId="88" applyNumberFormat="1" applyFont="1" applyFill="1" applyBorder="1" applyAlignment="1" applyProtection="1">
      <alignment horizontal="center" vertical="center" wrapText="1"/>
    </xf>
    <xf numFmtId="3" fontId="15" fillId="26" borderId="112" xfId="88" applyNumberFormat="1" applyFont="1" applyFill="1" applyBorder="1" applyAlignment="1" applyProtection="1">
      <alignment horizontal="center" vertical="center" wrapText="1"/>
    </xf>
    <xf numFmtId="3" fontId="15" fillId="26" borderId="91" xfId="88" applyNumberFormat="1" applyFont="1" applyFill="1" applyBorder="1" applyAlignment="1" applyProtection="1">
      <alignment horizontal="center" vertical="center" wrapText="1"/>
    </xf>
    <xf numFmtId="3" fontId="15" fillId="26" borderId="72" xfId="88" applyNumberFormat="1" applyFont="1" applyFill="1" applyBorder="1" applyAlignment="1" applyProtection="1">
      <alignment horizontal="center" vertical="center" wrapText="1"/>
    </xf>
    <xf numFmtId="3" fontId="15" fillId="26" borderId="73" xfId="88" applyNumberFormat="1" applyFont="1" applyFill="1" applyBorder="1" applyAlignment="1" applyProtection="1">
      <alignment horizontal="center" vertical="center" wrapText="1"/>
    </xf>
    <xf numFmtId="3" fontId="15" fillId="26" borderId="49" xfId="88" applyNumberFormat="1" applyFont="1" applyFill="1" applyBorder="1" applyAlignment="1" applyProtection="1">
      <alignment horizontal="center" vertical="center" wrapText="1"/>
    </xf>
    <xf numFmtId="3" fontId="15" fillId="26" borderId="44" xfId="88" applyNumberFormat="1" applyFont="1" applyFill="1" applyBorder="1" applyAlignment="1" applyProtection="1">
      <alignment horizontal="center" vertical="center" wrapText="1"/>
    </xf>
    <xf numFmtId="172" fontId="46" fillId="26" borderId="44" xfId="70" applyNumberFormat="1" applyFont="1" applyFill="1" applyBorder="1" applyAlignment="1" applyProtection="1">
      <alignment horizontal="center" vertical="center" wrapText="1"/>
    </xf>
    <xf numFmtId="10" fontId="128" fillId="26" borderId="31" xfId="70" applyNumberFormat="1" applyFont="1" applyFill="1" applyBorder="1" applyAlignment="1" applyProtection="1">
      <alignment horizontal="center" vertical="center" wrapText="1"/>
    </xf>
    <xf numFmtId="10" fontId="128" fillId="26" borderId="50" xfId="70" applyNumberFormat="1" applyFont="1" applyFill="1" applyBorder="1" applyAlignment="1" applyProtection="1">
      <alignment horizontal="center" vertical="center" wrapText="1"/>
    </xf>
    <xf numFmtId="3" fontId="125" fillId="20" borderId="72" xfId="88" applyNumberFormat="1" applyFont="1" applyFill="1" applyBorder="1" applyAlignment="1" applyProtection="1">
      <alignment horizontal="center" vertical="center" wrapText="1"/>
    </xf>
    <xf numFmtId="3" fontId="125" fillId="20" borderId="73" xfId="88" applyNumberFormat="1" applyFont="1" applyFill="1" applyBorder="1" applyAlignment="1" applyProtection="1">
      <alignment horizontal="center" vertical="center" wrapText="1"/>
    </xf>
    <xf numFmtId="3" fontId="125" fillId="20" borderId="76" xfId="88" applyNumberFormat="1" applyFont="1" applyFill="1" applyBorder="1" applyAlignment="1" applyProtection="1">
      <alignment horizontal="center" vertical="center" wrapText="1"/>
    </xf>
    <xf numFmtId="3" fontId="125" fillId="20" borderId="32" xfId="88" applyNumberFormat="1" applyFont="1" applyFill="1" applyBorder="1" applyAlignment="1" applyProtection="1">
      <alignment horizontal="center" vertical="center" wrapText="1"/>
    </xf>
    <xf numFmtId="3" fontId="125" fillId="20" borderId="7" xfId="88" applyNumberFormat="1" applyFont="1" applyFill="1" applyBorder="1" applyAlignment="1" applyProtection="1">
      <alignment horizontal="center" vertical="center" wrapText="1"/>
    </xf>
    <xf numFmtId="3" fontId="125" fillId="20" borderId="53" xfId="88" applyNumberFormat="1" applyFont="1" applyFill="1" applyBorder="1" applyAlignment="1" applyProtection="1">
      <alignment horizontal="center" vertical="center" wrapText="1"/>
    </xf>
    <xf numFmtId="3" fontId="15" fillId="26" borderId="99" xfId="88" applyNumberFormat="1" applyFont="1" applyFill="1" applyBorder="1" applyAlignment="1" applyProtection="1">
      <alignment horizontal="center" vertical="center" wrapText="1"/>
    </xf>
    <xf numFmtId="3" fontId="15" fillId="26" borderId="113" xfId="88" applyNumberFormat="1" applyFont="1" applyFill="1" applyBorder="1" applyAlignment="1" applyProtection="1">
      <alignment horizontal="center" vertical="center" wrapText="1"/>
    </xf>
    <xf numFmtId="3" fontId="15" fillId="26" borderId="95" xfId="88" applyNumberFormat="1" applyFont="1" applyFill="1" applyBorder="1" applyAlignment="1" applyProtection="1">
      <alignment horizontal="center" vertical="center" wrapText="1"/>
    </xf>
    <xf numFmtId="3" fontId="126" fillId="26" borderId="24" xfId="88" applyNumberFormat="1" applyFont="1" applyFill="1" applyBorder="1" applyAlignment="1" applyProtection="1">
      <alignment horizontal="center" vertical="center" wrapText="1"/>
    </xf>
    <xf numFmtId="3" fontId="126" fillId="26" borderId="7" xfId="88" applyNumberFormat="1" applyFont="1" applyFill="1" applyBorder="1" applyAlignment="1" applyProtection="1">
      <alignment horizontal="center" vertical="center" wrapText="1"/>
    </xf>
    <xf numFmtId="3" fontId="126" fillId="26" borderId="15" xfId="88" applyNumberFormat="1" applyFont="1" applyFill="1" applyBorder="1" applyAlignment="1" applyProtection="1">
      <alignment horizontal="center" vertical="center" wrapText="1"/>
    </xf>
    <xf numFmtId="3" fontId="15" fillId="26" borderId="31" xfId="88" applyNumberFormat="1" applyFont="1" applyFill="1" applyBorder="1" applyAlignment="1" applyProtection="1">
      <alignment horizontal="center" vertical="center" wrapText="1"/>
    </xf>
    <xf numFmtId="10" fontId="128" fillId="26" borderId="61" xfId="70" applyNumberFormat="1" applyFont="1" applyFill="1" applyBorder="1" applyAlignment="1" applyProtection="1">
      <alignment horizontal="center" vertical="center" wrapText="1"/>
    </xf>
    <xf numFmtId="3" fontId="126" fillId="26" borderId="79" xfId="88" applyNumberFormat="1" applyFont="1" applyFill="1" applyBorder="1" applyAlignment="1" applyProtection="1">
      <alignment horizontal="center" vertical="center" wrapText="1"/>
    </xf>
    <xf numFmtId="0" fontId="44" fillId="26" borderId="29" xfId="49" applyFont="1" applyFill="1" applyBorder="1" applyAlignment="1" applyProtection="1">
      <alignment vertical="center" wrapText="1"/>
    </xf>
    <xf numFmtId="168" fontId="44" fillId="26" borderId="75" xfId="49" applyNumberFormat="1" applyFont="1" applyFill="1" applyBorder="1" applyAlignment="1" applyProtection="1">
      <alignment horizontal="center" vertical="center"/>
    </xf>
    <xf numFmtId="168" fontId="44" fillId="26" borderId="73" xfId="49" applyNumberFormat="1" applyFont="1" applyFill="1" applyBorder="1" applyAlignment="1" applyProtection="1">
      <alignment horizontal="center" vertical="center"/>
    </xf>
    <xf numFmtId="168" fontId="44" fillId="26" borderId="76" xfId="49" applyNumberFormat="1" applyFont="1" applyFill="1" applyBorder="1" applyAlignment="1" applyProtection="1">
      <alignment horizontal="center" vertical="center"/>
    </xf>
    <xf numFmtId="167" fontId="44" fillId="26" borderId="29" xfId="49" applyNumberFormat="1" applyFont="1" applyFill="1" applyBorder="1" applyAlignment="1" applyProtection="1">
      <alignment horizontal="center" vertical="center"/>
    </xf>
    <xf numFmtId="168" fontId="44" fillId="26" borderId="14" xfId="49" applyNumberFormat="1" applyFont="1" applyFill="1" applyBorder="1" applyAlignment="1" applyProtection="1">
      <alignment horizontal="center" vertical="center"/>
    </xf>
    <xf numFmtId="168" fontId="44" fillId="26" borderId="72" xfId="49" applyNumberFormat="1" applyFont="1" applyFill="1" applyBorder="1" applyAlignment="1" applyProtection="1">
      <alignment horizontal="center" vertical="center"/>
    </xf>
    <xf numFmtId="167" fontId="44" fillId="26" borderId="22" xfId="49" applyNumberFormat="1" applyFont="1" applyFill="1" applyBorder="1" applyAlignment="1" applyProtection="1">
      <alignment horizontal="center" vertical="center"/>
    </xf>
    <xf numFmtId="168" fontId="44" fillId="26" borderId="22" xfId="49" applyNumberFormat="1" applyFont="1" applyFill="1" applyBorder="1" applyAlignment="1" applyProtection="1">
      <alignment horizontal="center" vertical="center"/>
    </xf>
    <xf numFmtId="0" fontId="44" fillId="26" borderId="24" xfId="49" applyFont="1" applyFill="1" applyBorder="1" applyAlignment="1" applyProtection="1">
      <alignment vertical="center"/>
    </xf>
    <xf numFmtId="168" fontId="44" fillId="26" borderId="52" xfId="49" applyNumberFormat="1" applyFont="1" applyFill="1" applyBorder="1" applyAlignment="1" applyProtection="1">
      <alignment horizontal="center" vertical="center"/>
    </xf>
    <xf numFmtId="168" fontId="44" fillId="26" borderId="7" xfId="49" applyNumberFormat="1" applyFont="1" applyFill="1" applyBorder="1" applyAlignment="1" applyProtection="1">
      <alignment horizontal="center" vertical="center"/>
    </xf>
    <xf numFmtId="168" fontId="44" fillId="26" borderId="53" xfId="49" applyNumberFormat="1" applyFont="1" applyFill="1" applyBorder="1" applyAlignment="1" applyProtection="1">
      <alignment horizontal="center" vertical="center"/>
    </xf>
    <xf numFmtId="167" fontId="44" fillId="26" borderId="24" xfId="49" applyNumberFormat="1" applyFont="1" applyFill="1" applyBorder="1" applyAlignment="1" applyProtection="1">
      <alignment horizontal="center" vertical="center"/>
    </xf>
    <xf numFmtId="168" fontId="44" fillId="26" borderId="15" xfId="49" applyNumberFormat="1" applyFont="1" applyFill="1" applyBorder="1" applyAlignment="1" applyProtection="1">
      <alignment horizontal="center" vertical="center"/>
    </xf>
    <xf numFmtId="168" fontId="44" fillId="26" borderId="32" xfId="49" applyNumberFormat="1" applyFont="1" applyFill="1" applyBorder="1" applyAlignment="1" applyProtection="1">
      <alignment horizontal="center" vertical="center"/>
    </xf>
    <xf numFmtId="167" fontId="44" fillId="26" borderId="23" xfId="49" applyNumberFormat="1" applyFont="1" applyFill="1" applyBorder="1" applyAlignment="1" applyProtection="1">
      <alignment horizontal="center" vertical="center"/>
    </xf>
    <xf numFmtId="168" fontId="44" fillId="26" borderId="23" xfId="49" applyNumberFormat="1" applyFont="1" applyFill="1" applyBorder="1" applyAlignment="1" applyProtection="1">
      <alignment horizontal="center" vertical="center"/>
    </xf>
    <xf numFmtId="0" fontId="44" fillId="26" borderId="30" xfId="49" applyFont="1" applyFill="1" applyBorder="1" applyAlignment="1" applyProtection="1">
      <alignment vertical="center"/>
    </xf>
    <xf numFmtId="168" fontId="44" fillId="26" borderId="56" xfId="49" applyNumberFormat="1" applyFont="1" applyFill="1" applyBorder="1" applyAlignment="1" applyProtection="1">
      <alignment horizontal="center" vertical="center"/>
    </xf>
    <xf numFmtId="168" fontId="44" fillId="26" borderId="77" xfId="49" applyNumberFormat="1" applyFont="1" applyFill="1" applyBorder="1" applyAlignment="1" applyProtection="1">
      <alignment horizontal="center" vertical="center"/>
    </xf>
    <xf numFmtId="168" fontId="44" fillId="26" borderId="57" xfId="49" applyNumberFormat="1" applyFont="1" applyFill="1" applyBorder="1" applyAlignment="1" applyProtection="1">
      <alignment horizontal="center" vertical="center"/>
    </xf>
    <xf numFmtId="167" fontId="44" fillId="26" borderId="30" xfId="49" applyNumberFormat="1" applyFont="1" applyFill="1" applyBorder="1" applyAlignment="1" applyProtection="1">
      <alignment horizontal="center" vertical="center"/>
    </xf>
    <xf numFmtId="168" fontId="44" fillId="26" borderId="19" xfId="49" applyNumberFormat="1" applyFont="1" applyFill="1" applyBorder="1" applyAlignment="1" applyProtection="1">
      <alignment horizontal="center" vertical="center"/>
    </xf>
    <xf numFmtId="168" fontId="44" fillId="26" borderId="79" xfId="49" applyNumberFormat="1" applyFont="1" applyFill="1" applyBorder="1" applyAlignment="1" applyProtection="1">
      <alignment horizontal="center" vertical="center"/>
    </xf>
    <xf numFmtId="167" fontId="44" fillId="26" borderId="28" xfId="49" applyNumberFormat="1" applyFont="1" applyFill="1" applyBorder="1" applyAlignment="1" applyProtection="1">
      <alignment horizontal="center" vertical="center"/>
    </xf>
    <xf numFmtId="168" fontId="44" fillId="26" borderId="28" xfId="49" applyNumberFormat="1" applyFont="1" applyFill="1" applyBorder="1" applyAlignment="1" applyProtection="1">
      <alignment horizontal="center" vertical="center"/>
    </xf>
    <xf numFmtId="0" fontId="44" fillId="26" borderId="1" xfId="49" applyFont="1" applyFill="1" applyBorder="1" applyAlignment="1" applyProtection="1">
      <alignment vertical="center"/>
    </xf>
    <xf numFmtId="0" fontId="44" fillId="26" borderId="38" xfId="49" applyFont="1" applyFill="1" applyBorder="1" applyAlignment="1" applyProtection="1">
      <alignment horizontal="center" vertical="center"/>
    </xf>
    <xf numFmtId="0" fontId="44" fillId="26" borderId="9" xfId="49" applyFont="1" applyFill="1" applyBorder="1" applyAlignment="1" applyProtection="1">
      <alignment horizontal="center" vertical="center"/>
    </xf>
    <xf numFmtId="0" fontId="44" fillId="26" borderId="10" xfId="49" applyFont="1" applyFill="1" applyBorder="1" applyAlignment="1" applyProtection="1">
      <alignment horizontal="center" vertical="center"/>
    </xf>
    <xf numFmtId="167" fontId="43" fillId="26" borderId="1" xfId="49" applyNumberFormat="1" applyFont="1" applyFill="1" applyBorder="1" applyAlignment="1" applyProtection="1">
      <alignment horizontal="center" vertical="center"/>
    </xf>
    <xf numFmtId="0" fontId="43" fillId="26" borderId="3" xfId="49" applyFont="1" applyFill="1" applyBorder="1" applyAlignment="1" applyProtection="1">
      <alignment horizontal="center" vertical="center"/>
    </xf>
    <xf numFmtId="0" fontId="43" fillId="26" borderId="65" xfId="49" applyFont="1" applyFill="1" applyBorder="1" applyAlignment="1" applyProtection="1">
      <alignment horizontal="center" vertical="center"/>
    </xf>
    <xf numFmtId="0" fontId="43" fillId="26" borderId="9" xfId="49" applyFont="1" applyFill="1" applyBorder="1" applyAlignment="1" applyProtection="1">
      <alignment horizontal="center" vertical="center"/>
    </xf>
    <xf numFmtId="0" fontId="43" fillId="26" borderId="10" xfId="49" applyFont="1" applyFill="1" applyBorder="1" applyAlignment="1" applyProtection="1">
      <alignment horizontal="center" vertical="center"/>
    </xf>
    <xf numFmtId="167" fontId="43" fillId="26" borderId="8" xfId="49" applyNumberFormat="1" applyFont="1" applyFill="1" applyBorder="1" applyAlignment="1" applyProtection="1">
      <alignment horizontal="center" vertical="center"/>
    </xf>
    <xf numFmtId="0" fontId="43" fillId="26" borderId="8" xfId="49" applyFont="1" applyFill="1" applyBorder="1" applyAlignment="1" applyProtection="1">
      <alignment horizontal="center" vertical="center"/>
    </xf>
    <xf numFmtId="0" fontId="43" fillId="26" borderId="38" xfId="49" applyFont="1" applyFill="1" applyBorder="1" applyAlignment="1" applyProtection="1">
      <alignment horizontal="center" vertical="center"/>
    </xf>
    <xf numFmtId="0" fontId="44" fillId="26" borderId="29" xfId="49" applyFont="1" applyFill="1" applyBorder="1" applyAlignment="1" applyProtection="1">
      <alignment vertical="center"/>
    </xf>
    <xf numFmtId="3" fontId="44" fillId="26" borderId="75" xfId="49" applyNumberFormat="1" applyFont="1" applyFill="1" applyBorder="1" applyAlignment="1" applyProtection="1">
      <alignment horizontal="center" vertical="center"/>
    </xf>
    <xf numFmtId="3" fontId="44" fillId="26" borderId="73" xfId="49" applyNumberFormat="1" applyFont="1" applyFill="1" applyBorder="1" applyAlignment="1" applyProtection="1">
      <alignment horizontal="center" vertical="center"/>
    </xf>
    <xf numFmtId="3" fontId="44" fillId="26" borderId="76" xfId="49" applyNumberFormat="1" applyFont="1" applyFill="1" applyBorder="1" applyAlignment="1" applyProtection="1">
      <alignment horizontal="center" vertical="center"/>
    </xf>
    <xf numFmtId="167" fontId="44" fillId="29" borderId="29" xfId="49" applyNumberFormat="1" applyFont="1" applyFill="1" applyBorder="1" applyAlignment="1" applyProtection="1">
      <alignment horizontal="center" vertical="center"/>
    </xf>
    <xf numFmtId="3" fontId="44" fillId="29" borderId="14" xfId="49" applyNumberFormat="1" applyFont="1" applyFill="1" applyBorder="1" applyAlignment="1" applyProtection="1">
      <alignment horizontal="center" vertical="center"/>
    </xf>
    <xf numFmtId="3" fontId="44" fillId="29" borderId="72" xfId="49" applyNumberFormat="1" applyFont="1" applyFill="1" applyBorder="1" applyAlignment="1" applyProtection="1">
      <alignment horizontal="center" vertical="center"/>
    </xf>
    <xf numFmtId="3" fontId="44" fillId="29" borderId="73" xfId="49" applyNumberFormat="1" applyFont="1" applyFill="1" applyBorder="1" applyAlignment="1" applyProtection="1">
      <alignment horizontal="center" vertical="center"/>
    </xf>
    <xf numFmtId="3" fontId="44" fillId="29" borderId="76" xfId="49" applyNumberFormat="1" applyFont="1" applyFill="1" applyBorder="1" applyAlignment="1" applyProtection="1">
      <alignment horizontal="center" vertical="center"/>
    </xf>
    <xf numFmtId="167" fontId="44" fillId="29" borderId="22" xfId="49" applyNumberFormat="1" applyFont="1" applyFill="1" applyBorder="1" applyAlignment="1" applyProtection="1">
      <alignment horizontal="center" vertical="center"/>
    </xf>
    <xf numFmtId="3" fontId="44" fillId="29" borderId="22" xfId="49" applyNumberFormat="1" applyFont="1" applyFill="1" applyBorder="1" applyAlignment="1" applyProtection="1">
      <alignment horizontal="center" vertical="center"/>
    </xf>
    <xf numFmtId="3" fontId="44" fillId="29" borderId="75" xfId="49" applyNumberFormat="1" applyFont="1" applyFill="1" applyBorder="1" applyAlignment="1" applyProtection="1">
      <alignment horizontal="center" vertical="center"/>
    </xf>
    <xf numFmtId="0" fontId="116" fillId="26" borderId="52" xfId="49" applyFont="1" applyFill="1" applyBorder="1" applyAlignment="1" applyProtection="1">
      <alignment horizontal="center" vertical="center"/>
    </xf>
    <xf numFmtId="3" fontId="44" fillId="29" borderId="7" xfId="49" applyNumberFormat="1" applyFont="1" applyFill="1" applyBorder="1" applyAlignment="1" applyProtection="1">
      <alignment horizontal="center" vertical="center"/>
    </xf>
    <xf numFmtId="3" fontId="44" fillId="29" borderId="53" xfId="49" applyNumberFormat="1" applyFont="1" applyFill="1" applyBorder="1" applyAlignment="1" applyProtection="1">
      <alignment horizontal="center" vertical="center"/>
    </xf>
    <xf numFmtId="3" fontId="44" fillId="26" borderId="15" xfId="49" applyNumberFormat="1" applyFont="1" applyFill="1" applyBorder="1" applyAlignment="1" applyProtection="1">
      <alignment horizontal="center" vertical="center"/>
    </xf>
    <xf numFmtId="3" fontId="44" fillId="26" borderId="32" xfId="49" applyNumberFormat="1" applyFont="1" applyFill="1" applyBorder="1" applyAlignment="1" applyProtection="1">
      <alignment horizontal="center" vertical="center"/>
    </xf>
    <xf numFmtId="3" fontId="44" fillId="26" borderId="7" xfId="49" applyNumberFormat="1" applyFont="1" applyFill="1" applyBorder="1" applyAlignment="1" applyProtection="1">
      <alignment horizontal="center" vertical="center"/>
    </xf>
    <xf numFmtId="3" fontId="44" fillId="26" borderId="53" xfId="49" applyNumberFormat="1" applyFont="1" applyFill="1" applyBorder="1" applyAlignment="1" applyProtection="1">
      <alignment horizontal="center" vertical="center"/>
    </xf>
    <xf numFmtId="3" fontId="44" fillId="26" borderId="23" xfId="49" applyNumberFormat="1" applyFont="1" applyFill="1" applyBorder="1" applyAlignment="1" applyProtection="1">
      <alignment horizontal="center" vertical="center"/>
    </xf>
    <xf numFmtId="3" fontId="44" fillId="29" borderId="52" xfId="49" applyNumberFormat="1" applyFont="1" applyFill="1" applyBorder="1" applyAlignment="1" applyProtection="1">
      <alignment horizontal="center" vertical="center"/>
    </xf>
    <xf numFmtId="3" fontId="44" fillId="26" borderId="52" xfId="49" applyNumberFormat="1" applyFont="1" applyFill="1" applyBorder="1" applyAlignment="1" applyProtection="1">
      <alignment horizontal="center" vertical="center"/>
    </xf>
    <xf numFmtId="167" fontId="44" fillId="29" borderId="24" xfId="49" applyNumberFormat="1" applyFont="1" applyFill="1" applyBorder="1" applyAlignment="1" applyProtection="1">
      <alignment horizontal="center" vertical="center"/>
    </xf>
    <xf numFmtId="3" fontId="44" fillId="29" borderId="15" xfId="49" applyNumberFormat="1" applyFont="1" applyFill="1" applyBorder="1" applyAlignment="1" applyProtection="1">
      <alignment horizontal="center" vertical="center"/>
    </xf>
    <xf numFmtId="3" fontId="44" fillId="29" borderId="32" xfId="49" applyNumberFormat="1" applyFont="1" applyFill="1" applyBorder="1" applyAlignment="1" applyProtection="1">
      <alignment horizontal="center" vertical="center"/>
    </xf>
    <xf numFmtId="167" fontId="44" fillId="29" borderId="23" xfId="49" applyNumberFormat="1" applyFont="1" applyFill="1" applyBorder="1" applyAlignment="1" applyProtection="1">
      <alignment horizontal="center" vertical="center"/>
    </xf>
    <xf numFmtId="3" fontId="44" fillId="29" borderId="23" xfId="49" applyNumberFormat="1" applyFont="1" applyFill="1" applyBorder="1" applyAlignment="1" applyProtection="1">
      <alignment horizontal="center" vertical="center"/>
    </xf>
    <xf numFmtId="167" fontId="44" fillId="29" borderId="30" xfId="49" applyNumberFormat="1" applyFont="1" applyFill="1" applyBorder="1" applyAlignment="1" applyProtection="1">
      <alignment horizontal="right" vertical="center"/>
    </xf>
    <xf numFmtId="167" fontId="44" fillId="29" borderId="28" xfId="49" applyNumberFormat="1" applyFont="1" applyFill="1" applyBorder="1" applyAlignment="1" applyProtection="1">
      <alignment horizontal="right" vertical="center"/>
    </xf>
    <xf numFmtId="3" fontId="44" fillId="29" borderId="28" xfId="49" applyNumberFormat="1" applyFont="1" applyFill="1" applyBorder="1" applyAlignment="1" applyProtection="1">
      <alignment horizontal="right" vertical="center"/>
    </xf>
    <xf numFmtId="3" fontId="44" fillId="26" borderId="56" xfId="49" applyNumberFormat="1" applyFont="1" applyFill="1" applyBorder="1" applyAlignment="1" applyProtection="1">
      <alignment horizontal="center" vertical="center"/>
    </xf>
    <xf numFmtId="3" fontId="44" fillId="26" borderId="77" xfId="49" applyNumberFormat="1" applyFont="1" applyFill="1" applyBorder="1" applyAlignment="1" applyProtection="1">
      <alignment horizontal="center" vertical="center"/>
    </xf>
    <xf numFmtId="3" fontId="44" fillId="26" borderId="57" xfId="49" applyNumberFormat="1" applyFont="1" applyFill="1" applyBorder="1" applyAlignment="1" applyProtection="1">
      <alignment horizontal="center" vertical="center"/>
    </xf>
    <xf numFmtId="0" fontId="55" fillId="26" borderId="1" xfId="49" applyFont="1" applyFill="1" applyBorder="1" applyAlignment="1" applyProtection="1">
      <alignment vertical="center"/>
    </xf>
    <xf numFmtId="3" fontId="55" fillId="26" borderId="38" xfId="49" applyNumberFormat="1" applyFont="1" applyFill="1" applyBorder="1" applyAlignment="1" applyProtection="1">
      <alignment horizontal="center" vertical="center"/>
    </xf>
    <xf numFmtId="3" fontId="55" fillId="26" borderId="9" xfId="49" applyNumberFormat="1" applyFont="1" applyFill="1" applyBorder="1" applyAlignment="1" applyProtection="1">
      <alignment horizontal="center" vertical="center"/>
    </xf>
    <xf numFmtId="3" fontId="55" fillId="26" borderId="10" xfId="49" applyNumberFormat="1" applyFont="1" applyFill="1" applyBorder="1" applyAlignment="1" applyProtection="1">
      <alignment horizontal="center" vertical="center"/>
    </xf>
    <xf numFmtId="167" fontId="22" fillId="26" borderId="1" xfId="49" applyNumberFormat="1" applyFont="1" applyFill="1" applyBorder="1" applyAlignment="1" applyProtection="1">
      <alignment horizontal="center" vertical="center"/>
    </xf>
    <xf numFmtId="0" fontId="22" fillId="26" borderId="3" xfId="49" applyFont="1" applyFill="1" applyBorder="1" applyAlignment="1" applyProtection="1">
      <alignment horizontal="center" vertical="center"/>
    </xf>
    <xf numFmtId="0" fontId="22" fillId="26" borderId="65" xfId="49" applyFont="1" applyFill="1" applyBorder="1" applyAlignment="1" applyProtection="1">
      <alignment horizontal="center" vertical="center"/>
    </xf>
    <xf numFmtId="0" fontId="22" fillId="26" borderId="9" xfId="49" applyFont="1" applyFill="1" applyBorder="1" applyAlignment="1" applyProtection="1">
      <alignment horizontal="center" vertical="center"/>
    </xf>
    <xf numFmtId="0" fontId="22" fillId="26" borderId="10" xfId="49" applyFont="1" applyFill="1" applyBorder="1" applyAlignment="1" applyProtection="1">
      <alignment horizontal="center" vertical="center"/>
    </xf>
    <xf numFmtId="167" fontId="22" fillId="26" borderId="8" xfId="49" applyNumberFormat="1" applyFont="1" applyFill="1" applyBorder="1" applyAlignment="1" applyProtection="1">
      <alignment horizontal="center" vertical="center"/>
    </xf>
    <xf numFmtId="0" fontId="22" fillId="26" borderId="8" xfId="49" applyFont="1" applyFill="1" applyBorder="1" applyAlignment="1" applyProtection="1">
      <alignment horizontal="center" vertical="center"/>
    </xf>
    <xf numFmtId="0" fontId="22" fillId="26" borderId="38" xfId="49" applyFont="1" applyFill="1" applyBorder="1" applyAlignment="1" applyProtection="1">
      <alignment horizontal="center" vertical="center"/>
    </xf>
    <xf numFmtId="0" fontId="55" fillId="26" borderId="10" xfId="49" applyFont="1" applyFill="1" applyBorder="1" applyAlignment="1" applyProtection="1">
      <alignment horizontal="center" vertical="center"/>
    </xf>
    <xf numFmtId="3" fontId="44" fillId="28" borderId="4" xfId="32" applyNumberFormat="1" applyFont="1" applyFill="1" applyBorder="1" applyAlignment="1" applyProtection="1">
      <alignment horizontal="center" vertical="center"/>
      <protection locked="0"/>
    </xf>
    <xf numFmtId="3" fontId="44" fillId="28" borderId="67" xfId="32" applyNumberFormat="1" applyFont="1" applyFill="1" applyBorder="1" applyAlignment="1" applyProtection="1">
      <alignment horizontal="center" vertical="center"/>
      <protection locked="0"/>
    </xf>
    <xf numFmtId="0" fontId="43" fillId="0" borderId="19" xfId="31" applyFont="1" applyFill="1" applyBorder="1" applyAlignment="1" applyProtection="1">
      <alignment horizontal="center" vertical="center" wrapText="1"/>
    </xf>
    <xf numFmtId="0" fontId="44" fillId="37" borderId="26" xfId="49" applyFont="1" applyFill="1" applyBorder="1" applyAlignment="1" applyProtection="1">
      <alignment horizontal="center" vertical="center" wrapText="1"/>
    </xf>
    <xf numFmtId="3" fontId="43" fillId="24" borderId="2" xfId="49" applyNumberFormat="1" applyFont="1" applyFill="1" applyBorder="1" applyAlignment="1" applyProtection="1">
      <alignment horizontal="center" vertical="center" wrapText="1"/>
    </xf>
    <xf numFmtId="3" fontId="44" fillId="27" borderId="5" xfId="49" applyNumberFormat="1" applyFont="1" applyFill="1" applyBorder="1" applyAlignment="1" applyProtection="1">
      <alignment horizontal="center" vertical="center" wrapText="1"/>
    </xf>
    <xf numFmtId="3" fontId="44" fillId="0" borderId="17" xfId="49" applyNumberFormat="1" applyFont="1" applyFill="1" applyBorder="1" applyAlignment="1" applyProtection="1">
      <alignment horizontal="center" vertical="center" wrapText="1"/>
    </xf>
    <xf numFmtId="3" fontId="44" fillId="0" borderId="5" xfId="49" applyNumberFormat="1" applyFont="1" applyFill="1" applyBorder="1" applyAlignment="1" applyProtection="1">
      <alignment horizontal="center" vertical="center" wrapText="1"/>
    </xf>
    <xf numFmtId="3" fontId="44" fillId="0" borderId="39" xfId="49" applyNumberFormat="1" applyFont="1" applyFill="1" applyBorder="1" applyAlignment="1" applyProtection="1">
      <alignment horizontal="center" vertical="center" wrapText="1"/>
    </xf>
    <xf numFmtId="3" fontId="44" fillId="0" borderId="5" xfId="31" applyNumberFormat="1" applyFont="1" applyFill="1" applyBorder="1" applyAlignment="1" applyProtection="1">
      <alignment horizontal="center" vertical="center" wrapText="1"/>
    </xf>
    <xf numFmtId="3" fontId="44" fillId="0" borderId="26" xfId="31" applyNumberFormat="1" applyFont="1" applyFill="1" applyBorder="1" applyAlignment="1" applyProtection="1">
      <alignment horizontal="center" vertical="center" wrapText="1"/>
    </xf>
    <xf numFmtId="3" fontId="44" fillId="27" borderId="17" xfId="49" applyNumberFormat="1" applyFont="1" applyFill="1" applyBorder="1" applyAlignment="1" applyProtection="1">
      <alignment horizontal="center" vertical="center" wrapText="1"/>
    </xf>
    <xf numFmtId="3" fontId="44" fillId="0" borderId="17" xfId="31" applyNumberFormat="1" applyFont="1" applyFill="1" applyBorder="1" applyAlignment="1" applyProtection="1">
      <alignment horizontal="center" vertical="center" wrapText="1"/>
    </xf>
    <xf numFmtId="3" fontId="43" fillId="0" borderId="2" xfId="31" applyNumberFormat="1" applyFont="1" applyFill="1" applyBorder="1" applyAlignment="1" applyProtection="1">
      <alignment horizontal="center" vertical="center" wrapText="1"/>
    </xf>
    <xf numFmtId="3" fontId="43" fillId="0" borderId="51" xfId="31" applyNumberFormat="1" applyFont="1" applyFill="1" applyBorder="1" applyAlignment="1" applyProtection="1">
      <alignment horizontal="center" vertical="center" wrapText="1"/>
    </xf>
    <xf numFmtId="9" fontId="44" fillId="0" borderId="7" xfId="1" applyFont="1" applyFill="1" applyBorder="1" applyAlignment="1" applyProtection="1">
      <alignment horizontal="center" vertical="center" wrapText="1"/>
    </xf>
    <xf numFmtId="9" fontId="44" fillId="0" borderId="62" xfId="1" applyFont="1" applyFill="1" applyBorder="1" applyAlignment="1" applyProtection="1">
      <alignment horizontal="center" vertical="center" wrapText="1"/>
    </xf>
    <xf numFmtId="9" fontId="44" fillId="0" borderId="77" xfId="1" applyFont="1" applyFill="1" applyBorder="1" applyAlignment="1" applyProtection="1">
      <alignment horizontal="center" vertical="center" wrapText="1"/>
    </xf>
    <xf numFmtId="9" fontId="44" fillId="0" borderId="78" xfId="1" applyFont="1" applyFill="1" applyBorder="1" applyAlignment="1" applyProtection="1">
      <alignment horizontal="center" vertical="center" wrapText="1"/>
    </xf>
    <xf numFmtId="9" fontId="44" fillId="0" borderId="73" xfId="1" applyFont="1" applyFill="1" applyBorder="1" applyAlignment="1" applyProtection="1">
      <alignment horizontal="center" vertical="center" wrapText="1"/>
    </xf>
    <xf numFmtId="9" fontId="44" fillId="0" borderId="72" xfId="1" applyFont="1" applyFill="1" applyBorder="1" applyAlignment="1" applyProtection="1">
      <alignment horizontal="center" vertical="center" wrapText="1"/>
    </xf>
    <xf numFmtId="9" fontId="44" fillId="0" borderId="22" xfId="1" applyFont="1" applyFill="1" applyBorder="1" applyAlignment="1" applyProtection="1">
      <alignment horizontal="center" vertical="center" wrapText="1"/>
    </xf>
    <xf numFmtId="9" fontId="44" fillId="0" borderId="23" xfId="1" applyFont="1" applyFill="1" applyBorder="1" applyAlignment="1" applyProtection="1">
      <alignment horizontal="center" vertical="center" wrapText="1"/>
    </xf>
    <xf numFmtId="9" fontId="44" fillId="0" borderId="32" xfId="1" applyFont="1" applyFill="1" applyBorder="1" applyAlignment="1" applyProtection="1">
      <alignment horizontal="center" vertical="center" wrapText="1"/>
    </xf>
    <xf numFmtId="3" fontId="44" fillId="33" borderId="44" xfId="49" applyNumberFormat="1" applyFont="1" applyFill="1" applyBorder="1" applyAlignment="1" applyProtection="1">
      <alignment horizontal="center" vertical="center" wrapText="1"/>
    </xf>
    <xf numFmtId="3" fontId="44" fillId="33" borderId="31" xfId="49" applyNumberFormat="1" applyFont="1" applyFill="1" applyBorder="1" applyAlignment="1" applyProtection="1">
      <alignment horizontal="center" vertical="center" wrapText="1"/>
    </xf>
    <xf numFmtId="3" fontId="44" fillId="26" borderId="32" xfId="49" applyNumberFormat="1" applyFont="1" applyFill="1" applyBorder="1" applyAlignment="1" applyProtection="1">
      <alignment horizontal="center" vertical="center" wrapText="1"/>
    </xf>
    <xf numFmtId="3" fontId="44" fillId="26" borderId="7" xfId="49" applyNumberFormat="1" applyFont="1" applyFill="1" applyBorder="1" applyAlignment="1" applyProtection="1">
      <alignment horizontal="center" vertical="center" wrapText="1"/>
    </xf>
    <xf numFmtId="3" fontId="44" fillId="33" borderId="32" xfId="49" applyNumberFormat="1" applyFont="1" applyFill="1" applyBorder="1" applyAlignment="1" applyProtection="1">
      <alignment horizontal="center" vertical="center" wrapText="1"/>
    </xf>
    <xf numFmtId="3" fontId="44" fillId="33" borderId="7" xfId="49" applyNumberFormat="1" applyFont="1" applyFill="1" applyBorder="1" applyAlignment="1" applyProtection="1">
      <alignment horizontal="center" vertical="center" wrapText="1"/>
    </xf>
    <xf numFmtId="3" fontId="44" fillId="0" borderId="7" xfId="49" applyNumberFormat="1" applyFont="1" applyFill="1" applyBorder="1" applyAlignment="1" applyProtection="1">
      <alignment horizontal="center" vertical="center" wrapText="1"/>
    </xf>
    <xf numFmtId="3" fontId="44" fillId="0" borderId="79" xfId="49" applyNumberFormat="1" applyFont="1" applyFill="1" applyBorder="1" applyAlignment="1" applyProtection="1">
      <alignment horizontal="center" vertical="center" wrapText="1"/>
    </xf>
    <xf numFmtId="3" fontId="44" fillId="0" borderId="77" xfId="49" applyNumberFormat="1" applyFont="1" applyFill="1" applyBorder="1" applyAlignment="1" applyProtection="1">
      <alignment horizontal="center" vertical="center" wrapText="1"/>
    </xf>
    <xf numFmtId="3" fontId="44" fillId="0" borderId="22" xfId="49" applyNumberFormat="1" applyFont="1" applyFill="1" applyBorder="1" applyAlignment="1" applyProtection="1">
      <alignment horizontal="center" vertical="center" wrapText="1"/>
    </xf>
    <xf numFmtId="3" fontId="44" fillId="0" borderId="72" xfId="49" applyNumberFormat="1" applyFont="1" applyFill="1" applyBorder="1" applyAlignment="1" applyProtection="1">
      <alignment horizontal="center" vertical="center" wrapText="1"/>
    </xf>
    <xf numFmtId="3" fontId="44" fillId="0" borderId="23" xfId="49" applyNumberFormat="1" applyFont="1" applyFill="1" applyBorder="1" applyAlignment="1" applyProtection="1">
      <alignment horizontal="center" vertical="center" wrapText="1"/>
    </xf>
    <xf numFmtId="3" fontId="44" fillId="33" borderId="23" xfId="49" applyNumberFormat="1" applyFont="1" applyFill="1" applyBorder="1" applyAlignment="1" applyProtection="1">
      <alignment horizontal="center" vertical="center" wrapText="1"/>
    </xf>
    <xf numFmtId="3" fontId="44" fillId="26" borderId="23" xfId="49" applyNumberFormat="1" applyFont="1" applyFill="1" applyBorder="1" applyAlignment="1" applyProtection="1">
      <alignment horizontal="center" vertical="center" wrapText="1"/>
    </xf>
    <xf numFmtId="3" fontId="44" fillId="33" borderId="33" xfId="49" applyNumberFormat="1" applyFont="1" applyFill="1" applyBorder="1" applyAlignment="1" applyProtection="1">
      <alignment horizontal="center" vertical="center" wrapText="1"/>
    </xf>
    <xf numFmtId="3" fontId="44" fillId="0" borderId="73" xfId="49" applyNumberFormat="1" applyFont="1" applyFill="1" applyBorder="1" applyAlignment="1" applyProtection="1">
      <alignment horizontal="center" vertical="center" wrapText="1"/>
    </xf>
    <xf numFmtId="3" fontId="44" fillId="0" borderId="81" xfId="49" applyNumberFormat="1" applyFont="1" applyFill="1" applyBorder="1" applyAlignment="1" applyProtection="1">
      <alignment horizontal="center" vertical="center" wrapText="1"/>
    </xf>
    <xf numFmtId="3" fontId="43" fillId="24" borderId="9" xfId="49" applyNumberFormat="1" applyFont="1" applyFill="1" applyBorder="1" applyAlignment="1" applyProtection="1">
      <alignment horizontal="center" vertical="center" wrapText="1"/>
    </xf>
    <xf numFmtId="3" fontId="43" fillId="24" borderId="8" xfId="49" applyNumberFormat="1" applyFont="1" applyFill="1" applyBorder="1" applyAlignment="1" applyProtection="1">
      <alignment horizontal="center" vertical="center" wrapText="1"/>
    </xf>
    <xf numFmtId="3" fontId="44" fillId="33" borderId="62" xfId="49" applyNumberFormat="1" applyFont="1" applyFill="1" applyBorder="1" applyAlignment="1" applyProtection="1">
      <alignment horizontal="center" vertical="center" wrapText="1"/>
    </xf>
    <xf numFmtId="3" fontId="43" fillId="24" borderId="60" xfId="49" applyNumberFormat="1" applyFont="1" applyFill="1" applyBorder="1" applyAlignment="1" applyProtection="1">
      <alignment horizontal="center" vertical="center" wrapText="1"/>
    </xf>
    <xf numFmtId="3" fontId="44" fillId="26" borderId="28" xfId="49" applyNumberFormat="1" applyFont="1" applyFill="1" applyBorder="1" applyAlignment="1" applyProtection="1">
      <alignment horizontal="center" vertical="center" wrapText="1"/>
    </xf>
    <xf numFmtId="3" fontId="44" fillId="26" borderId="77" xfId="49" applyNumberFormat="1" applyFont="1" applyFill="1" applyBorder="1" applyAlignment="1" applyProtection="1">
      <alignment horizontal="center" vertical="center" wrapText="1"/>
    </xf>
    <xf numFmtId="3" fontId="43" fillId="0" borderId="8" xfId="31" applyNumberFormat="1" applyFont="1" applyFill="1" applyBorder="1" applyAlignment="1" applyProtection="1">
      <alignment horizontal="center" vertical="center" wrapText="1"/>
    </xf>
    <xf numFmtId="3" fontId="43" fillId="0" borderId="9" xfId="31" applyNumberFormat="1" applyFont="1" applyFill="1" applyBorder="1" applyAlignment="1" applyProtection="1">
      <alignment horizontal="center" vertical="center" wrapText="1"/>
    </xf>
    <xf numFmtId="3" fontId="43" fillId="0" borderId="8" xfId="49" applyNumberFormat="1" applyFont="1" applyFill="1" applyBorder="1" applyAlignment="1" applyProtection="1">
      <alignment horizontal="center" vertical="center" wrapText="1"/>
    </xf>
    <xf numFmtId="3" fontId="43" fillId="0" borderId="9" xfId="49" applyNumberFormat="1" applyFont="1" applyFill="1" applyBorder="1" applyAlignment="1" applyProtection="1">
      <alignment horizontal="center" vertical="center" wrapText="1"/>
    </xf>
    <xf numFmtId="3" fontId="43" fillId="0" borderId="23" xfId="49" applyNumberFormat="1" applyFont="1" applyFill="1" applyBorder="1" applyAlignment="1" applyProtection="1">
      <alignment horizontal="center" vertical="center" wrapText="1"/>
    </xf>
    <xf numFmtId="3" fontId="43" fillId="0" borderId="32" xfId="49" applyNumberFormat="1" applyFont="1" applyFill="1" applyBorder="1" applyAlignment="1" applyProtection="1">
      <alignment horizontal="center" vertical="center" wrapText="1"/>
    </xf>
    <xf numFmtId="3" fontId="43" fillId="0" borderId="7" xfId="49" applyNumberFormat="1" applyFont="1" applyFill="1" applyBorder="1" applyAlignment="1" applyProtection="1">
      <alignment horizontal="center" vertical="center" wrapText="1"/>
    </xf>
    <xf numFmtId="0" fontId="94" fillId="27" borderId="0" xfId="49" applyFont="1" applyFill="1" applyAlignment="1">
      <alignment vertical="center"/>
    </xf>
    <xf numFmtId="0" fontId="56" fillId="27" borderId="0" xfId="49" applyFont="1" applyFill="1" applyAlignment="1">
      <alignment vertical="center"/>
    </xf>
    <xf numFmtId="0" fontId="132" fillId="27" borderId="0" xfId="2" quotePrefix="1" applyFont="1" applyFill="1" applyAlignment="1" applyProtection="1">
      <alignment vertical="center"/>
    </xf>
    <xf numFmtId="0" fontId="133" fillId="27" borderId="0" xfId="49" applyFont="1" applyFill="1" applyAlignment="1">
      <alignment vertical="center"/>
    </xf>
    <xf numFmtId="3" fontId="43" fillId="24" borderId="2" xfId="1" applyNumberFormat="1" applyFont="1" applyFill="1" applyBorder="1" applyAlignment="1" applyProtection="1">
      <alignment horizontal="center" vertical="center" wrapText="1"/>
    </xf>
    <xf numFmtId="3" fontId="44" fillId="33" borderId="5" xfId="1" applyNumberFormat="1" applyFont="1" applyFill="1" applyBorder="1" applyAlignment="1" applyProtection="1">
      <alignment horizontal="center" vertical="center" wrapText="1"/>
    </xf>
    <xf numFmtId="3" fontId="44" fillId="26" borderId="17" xfId="1" applyNumberFormat="1" applyFont="1" applyFill="1" applyBorder="1" applyAlignment="1" applyProtection="1">
      <alignment horizontal="center" vertical="center" wrapText="1"/>
    </xf>
    <xf numFmtId="3" fontId="44" fillId="33" borderId="17" xfId="1" applyNumberFormat="1" applyFont="1" applyFill="1" applyBorder="1" applyAlignment="1" applyProtection="1">
      <alignment horizontal="center" vertical="center" wrapText="1"/>
    </xf>
    <xf numFmtId="3" fontId="44" fillId="26" borderId="21" xfId="1" applyNumberFormat="1" applyFont="1" applyFill="1" applyBorder="1" applyAlignment="1" applyProtection="1">
      <alignment horizontal="center" vertical="center" wrapText="1"/>
    </xf>
    <xf numFmtId="3" fontId="43" fillId="0" borderId="2" xfId="1" applyNumberFormat="1" applyFont="1" applyFill="1" applyBorder="1" applyAlignment="1" applyProtection="1">
      <alignment horizontal="center" vertical="center" wrapText="1"/>
    </xf>
    <xf numFmtId="3" fontId="43" fillId="0" borderId="17" xfId="49" applyNumberFormat="1" applyFont="1" applyFill="1" applyBorder="1" applyAlignment="1" applyProtection="1">
      <alignment horizontal="center" vertical="center" wrapText="1"/>
    </xf>
    <xf numFmtId="0" fontId="44" fillId="27" borderId="0" xfId="49" applyFont="1" applyFill="1" applyBorder="1" applyAlignment="1" applyProtection="1">
      <alignment vertical="center"/>
    </xf>
    <xf numFmtId="167" fontId="44" fillId="27" borderId="0" xfId="49" applyNumberFormat="1" applyFont="1" applyFill="1" applyBorder="1" applyAlignment="1" applyProtection="1">
      <alignment horizontal="center" vertical="center"/>
    </xf>
    <xf numFmtId="0" fontId="44" fillId="27" borderId="0" xfId="49" applyFont="1" applyFill="1" applyBorder="1" applyAlignment="1" applyProtection="1">
      <alignment horizontal="center" vertical="center"/>
    </xf>
    <xf numFmtId="167" fontId="43" fillId="27" borderId="0" xfId="49" applyNumberFormat="1" applyFont="1" applyFill="1" applyBorder="1" applyAlignment="1" applyProtection="1">
      <alignment horizontal="center" vertical="center"/>
    </xf>
    <xf numFmtId="0" fontId="43" fillId="27" borderId="0" xfId="49" applyFont="1" applyFill="1" applyBorder="1" applyAlignment="1" applyProtection="1">
      <alignment horizontal="center" vertical="center"/>
    </xf>
    <xf numFmtId="174" fontId="43" fillId="27" borderId="0" xfId="49" applyNumberFormat="1" applyFont="1" applyFill="1" applyBorder="1" applyAlignment="1" applyProtection="1">
      <alignment horizontal="center" vertical="center"/>
    </xf>
    <xf numFmtId="174" fontId="44" fillId="27" borderId="0" xfId="49" applyNumberFormat="1" applyFont="1" applyFill="1" applyBorder="1" applyAlignment="1" applyProtection="1">
      <alignment horizontal="center" vertical="center"/>
    </xf>
    <xf numFmtId="0" fontId="44" fillId="27" borderId="0" xfId="49" applyFont="1" applyFill="1" applyAlignment="1" applyProtection="1">
      <alignment horizontal="center" vertical="center" wrapText="1"/>
    </xf>
    <xf numFmtId="174" fontId="44" fillId="27" borderId="0" xfId="49" applyNumberFormat="1" applyFont="1" applyFill="1" applyAlignment="1" applyProtection="1">
      <alignment horizontal="center" vertical="center" wrapText="1"/>
    </xf>
    <xf numFmtId="3" fontId="44" fillId="0" borderId="17" xfId="1" applyNumberFormat="1" applyFont="1" applyFill="1" applyBorder="1" applyAlignment="1" applyProtection="1">
      <alignment horizontal="center" vertical="center" wrapText="1"/>
    </xf>
    <xf numFmtId="3" fontId="44" fillId="0" borderId="21" xfId="1" applyNumberFormat="1" applyFont="1" applyFill="1" applyBorder="1" applyAlignment="1" applyProtection="1">
      <alignment horizontal="center" vertical="center" wrapText="1"/>
    </xf>
    <xf numFmtId="3" fontId="44" fillId="0" borderId="39" xfId="1" applyNumberFormat="1" applyFont="1" applyFill="1" applyBorder="1" applyAlignment="1" applyProtection="1">
      <alignment horizontal="center" vertical="center" wrapText="1"/>
    </xf>
    <xf numFmtId="3" fontId="44" fillId="0" borderId="5" xfId="1" applyNumberFormat="1" applyFont="1" applyFill="1" applyBorder="1" applyAlignment="1" applyProtection="1">
      <alignment horizontal="center" vertical="center" wrapText="1"/>
    </xf>
    <xf numFmtId="3" fontId="44" fillId="0" borderId="51" xfId="1" applyNumberFormat="1" applyFont="1" applyFill="1" applyBorder="1" applyAlignment="1" applyProtection="1">
      <alignment horizontal="center" vertical="center" wrapText="1"/>
    </xf>
    <xf numFmtId="9" fontId="44" fillId="0" borderId="57" xfId="1" applyFont="1" applyFill="1" applyBorder="1" applyAlignment="1" applyProtection="1">
      <alignment horizontal="center" vertical="center" wrapText="1"/>
    </xf>
    <xf numFmtId="9" fontId="44" fillId="0" borderId="15" xfId="1" applyFont="1" applyFill="1" applyBorder="1" applyAlignment="1" applyProtection="1">
      <alignment horizontal="center" vertical="center" wrapText="1"/>
    </xf>
    <xf numFmtId="9" fontId="44" fillId="0" borderId="14" xfId="1" applyFont="1" applyFill="1" applyBorder="1" applyAlignment="1" applyProtection="1">
      <alignment horizontal="center" vertical="center" wrapText="1"/>
    </xf>
    <xf numFmtId="3" fontId="44" fillId="33" borderId="17" xfId="49" applyNumberFormat="1" applyFont="1" applyFill="1" applyBorder="1" applyAlignment="1" applyProtection="1">
      <alignment horizontal="center" vertical="center" wrapText="1"/>
    </xf>
    <xf numFmtId="3" fontId="44" fillId="33" borderId="5" xfId="49" applyNumberFormat="1" applyFont="1" applyFill="1" applyBorder="1" applyAlignment="1" applyProtection="1">
      <alignment horizontal="center" vertical="center" wrapText="1"/>
    </xf>
    <xf numFmtId="9" fontId="44" fillId="33" borderId="15" xfId="1" applyFont="1" applyFill="1" applyBorder="1" applyAlignment="1" applyProtection="1">
      <alignment horizontal="center" vertical="center" wrapText="1"/>
    </xf>
    <xf numFmtId="49" fontId="39" fillId="27" borderId="49" xfId="49" applyNumberFormat="1" applyFont="1" applyFill="1" applyBorder="1" applyAlignment="1" applyProtection="1">
      <alignment horizontal="left" vertical="center" wrapText="1"/>
    </xf>
    <xf numFmtId="0" fontId="39" fillId="27" borderId="50" xfId="49" applyFont="1" applyFill="1" applyBorder="1" applyAlignment="1" applyProtection="1">
      <alignment horizontal="left" vertical="center" wrapText="1"/>
    </xf>
    <xf numFmtId="3" fontId="39" fillId="27" borderId="5" xfId="49" applyNumberFormat="1" applyFont="1" applyFill="1" applyBorder="1" applyAlignment="1" applyProtection="1">
      <alignment horizontal="center" vertical="center" wrapText="1"/>
    </xf>
    <xf numFmtId="3" fontId="39" fillId="0" borderId="32" xfId="32" applyNumberFormat="1" applyFont="1" applyFill="1" applyBorder="1" applyAlignment="1" applyProtection="1">
      <alignment horizontal="center" vertical="center"/>
    </xf>
    <xf numFmtId="9" fontId="39" fillId="0" borderId="7" xfId="1" applyFont="1" applyFill="1" applyBorder="1" applyAlignment="1" applyProtection="1">
      <alignment horizontal="center" vertical="center"/>
    </xf>
    <xf numFmtId="3" fontId="39" fillId="0" borderId="7" xfId="32" applyNumberFormat="1" applyFont="1" applyFill="1" applyBorder="1" applyAlignment="1" applyProtection="1">
      <alignment horizontal="center" vertical="center"/>
    </xf>
    <xf numFmtId="9" fontId="39" fillId="0" borderId="62" xfId="1" applyFont="1" applyFill="1" applyBorder="1" applyAlignment="1" applyProtection="1">
      <alignment horizontal="center" vertical="center"/>
    </xf>
    <xf numFmtId="3" fontId="39" fillId="0" borderId="17" xfId="1" applyNumberFormat="1" applyFont="1" applyFill="1" applyBorder="1" applyAlignment="1" applyProtection="1">
      <alignment horizontal="center" vertical="center"/>
    </xf>
    <xf numFmtId="9" fontId="39" fillId="0" borderId="53" xfId="1" applyFont="1" applyFill="1" applyBorder="1" applyAlignment="1" applyProtection="1">
      <alignment horizontal="center" vertical="center"/>
    </xf>
    <xf numFmtId="3" fontId="39" fillId="0" borderId="23" xfId="32" applyNumberFormat="1" applyFont="1" applyFill="1" applyBorder="1" applyAlignment="1" applyProtection="1">
      <alignment horizontal="center" vertical="center"/>
    </xf>
    <xf numFmtId="0" fontId="39" fillId="27" borderId="0" xfId="49" applyFont="1" applyFill="1" applyAlignment="1">
      <alignment vertical="center"/>
    </xf>
    <xf numFmtId="0" fontId="134" fillId="27" borderId="0" xfId="2" quotePrefix="1" applyFont="1" applyFill="1" applyAlignment="1" applyProtection="1">
      <alignment vertical="center"/>
    </xf>
    <xf numFmtId="0" fontId="135" fillId="27" borderId="0" xfId="49" applyFont="1" applyFill="1" applyAlignment="1">
      <alignment vertical="center"/>
    </xf>
    <xf numFmtId="0" fontId="39" fillId="0" borderId="50" xfId="49" applyFont="1" applyFill="1" applyBorder="1" applyAlignment="1" applyProtection="1">
      <alignment horizontal="left" vertical="center" wrapText="1"/>
    </xf>
    <xf numFmtId="3" fontId="39" fillId="0" borderId="5" xfId="49" applyNumberFormat="1" applyFont="1" applyFill="1" applyBorder="1" applyAlignment="1" applyProtection="1">
      <alignment horizontal="center" vertical="center" wrapText="1"/>
    </xf>
    <xf numFmtId="49" fontId="39" fillId="27" borderId="52" xfId="49" applyNumberFormat="1" applyFont="1" applyFill="1" applyBorder="1" applyAlignment="1" applyProtection="1">
      <alignment horizontal="left" vertical="center" wrapText="1"/>
    </xf>
    <xf numFmtId="0" fontId="39" fillId="0" borderId="53" xfId="49" applyFont="1" applyFill="1" applyBorder="1" applyAlignment="1" applyProtection="1">
      <alignment horizontal="left" vertical="center" wrapText="1"/>
    </xf>
    <xf numFmtId="3" fontId="39" fillId="0" borderId="17" xfId="49" applyNumberFormat="1" applyFont="1" applyFill="1" applyBorder="1" applyAlignment="1" applyProtection="1">
      <alignment horizontal="center" vertical="center" wrapText="1"/>
    </xf>
    <xf numFmtId="3" fontId="39" fillId="0" borderId="32" xfId="49" applyNumberFormat="1" applyFont="1" applyFill="1" applyBorder="1" applyAlignment="1" applyProtection="1">
      <alignment horizontal="center" vertical="center" wrapText="1"/>
    </xf>
    <xf numFmtId="9" fontId="39" fillId="0" borderId="7" xfId="1" applyFont="1" applyFill="1" applyBorder="1" applyAlignment="1" applyProtection="1">
      <alignment horizontal="center" vertical="center" wrapText="1"/>
    </xf>
    <xf numFmtId="3" fontId="39" fillId="0" borderId="7" xfId="49" applyNumberFormat="1" applyFont="1" applyFill="1" applyBorder="1" applyAlignment="1" applyProtection="1">
      <alignment horizontal="center" vertical="center" wrapText="1"/>
    </xf>
    <xf numFmtId="9" fontId="39" fillId="0" borderId="62" xfId="1" applyFont="1" applyFill="1" applyBorder="1" applyAlignment="1" applyProtection="1">
      <alignment horizontal="center" vertical="center" wrapText="1"/>
    </xf>
    <xf numFmtId="3" fontId="39" fillId="0" borderId="17" xfId="1" applyNumberFormat="1" applyFont="1" applyFill="1" applyBorder="1" applyAlignment="1" applyProtection="1">
      <alignment horizontal="center" vertical="center" wrapText="1"/>
    </xf>
    <xf numFmtId="9" fontId="39" fillId="0" borderId="53" xfId="1" applyFont="1" applyFill="1" applyBorder="1" applyAlignment="1" applyProtection="1">
      <alignment horizontal="center" vertical="center" wrapText="1"/>
    </xf>
    <xf numFmtId="3" fontId="39" fillId="0" borderId="23" xfId="49" applyNumberFormat="1" applyFont="1" applyFill="1" applyBorder="1" applyAlignment="1" applyProtection="1">
      <alignment horizontal="center" vertical="center" wrapText="1"/>
    </xf>
    <xf numFmtId="9" fontId="39" fillId="0" borderId="32" xfId="1" applyFont="1" applyFill="1" applyBorder="1" applyAlignment="1" applyProtection="1">
      <alignment horizontal="center" vertical="center" wrapText="1"/>
    </xf>
    <xf numFmtId="9" fontId="39" fillId="0" borderId="23" xfId="1" applyFont="1" applyFill="1" applyBorder="1" applyAlignment="1" applyProtection="1">
      <alignment horizontal="center" vertical="center" wrapText="1"/>
    </xf>
    <xf numFmtId="9" fontId="39" fillId="0" borderId="15" xfId="1" applyFont="1" applyFill="1" applyBorder="1" applyAlignment="1" applyProtection="1">
      <alignment horizontal="center" vertical="center" wrapText="1"/>
    </xf>
    <xf numFmtId="9" fontId="43" fillId="0" borderId="3" xfId="1" applyFont="1" applyFill="1" applyBorder="1" applyAlignment="1" applyProtection="1">
      <alignment horizontal="center" vertical="center" wrapText="1"/>
    </xf>
    <xf numFmtId="0" fontId="22" fillId="0" borderId="0" xfId="49" applyFont="1" applyFill="1" applyAlignment="1">
      <alignment vertical="center"/>
    </xf>
    <xf numFmtId="0" fontId="136" fillId="0" borderId="0" xfId="49" applyFont="1" applyFill="1" applyAlignment="1">
      <alignment vertical="center"/>
    </xf>
    <xf numFmtId="0" fontId="136" fillId="27" borderId="0" xfId="49" applyFont="1" applyFill="1" applyAlignment="1">
      <alignment vertical="center"/>
    </xf>
    <xf numFmtId="9" fontId="43" fillId="0" borderId="7" xfId="1" applyFont="1" applyFill="1" applyBorder="1" applyAlignment="1" applyProtection="1">
      <alignment horizontal="center" vertical="center" wrapText="1"/>
    </xf>
    <xf numFmtId="9" fontId="43" fillId="0" borderId="32" xfId="1" applyFont="1" applyFill="1" applyBorder="1" applyAlignment="1" applyProtection="1">
      <alignment horizontal="center" vertical="center" wrapText="1"/>
    </xf>
    <xf numFmtId="9" fontId="43" fillId="0" borderId="23" xfId="1" applyFont="1" applyFill="1" applyBorder="1" applyAlignment="1" applyProtection="1">
      <alignment horizontal="center" vertical="center" wrapText="1"/>
    </xf>
    <xf numFmtId="9" fontId="43" fillId="0" borderId="15" xfId="1" applyFont="1" applyFill="1" applyBorder="1" applyAlignment="1" applyProtection="1">
      <alignment horizontal="center" vertical="center" wrapText="1"/>
    </xf>
    <xf numFmtId="3" fontId="43" fillId="0" borderId="17" xfId="1" applyNumberFormat="1" applyFont="1" applyFill="1" applyBorder="1" applyAlignment="1" applyProtection="1">
      <alignment horizontal="center" vertical="center" wrapText="1"/>
    </xf>
    <xf numFmtId="0" fontId="94" fillId="0" borderId="0" xfId="49" applyFont="1" applyFill="1" applyAlignment="1">
      <alignment vertical="center"/>
    </xf>
    <xf numFmtId="0" fontId="137" fillId="27" borderId="0" xfId="49" applyFont="1" applyFill="1" applyAlignment="1">
      <alignment vertical="center"/>
    </xf>
    <xf numFmtId="0" fontId="138" fillId="27" borderId="0" xfId="49" applyFont="1" applyFill="1" applyAlignment="1">
      <alignment vertical="center"/>
    </xf>
    <xf numFmtId="3" fontId="44" fillId="27" borderId="7" xfId="49" applyNumberFormat="1" applyFont="1" applyFill="1" applyBorder="1" applyAlignment="1" applyProtection="1">
      <alignment horizontal="center" vertical="center" wrapText="1"/>
    </xf>
    <xf numFmtId="3" fontId="44" fillId="27" borderId="77" xfId="49" applyNumberFormat="1" applyFont="1" applyFill="1" applyBorder="1" applyAlignment="1" applyProtection="1">
      <alignment horizontal="center" vertical="center" wrapText="1"/>
    </xf>
    <xf numFmtId="3" fontId="44" fillId="27" borderId="31" xfId="49" applyNumberFormat="1" applyFont="1" applyFill="1" applyBorder="1" applyAlignment="1" applyProtection="1">
      <alignment horizontal="center" vertical="center" wrapText="1"/>
    </xf>
    <xf numFmtId="3" fontId="44" fillId="27" borderId="50" xfId="49" applyNumberFormat="1" applyFont="1" applyFill="1" applyBorder="1" applyAlignment="1" applyProtection="1">
      <alignment horizontal="center" vertical="center" wrapText="1"/>
    </xf>
    <xf numFmtId="3" fontId="44" fillId="27" borderId="52" xfId="49" applyNumberFormat="1" applyFont="1" applyFill="1" applyBorder="1" applyAlignment="1" applyProtection="1">
      <alignment horizontal="center" vertical="center" wrapText="1"/>
    </xf>
    <xf numFmtId="3" fontId="44" fillId="27" borderId="53" xfId="49" applyNumberFormat="1" applyFont="1" applyFill="1" applyBorder="1" applyAlignment="1" applyProtection="1">
      <alignment horizontal="center" vertical="center" wrapText="1"/>
    </xf>
    <xf numFmtId="3" fontId="44" fillId="27" borderId="56" xfId="49" applyNumberFormat="1" applyFont="1" applyFill="1" applyBorder="1" applyAlignment="1" applyProtection="1">
      <alignment horizontal="center" vertical="center" wrapText="1"/>
    </xf>
    <xf numFmtId="3" fontId="44" fillId="27" borderId="57" xfId="49" applyNumberFormat="1" applyFont="1" applyFill="1" applyBorder="1" applyAlignment="1" applyProtection="1">
      <alignment horizontal="center" vertical="center" wrapText="1"/>
    </xf>
    <xf numFmtId="3" fontId="44" fillId="27" borderId="49" xfId="49" applyNumberFormat="1" applyFont="1" applyFill="1" applyBorder="1" applyAlignment="1" applyProtection="1">
      <alignment horizontal="center" vertical="center" wrapText="1"/>
    </xf>
    <xf numFmtId="2" fontId="44" fillId="0" borderId="61" xfId="83" applyNumberFormat="1" applyFont="1" applyFill="1" applyBorder="1" applyAlignment="1" applyProtection="1">
      <alignment horizontal="left" vertical="center" wrapText="1"/>
    </xf>
    <xf numFmtId="2" fontId="44" fillId="0" borderId="62" xfId="83" applyNumberFormat="1" applyFont="1" applyFill="1" applyBorder="1" applyAlignment="1" applyProtection="1">
      <alignment horizontal="left" vertical="center" wrapText="1"/>
    </xf>
    <xf numFmtId="2" fontId="44" fillId="0" borderId="78" xfId="83" applyNumberFormat="1" applyFont="1" applyFill="1" applyBorder="1" applyAlignment="1" applyProtection="1">
      <alignment horizontal="left" vertical="center" wrapText="1"/>
    </xf>
    <xf numFmtId="3" fontId="44" fillId="27" borderId="79" xfId="49" applyNumberFormat="1" applyFont="1" applyFill="1" applyBorder="1" applyAlignment="1" applyProtection="1">
      <alignment horizontal="center" vertical="center" wrapText="1"/>
    </xf>
    <xf numFmtId="2" fontId="44" fillId="37" borderId="26" xfId="83" applyNumberFormat="1" applyFont="1" applyFill="1" applyBorder="1" applyAlignment="1" applyProtection="1">
      <alignment horizontal="center" vertical="center" wrapText="1"/>
    </xf>
    <xf numFmtId="2" fontId="44" fillId="37" borderId="34" xfId="83" applyNumberFormat="1" applyFont="1" applyFill="1" applyBorder="1" applyAlignment="1" applyProtection="1">
      <alignment horizontal="center" vertical="center" wrapText="1"/>
    </xf>
    <xf numFmtId="49" fontId="44" fillId="20" borderId="52" xfId="32" applyNumberFormat="1" applyFont="1" applyFill="1" applyBorder="1" applyAlignment="1" applyProtection="1">
      <alignment horizontal="center" vertical="center" wrapText="1"/>
    </xf>
    <xf numFmtId="0" fontId="44" fillId="0" borderId="23" xfId="32" applyFont="1" applyFill="1" applyBorder="1" applyAlignment="1" applyProtection="1">
      <alignment vertical="center" wrapText="1"/>
    </xf>
    <xf numFmtId="170" fontId="50" fillId="37" borderId="56" xfId="32" applyNumberFormat="1" applyFont="1" applyFill="1" applyBorder="1" applyAlignment="1" applyProtection="1">
      <alignment horizontal="center" vertical="center" wrapText="1"/>
    </xf>
    <xf numFmtId="170" fontId="50" fillId="37" borderId="77" xfId="32" applyNumberFormat="1" applyFont="1" applyFill="1" applyBorder="1" applyAlignment="1" applyProtection="1">
      <alignment horizontal="center" vertical="center" wrapText="1"/>
    </xf>
    <xf numFmtId="170" fontId="50" fillId="37" borderId="57" xfId="32" applyNumberFormat="1" applyFont="1" applyFill="1" applyBorder="1" applyAlignment="1" applyProtection="1">
      <alignment horizontal="center" vertical="center" wrapText="1"/>
    </xf>
    <xf numFmtId="9" fontId="44" fillId="0" borderId="76" xfId="1" applyFont="1" applyFill="1" applyBorder="1" applyAlignment="1" applyProtection="1">
      <alignment horizontal="center" vertical="center" wrapText="1"/>
    </xf>
    <xf numFmtId="9" fontId="43" fillId="0" borderId="53" xfId="1" applyFont="1" applyFill="1" applyBorder="1" applyAlignment="1" applyProtection="1">
      <alignment horizontal="center" vertical="center" wrapText="1"/>
    </xf>
    <xf numFmtId="3" fontId="43" fillId="24" borderId="1" xfId="49" applyNumberFormat="1" applyFont="1" applyFill="1" applyBorder="1" applyAlignment="1" applyProtection="1">
      <alignment horizontal="center" vertical="center" wrapText="1"/>
    </xf>
    <xf numFmtId="3" fontId="44" fillId="33" borderId="25" xfId="49" applyNumberFormat="1" applyFont="1" applyFill="1" applyBorder="1" applyAlignment="1" applyProtection="1">
      <alignment horizontal="center" vertical="center" wrapText="1"/>
    </xf>
    <xf numFmtId="3" fontId="15" fillId="0" borderId="24" xfId="32" applyNumberFormat="1" applyFont="1" applyFill="1" applyBorder="1" applyAlignment="1" applyProtection="1">
      <alignment horizontal="center" vertical="center"/>
    </xf>
    <xf numFmtId="3" fontId="44" fillId="26" borderId="24" xfId="49" applyNumberFormat="1" applyFont="1" applyFill="1" applyBorder="1" applyAlignment="1" applyProtection="1">
      <alignment horizontal="center" vertical="center" wrapText="1"/>
    </xf>
    <xf numFmtId="3" fontId="44" fillId="33" borderId="24" xfId="49" applyNumberFormat="1" applyFont="1" applyFill="1" applyBorder="1" applyAlignment="1" applyProtection="1">
      <alignment horizontal="center" vertical="center" wrapText="1"/>
    </xf>
    <xf numFmtId="3" fontId="45" fillId="0" borderId="24" xfId="49" applyNumberFormat="1" applyFont="1" applyFill="1" applyBorder="1" applyAlignment="1" applyProtection="1">
      <alignment horizontal="center" vertical="center" wrapText="1"/>
    </xf>
    <xf numFmtId="3" fontId="44" fillId="44" borderId="29" xfId="49" applyNumberFormat="1" applyFont="1" applyFill="1" applyBorder="1" applyAlignment="1" applyProtection="1">
      <alignment horizontal="center" vertical="center" wrapText="1"/>
    </xf>
    <xf numFmtId="3" fontId="44" fillId="44" borderId="24" xfId="49" applyNumberFormat="1" applyFont="1" applyFill="1" applyBorder="1" applyAlignment="1" applyProtection="1">
      <alignment horizontal="center" vertical="center" wrapText="1"/>
    </xf>
    <xf numFmtId="3" fontId="44" fillId="44" borderId="30" xfId="49" applyNumberFormat="1" applyFont="1" applyFill="1" applyBorder="1" applyAlignment="1" applyProtection="1">
      <alignment horizontal="center" vertical="center" wrapText="1"/>
    </xf>
    <xf numFmtId="3" fontId="44" fillId="0" borderId="24" xfId="49" applyNumberFormat="1" applyFont="1" applyFill="1" applyBorder="1" applyAlignment="1" applyProtection="1">
      <alignment horizontal="center" vertical="center" wrapText="1"/>
    </xf>
    <xf numFmtId="3" fontId="43" fillId="0" borderId="1" xfId="31" applyNumberFormat="1" applyFont="1" applyFill="1" applyBorder="1" applyAlignment="1" applyProtection="1">
      <alignment horizontal="center" vertical="center" wrapText="1"/>
    </xf>
    <xf numFmtId="3" fontId="43" fillId="0" borderId="1" xfId="49" applyNumberFormat="1" applyFont="1" applyFill="1" applyBorder="1" applyAlignment="1" applyProtection="1">
      <alignment horizontal="center" vertical="center" wrapText="1"/>
    </xf>
    <xf numFmtId="3" fontId="45" fillId="26" borderId="24" xfId="49" applyNumberFormat="1" applyFont="1" applyFill="1" applyBorder="1" applyAlignment="1" applyProtection="1">
      <alignment horizontal="center" vertical="center" wrapText="1"/>
    </xf>
    <xf numFmtId="49" fontId="48" fillId="0" borderId="52" xfId="0" applyNumberFormat="1" applyFont="1" applyFill="1" applyBorder="1" applyAlignment="1" applyProtection="1">
      <alignment horizontal="center" vertical="center" wrapText="1"/>
    </xf>
    <xf numFmtId="0" fontId="48" fillId="0"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xf>
    <xf numFmtId="0" fontId="60" fillId="0" borderId="0" xfId="40" applyFont="1" applyFill="1" applyAlignment="1" applyProtection="1">
      <alignment vertical="center"/>
    </xf>
    <xf numFmtId="0" fontId="48" fillId="0" borderId="0" xfId="40" applyFont="1" applyFill="1" applyAlignment="1" applyProtection="1">
      <alignment vertical="center"/>
    </xf>
    <xf numFmtId="3" fontId="48" fillId="0" borderId="63" xfId="59" applyNumberFormat="1" applyFont="1" applyFill="1" applyBorder="1" applyAlignment="1" applyProtection="1">
      <alignment horizontal="center" vertical="center"/>
    </xf>
    <xf numFmtId="0" fontId="50" fillId="0" borderId="56" xfId="0" applyFont="1" applyFill="1" applyBorder="1" applyAlignment="1" applyProtection="1">
      <alignment horizontal="center" vertical="center"/>
    </xf>
    <xf numFmtId="0" fontId="50" fillId="0" borderId="77" xfId="0" applyFont="1" applyFill="1" applyBorder="1" applyAlignment="1" applyProtection="1">
      <alignment horizontal="left" vertical="center" wrapText="1"/>
    </xf>
    <xf numFmtId="0" fontId="50" fillId="0" borderId="77" xfId="0" applyFont="1" applyFill="1" applyBorder="1" applyAlignment="1" applyProtection="1">
      <alignment horizontal="center" vertical="center" wrapText="1"/>
    </xf>
    <xf numFmtId="3" fontId="50" fillId="0" borderId="77" xfId="0" applyNumberFormat="1" applyFont="1" applyFill="1" applyBorder="1" applyAlignment="1" applyProtection="1">
      <alignment horizontal="center" vertical="center"/>
    </xf>
    <xf numFmtId="0" fontId="18" fillId="26" borderId="0" xfId="83" applyFont="1" applyFill="1" applyAlignment="1" applyProtection="1">
      <alignment vertical="center" wrapText="1"/>
    </xf>
    <xf numFmtId="0" fontId="60" fillId="27" borderId="0" xfId="32" applyFont="1" applyFill="1" applyAlignment="1">
      <alignment horizontal="center" vertical="center"/>
    </xf>
    <xf numFmtId="0" fontId="60" fillId="27" borderId="0" xfId="32" applyFont="1" applyFill="1" applyAlignment="1">
      <alignment vertical="center"/>
    </xf>
    <xf numFmtId="0" fontId="60" fillId="27" borderId="0" xfId="32" applyFont="1" applyFill="1" applyAlignment="1">
      <alignment vertical="center" wrapText="1"/>
    </xf>
    <xf numFmtId="0" fontId="90" fillId="27" borderId="0" xfId="32" applyFont="1" applyFill="1" applyAlignment="1">
      <alignment horizontal="center" vertical="center"/>
    </xf>
    <xf numFmtId="0" fontId="60" fillId="27" borderId="0" xfId="32" applyFont="1" applyFill="1" applyAlignment="1">
      <alignment horizontal="center" vertical="center" wrapText="1"/>
    </xf>
    <xf numFmtId="0" fontId="90" fillId="27" borderId="0" xfId="32" applyFont="1" applyFill="1" applyAlignment="1">
      <alignment horizontal="left" vertical="center" wrapText="1"/>
    </xf>
    <xf numFmtId="0" fontId="140" fillId="27" borderId="0" xfId="32" applyFont="1" applyFill="1" applyAlignment="1">
      <alignment vertical="center"/>
    </xf>
    <xf numFmtId="0" fontId="65" fillId="27" borderId="0" xfId="32" applyFont="1" applyFill="1" applyAlignment="1">
      <alignment vertical="center"/>
    </xf>
    <xf numFmtId="3" fontId="60" fillId="3" borderId="49" xfId="32" applyNumberFormat="1" applyFont="1" applyFill="1" applyBorder="1" applyAlignment="1" applyProtection="1">
      <alignment horizontal="center" vertical="center"/>
      <protection locked="0"/>
    </xf>
    <xf numFmtId="3" fontId="60" fillId="3" borderId="50" xfId="32" applyNumberFormat="1" applyFont="1" applyFill="1" applyBorder="1" applyAlignment="1" applyProtection="1">
      <alignment horizontal="center" vertical="center"/>
      <protection locked="0"/>
    </xf>
    <xf numFmtId="3" fontId="60" fillId="3" borderId="44" xfId="32" applyNumberFormat="1" applyFont="1" applyFill="1" applyBorder="1" applyAlignment="1" applyProtection="1">
      <alignment horizontal="center" vertical="center"/>
      <protection locked="0"/>
    </xf>
    <xf numFmtId="3" fontId="60" fillId="3" borderId="31" xfId="32" applyNumberFormat="1" applyFont="1" applyFill="1" applyBorder="1" applyAlignment="1" applyProtection="1">
      <alignment horizontal="center" vertical="center"/>
      <protection locked="0"/>
    </xf>
    <xf numFmtId="3" fontId="60" fillId="3" borderId="61" xfId="32" applyNumberFormat="1" applyFont="1" applyFill="1" applyBorder="1" applyAlignment="1" applyProtection="1">
      <alignment horizontal="center" vertical="center"/>
      <protection locked="0"/>
    </xf>
    <xf numFmtId="3" fontId="60" fillId="3" borderId="25" xfId="32" applyNumberFormat="1" applyFont="1" applyFill="1" applyBorder="1" applyAlignment="1" applyProtection="1">
      <alignment horizontal="center" vertical="center"/>
      <protection locked="0"/>
    </xf>
    <xf numFmtId="3" fontId="60" fillId="3" borderId="5" xfId="32" applyNumberFormat="1" applyFont="1" applyFill="1" applyBorder="1" applyAlignment="1" applyProtection="1">
      <alignment horizontal="center" vertical="center"/>
      <protection locked="0"/>
    </xf>
    <xf numFmtId="3" fontId="60" fillId="3" borderId="52" xfId="32" applyNumberFormat="1" applyFont="1" applyFill="1" applyBorder="1" applyAlignment="1" applyProtection="1">
      <alignment horizontal="center" vertical="center"/>
      <protection locked="0"/>
    </xf>
    <xf numFmtId="3" fontId="60" fillId="3" borderId="53" xfId="32" applyNumberFormat="1" applyFont="1" applyFill="1" applyBorder="1" applyAlignment="1" applyProtection="1">
      <alignment horizontal="center" vertical="center"/>
      <protection locked="0"/>
    </xf>
    <xf numFmtId="3" fontId="60" fillId="3" borderId="32" xfId="32" applyNumberFormat="1" applyFont="1" applyFill="1" applyBorder="1" applyAlignment="1" applyProtection="1">
      <alignment horizontal="center" vertical="center"/>
      <protection locked="0"/>
    </xf>
    <xf numFmtId="3" fontId="60" fillId="3" borderId="7" xfId="32" applyNumberFormat="1" applyFont="1" applyFill="1" applyBorder="1" applyAlignment="1" applyProtection="1">
      <alignment horizontal="center" vertical="center"/>
      <protection locked="0"/>
    </xf>
    <xf numFmtId="3" fontId="60" fillId="3" borderId="62" xfId="32" applyNumberFormat="1" applyFont="1" applyFill="1" applyBorder="1" applyAlignment="1" applyProtection="1">
      <alignment horizontal="center" vertical="center"/>
      <protection locked="0"/>
    </xf>
    <xf numFmtId="3" fontId="60" fillId="3" borderId="24" xfId="32" applyNumberFormat="1" applyFont="1" applyFill="1" applyBorder="1" applyAlignment="1" applyProtection="1">
      <alignment horizontal="center" vertical="center"/>
      <protection locked="0"/>
    </xf>
    <xf numFmtId="3" fontId="60" fillId="3" borderId="17" xfId="32" applyNumberFormat="1" applyFont="1" applyFill="1" applyBorder="1" applyAlignment="1" applyProtection="1">
      <alignment horizontal="center" vertical="center" wrapText="1"/>
      <protection locked="0"/>
    </xf>
    <xf numFmtId="3" fontId="60" fillId="3" borderId="17" xfId="32" applyNumberFormat="1" applyFont="1" applyFill="1" applyBorder="1" applyAlignment="1" applyProtection="1">
      <alignment horizontal="center" vertical="center"/>
      <protection locked="0"/>
    </xf>
    <xf numFmtId="3" fontId="60" fillId="3" borderId="54" xfId="32" applyNumberFormat="1" applyFont="1" applyFill="1" applyBorder="1" applyAlignment="1" applyProtection="1">
      <alignment horizontal="center" vertical="center"/>
      <protection locked="0"/>
    </xf>
    <xf numFmtId="3" fontId="60" fillId="3" borderId="55" xfId="32" applyNumberFormat="1" applyFont="1" applyFill="1" applyBorder="1" applyAlignment="1" applyProtection="1">
      <alignment horizontal="center" vertical="center"/>
      <protection locked="0"/>
    </xf>
    <xf numFmtId="3" fontId="60" fillId="3" borderId="69" xfId="32" applyNumberFormat="1" applyFont="1" applyFill="1" applyBorder="1" applyAlignment="1" applyProtection="1">
      <alignment horizontal="center" vertical="center"/>
      <protection locked="0"/>
    </xf>
    <xf numFmtId="3" fontId="60" fillId="3" borderId="63" xfId="32" applyNumberFormat="1" applyFont="1" applyFill="1" applyBorder="1" applyAlignment="1" applyProtection="1">
      <alignment horizontal="center" vertical="center"/>
      <protection locked="0"/>
    </xf>
    <xf numFmtId="3" fontId="60" fillId="3" borderId="64" xfId="32" applyNumberFormat="1" applyFont="1" applyFill="1" applyBorder="1" applyAlignment="1" applyProtection="1">
      <alignment horizontal="center" vertical="center"/>
      <protection locked="0"/>
    </xf>
    <xf numFmtId="3" fontId="60" fillId="3" borderId="36" xfId="32" applyNumberFormat="1" applyFont="1" applyFill="1" applyBorder="1" applyAlignment="1" applyProtection="1">
      <alignment horizontal="center" vertical="center"/>
      <protection locked="0"/>
    </xf>
    <xf numFmtId="3" fontId="60" fillId="3" borderId="39" xfId="32" applyNumberFormat="1" applyFont="1" applyFill="1" applyBorder="1" applyAlignment="1" applyProtection="1">
      <alignment horizontal="center" vertical="center" wrapText="1"/>
      <protection locked="0"/>
    </xf>
    <xf numFmtId="3" fontId="60" fillId="3" borderId="5" xfId="32" applyNumberFormat="1" applyFont="1" applyFill="1" applyBorder="1" applyAlignment="1" applyProtection="1">
      <alignment horizontal="center" vertical="center" wrapText="1"/>
      <protection locked="0"/>
    </xf>
    <xf numFmtId="3" fontId="60" fillId="3" borderId="6" xfId="32" applyNumberFormat="1" applyFont="1" applyFill="1" applyBorder="1" applyAlignment="1" applyProtection="1">
      <alignment horizontal="center" vertical="center"/>
      <protection locked="0"/>
    </xf>
    <xf numFmtId="3" fontId="60" fillId="3" borderId="39" xfId="32" applyNumberFormat="1" applyFont="1" applyFill="1" applyBorder="1" applyAlignment="1" applyProtection="1">
      <alignment horizontal="center" vertical="center"/>
      <protection locked="0"/>
    </xf>
    <xf numFmtId="3" fontId="60" fillId="3" borderId="18" xfId="32" applyNumberFormat="1" applyFont="1" applyFill="1" applyBorder="1" applyAlignment="1" applyProtection="1">
      <alignment horizontal="center" vertical="center"/>
      <protection locked="0"/>
    </xf>
    <xf numFmtId="3" fontId="60" fillId="3" borderId="23" xfId="32" applyNumberFormat="1" applyFont="1" applyFill="1" applyBorder="1" applyAlignment="1" applyProtection="1">
      <alignment horizontal="center" vertical="center"/>
      <protection locked="0"/>
    </xf>
    <xf numFmtId="3" fontId="60" fillId="3" borderId="127" xfId="32" applyNumberFormat="1" applyFont="1" applyFill="1" applyBorder="1" applyAlignment="1" applyProtection="1">
      <alignment horizontal="center" vertical="center"/>
      <protection locked="0"/>
    </xf>
    <xf numFmtId="3" fontId="60" fillId="3" borderId="30" xfId="32" applyNumberFormat="1" applyFont="1" applyFill="1" applyBorder="1" applyAlignment="1" applyProtection="1">
      <alignment horizontal="center" vertical="center"/>
      <protection locked="0"/>
    </xf>
    <xf numFmtId="3" fontId="60" fillId="3" borderId="21" xfId="32" applyNumberFormat="1" applyFont="1" applyFill="1" applyBorder="1" applyAlignment="1" applyProtection="1">
      <alignment horizontal="center" vertical="center"/>
      <protection locked="0"/>
    </xf>
    <xf numFmtId="3" fontId="60" fillId="3" borderId="56" xfId="32" applyNumberFormat="1" applyFont="1" applyFill="1" applyBorder="1" applyAlignment="1" applyProtection="1">
      <alignment horizontal="center" vertical="center"/>
      <protection locked="0"/>
    </xf>
    <xf numFmtId="3" fontId="60" fillId="3" borderId="57" xfId="32" applyNumberFormat="1" applyFont="1" applyFill="1" applyBorder="1" applyAlignment="1" applyProtection="1">
      <alignment horizontal="center" vertical="center"/>
      <protection locked="0"/>
    </xf>
    <xf numFmtId="3" fontId="60" fillId="3" borderId="79" xfId="32" applyNumberFormat="1" applyFont="1" applyFill="1" applyBorder="1" applyAlignment="1" applyProtection="1">
      <alignment horizontal="center" vertical="center"/>
      <protection locked="0"/>
    </xf>
    <xf numFmtId="0" fontId="60" fillId="26" borderId="0" xfId="0" applyFont="1" applyFill="1" applyAlignment="1">
      <alignment vertical="center"/>
    </xf>
    <xf numFmtId="3" fontId="90" fillId="27" borderId="0" xfId="32" applyNumberFormat="1" applyFont="1" applyFill="1" applyAlignment="1">
      <alignment horizontal="center" vertical="center"/>
    </xf>
    <xf numFmtId="3" fontId="60" fillId="27" borderId="0" xfId="32" applyNumberFormat="1" applyFont="1" applyFill="1" applyAlignment="1">
      <alignment horizontal="center" vertical="center"/>
    </xf>
    <xf numFmtId="0" fontId="143" fillId="27" borderId="0" xfId="32" applyFont="1" applyFill="1" applyAlignment="1">
      <alignment vertical="center"/>
    </xf>
    <xf numFmtId="0" fontId="145" fillId="27" borderId="0" xfId="32" applyFont="1" applyFill="1" applyAlignment="1">
      <alignment vertical="center"/>
    </xf>
    <xf numFmtId="0" fontId="68" fillId="27" borderId="0" xfId="32" applyFont="1" applyFill="1" applyAlignment="1">
      <alignment vertical="center"/>
    </xf>
    <xf numFmtId="0" fontId="48" fillId="27" borderId="0" xfId="0" applyFont="1" applyFill="1" applyAlignment="1">
      <alignment vertical="center"/>
    </xf>
    <xf numFmtId="0" fontId="139" fillId="27" borderId="0" xfId="0" applyFont="1" applyFill="1" applyAlignment="1">
      <alignment horizontal="center" vertical="center"/>
    </xf>
    <xf numFmtId="0" fontId="48" fillId="27" borderId="0" xfId="0" applyFont="1" applyFill="1" applyAlignment="1">
      <alignment horizontal="center" vertical="center"/>
    </xf>
    <xf numFmtId="0" fontId="50" fillId="27" borderId="0" xfId="0" applyFont="1" applyFill="1" applyAlignment="1">
      <alignment vertical="center"/>
    </xf>
    <xf numFmtId="0" fontId="141" fillId="27" borderId="0" xfId="0" applyFont="1" applyFill="1" applyAlignment="1">
      <alignment horizontal="center" vertical="center"/>
    </xf>
    <xf numFmtId="0" fontId="50" fillId="27" borderId="0" xfId="0" applyFont="1" applyFill="1" applyAlignment="1">
      <alignment horizontal="center" vertical="center"/>
    </xf>
    <xf numFmtId="0" fontId="139" fillId="27" borderId="0" xfId="31" applyFont="1" applyFill="1" applyBorder="1" applyAlignment="1">
      <alignment horizontal="left" vertical="center"/>
    </xf>
    <xf numFmtId="0" fontId="82" fillId="27" borderId="0" xfId="49" applyFill="1" applyAlignment="1">
      <alignment vertical="center" wrapText="1"/>
    </xf>
    <xf numFmtId="0" fontId="17" fillId="27" borderId="0" xfId="49" applyFont="1" applyFill="1" applyAlignment="1">
      <alignment vertical="center" wrapText="1"/>
    </xf>
    <xf numFmtId="0" fontId="24" fillId="27" borderId="0" xfId="49" applyFont="1" applyFill="1" applyAlignment="1">
      <alignment vertical="center" wrapText="1"/>
    </xf>
    <xf numFmtId="0" fontId="71" fillId="27" borderId="0" xfId="49" applyFont="1" applyFill="1" applyAlignment="1">
      <alignment vertical="center" wrapText="1"/>
    </xf>
    <xf numFmtId="0" fontId="82" fillId="27" borderId="0" xfId="49" applyFont="1" applyFill="1" applyAlignment="1">
      <alignment vertical="center" wrapText="1"/>
    </xf>
    <xf numFmtId="0" fontId="44" fillId="27" borderId="0" xfId="49" applyFont="1" applyFill="1" applyAlignment="1">
      <alignment vertical="center" wrapText="1"/>
    </xf>
    <xf numFmtId="0" fontId="15" fillId="27" borderId="0" xfId="49" applyFont="1" applyFill="1" applyAlignment="1">
      <alignment horizontal="center" vertical="center"/>
    </xf>
    <xf numFmtId="0" fontId="100" fillId="27" borderId="0" xfId="49" applyFont="1" applyFill="1" applyAlignment="1">
      <alignment vertical="center"/>
    </xf>
    <xf numFmtId="3" fontId="30" fillId="27" borderId="0" xfId="49" applyNumberFormat="1" applyFont="1" applyFill="1" applyAlignment="1">
      <alignment vertical="center"/>
    </xf>
    <xf numFmtId="167" fontId="30" fillId="27" borderId="0" xfId="49" applyNumberFormat="1" applyFont="1" applyFill="1" applyAlignment="1">
      <alignment vertical="center"/>
    </xf>
    <xf numFmtId="3" fontId="71" fillId="27" borderId="0" xfId="49" applyNumberFormat="1" applyFont="1" applyFill="1" applyAlignment="1">
      <alignment vertical="center"/>
    </xf>
    <xf numFmtId="3" fontId="78" fillId="27" borderId="0" xfId="49" applyNumberFormat="1" applyFont="1" applyFill="1" applyAlignment="1">
      <alignment vertical="center"/>
    </xf>
    <xf numFmtId="3" fontId="96" fillId="27" borderId="0" xfId="49" applyNumberFormat="1" applyFont="1" applyFill="1" applyAlignment="1">
      <alignment horizontal="right" vertical="center"/>
    </xf>
    <xf numFmtId="167" fontId="97" fillId="27" borderId="0" xfId="49" applyNumberFormat="1" applyFont="1" applyFill="1" applyAlignment="1">
      <alignment horizontal="right" vertical="center"/>
    </xf>
    <xf numFmtId="3" fontId="78" fillId="27" borderId="0" xfId="49" applyNumberFormat="1" applyFont="1" applyFill="1" applyAlignment="1">
      <alignment horizontal="right" vertical="center"/>
    </xf>
    <xf numFmtId="0" fontId="0" fillId="0" borderId="0" xfId="0" applyAlignment="1">
      <alignment vertical="center"/>
    </xf>
    <xf numFmtId="0" fontId="17" fillId="0" borderId="0" xfId="0" applyFont="1" applyAlignment="1">
      <alignment vertical="center"/>
    </xf>
    <xf numFmtId="0" fontId="21" fillId="0" borderId="0" xfId="2" quotePrefix="1" applyFont="1" applyAlignment="1" applyProtection="1">
      <alignment vertical="center"/>
    </xf>
    <xf numFmtId="0" fontId="19" fillId="0" borderId="0" xfId="0" applyFont="1" applyBorder="1" applyAlignment="1">
      <alignment vertical="center"/>
    </xf>
    <xf numFmtId="0" fontId="21" fillId="0" borderId="0" xfId="2" quotePrefix="1" applyFont="1" applyFill="1" applyAlignment="1" applyProtection="1">
      <alignment vertical="center"/>
    </xf>
    <xf numFmtId="0" fontId="17" fillId="0" borderId="0" xfId="0" applyFont="1" applyFill="1" applyAlignment="1">
      <alignment vertical="center"/>
    </xf>
    <xf numFmtId="0" fontId="19" fillId="0" borderId="0" xfId="0" applyFont="1" applyFill="1" applyBorder="1" applyAlignment="1">
      <alignment vertical="center"/>
    </xf>
    <xf numFmtId="0" fontId="21" fillId="0" borderId="0" xfId="2" quotePrefix="1" applyFont="1" applyAlignment="1" applyProtection="1">
      <alignment horizontal="center" vertical="center"/>
    </xf>
    <xf numFmtId="0" fontId="0" fillId="0" borderId="0" xfId="0" applyAlignment="1">
      <alignment horizontal="center" vertical="center"/>
    </xf>
    <xf numFmtId="0" fontId="20" fillId="0" borderId="0" xfId="2" quotePrefix="1" applyAlignment="1" applyProtection="1">
      <alignment vertical="center"/>
    </xf>
    <xf numFmtId="0" fontId="21" fillId="0" borderId="0" xfId="2" applyFont="1" applyAlignment="1" applyProtection="1">
      <alignment vertical="center"/>
    </xf>
    <xf numFmtId="0" fontId="58" fillId="0" borderId="0" xfId="0" applyFont="1" applyAlignment="1">
      <alignment vertical="center"/>
    </xf>
    <xf numFmtId="0" fontId="37" fillId="0" borderId="0" xfId="0" applyFont="1" applyAlignment="1" applyProtection="1">
      <alignment vertical="center"/>
    </xf>
    <xf numFmtId="0" fontId="37" fillId="0" borderId="0" xfId="0" applyFont="1" applyBorder="1" applyAlignment="1" applyProtection="1">
      <alignment vertical="center"/>
    </xf>
    <xf numFmtId="0" fontId="48" fillId="0" borderId="0" xfId="40" applyFont="1" applyBorder="1" applyAlignment="1" applyProtection="1">
      <alignment vertical="center"/>
    </xf>
    <xf numFmtId="170" fontId="50" fillId="37" borderId="9" xfId="0" applyNumberFormat="1" applyFont="1" applyFill="1" applyBorder="1" applyAlignment="1" applyProtection="1">
      <alignment horizontal="center" vertical="center" wrapText="1"/>
    </xf>
    <xf numFmtId="170" fontId="50" fillId="37" borderId="10" xfId="0" applyNumberFormat="1" applyFont="1" applyFill="1" applyBorder="1" applyAlignment="1" applyProtection="1">
      <alignment horizontal="center" vertical="center" wrapText="1"/>
    </xf>
    <xf numFmtId="0" fontId="44" fillId="0" borderId="0" xfId="0" applyFont="1" applyAlignment="1">
      <alignment horizontal="right" vertical="center"/>
    </xf>
    <xf numFmtId="2" fontId="55" fillId="0" borderId="0" xfId="0" applyNumberFormat="1" applyFont="1" applyBorder="1" applyAlignment="1">
      <alignment horizontal="center" vertical="center"/>
    </xf>
    <xf numFmtId="2" fontId="55" fillId="0" borderId="0" xfId="0" applyNumberFormat="1" applyFont="1" applyAlignment="1">
      <alignment horizontal="center" vertical="center"/>
    </xf>
    <xf numFmtId="0" fontId="55" fillId="0" borderId="0" xfId="0" applyFont="1" applyAlignment="1">
      <alignment vertical="center"/>
    </xf>
    <xf numFmtId="2" fontId="22" fillId="0" borderId="0" xfId="0" applyNumberFormat="1" applyFont="1" applyAlignment="1">
      <alignment vertical="center"/>
    </xf>
    <xf numFmtId="2" fontId="55" fillId="0" borderId="0" xfId="0" applyNumberFormat="1" applyFont="1" applyFill="1" applyAlignment="1">
      <alignment vertical="center"/>
    </xf>
    <xf numFmtId="0" fontId="15" fillId="0" borderId="0" xfId="40" quotePrefix="1" applyFont="1" applyBorder="1" applyAlignment="1" applyProtection="1">
      <alignment horizontal="center" vertical="center" wrapText="1"/>
    </xf>
    <xf numFmtId="0" fontId="48" fillId="26" borderId="0" xfId="32" applyFont="1" applyFill="1" applyAlignment="1" applyProtection="1">
      <alignment vertical="center"/>
    </xf>
    <xf numFmtId="49" fontId="50" fillId="26" borderId="75" xfId="32" applyNumberFormat="1" applyFont="1" applyFill="1" applyBorder="1" applyAlignment="1" applyProtection="1">
      <alignment horizontal="center" vertical="center" wrapText="1"/>
    </xf>
    <xf numFmtId="0" fontId="50" fillId="26" borderId="22" xfId="32" applyFont="1" applyFill="1" applyBorder="1" applyAlignment="1" applyProtection="1">
      <alignment vertical="center" wrapText="1"/>
    </xf>
    <xf numFmtId="0" fontId="50" fillId="26" borderId="0" xfId="32" applyFont="1" applyFill="1" applyAlignment="1" applyProtection="1">
      <alignment vertical="center"/>
    </xf>
    <xf numFmtId="49" fontId="48" fillId="26" borderId="52" xfId="32" applyNumberFormat="1" applyFont="1" applyFill="1" applyBorder="1" applyAlignment="1" applyProtection="1">
      <alignment horizontal="center" vertical="center" wrapText="1"/>
    </xf>
    <xf numFmtId="0" fontId="48" fillId="26" borderId="23" xfId="32" applyFont="1" applyFill="1" applyBorder="1" applyAlignment="1" applyProtection="1">
      <alignment vertical="center" wrapText="1"/>
    </xf>
    <xf numFmtId="49" fontId="50" fillId="26" borderId="52" xfId="32" applyNumberFormat="1" applyFont="1" applyFill="1" applyBorder="1" applyAlignment="1" applyProtection="1">
      <alignment horizontal="center" vertical="center" wrapText="1"/>
    </xf>
    <xf numFmtId="0" fontId="50" fillId="26" borderId="23" xfId="32" applyFont="1" applyFill="1" applyBorder="1" applyAlignment="1" applyProtection="1">
      <alignment vertical="center" wrapText="1"/>
    </xf>
    <xf numFmtId="0" fontId="50" fillId="26" borderId="56" xfId="32" applyFont="1" applyFill="1" applyBorder="1" applyAlignment="1" applyProtection="1">
      <alignment horizontal="center" vertical="center"/>
    </xf>
    <xf numFmtId="0" fontId="50" fillId="26" borderId="28" xfId="32" applyFont="1" applyFill="1" applyBorder="1" applyAlignment="1" applyProtection="1">
      <alignment vertical="center" wrapText="1"/>
    </xf>
    <xf numFmtId="49" fontId="50" fillId="26" borderId="49" xfId="32" applyNumberFormat="1" applyFont="1" applyFill="1" applyBorder="1" applyAlignment="1" applyProtection="1">
      <alignment horizontal="center" vertical="center" wrapText="1"/>
    </xf>
    <xf numFmtId="0" fontId="50" fillId="26" borderId="33" xfId="32" applyFont="1" applyFill="1" applyBorder="1" applyAlignment="1" applyProtection="1">
      <alignment vertical="center" wrapText="1"/>
    </xf>
    <xf numFmtId="0" fontId="50" fillId="26" borderId="54" xfId="32" applyFont="1" applyFill="1" applyBorder="1" applyAlignment="1" applyProtection="1">
      <alignment horizontal="center" vertical="center"/>
    </xf>
    <xf numFmtId="0" fontId="50" fillId="26" borderId="37" xfId="32" applyFont="1" applyFill="1" applyBorder="1" applyAlignment="1" applyProtection="1">
      <alignment vertical="center" wrapText="1"/>
    </xf>
    <xf numFmtId="0" fontId="44" fillId="31" borderId="38" xfId="32" applyFont="1" applyFill="1" applyBorder="1" applyAlignment="1" applyProtection="1">
      <alignment horizontal="center" vertical="center"/>
    </xf>
    <xf numFmtId="0" fontId="45" fillId="27" borderId="75" xfId="32" applyFont="1" applyFill="1" applyBorder="1" applyAlignment="1" applyProtection="1">
      <alignment horizontal="center" vertical="center"/>
    </xf>
    <xf numFmtId="0" fontId="45" fillId="27" borderId="52" xfId="32" applyFont="1" applyFill="1" applyBorder="1" applyAlignment="1" applyProtection="1">
      <alignment horizontal="center" vertical="center"/>
    </xf>
    <xf numFmtId="0" fontId="45" fillId="27" borderId="42" xfId="32" applyFont="1" applyFill="1" applyBorder="1" applyAlignment="1" applyProtection="1">
      <alignment horizontal="center" vertical="center"/>
    </xf>
    <xf numFmtId="0" fontId="45" fillId="27" borderId="49" xfId="32" applyFont="1" applyFill="1" applyBorder="1" applyAlignment="1" applyProtection="1">
      <alignment horizontal="center" vertical="center"/>
    </xf>
    <xf numFmtId="0" fontId="45" fillId="27" borderId="54" xfId="32" applyFont="1" applyFill="1" applyBorder="1" applyAlignment="1" applyProtection="1">
      <alignment horizontal="center" vertical="center"/>
    </xf>
    <xf numFmtId="3" fontId="60" fillId="20" borderId="0" xfId="80" applyNumberFormat="1" applyFont="1" applyFill="1" applyBorder="1" applyAlignment="1" applyProtection="1">
      <alignment horizontal="right" vertical="center"/>
      <protection locked="0"/>
    </xf>
    <xf numFmtId="0" fontId="68" fillId="23" borderId="35" xfId="52" applyFont="1" applyFill="1" applyBorder="1" applyAlignment="1" applyProtection="1">
      <alignment horizontal="left" vertical="center"/>
    </xf>
    <xf numFmtId="3" fontId="60" fillId="20" borderId="0" xfId="52" applyNumberFormat="1" applyFont="1" applyFill="1" applyBorder="1" applyAlignment="1" applyProtection="1">
      <alignment horizontal="right" vertical="center"/>
      <protection locked="0"/>
    </xf>
    <xf numFmtId="0" fontId="91" fillId="27" borderId="17" xfId="52" applyFont="1" applyFill="1" applyBorder="1" applyAlignment="1" applyProtection="1">
      <alignment vertical="center"/>
    </xf>
    <xf numFmtId="3" fontId="60" fillId="26" borderId="0" xfId="52" applyNumberFormat="1" applyFont="1" applyFill="1" applyBorder="1" applyAlignment="1" applyProtection="1">
      <alignment horizontal="right" vertical="center"/>
      <protection locked="0"/>
    </xf>
    <xf numFmtId="0" fontId="68" fillId="23" borderId="2" xfId="52" applyFont="1" applyFill="1" applyBorder="1" applyAlignment="1" applyProtection="1">
      <alignment horizontal="left" vertical="center"/>
    </xf>
    <xf numFmtId="0" fontId="60" fillId="27" borderId="51" xfId="52" applyFont="1" applyFill="1" applyBorder="1" applyAlignment="1" applyProtection="1">
      <alignment horizontal="left" vertical="center" wrapText="1"/>
    </xf>
    <xf numFmtId="0" fontId="60" fillId="27" borderId="17" xfId="52" applyFont="1" applyFill="1" applyBorder="1" applyAlignment="1" applyProtection="1">
      <alignment horizontal="left" vertical="center" wrapText="1"/>
    </xf>
    <xf numFmtId="49" fontId="60" fillId="27" borderId="17" xfId="52" applyNumberFormat="1" applyFont="1" applyFill="1" applyBorder="1" applyAlignment="1" applyProtection="1">
      <alignment vertical="center"/>
    </xf>
    <xf numFmtId="0" fontId="60" fillId="27" borderId="17" xfId="52" applyFont="1" applyFill="1" applyBorder="1" applyAlignment="1" applyProtection="1">
      <alignment horizontal="right" vertical="center"/>
    </xf>
    <xf numFmtId="0" fontId="60" fillId="27" borderId="21" xfId="52" applyFont="1" applyFill="1" applyBorder="1" applyAlignment="1" applyProtection="1">
      <alignment horizontal="right" vertical="center"/>
    </xf>
    <xf numFmtId="0" fontId="24" fillId="0" borderId="0" xfId="0" applyFont="1" applyAlignment="1">
      <alignment vertical="center"/>
    </xf>
    <xf numFmtId="0" fontId="44" fillId="0" borderId="68" xfId="0" applyFont="1" applyFill="1" applyBorder="1" applyAlignment="1" applyProtection="1">
      <alignment horizontal="left" vertical="center"/>
    </xf>
    <xf numFmtId="0" fontId="44" fillId="27" borderId="27" xfId="0" applyFont="1" applyFill="1" applyBorder="1" applyAlignment="1" applyProtection="1">
      <alignment horizontal="center" vertical="center" wrapText="1"/>
    </xf>
    <xf numFmtId="0" fontId="44" fillId="27" borderId="25" xfId="0" applyFont="1" applyFill="1" applyBorder="1" applyAlignment="1" applyProtection="1">
      <alignment horizontal="center" vertical="center" wrapText="1"/>
    </xf>
    <xf numFmtId="0" fontId="30" fillId="26" borderId="0" xfId="32" applyFont="1" applyFill="1" applyAlignment="1">
      <alignment horizontal="center" vertical="center"/>
    </xf>
    <xf numFmtId="0" fontId="30" fillId="26" borderId="0" xfId="0" applyFont="1" applyFill="1" applyAlignment="1">
      <alignment horizontal="center" vertical="center"/>
    </xf>
    <xf numFmtId="10" fontId="15" fillId="3" borderId="52" xfId="70" applyNumberFormat="1" applyFont="1" applyFill="1" applyBorder="1" applyAlignment="1" applyProtection="1">
      <alignment horizontal="center" vertical="center"/>
      <protection locked="0"/>
    </xf>
    <xf numFmtId="10" fontId="15" fillId="3" borderId="7" xfId="70" applyNumberFormat="1" applyFont="1" applyFill="1" applyBorder="1" applyAlignment="1" applyProtection="1">
      <alignment horizontal="center" vertical="center"/>
      <protection locked="0"/>
    </xf>
    <xf numFmtId="10" fontId="15" fillId="3" borderId="53" xfId="70" applyNumberFormat="1" applyFont="1" applyFill="1" applyBorder="1" applyAlignment="1" applyProtection="1">
      <alignment horizontal="center" vertical="center"/>
      <protection locked="0"/>
    </xf>
    <xf numFmtId="10" fontId="15" fillId="3" borderId="56" xfId="70" applyNumberFormat="1" applyFont="1" applyFill="1" applyBorder="1" applyAlignment="1" applyProtection="1">
      <alignment horizontal="center" vertical="center"/>
      <protection locked="0"/>
    </xf>
    <xf numFmtId="10" fontId="15" fillId="3" borderId="77" xfId="70" applyNumberFormat="1" applyFont="1" applyFill="1" applyBorder="1" applyAlignment="1" applyProtection="1">
      <alignment horizontal="center" vertical="center"/>
      <protection locked="0"/>
    </xf>
    <xf numFmtId="10" fontId="15" fillId="3" borderId="57" xfId="70" applyNumberFormat="1" applyFont="1" applyFill="1" applyBorder="1" applyAlignment="1" applyProtection="1">
      <alignment horizontal="center" vertical="center"/>
      <protection locked="0"/>
    </xf>
    <xf numFmtId="173" fontId="44" fillId="26" borderId="73" xfId="37" applyNumberFormat="1" applyFont="1" applyFill="1" applyBorder="1" applyAlignment="1" applyProtection="1">
      <alignment horizontal="right" vertical="center" wrapText="1"/>
    </xf>
    <xf numFmtId="173" fontId="44" fillId="26" borderId="73" xfId="28" applyNumberFormat="1" applyFont="1" applyFill="1" applyBorder="1" applyAlignment="1" applyProtection="1">
      <alignment horizontal="right" vertical="center" wrapText="1"/>
    </xf>
    <xf numFmtId="173" fontId="44" fillId="26" borderId="76" xfId="28" applyNumberFormat="1" applyFont="1" applyFill="1" applyBorder="1" applyAlignment="1" applyProtection="1">
      <alignment horizontal="right" vertical="center" wrapText="1"/>
    </xf>
    <xf numFmtId="0" fontId="22" fillId="0" borderId="1" xfId="40" applyFont="1" applyBorder="1" applyProtection="1"/>
    <xf numFmtId="0" fontId="57" fillId="0" borderId="0" xfId="0" applyFont="1" applyAlignment="1">
      <alignment vertical="center"/>
    </xf>
    <xf numFmtId="0" fontId="44" fillId="0" borderId="7" xfId="40" applyFont="1" applyBorder="1" applyAlignment="1" applyProtection="1">
      <alignment vertical="center"/>
    </xf>
    <xf numFmtId="0" fontId="44" fillId="0" borderId="77" xfId="40" applyFont="1" applyBorder="1" applyAlignment="1" applyProtection="1">
      <alignment vertical="center"/>
    </xf>
    <xf numFmtId="1" fontId="43" fillId="26" borderId="7" xfId="59" applyNumberFormat="1" applyFont="1" applyFill="1" applyBorder="1" applyAlignment="1" applyProtection="1">
      <alignment horizontal="center" vertical="center"/>
    </xf>
    <xf numFmtId="0" fontId="48" fillId="0" borderId="0" xfId="40" applyFont="1" applyBorder="1" applyProtection="1"/>
    <xf numFmtId="0" fontId="43" fillId="0" borderId="73" xfId="40" applyFont="1" applyBorder="1" applyAlignment="1" applyProtection="1">
      <alignment horizontal="center" vertical="center"/>
    </xf>
    <xf numFmtId="10" fontId="43" fillId="0" borderId="73" xfId="70" applyNumberFormat="1" applyFont="1" applyBorder="1" applyAlignment="1" applyProtection="1">
      <alignment horizontal="center" vertical="center"/>
    </xf>
    <xf numFmtId="10" fontId="43" fillId="0" borderId="76" xfId="70" applyNumberFormat="1" applyFont="1" applyBorder="1" applyAlignment="1" applyProtection="1">
      <alignment horizontal="center" vertical="center"/>
    </xf>
    <xf numFmtId="10" fontId="43" fillId="26" borderId="7" xfId="59" applyNumberFormat="1" applyFont="1" applyFill="1" applyBorder="1" applyAlignment="1" applyProtection="1">
      <alignment horizontal="center" vertical="center"/>
    </xf>
    <xf numFmtId="10" fontId="50" fillId="21" borderId="7" xfId="59" applyNumberFormat="1" applyFont="1" applyFill="1" applyBorder="1" applyAlignment="1" applyProtection="1">
      <alignment horizontal="center" vertical="center"/>
    </xf>
    <xf numFmtId="10" fontId="50" fillId="21" borderId="53" xfId="59" applyNumberFormat="1" applyFont="1" applyFill="1" applyBorder="1" applyAlignment="1" applyProtection="1">
      <alignment horizontal="center" vertical="center"/>
    </xf>
    <xf numFmtId="0" fontId="15" fillId="28" borderId="79" xfId="31" applyFont="1" applyFill="1" applyBorder="1" applyAlignment="1" applyProtection="1">
      <alignment horizontal="center" vertical="center" wrapText="1"/>
      <protection locked="0"/>
    </xf>
    <xf numFmtId="3" fontId="15" fillId="28" borderId="21" xfId="31" applyNumberFormat="1" applyFont="1" applyFill="1" applyBorder="1" applyAlignment="1" applyProtection="1">
      <alignment horizontal="center" vertical="center" wrapText="1"/>
      <protection locked="0"/>
    </xf>
    <xf numFmtId="0" fontId="44" fillId="0" borderId="52" xfId="40" applyFont="1" applyBorder="1" applyAlignment="1" applyProtection="1">
      <alignment horizontal="center" vertical="center"/>
    </xf>
    <xf numFmtId="0" fontId="44" fillId="0" borderId="56" xfId="40" applyFont="1" applyBorder="1" applyAlignment="1" applyProtection="1">
      <alignment horizontal="center" vertical="center"/>
    </xf>
    <xf numFmtId="3" fontId="15" fillId="20" borderId="39" xfId="88" applyNumberFormat="1" applyFont="1" applyFill="1" applyBorder="1" applyAlignment="1" applyProtection="1">
      <alignment horizontal="center" vertical="center" wrapText="1"/>
    </xf>
    <xf numFmtId="3" fontId="15" fillId="26" borderId="32" xfId="88" applyNumberFormat="1" applyFont="1" applyFill="1" applyBorder="1" applyAlignment="1" applyProtection="1">
      <alignment horizontal="center" vertical="center" wrapText="1"/>
    </xf>
    <xf numFmtId="3" fontId="44" fillId="0" borderId="73" xfId="37" applyFont="1" applyFill="1" applyBorder="1" applyAlignment="1" applyProtection="1">
      <alignment horizontal="right" vertical="center" wrapText="1"/>
    </xf>
    <xf numFmtId="38" fontId="44" fillId="0" borderId="73" xfId="28" applyFont="1" applyFill="1" applyBorder="1" applyAlignment="1" applyProtection="1">
      <alignment horizontal="right" vertical="center" wrapText="1"/>
    </xf>
    <xf numFmtId="38" fontId="44" fillId="0" borderId="76" xfId="28" applyFont="1" applyFill="1" applyBorder="1" applyAlignment="1" applyProtection="1">
      <alignment horizontal="right" vertical="center" wrapText="1"/>
    </xf>
    <xf numFmtId="10" fontId="44" fillId="26" borderId="7" xfId="70" applyNumberFormat="1" applyFont="1" applyFill="1" applyBorder="1" applyAlignment="1" applyProtection="1">
      <alignment horizontal="right" vertical="center" wrapText="1"/>
    </xf>
    <xf numFmtId="10" fontId="44" fillId="26" borderId="53" xfId="70" applyNumberFormat="1" applyFont="1" applyFill="1" applyBorder="1" applyAlignment="1" applyProtection="1">
      <alignment horizontal="right" vertical="center" wrapText="1"/>
    </xf>
    <xf numFmtId="9" fontId="45" fillId="26" borderId="99" xfId="49" applyNumberFormat="1" applyFont="1" applyFill="1" applyBorder="1" applyAlignment="1" applyProtection="1">
      <alignment horizontal="center" vertical="center" wrapText="1"/>
    </xf>
    <xf numFmtId="170" fontId="44" fillId="37" borderId="56" xfId="49" applyNumberFormat="1" applyFont="1" applyFill="1" applyBorder="1" applyAlignment="1" applyProtection="1">
      <alignment horizontal="center" vertical="center" wrapText="1"/>
    </xf>
    <xf numFmtId="170" fontId="44" fillId="37" borderId="77" xfId="49" applyNumberFormat="1" applyFont="1" applyFill="1" applyBorder="1" applyAlignment="1" applyProtection="1">
      <alignment horizontal="center" vertical="center" wrapText="1"/>
    </xf>
    <xf numFmtId="170" fontId="44" fillId="37" borderId="57" xfId="49" applyNumberFormat="1" applyFont="1" applyFill="1" applyBorder="1" applyAlignment="1" applyProtection="1">
      <alignment horizontal="center" vertical="center" wrapText="1"/>
    </xf>
    <xf numFmtId="0" fontId="43" fillId="37" borderId="0" xfId="49" applyFont="1" applyFill="1" applyBorder="1" applyAlignment="1" applyProtection="1">
      <alignment horizontal="center" vertical="center" wrapText="1"/>
    </xf>
    <xf numFmtId="3" fontId="126" fillId="26" borderId="56" xfId="88" applyNumberFormat="1" applyFont="1" applyFill="1" applyBorder="1" applyAlignment="1" applyProtection="1">
      <alignment horizontal="center" vertical="center" wrapText="1"/>
    </xf>
    <xf numFmtId="3" fontId="126" fillId="26" borderId="19" xfId="88" applyNumberFormat="1" applyFont="1" applyFill="1" applyBorder="1" applyAlignment="1" applyProtection="1">
      <alignment horizontal="center" vertical="center" wrapText="1"/>
    </xf>
    <xf numFmtId="3" fontId="60" fillId="26" borderId="32" xfId="52" applyNumberFormat="1" applyFont="1" applyFill="1" applyBorder="1" applyAlignment="1" applyProtection="1">
      <alignment horizontal="center" vertical="center"/>
    </xf>
    <xf numFmtId="3" fontId="60" fillId="26" borderId="15" xfId="52" applyNumberFormat="1" applyFont="1" applyFill="1" applyBorder="1" applyAlignment="1" applyProtection="1">
      <alignment horizontal="center" vertical="center"/>
    </xf>
    <xf numFmtId="3" fontId="24" fillId="26" borderId="72" xfId="52" applyNumberFormat="1" applyFont="1" applyFill="1" applyBorder="1" applyAlignment="1" applyProtection="1">
      <alignment horizontal="center" vertical="center"/>
    </xf>
    <xf numFmtId="3" fontId="24" fillId="26" borderId="73" xfId="52" applyNumberFormat="1" applyFont="1" applyFill="1" applyBorder="1" applyAlignment="1" applyProtection="1">
      <alignment horizontal="center" vertical="center"/>
    </xf>
    <xf numFmtId="3" fontId="24" fillId="26" borderId="76" xfId="52" applyNumberFormat="1" applyFont="1" applyFill="1" applyBorder="1" applyAlignment="1" applyProtection="1">
      <alignment horizontal="center" vertical="center"/>
    </xf>
    <xf numFmtId="3" fontId="24" fillId="26" borderId="32" xfId="52" applyNumberFormat="1" applyFont="1" applyFill="1" applyBorder="1" applyAlignment="1" applyProtection="1">
      <alignment horizontal="center" vertical="center"/>
    </xf>
    <xf numFmtId="3" fontId="24" fillId="26" borderId="7" xfId="52" applyNumberFormat="1" applyFont="1" applyFill="1" applyBorder="1" applyAlignment="1" applyProtection="1">
      <alignment horizontal="center" vertical="center"/>
    </xf>
    <xf numFmtId="3" fontId="24" fillId="26" borderId="53" xfId="52" applyNumberFormat="1" applyFont="1" applyFill="1" applyBorder="1" applyAlignment="1" applyProtection="1">
      <alignment horizontal="center" vertical="center"/>
    </xf>
    <xf numFmtId="0" fontId="60" fillId="20" borderId="14" xfId="52" applyFont="1" applyFill="1" applyBorder="1" applyAlignment="1" applyProtection="1">
      <alignment horizontal="center" vertical="center" wrapText="1"/>
    </xf>
    <xf numFmtId="0" fontId="60" fillId="20" borderId="15" xfId="52" applyFont="1" applyFill="1" applyBorder="1" applyAlignment="1" applyProtection="1">
      <alignment horizontal="center" vertical="center" wrapText="1"/>
    </xf>
    <xf numFmtId="0" fontId="60" fillId="20" borderId="19" xfId="52" applyFont="1" applyFill="1" applyBorder="1" applyAlignment="1" applyProtection="1">
      <alignment horizontal="center" vertical="center" wrapText="1"/>
    </xf>
    <xf numFmtId="3" fontId="106" fillId="27" borderId="32" xfId="52" applyNumberFormat="1" applyFont="1" applyFill="1" applyBorder="1" applyAlignment="1" applyProtection="1">
      <alignment horizontal="center" vertical="center"/>
    </xf>
    <xf numFmtId="3" fontId="106" fillId="27" borderId="7" xfId="52" applyNumberFormat="1" applyFont="1" applyFill="1" applyBorder="1" applyAlignment="1" applyProtection="1">
      <alignment horizontal="center" vertical="center"/>
    </xf>
    <xf numFmtId="3" fontId="106" fillId="27" borderId="53" xfId="52" applyNumberFormat="1" applyFont="1" applyFill="1" applyBorder="1" applyAlignment="1" applyProtection="1">
      <alignment horizontal="center" vertical="center"/>
    </xf>
    <xf numFmtId="3" fontId="68" fillId="27" borderId="75" xfId="57" applyNumberFormat="1" applyFont="1" applyFill="1" applyBorder="1" applyAlignment="1" applyProtection="1">
      <alignment horizontal="center" vertical="center"/>
    </xf>
    <xf numFmtId="170" fontId="44" fillId="37" borderId="79" xfId="49" applyNumberFormat="1" applyFont="1" applyFill="1" applyBorder="1" applyAlignment="1" applyProtection="1">
      <alignment horizontal="center" vertical="center" wrapText="1"/>
    </xf>
    <xf numFmtId="170" fontId="44" fillId="37" borderId="38" xfId="49" applyNumberFormat="1" applyFont="1" applyFill="1" applyBorder="1" applyAlignment="1" applyProtection="1">
      <alignment horizontal="center" vertical="center" wrapText="1"/>
    </xf>
    <xf numFmtId="170" fontId="44" fillId="37" borderId="9" xfId="49" applyNumberFormat="1" applyFont="1" applyFill="1" applyBorder="1" applyAlignment="1" applyProtection="1">
      <alignment horizontal="center" vertical="center" wrapText="1"/>
    </xf>
    <xf numFmtId="170" fontId="44" fillId="37" borderId="65" xfId="49" applyNumberFormat="1" applyFont="1" applyFill="1" applyBorder="1" applyAlignment="1" applyProtection="1">
      <alignment horizontal="center" vertical="center" wrapText="1"/>
    </xf>
    <xf numFmtId="2" fontId="15" fillId="0" borderId="52" xfId="0" applyNumberFormat="1" applyFont="1" applyFill="1" applyBorder="1" applyAlignment="1" applyProtection="1">
      <alignment horizontal="center" vertical="center"/>
    </xf>
    <xf numFmtId="2" fontId="15" fillId="0" borderId="7" xfId="0" applyNumberFormat="1" applyFont="1" applyFill="1" applyBorder="1" applyAlignment="1" applyProtection="1">
      <alignment horizontal="center" vertical="center"/>
    </xf>
    <xf numFmtId="176" fontId="15" fillId="0" borderId="52" xfId="0" applyNumberFormat="1" applyFont="1" applyFill="1" applyBorder="1" applyAlignment="1" applyProtection="1">
      <alignment horizontal="center" vertical="center"/>
    </xf>
    <xf numFmtId="176" fontId="15" fillId="0" borderId="7" xfId="0" applyNumberFormat="1" applyFont="1" applyFill="1" applyBorder="1" applyAlignment="1" applyProtection="1">
      <alignment horizontal="center" vertical="center"/>
    </xf>
    <xf numFmtId="2" fontId="15" fillId="0" borderId="77" xfId="0" applyNumberFormat="1" applyFont="1" applyFill="1" applyBorder="1" applyAlignment="1" applyProtection="1">
      <alignment horizontal="center" vertical="center"/>
    </xf>
    <xf numFmtId="2" fontId="15" fillId="0" borderId="73" xfId="0" applyNumberFormat="1" applyFont="1" applyFill="1" applyBorder="1" applyAlignment="1" applyProtection="1">
      <alignment horizontal="center" vertical="center"/>
    </xf>
    <xf numFmtId="176" fontId="15" fillId="0" borderId="15" xfId="0" applyNumberFormat="1" applyFont="1" applyFill="1" applyBorder="1" applyAlignment="1" applyProtection="1">
      <alignment horizontal="center" vertical="center"/>
    </xf>
    <xf numFmtId="2" fontId="15" fillId="0" borderId="53" xfId="0" applyNumberFormat="1" applyFont="1" applyFill="1" applyBorder="1" applyAlignment="1" applyProtection="1">
      <alignment horizontal="center" vertical="center"/>
    </xf>
    <xf numFmtId="2" fontId="15" fillId="0" borderId="57" xfId="0" applyNumberFormat="1" applyFont="1" applyFill="1" applyBorder="1" applyAlignment="1" applyProtection="1">
      <alignment horizontal="center" vertical="center"/>
    </xf>
    <xf numFmtId="2" fontId="15" fillId="0" borderId="75" xfId="0" applyNumberFormat="1" applyFont="1" applyFill="1" applyBorder="1" applyAlignment="1" applyProtection="1">
      <alignment horizontal="center" vertical="center"/>
    </xf>
    <xf numFmtId="2" fontId="15" fillId="0" borderId="56" xfId="0" applyNumberFormat="1" applyFont="1" applyFill="1" applyBorder="1" applyAlignment="1" applyProtection="1">
      <alignment horizontal="center" vertical="center"/>
    </xf>
    <xf numFmtId="167" fontId="22" fillId="27" borderId="0" xfId="49" applyNumberFormat="1" applyFont="1" applyFill="1" applyAlignment="1" applyProtection="1">
      <alignment horizontal="left" vertical="center"/>
    </xf>
    <xf numFmtId="173" fontId="104" fillId="26" borderId="0" xfId="37" applyNumberFormat="1" applyFont="1" applyFill="1" applyBorder="1" applyAlignment="1" applyProtection="1">
      <alignment horizontal="left" vertical="center" wrapText="1"/>
    </xf>
    <xf numFmtId="173" fontId="103" fillId="26" borderId="0" xfId="37" applyNumberFormat="1" applyFont="1" applyFill="1" applyBorder="1" applyAlignment="1" applyProtection="1">
      <alignment horizontal="center" vertical="center" wrapText="1"/>
    </xf>
    <xf numFmtId="171" fontId="44" fillId="0" borderId="75" xfId="0" applyNumberFormat="1" applyFont="1" applyFill="1" applyBorder="1" applyAlignment="1" applyProtection="1">
      <alignment horizontal="center" vertical="center"/>
    </xf>
    <xf numFmtId="171" fontId="44" fillId="0" borderId="52" xfId="0" applyNumberFormat="1" applyFont="1" applyFill="1" applyBorder="1" applyAlignment="1" applyProtection="1">
      <alignment horizontal="center" vertical="center"/>
    </xf>
    <xf numFmtId="4" fontId="43" fillId="20" borderId="52" xfId="0" applyNumberFormat="1" applyFont="1" applyFill="1" applyBorder="1" applyAlignment="1" applyProtection="1">
      <alignment horizontal="center" vertical="center"/>
    </xf>
    <xf numFmtId="4" fontId="44" fillId="0" borderId="52" xfId="0" applyNumberFormat="1" applyFont="1" applyFill="1" applyBorder="1" applyAlignment="1" applyProtection="1">
      <alignment horizontal="center" vertical="center"/>
    </xf>
    <xf numFmtId="4" fontId="44" fillId="20" borderId="52" xfId="0" applyNumberFormat="1" applyFont="1" applyFill="1" applyBorder="1" applyAlignment="1" applyProtection="1">
      <alignment horizontal="center" vertical="center"/>
    </xf>
    <xf numFmtId="10" fontId="44" fillId="0" borderId="54" xfId="1" applyNumberFormat="1" applyFont="1" applyFill="1" applyBorder="1" applyAlignment="1" applyProtection="1">
      <alignment horizontal="center" vertical="center"/>
    </xf>
    <xf numFmtId="10" fontId="44" fillId="0" borderId="18" xfId="1" applyNumberFormat="1" applyFont="1" applyFill="1" applyBorder="1" applyAlignment="1" applyProtection="1">
      <alignment horizontal="center" vertical="center"/>
    </xf>
    <xf numFmtId="4" fontId="44" fillId="20" borderId="54" xfId="0" applyNumberFormat="1" applyFont="1" applyFill="1" applyBorder="1" applyAlignment="1" applyProtection="1">
      <alignment horizontal="center" vertical="center"/>
    </xf>
    <xf numFmtId="4" fontId="43" fillId="21" borderId="38" xfId="0" applyNumberFormat="1" applyFont="1" applyFill="1" applyBorder="1" applyAlignment="1" applyProtection="1">
      <alignment horizontal="center" vertical="center"/>
    </xf>
    <xf numFmtId="0" fontId="46" fillId="27" borderId="0" xfId="40" applyFont="1" applyFill="1" applyAlignment="1" applyProtection="1">
      <alignment horizontal="left" vertical="center"/>
    </xf>
    <xf numFmtId="170" fontId="43" fillId="37" borderId="38" xfId="0" applyNumberFormat="1" applyFont="1" applyFill="1" applyBorder="1" applyAlignment="1" applyProtection="1">
      <alignment horizontal="center" vertical="center" wrapText="1"/>
    </xf>
    <xf numFmtId="170" fontId="43" fillId="37" borderId="9" xfId="0" applyNumberFormat="1" applyFont="1" applyFill="1" applyBorder="1" applyAlignment="1" applyProtection="1">
      <alignment horizontal="center" vertical="center" wrapText="1"/>
    </xf>
    <xf numFmtId="170" fontId="43" fillId="37" borderId="10" xfId="0" applyNumberFormat="1" applyFont="1" applyFill="1" applyBorder="1" applyAlignment="1" applyProtection="1">
      <alignment horizontal="center" vertical="center" wrapText="1"/>
    </xf>
    <xf numFmtId="0" fontId="44" fillId="0" borderId="50" xfId="0" applyFont="1" applyFill="1" applyBorder="1" applyAlignment="1" applyProtection="1">
      <alignment horizontal="right" vertical="center" wrapText="1"/>
    </xf>
    <xf numFmtId="0" fontId="44" fillId="26" borderId="53" xfId="0" applyFont="1" applyFill="1" applyBorder="1" applyAlignment="1" applyProtection="1">
      <alignment horizontal="right" vertical="center" wrapText="1"/>
    </xf>
    <xf numFmtId="0" fontId="44" fillId="27" borderId="30" xfId="0" applyFont="1" applyFill="1" applyBorder="1" applyAlignment="1" applyProtection="1">
      <alignment horizontal="center" vertical="center" wrapText="1"/>
    </xf>
    <xf numFmtId="3" fontId="44" fillId="3" borderId="66" xfId="32" applyNumberFormat="1" applyFont="1" applyFill="1" applyBorder="1" applyAlignment="1" applyProtection="1">
      <alignment horizontal="center" vertical="center"/>
      <protection locked="0"/>
    </xf>
    <xf numFmtId="3" fontId="44" fillId="3" borderId="4" xfId="32" applyNumberFormat="1" applyFont="1" applyFill="1" applyBorder="1" applyAlignment="1" applyProtection="1">
      <alignment horizontal="center" vertical="center"/>
      <protection locked="0"/>
    </xf>
    <xf numFmtId="3" fontId="44" fillId="26" borderId="5" xfId="32" applyNumberFormat="1" applyFont="1" applyFill="1" applyBorder="1" applyAlignment="1" applyProtection="1">
      <alignment horizontal="center" vertical="center"/>
    </xf>
    <xf numFmtId="49" fontId="44" fillId="0" borderId="52" xfId="0" applyNumberFormat="1" applyFont="1" applyBorder="1" applyAlignment="1" applyProtection="1">
      <alignment horizontal="center" vertical="center"/>
    </xf>
    <xf numFmtId="0" fontId="44" fillId="0" borderId="7" xfId="0" applyFont="1" applyFill="1" applyBorder="1" applyAlignment="1" applyProtection="1">
      <alignment horizontal="center" vertical="center"/>
    </xf>
    <xf numFmtId="3" fontId="44" fillId="0" borderId="7" xfId="0" applyNumberFormat="1" applyFont="1" applyFill="1" applyBorder="1" applyAlignment="1" applyProtection="1">
      <alignment horizontal="center" vertical="center"/>
    </xf>
    <xf numFmtId="3" fontId="44" fillId="0" borderId="53" xfId="0" applyNumberFormat="1" applyFont="1" applyFill="1" applyBorder="1" applyAlignment="1" applyProtection="1">
      <alignment horizontal="center" vertical="center"/>
    </xf>
    <xf numFmtId="49" fontId="43" fillId="0" borderId="52" xfId="0" applyNumberFormat="1" applyFont="1" applyBorder="1" applyAlignment="1" applyProtection="1">
      <alignment horizontal="center" vertical="center"/>
    </xf>
    <xf numFmtId="0" fontId="43" fillId="0" borderId="7" xfId="0" applyFont="1" applyFill="1" applyBorder="1" applyAlignment="1" applyProtection="1">
      <alignment horizontal="left" vertical="center" wrapText="1"/>
    </xf>
    <xf numFmtId="3" fontId="44" fillId="0" borderId="62" xfId="0" applyNumberFormat="1" applyFont="1" applyFill="1" applyBorder="1" applyAlignment="1" applyProtection="1">
      <alignment horizontal="center" vertical="center"/>
    </xf>
    <xf numFmtId="0" fontId="43" fillId="37" borderId="45" xfId="0" applyFont="1" applyFill="1" applyBorder="1" applyAlignment="1" applyProtection="1">
      <alignment horizontal="center" vertical="center" wrapText="1"/>
    </xf>
    <xf numFmtId="170" fontId="43" fillId="37" borderId="58" xfId="0" applyNumberFormat="1" applyFont="1" applyFill="1" applyBorder="1" applyAlignment="1" applyProtection="1">
      <alignment horizontal="center" vertical="center" wrapText="1"/>
    </xf>
    <xf numFmtId="170" fontId="43" fillId="37" borderId="41" xfId="0" applyNumberFormat="1" applyFont="1" applyFill="1" applyBorder="1" applyAlignment="1" applyProtection="1">
      <alignment horizontal="center" vertical="center" wrapText="1"/>
    </xf>
    <xf numFmtId="49" fontId="43" fillId="0" borderId="75" xfId="0" applyNumberFormat="1" applyFont="1" applyBorder="1" applyAlignment="1" applyProtection="1">
      <alignment horizontal="center" vertical="center"/>
    </xf>
    <xf numFmtId="0" fontId="43" fillId="0" borderId="73" xfId="0" applyFont="1" applyFill="1" applyBorder="1" applyAlignment="1" applyProtection="1">
      <alignment vertical="center" wrapText="1"/>
    </xf>
    <xf numFmtId="0" fontId="44" fillId="0" borderId="74" xfId="0" applyFont="1" applyFill="1" applyBorder="1" applyAlignment="1" applyProtection="1">
      <alignment horizontal="center" vertical="center"/>
    </xf>
    <xf numFmtId="0" fontId="43" fillId="0" borderId="7" xfId="0" applyFont="1" applyFill="1" applyBorder="1" applyAlignment="1" applyProtection="1">
      <alignment vertical="center" wrapText="1"/>
    </xf>
    <xf numFmtId="3" fontId="43" fillId="0" borderId="7" xfId="0" applyNumberFormat="1" applyFont="1" applyBorder="1" applyAlignment="1" applyProtection="1">
      <alignment horizontal="center" vertical="center"/>
    </xf>
    <xf numFmtId="3" fontId="43" fillId="0" borderId="53" xfId="0" applyNumberFormat="1" applyFont="1" applyBorder="1" applyAlignment="1" applyProtection="1">
      <alignment horizontal="center" vertical="center"/>
    </xf>
    <xf numFmtId="49" fontId="44" fillId="0" borderId="56" xfId="0" applyNumberFormat="1" applyFont="1" applyBorder="1" applyAlignment="1" applyProtection="1">
      <alignment horizontal="center" vertical="center"/>
    </xf>
    <xf numFmtId="0" fontId="44" fillId="0" borderId="77" xfId="0" applyFont="1" applyFill="1" applyBorder="1" applyAlignment="1" applyProtection="1">
      <alignment horizontal="left" vertical="center" wrapText="1"/>
    </xf>
    <xf numFmtId="0" fontId="44" fillId="0" borderId="77" xfId="0" applyFont="1" applyFill="1" applyBorder="1" applyAlignment="1" applyProtection="1">
      <alignment horizontal="center" vertical="center"/>
    </xf>
    <xf numFmtId="3" fontId="44" fillId="0" borderId="78" xfId="0" applyNumberFormat="1" applyFont="1" applyFill="1" applyBorder="1" applyAlignment="1" applyProtection="1">
      <alignment horizontal="center" vertical="center"/>
    </xf>
    <xf numFmtId="3" fontId="44" fillId="0" borderId="57" xfId="0" applyNumberFormat="1" applyFont="1" applyFill="1" applyBorder="1" applyAlignment="1" applyProtection="1">
      <alignment horizontal="center" vertical="center"/>
    </xf>
    <xf numFmtId="0" fontId="113" fillId="0" borderId="0" xfId="0" applyFont="1" applyAlignment="1">
      <alignment vertical="center"/>
    </xf>
    <xf numFmtId="49" fontId="43" fillId="0" borderId="49" xfId="0" applyNumberFormat="1" applyFont="1" applyFill="1" applyBorder="1" applyAlignment="1" applyProtection="1">
      <alignment horizontal="center" vertical="center"/>
    </xf>
    <xf numFmtId="0" fontId="43" fillId="0" borderId="31" xfId="0" applyFont="1" applyFill="1" applyBorder="1" applyAlignment="1" applyProtection="1">
      <alignment horizontal="left" vertical="center" wrapText="1"/>
    </xf>
    <xf numFmtId="0" fontId="44" fillId="0" borderId="31" xfId="0" applyFont="1" applyFill="1" applyBorder="1" applyAlignment="1" applyProtection="1">
      <alignment horizontal="center" vertical="center"/>
    </xf>
    <xf numFmtId="3" fontId="43" fillId="0" borderId="31" xfId="0" applyNumberFormat="1" applyFont="1" applyFill="1" applyBorder="1" applyAlignment="1" applyProtection="1">
      <alignment horizontal="center" vertical="center"/>
    </xf>
    <xf numFmtId="3" fontId="43" fillId="0" borderId="50" xfId="0" applyNumberFormat="1" applyFont="1" applyFill="1" applyBorder="1" applyAlignment="1" applyProtection="1">
      <alignment horizontal="center" vertical="center"/>
    </xf>
    <xf numFmtId="49" fontId="44" fillId="0" borderId="52" xfId="0" applyNumberFormat="1" applyFont="1" applyFill="1" applyBorder="1" applyAlignment="1" applyProtection="1">
      <alignment horizontal="center" vertical="center"/>
    </xf>
    <xf numFmtId="49" fontId="43" fillId="0" borderId="52" xfId="0" applyNumberFormat="1" applyFont="1" applyFill="1" applyBorder="1" applyAlignment="1" applyProtection="1">
      <alignment horizontal="center" vertical="center"/>
    </xf>
    <xf numFmtId="0" fontId="43" fillId="21" borderId="38" xfId="0" quotePrefix="1" applyFont="1" applyFill="1" applyBorder="1" applyAlignment="1" applyProtection="1">
      <alignment horizontal="center" vertical="center"/>
    </xf>
    <xf numFmtId="0" fontId="43" fillId="21" borderId="9" xfId="0" applyFont="1" applyFill="1" applyBorder="1" applyAlignment="1" applyProtection="1">
      <alignment vertical="center"/>
    </xf>
    <xf numFmtId="0" fontId="43" fillId="21" borderId="9" xfId="0" applyFont="1" applyFill="1" applyBorder="1" applyAlignment="1" applyProtection="1">
      <alignment horizontal="center" vertical="center"/>
    </xf>
    <xf numFmtId="3" fontId="43" fillId="21" borderId="9" xfId="0" applyNumberFormat="1" applyFont="1" applyFill="1" applyBorder="1" applyAlignment="1" applyProtection="1">
      <alignment horizontal="center" vertical="center"/>
    </xf>
    <xf numFmtId="3" fontId="43" fillId="21" borderId="3" xfId="0" applyNumberFormat="1" applyFont="1" applyFill="1" applyBorder="1" applyAlignment="1" applyProtection="1">
      <alignment horizontal="center" vertical="center"/>
    </xf>
    <xf numFmtId="0" fontId="44" fillId="0" borderId="0" xfId="0" applyFont="1" applyAlignment="1" applyProtection="1">
      <alignment vertical="center"/>
    </xf>
    <xf numFmtId="3" fontId="43" fillId="21" borderId="10" xfId="0" applyNumberFormat="1" applyFont="1" applyFill="1" applyBorder="1" applyAlignment="1" applyProtection="1">
      <alignment horizontal="center" vertical="center"/>
    </xf>
    <xf numFmtId="3" fontId="44" fillId="27" borderId="61" xfId="32" applyNumberFormat="1" applyFont="1" applyFill="1" applyBorder="1" applyAlignment="1" applyProtection="1">
      <alignment horizontal="left" vertical="center" wrapText="1"/>
    </xf>
    <xf numFmtId="3" fontId="44" fillId="27" borderId="62" xfId="32" applyNumberFormat="1" applyFont="1" applyFill="1" applyBorder="1" applyAlignment="1" applyProtection="1">
      <alignment horizontal="left" vertical="center" wrapText="1"/>
    </xf>
    <xf numFmtId="3" fontId="44" fillId="27" borderId="62" xfId="32" applyNumberFormat="1" applyFont="1" applyFill="1" applyBorder="1" applyAlignment="1" applyProtection="1">
      <alignment horizontal="left" vertical="center"/>
    </xf>
    <xf numFmtId="3" fontId="43" fillId="31" borderId="60" xfId="32" applyNumberFormat="1" applyFont="1" applyFill="1" applyBorder="1" applyAlignment="1" applyProtection="1">
      <alignment horizontal="left" vertical="center" wrapText="1"/>
    </xf>
    <xf numFmtId="3" fontId="44" fillId="31" borderId="2" xfId="32" applyNumberFormat="1" applyFont="1" applyFill="1" applyBorder="1" applyAlignment="1" applyProtection="1">
      <alignment horizontal="center" vertical="center"/>
    </xf>
    <xf numFmtId="3" fontId="45" fillId="0" borderId="74" xfId="32" applyNumberFormat="1" applyFont="1" applyFill="1" applyBorder="1" applyAlignment="1" applyProtection="1">
      <alignment horizontal="left" vertical="center" wrapText="1"/>
    </xf>
    <xf numFmtId="3" fontId="45" fillId="26" borderId="51" xfId="32" applyNumberFormat="1" applyFont="1" applyFill="1" applyBorder="1" applyAlignment="1" applyProtection="1">
      <alignment horizontal="center" vertical="center"/>
    </xf>
    <xf numFmtId="3" fontId="45" fillId="0" borderId="62" xfId="32" applyNumberFormat="1" applyFont="1" applyFill="1" applyBorder="1" applyAlignment="1" applyProtection="1">
      <alignment horizontal="left" vertical="center" wrapText="1"/>
    </xf>
    <xf numFmtId="3" fontId="45" fillId="26" borderId="17" xfId="32" applyNumberFormat="1" applyFont="1" applyFill="1" applyBorder="1" applyAlignment="1" applyProtection="1">
      <alignment horizontal="center" vertical="center"/>
    </xf>
    <xf numFmtId="3" fontId="45" fillId="26" borderId="21" xfId="32" applyNumberFormat="1" applyFont="1" applyFill="1" applyBorder="1" applyAlignment="1" applyProtection="1">
      <alignment horizontal="center" vertical="center"/>
    </xf>
    <xf numFmtId="3" fontId="44" fillId="0" borderId="62" xfId="32" applyNumberFormat="1" applyFont="1" applyFill="1" applyBorder="1" applyAlignment="1" applyProtection="1">
      <alignment horizontal="left" vertical="center" wrapText="1"/>
    </xf>
    <xf numFmtId="3" fontId="44" fillId="27" borderId="64" xfId="32" applyNumberFormat="1" applyFont="1" applyFill="1" applyBorder="1" applyAlignment="1" applyProtection="1">
      <alignment horizontal="left" vertical="center" wrapText="1"/>
    </xf>
    <xf numFmtId="3" fontId="44" fillId="26" borderId="39" xfId="32" applyNumberFormat="1" applyFont="1" applyFill="1" applyBorder="1" applyAlignment="1" applyProtection="1">
      <alignment horizontal="center" vertical="center"/>
    </xf>
    <xf numFmtId="3" fontId="43" fillId="31" borderId="60" xfId="32" applyNumberFormat="1" applyFont="1" applyFill="1" applyBorder="1" applyAlignment="1" applyProtection="1">
      <alignment vertical="center"/>
    </xf>
    <xf numFmtId="3" fontId="45" fillId="0" borderId="61" xfId="32" applyNumberFormat="1" applyFont="1" applyFill="1" applyBorder="1" applyAlignment="1" applyProtection="1">
      <alignment horizontal="left" vertical="center" wrapText="1"/>
    </xf>
    <xf numFmtId="3" fontId="45" fillId="0" borderId="64" xfId="32" applyNumberFormat="1" applyFont="1" applyFill="1" applyBorder="1" applyAlignment="1" applyProtection="1">
      <alignment horizontal="left" vertical="center" wrapText="1"/>
    </xf>
    <xf numFmtId="3" fontId="45" fillId="0" borderId="76" xfId="32" applyNumberFormat="1" applyFont="1" applyFill="1" applyBorder="1" applyAlignment="1" applyProtection="1">
      <alignment horizontal="left" vertical="center" wrapText="1"/>
    </xf>
    <xf numFmtId="3" fontId="45" fillId="0" borderId="53" xfId="32" applyNumberFormat="1" applyFont="1" applyFill="1" applyBorder="1" applyAlignment="1" applyProtection="1">
      <alignment horizontal="left" vertical="center" wrapText="1"/>
    </xf>
    <xf numFmtId="3" fontId="44" fillId="31" borderId="1" xfId="32" applyNumberFormat="1" applyFont="1" applyFill="1" applyBorder="1" applyAlignment="1" applyProtection="1">
      <alignment horizontal="center" vertical="center"/>
    </xf>
    <xf numFmtId="3" fontId="43" fillId="31" borderId="20" xfId="32" applyNumberFormat="1" applyFont="1" applyFill="1" applyBorder="1" applyAlignment="1" applyProtection="1">
      <alignment vertical="center"/>
    </xf>
    <xf numFmtId="3" fontId="44" fillId="27" borderId="61" xfId="32" applyNumberFormat="1" applyFont="1" applyFill="1" applyBorder="1" applyAlignment="1" applyProtection="1">
      <alignment vertical="center" wrapText="1"/>
    </xf>
    <xf numFmtId="0" fontId="68" fillId="46" borderId="11" xfId="52" applyFont="1" applyFill="1" applyBorder="1" applyAlignment="1" applyProtection="1">
      <alignment horizontal="center" vertical="center" wrapText="1"/>
    </xf>
    <xf numFmtId="0" fontId="43" fillId="40" borderId="47" xfId="32" applyFont="1" applyFill="1" applyBorder="1" applyAlignment="1" applyProtection="1">
      <alignment horizontal="center" vertical="center" wrapText="1"/>
    </xf>
    <xf numFmtId="3" fontId="43" fillId="40" borderId="8" xfId="32" applyNumberFormat="1" applyFont="1" applyFill="1" applyBorder="1" applyAlignment="1" applyProtection="1">
      <alignment vertical="center" wrapText="1"/>
    </xf>
    <xf numFmtId="0" fontId="43" fillId="40" borderId="38" xfId="32" applyFont="1" applyFill="1" applyBorder="1" applyAlignment="1" applyProtection="1">
      <alignment horizontal="center" vertical="center" wrapText="1"/>
    </xf>
    <xf numFmtId="0" fontId="44" fillId="26" borderId="27" xfId="49" applyFont="1" applyFill="1" applyBorder="1" applyAlignment="1" applyProtection="1">
      <alignment horizontal="left" vertical="center" wrapText="1"/>
    </xf>
    <xf numFmtId="0" fontId="44" fillId="26" borderId="50" xfId="49" applyFont="1" applyFill="1" applyBorder="1" applyAlignment="1" applyProtection="1">
      <alignment horizontal="left" vertical="center" wrapText="1"/>
    </xf>
    <xf numFmtId="3" fontId="44" fillId="26" borderId="5" xfId="49" applyNumberFormat="1" applyFont="1" applyFill="1" applyBorder="1" applyAlignment="1" applyProtection="1">
      <alignment horizontal="center" vertical="center" wrapText="1"/>
    </xf>
    <xf numFmtId="3" fontId="44" fillId="26" borderId="22" xfId="49" applyNumberFormat="1" applyFont="1" applyFill="1" applyBorder="1" applyAlignment="1" applyProtection="1">
      <alignment horizontal="center" vertical="center" wrapText="1"/>
    </xf>
    <xf numFmtId="9" fontId="44" fillId="26" borderId="73" xfId="1" applyFont="1" applyFill="1" applyBorder="1" applyAlignment="1" applyProtection="1">
      <alignment horizontal="center" vertical="center" wrapText="1"/>
    </xf>
    <xf numFmtId="3" fontId="44" fillId="26" borderId="73" xfId="49" applyNumberFormat="1" applyFont="1" applyFill="1" applyBorder="1" applyAlignment="1" applyProtection="1">
      <alignment horizontal="center" vertical="center" wrapText="1"/>
    </xf>
    <xf numFmtId="9" fontId="44" fillId="26" borderId="74" xfId="1" applyFont="1" applyFill="1" applyBorder="1" applyAlignment="1" applyProtection="1">
      <alignment horizontal="center" vertical="center" wrapText="1"/>
    </xf>
    <xf numFmtId="3" fontId="44" fillId="26" borderId="51" xfId="1" applyNumberFormat="1" applyFont="1" applyFill="1" applyBorder="1" applyAlignment="1" applyProtection="1">
      <alignment horizontal="center" vertical="center" wrapText="1"/>
    </xf>
    <xf numFmtId="9" fontId="44" fillId="26" borderId="76" xfId="1" applyFont="1" applyFill="1" applyBorder="1" applyAlignment="1" applyProtection="1">
      <alignment horizontal="center" vertical="center" wrapText="1"/>
    </xf>
    <xf numFmtId="0" fontId="44" fillId="26" borderId="52" xfId="49" applyFont="1" applyFill="1" applyBorder="1" applyAlignment="1" applyProtection="1">
      <alignment horizontal="left" vertical="center" wrapText="1"/>
    </xf>
    <xf numFmtId="0" fontId="44" fillId="26" borderId="54" xfId="49" applyFont="1" applyFill="1" applyBorder="1" applyAlignment="1" applyProtection="1">
      <alignment horizontal="left" vertical="center" wrapText="1"/>
    </xf>
    <xf numFmtId="0" fontId="44" fillId="26" borderId="55" xfId="49" applyFont="1" applyFill="1" applyBorder="1" applyAlignment="1" applyProtection="1">
      <alignment horizontal="left" vertical="center" wrapText="1"/>
    </xf>
    <xf numFmtId="3" fontId="44" fillId="26" borderId="39" xfId="49" applyNumberFormat="1" applyFont="1" applyFill="1" applyBorder="1" applyAlignment="1" applyProtection="1">
      <alignment horizontal="center" vertical="center" wrapText="1"/>
    </xf>
    <xf numFmtId="9" fontId="44" fillId="26" borderId="78" xfId="1" applyFont="1" applyFill="1" applyBorder="1" applyAlignment="1" applyProtection="1">
      <alignment horizontal="center" vertical="center" wrapText="1"/>
    </xf>
    <xf numFmtId="9" fontId="44" fillId="26" borderId="57" xfId="1" applyFont="1" applyFill="1" applyBorder="1" applyAlignment="1" applyProtection="1">
      <alignment horizontal="center" vertical="center" wrapText="1"/>
    </xf>
    <xf numFmtId="49" fontId="24" fillId="41" borderId="1" xfId="83" applyNumberFormat="1" applyFont="1" applyFill="1" applyBorder="1" applyAlignment="1" applyProtection="1">
      <alignment vertical="center"/>
    </xf>
    <xf numFmtId="49" fontId="24" fillId="41" borderId="8" xfId="83" applyNumberFormat="1" applyFont="1" applyFill="1" applyBorder="1" applyAlignment="1" applyProtection="1">
      <alignment vertical="center" wrapText="1"/>
    </xf>
    <xf numFmtId="49" fontId="24" fillId="41" borderId="3" xfId="83" applyNumberFormat="1" applyFont="1" applyFill="1" applyBorder="1" applyAlignment="1" applyProtection="1">
      <alignment vertical="center" wrapText="1"/>
    </xf>
    <xf numFmtId="3" fontId="45" fillId="0" borderId="37" xfId="32" applyNumberFormat="1" applyFont="1" applyFill="1" applyBorder="1" applyAlignment="1" applyProtection="1">
      <alignment horizontal="left" vertical="center" wrapText="1"/>
    </xf>
    <xf numFmtId="49" fontId="43" fillId="24" borderId="75" xfId="78" applyNumberFormat="1" applyFont="1" applyFill="1" applyBorder="1" applyAlignment="1" applyProtection="1">
      <alignment horizontal="center" vertical="center" wrapText="1"/>
    </xf>
    <xf numFmtId="49" fontId="44" fillId="26" borderId="52" xfId="78" applyNumberFormat="1" applyFont="1" applyFill="1" applyBorder="1" applyAlignment="1" applyProtection="1">
      <alignment horizontal="center" vertical="center" wrapText="1"/>
    </xf>
    <xf numFmtId="49" fontId="43" fillId="31" borderId="52" xfId="78" applyNumberFormat="1" applyFont="1" applyFill="1" applyBorder="1" applyAlignment="1" applyProtection="1">
      <alignment horizontal="center" vertical="center" wrapText="1"/>
    </xf>
    <xf numFmtId="49" fontId="43" fillId="24" borderId="52" xfId="78" applyNumberFormat="1" applyFont="1" applyFill="1" applyBorder="1" applyAlignment="1" applyProtection="1">
      <alignment horizontal="center" vertical="center" wrapText="1"/>
    </xf>
    <xf numFmtId="49" fontId="44" fillId="26" borderId="56" xfId="78" applyNumberFormat="1" applyFont="1" applyFill="1" applyBorder="1" applyAlignment="1" applyProtection="1">
      <alignment horizontal="center" vertical="center" wrapText="1"/>
    </xf>
    <xf numFmtId="3" fontId="156" fillId="0" borderId="66" xfId="0" applyNumberFormat="1" applyFont="1" applyFill="1" applyBorder="1" applyAlignment="1" applyProtection="1">
      <alignment horizontal="center" vertical="center"/>
    </xf>
    <xf numFmtId="3" fontId="156" fillId="0" borderId="4" xfId="0" applyNumberFormat="1" applyFont="1" applyFill="1" applyBorder="1" applyAlignment="1" applyProtection="1">
      <alignment horizontal="center" vertical="center"/>
    </xf>
    <xf numFmtId="3" fontId="156" fillId="0" borderId="68" xfId="0" applyNumberFormat="1" applyFont="1" applyFill="1" applyBorder="1" applyAlignment="1" applyProtection="1">
      <alignment horizontal="center" vertical="center"/>
    </xf>
    <xf numFmtId="3" fontId="44" fillId="0" borderId="50" xfId="0" applyNumberFormat="1" applyFont="1" applyFill="1" applyBorder="1" applyAlignment="1" applyProtection="1">
      <alignment horizontal="center" vertical="center"/>
    </xf>
    <xf numFmtId="3" fontId="44" fillId="0" borderId="49" xfId="0" applyNumberFormat="1" applyFont="1" applyFill="1" applyBorder="1" applyAlignment="1" applyProtection="1">
      <alignment horizontal="center" vertical="center"/>
    </xf>
    <xf numFmtId="3" fontId="44" fillId="0" borderId="31" xfId="0" applyNumberFormat="1" applyFont="1" applyFill="1" applyBorder="1" applyAlignment="1" applyProtection="1">
      <alignment horizontal="center" vertical="center"/>
    </xf>
    <xf numFmtId="3" fontId="44" fillId="27" borderId="56" xfId="0" applyNumberFormat="1" applyFont="1" applyFill="1" applyBorder="1" applyAlignment="1" applyProtection="1">
      <alignment horizontal="center" vertical="center"/>
    </xf>
    <xf numFmtId="3" fontId="44" fillId="27" borderId="77" xfId="0" applyNumberFormat="1" applyFont="1" applyFill="1" applyBorder="1" applyAlignment="1" applyProtection="1">
      <alignment horizontal="center" vertical="center"/>
    </xf>
    <xf numFmtId="3" fontId="44" fillId="27" borderId="57" xfId="0" applyNumberFormat="1" applyFont="1" applyFill="1" applyBorder="1" applyAlignment="1" applyProtection="1">
      <alignment horizontal="center" vertical="center"/>
    </xf>
    <xf numFmtId="172" fontId="44" fillId="27" borderId="39" xfId="70" applyNumberFormat="1" applyFont="1" applyFill="1" applyBorder="1" applyAlignment="1" applyProtection="1">
      <alignment horizontal="center" vertical="center"/>
    </xf>
    <xf numFmtId="172" fontId="43" fillId="27" borderId="39" xfId="70" applyNumberFormat="1" applyFont="1" applyFill="1" applyBorder="1" applyAlignment="1" applyProtection="1">
      <alignment horizontal="center" vertical="center"/>
    </xf>
    <xf numFmtId="172" fontId="44" fillId="27" borderId="51" xfId="70" applyNumberFormat="1" applyFont="1" applyFill="1" applyBorder="1" applyAlignment="1" applyProtection="1">
      <alignment horizontal="center" vertical="center"/>
    </xf>
    <xf numFmtId="172" fontId="43" fillId="27" borderId="51" xfId="70" applyNumberFormat="1" applyFont="1" applyFill="1" applyBorder="1" applyAlignment="1" applyProtection="1">
      <alignment horizontal="center" vertical="center"/>
    </xf>
    <xf numFmtId="3" fontId="44" fillId="0" borderId="66" xfId="0" applyNumberFormat="1" applyFont="1" applyFill="1" applyBorder="1" applyAlignment="1" applyProtection="1">
      <alignment horizontal="center" vertical="center"/>
    </xf>
    <xf numFmtId="3" fontId="44" fillId="0" borderId="4" xfId="0" applyNumberFormat="1" applyFont="1" applyFill="1" applyBorder="1" applyAlignment="1" applyProtection="1">
      <alignment horizontal="center" vertical="center"/>
    </xf>
    <xf numFmtId="3" fontId="44" fillId="27" borderId="4" xfId="0" applyNumberFormat="1" applyFont="1" applyFill="1" applyBorder="1" applyAlignment="1" applyProtection="1">
      <alignment horizontal="center" vertical="center"/>
    </xf>
    <xf numFmtId="3" fontId="44" fillId="27" borderId="68" xfId="0" applyNumberFormat="1" applyFont="1" applyFill="1" applyBorder="1" applyAlignment="1" applyProtection="1">
      <alignment horizontal="center" vertical="center"/>
    </xf>
    <xf numFmtId="172" fontId="44" fillId="27" borderId="34" xfId="70" applyNumberFormat="1" applyFont="1" applyFill="1" applyBorder="1" applyAlignment="1" applyProtection="1">
      <alignment horizontal="center" vertical="center"/>
    </xf>
    <xf numFmtId="172" fontId="43" fillId="27" borderId="34" xfId="70" applyNumberFormat="1" applyFont="1" applyFill="1" applyBorder="1" applyAlignment="1" applyProtection="1">
      <alignment horizontal="center" vertical="center"/>
    </xf>
    <xf numFmtId="3" fontId="44" fillId="31" borderId="75" xfId="0" applyNumberFormat="1" applyFont="1" applyFill="1" applyBorder="1" applyAlignment="1" applyProtection="1">
      <alignment horizontal="center" vertical="center"/>
    </xf>
    <xf numFmtId="3" fontId="44" fillId="31" borderId="73" xfId="0" applyNumberFormat="1" applyFont="1" applyFill="1" applyBorder="1" applyAlignment="1" applyProtection="1">
      <alignment horizontal="center" vertical="center"/>
    </xf>
    <xf numFmtId="3" fontId="44" fillId="31" borderId="76" xfId="0" applyNumberFormat="1" applyFont="1" applyFill="1" applyBorder="1" applyAlignment="1" applyProtection="1">
      <alignment horizontal="center" vertical="center"/>
    </xf>
    <xf numFmtId="172" fontId="44" fillId="31" borderId="51" xfId="70" applyNumberFormat="1" applyFont="1" applyFill="1" applyBorder="1" applyAlignment="1" applyProtection="1">
      <alignment horizontal="center" vertical="center"/>
    </xf>
    <xf numFmtId="172" fontId="43" fillId="31" borderId="51" xfId="70" applyNumberFormat="1" applyFont="1" applyFill="1" applyBorder="1" applyAlignment="1" applyProtection="1">
      <alignment horizontal="center" vertical="center"/>
    </xf>
    <xf numFmtId="172" fontId="44" fillId="27" borderId="5" xfId="51" applyNumberFormat="1" applyFont="1" applyFill="1" applyBorder="1" applyAlignment="1" applyProtection="1">
      <alignment horizontal="center" vertical="center"/>
    </xf>
    <xf numFmtId="172" fontId="43" fillId="27" borderId="5" xfId="51" applyNumberFormat="1" applyFont="1" applyFill="1" applyBorder="1" applyAlignment="1" applyProtection="1">
      <alignment horizontal="center" vertical="center"/>
    </xf>
    <xf numFmtId="172" fontId="44" fillId="27" borderId="17" xfId="51" applyNumberFormat="1" applyFont="1" applyFill="1" applyBorder="1" applyAlignment="1" applyProtection="1">
      <alignment horizontal="center" vertical="center"/>
    </xf>
    <xf numFmtId="172" fontId="43" fillId="27" borderId="17" xfId="51" applyNumberFormat="1" applyFont="1" applyFill="1" applyBorder="1" applyAlignment="1" applyProtection="1">
      <alignment horizontal="center" vertical="center"/>
    </xf>
    <xf numFmtId="172" fontId="44" fillId="0" borderId="5" xfId="70" applyNumberFormat="1" applyFont="1" applyFill="1" applyBorder="1" applyAlignment="1" applyProtection="1">
      <alignment horizontal="center" vertical="center"/>
    </xf>
    <xf numFmtId="172" fontId="43" fillId="0" borderId="5" xfId="70" applyNumberFormat="1" applyFont="1" applyFill="1" applyBorder="1" applyAlignment="1" applyProtection="1">
      <alignment horizontal="center" vertical="center"/>
    </xf>
    <xf numFmtId="172" fontId="44" fillId="27" borderId="21" xfId="70" applyNumberFormat="1" applyFont="1" applyFill="1" applyBorder="1" applyAlignment="1" applyProtection="1">
      <alignment horizontal="center" vertical="center"/>
    </xf>
    <xf numFmtId="172" fontId="43" fillId="27" borderId="21" xfId="70" applyNumberFormat="1" applyFont="1" applyFill="1" applyBorder="1" applyAlignment="1" applyProtection="1">
      <alignment horizontal="center" vertical="center"/>
    </xf>
    <xf numFmtId="172" fontId="44" fillId="0" borderId="17" xfId="70" applyNumberFormat="1" applyFont="1" applyFill="1" applyBorder="1" applyAlignment="1" applyProtection="1">
      <alignment horizontal="center" vertical="center"/>
    </xf>
    <xf numFmtId="172" fontId="43" fillId="0" borderId="17" xfId="70" applyNumberFormat="1" applyFont="1" applyFill="1" applyBorder="1" applyAlignment="1" applyProtection="1">
      <alignment horizontal="center" vertical="center"/>
    </xf>
    <xf numFmtId="4" fontId="43" fillId="26" borderId="49" xfId="0" applyNumberFormat="1" applyFont="1" applyFill="1" applyBorder="1" applyAlignment="1" applyProtection="1">
      <alignment horizontal="center" vertical="center"/>
    </xf>
    <xf numFmtId="4" fontId="43" fillId="26" borderId="31" xfId="0" applyNumberFormat="1" applyFont="1" applyFill="1" applyBorder="1" applyAlignment="1" applyProtection="1">
      <alignment horizontal="center" vertical="center"/>
    </xf>
    <xf numFmtId="4" fontId="43" fillId="26" borderId="50" xfId="0" applyNumberFormat="1" applyFont="1" applyFill="1" applyBorder="1" applyAlignment="1" applyProtection="1">
      <alignment horizontal="center" vertical="center"/>
    </xf>
    <xf numFmtId="4" fontId="103" fillId="26" borderId="130" xfId="0" applyNumberFormat="1" applyFont="1" applyFill="1" applyBorder="1" applyAlignment="1" applyProtection="1">
      <alignment horizontal="center" vertical="center"/>
    </xf>
    <xf numFmtId="4" fontId="113" fillId="26" borderId="130" xfId="0" applyNumberFormat="1" applyFont="1" applyFill="1" applyBorder="1" applyAlignment="1" applyProtection="1">
      <alignment horizontal="center" vertical="center"/>
    </xf>
    <xf numFmtId="4" fontId="44" fillId="0" borderId="99" xfId="0" applyNumberFormat="1" applyFont="1" applyFill="1" applyBorder="1" applyAlignment="1" applyProtection="1">
      <alignment horizontal="center" vertical="center"/>
    </xf>
    <xf numFmtId="10" fontId="44" fillId="0" borderId="31" xfId="70" applyNumberFormat="1" applyFont="1" applyFill="1" applyBorder="1" applyAlignment="1" applyProtection="1">
      <alignment horizontal="center" vertical="center"/>
    </xf>
    <xf numFmtId="4" fontId="44" fillId="0" borderId="134" xfId="0" applyNumberFormat="1" applyFont="1" applyFill="1" applyBorder="1" applyAlignment="1" applyProtection="1">
      <alignment horizontal="center" vertical="center"/>
    </xf>
    <xf numFmtId="10" fontId="44" fillId="0" borderId="4" xfId="70" applyNumberFormat="1" applyFont="1" applyFill="1" applyBorder="1" applyAlignment="1" applyProtection="1">
      <alignment horizontal="center" vertical="center"/>
    </xf>
    <xf numFmtId="4" fontId="103" fillId="26" borderId="92" xfId="0" applyNumberFormat="1" applyFont="1" applyFill="1" applyBorder="1" applyAlignment="1" applyProtection="1">
      <alignment horizontal="center" vertical="center"/>
    </xf>
    <xf numFmtId="4" fontId="113" fillId="26" borderId="92" xfId="0" applyNumberFormat="1" applyFont="1" applyFill="1" applyBorder="1" applyAlignment="1" applyProtection="1">
      <alignment horizontal="center" vertical="center"/>
    </xf>
    <xf numFmtId="4" fontId="43" fillId="26" borderId="73" xfId="0" applyNumberFormat="1" applyFont="1" applyFill="1" applyBorder="1" applyAlignment="1" applyProtection="1">
      <alignment horizontal="center" vertical="center"/>
    </xf>
    <xf numFmtId="4" fontId="43" fillId="26" borderId="76" xfId="0" applyNumberFormat="1" applyFont="1" applyFill="1" applyBorder="1" applyAlignment="1" applyProtection="1">
      <alignment horizontal="center" vertical="center"/>
    </xf>
    <xf numFmtId="4" fontId="43" fillId="26" borderId="7" xfId="0" applyNumberFormat="1" applyFont="1" applyFill="1" applyBorder="1" applyAlignment="1" applyProtection="1">
      <alignment horizontal="center" vertical="center"/>
    </xf>
    <xf numFmtId="4" fontId="43" fillId="26" borderId="53" xfId="0" applyNumberFormat="1" applyFont="1" applyFill="1" applyBorder="1" applyAlignment="1" applyProtection="1">
      <alignment horizontal="center" vertical="center"/>
    </xf>
    <xf numFmtId="4" fontId="43" fillId="26" borderId="77" xfId="0" applyNumberFormat="1" applyFont="1" applyFill="1" applyBorder="1" applyAlignment="1" applyProtection="1">
      <alignment horizontal="center" vertical="center"/>
    </xf>
    <xf numFmtId="4" fontId="43" fillId="26" borderId="57" xfId="0" applyNumberFormat="1" applyFont="1" applyFill="1" applyBorder="1" applyAlignment="1" applyProtection="1">
      <alignment horizontal="center" vertical="center"/>
    </xf>
    <xf numFmtId="9" fontId="43" fillId="27" borderId="49" xfId="51" applyNumberFormat="1" applyFont="1" applyFill="1" applyBorder="1" applyAlignment="1" applyProtection="1">
      <alignment horizontal="center" vertical="center"/>
    </xf>
    <xf numFmtId="9" fontId="43" fillId="27" borderId="31" xfId="51" applyNumberFormat="1" applyFont="1" applyFill="1" applyBorder="1" applyAlignment="1" applyProtection="1">
      <alignment horizontal="center" vertical="center"/>
    </xf>
    <xf numFmtId="9" fontId="43" fillId="27" borderId="50" xfId="51" applyNumberFormat="1" applyFont="1" applyFill="1" applyBorder="1" applyAlignment="1" applyProtection="1">
      <alignment horizontal="center" vertical="center"/>
    </xf>
    <xf numFmtId="9" fontId="43" fillId="26" borderId="56" xfId="51" applyNumberFormat="1" applyFont="1" applyFill="1" applyBorder="1" applyAlignment="1" applyProtection="1">
      <alignment horizontal="center" vertical="center"/>
    </xf>
    <xf numFmtId="9" fontId="43" fillId="26" borderId="77" xfId="51" applyNumberFormat="1" applyFont="1" applyFill="1" applyBorder="1" applyAlignment="1" applyProtection="1">
      <alignment horizontal="center" vertical="center"/>
    </xf>
    <xf numFmtId="9" fontId="43" fillId="26" borderId="57" xfId="51" applyNumberFormat="1" applyFont="1" applyFill="1" applyBorder="1" applyAlignment="1" applyProtection="1">
      <alignment horizontal="center" vertical="center"/>
    </xf>
    <xf numFmtId="4" fontId="44" fillId="26" borderId="47" xfId="0" applyNumberFormat="1" applyFont="1" applyFill="1" applyBorder="1" applyAlignment="1" applyProtection="1">
      <alignment horizontal="center" vertical="center"/>
    </xf>
    <xf numFmtId="4" fontId="44" fillId="26" borderId="71" xfId="0" applyNumberFormat="1" applyFont="1" applyFill="1" applyBorder="1" applyAlignment="1" applyProtection="1">
      <alignment horizontal="center" vertical="center"/>
    </xf>
    <xf numFmtId="4" fontId="44" fillId="26" borderId="48" xfId="0" applyNumberFormat="1" applyFont="1" applyFill="1" applyBorder="1" applyAlignment="1" applyProtection="1">
      <alignment horizontal="center" vertical="center"/>
    </xf>
    <xf numFmtId="0" fontId="43" fillId="37" borderId="40" xfId="49" applyFont="1" applyFill="1" applyBorder="1" applyAlignment="1" applyProtection="1">
      <alignment horizontal="center" vertical="center" wrapText="1"/>
    </xf>
    <xf numFmtId="0" fontId="43" fillId="37" borderId="11" xfId="49" applyFont="1" applyFill="1" applyBorder="1" applyAlignment="1" applyProtection="1">
      <alignment horizontal="center" vertical="center" wrapText="1"/>
    </xf>
    <xf numFmtId="0" fontId="43" fillId="37" borderId="41" xfId="49" applyFont="1" applyFill="1" applyBorder="1" applyAlignment="1" applyProtection="1">
      <alignment horizontal="center" vertical="center" wrapText="1"/>
    </xf>
    <xf numFmtId="0" fontId="55" fillId="27" borderId="0" xfId="49" applyFont="1" applyFill="1" applyBorder="1" applyAlignment="1" applyProtection="1">
      <alignment horizontal="left" vertical="center" wrapText="1"/>
    </xf>
    <xf numFmtId="170" fontId="43" fillId="37" borderId="70" xfId="49" applyNumberFormat="1" applyFont="1" applyFill="1" applyBorder="1" applyAlignment="1" applyProtection="1">
      <alignment horizontal="center" vertical="center" wrapText="1"/>
    </xf>
    <xf numFmtId="0" fontId="43" fillId="37" borderId="27" xfId="49" applyFont="1" applyFill="1" applyBorder="1" applyAlignment="1" applyProtection="1">
      <alignment horizontal="center" vertical="center" wrapText="1"/>
    </xf>
    <xf numFmtId="0" fontId="43" fillId="37" borderId="16" xfId="49" applyFont="1" applyFill="1" applyBorder="1" applyAlignment="1" applyProtection="1">
      <alignment horizontal="center" vertical="center" wrapText="1"/>
    </xf>
    <xf numFmtId="0" fontId="73" fillId="0" borderId="0" xfId="32" applyFont="1" applyProtection="1"/>
    <xf numFmtId="0" fontId="72" fillId="37" borderId="30" xfId="32" applyFont="1" applyFill="1" applyBorder="1" applyAlignment="1" applyProtection="1">
      <alignment horizontal="center" vertical="center"/>
    </xf>
    <xf numFmtId="49" fontId="72" fillId="0" borderId="5" xfId="32" applyNumberFormat="1" applyFont="1" applyBorder="1" applyAlignment="1" applyProtection="1">
      <alignment horizontal="left" vertical="center"/>
    </xf>
    <xf numFmtId="0" fontId="72" fillId="0" borderId="29" xfId="32" applyFont="1" applyBorder="1" applyAlignment="1" applyProtection="1">
      <alignment horizontal="right" vertical="center"/>
    </xf>
    <xf numFmtId="49" fontId="73" fillId="0" borderId="17" xfId="32" applyNumberFormat="1" applyFont="1" applyBorder="1" applyAlignment="1" applyProtection="1">
      <alignment horizontal="left" vertical="center"/>
    </xf>
    <xf numFmtId="0" fontId="73" fillId="0" borderId="24" xfId="32" applyFont="1" applyBorder="1" applyAlignment="1" applyProtection="1">
      <alignment horizontal="right" vertical="center"/>
    </xf>
    <xf numFmtId="49" fontId="72" fillId="0" borderId="39" xfId="32" applyNumberFormat="1" applyFont="1" applyBorder="1" applyAlignment="1" applyProtection="1">
      <alignment horizontal="left" vertical="center"/>
    </xf>
    <xf numFmtId="0" fontId="72" fillId="0" borderId="36" xfId="32" applyFont="1" applyBorder="1" applyAlignment="1" applyProtection="1">
      <alignment horizontal="right" vertical="center"/>
    </xf>
    <xf numFmtId="0" fontId="72" fillId="0" borderId="25" xfId="32" applyFont="1" applyBorder="1" applyAlignment="1" applyProtection="1">
      <alignment horizontal="right" vertical="center"/>
    </xf>
    <xf numFmtId="49" fontId="23" fillId="27" borderId="2" xfId="0" applyNumberFormat="1" applyFont="1" applyFill="1" applyBorder="1" applyAlignment="1" applyProtection="1">
      <alignment horizontal="left" vertical="center"/>
    </xf>
    <xf numFmtId="0" fontId="23" fillId="27" borderId="1" xfId="0" applyFont="1" applyFill="1" applyBorder="1" applyAlignment="1" applyProtection="1">
      <alignment horizontal="right" vertical="center"/>
    </xf>
    <xf numFmtId="49" fontId="37" fillId="27" borderId="1" xfId="0" applyNumberFormat="1" applyFont="1" applyFill="1" applyBorder="1" applyAlignment="1" applyProtection="1">
      <alignment horizontal="left" vertical="center"/>
    </xf>
    <xf numFmtId="49" fontId="37" fillId="27" borderId="3" xfId="0" applyNumberFormat="1" applyFont="1" applyFill="1" applyBorder="1" applyAlignment="1" applyProtection="1">
      <alignment horizontal="left" vertical="center"/>
    </xf>
    <xf numFmtId="0" fontId="35" fillId="27" borderId="24" xfId="0" applyFont="1" applyFill="1" applyBorder="1" applyAlignment="1" applyProtection="1">
      <alignment horizontal="right"/>
    </xf>
    <xf numFmtId="0" fontId="37" fillId="27" borderId="24" xfId="0" applyFont="1" applyFill="1" applyBorder="1" applyAlignment="1" applyProtection="1">
      <alignment horizontal="right"/>
    </xf>
    <xf numFmtId="49" fontId="37" fillId="27" borderId="21" xfId="0" applyNumberFormat="1" applyFont="1" applyFill="1" applyBorder="1" applyAlignment="1" applyProtection="1">
      <alignment horizontal="left" vertical="center"/>
    </xf>
    <xf numFmtId="0" fontId="37" fillId="27" borderId="30" xfId="0" applyFont="1" applyFill="1" applyBorder="1" applyAlignment="1" applyProtection="1">
      <alignment horizontal="right"/>
    </xf>
    <xf numFmtId="49" fontId="72" fillId="0" borderId="17" xfId="32" applyNumberFormat="1" applyFont="1" applyBorder="1" applyAlignment="1" applyProtection="1">
      <alignment horizontal="left" vertical="center"/>
    </xf>
    <xf numFmtId="0" fontId="72" fillId="0" borderId="51" xfId="32" applyFont="1" applyBorder="1" applyAlignment="1" applyProtection="1">
      <alignment horizontal="right" vertical="center"/>
    </xf>
    <xf numFmtId="0" fontId="92" fillId="0" borderId="23" xfId="2" applyNumberFormat="1" applyFont="1" applyFill="1" applyBorder="1" applyAlignment="1" applyProtection="1">
      <alignment horizontal="left" vertical="center" wrapText="1"/>
    </xf>
    <xf numFmtId="14" fontId="72" fillId="0" borderId="0" xfId="32" applyNumberFormat="1" applyFont="1" applyProtection="1"/>
    <xf numFmtId="0" fontId="72" fillId="0" borderId="0" xfId="32" applyFont="1" applyAlignment="1" applyProtection="1">
      <alignment horizontal="right"/>
    </xf>
    <xf numFmtId="0" fontId="73" fillId="0" borderId="0" xfId="32" applyFont="1" applyAlignment="1" applyProtection="1"/>
    <xf numFmtId="0" fontId="75" fillId="0" borderId="0" xfId="32" applyNumberFormat="1" applyFont="1" applyAlignment="1" applyProtection="1">
      <alignment horizontal="center"/>
    </xf>
    <xf numFmtId="0" fontId="73" fillId="0" borderId="0" xfId="32" applyNumberFormat="1" applyFont="1" applyProtection="1"/>
    <xf numFmtId="0" fontId="72" fillId="0" borderId="0" xfId="32" applyNumberFormat="1" applyFont="1" applyAlignment="1" applyProtection="1">
      <alignment horizontal="right"/>
    </xf>
    <xf numFmtId="0" fontId="73" fillId="0" borderId="0" xfId="32" applyNumberFormat="1" applyFont="1" applyAlignment="1" applyProtection="1">
      <alignment horizontal="left"/>
    </xf>
    <xf numFmtId="49" fontId="73" fillId="0" borderId="0" xfId="32" applyNumberFormat="1" applyFont="1" applyAlignment="1" applyProtection="1"/>
    <xf numFmtId="0" fontId="73" fillId="0" borderId="0" xfId="32" applyNumberFormat="1" applyFont="1" applyAlignment="1" applyProtection="1"/>
    <xf numFmtId="0" fontId="24" fillId="0" borderId="0" xfId="0" applyFont="1" applyAlignment="1" applyProtection="1"/>
    <xf numFmtId="0" fontId="75" fillId="0" borderId="0" xfId="31" applyFont="1" applyFill="1" applyBorder="1" applyProtection="1"/>
    <xf numFmtId="0" fontId="44" fillId="0" borderId="0" xfId="0" applyFont="1" applyProtection="1"/>
    <xf numFmtId="0" fontId="46" fillId="0" borderId="0" xfId="0" applyFont="1" applyAlignment="1" applyProtection="1"/>
    <xf numFmtId="0" fontId="51" fillId="0" borderId="0" xfId="0" applyFont="1" applyAlignment="1" applyProtection="1"/>
    <xf numFmtId="0" fontId="43" fillId="0" borderId="0" xfId="0" applyFont="1" applyBorder="1" applyProtection="1"/>
    <xf numFmtId="0" fontId="15" fillId="27" borderId="0" xfId="0" applyFont="1" applyFill="1" applyProtection="1"/>
    <xf numFmtId="0" fontId="16" fillId="27" borderId="0" xfId="0" applyFont="1" applyFill="1" applyAlignment="1" applyProtection="1">
      <alignment horizontal="right"/>
    </xf>
    <xf numFmtId="0" fontId="23" fillId="37" borderId="30" xfId="0" applyFont="1" applyFill="1" applyBorder="1" applyAlignment="1" applyProtection="1">
      <alignment horizontal="center" vertical="center"/>
    </xf>
    <xf numFmtId="49" fontId="23" fillId="27" borderId="2" xfId="0" applyNumberFormat="1" applyFont="1" applyFill="1" applyBorder="1" applyAlignment="1" applyProtection="1">
      <alignment horizontal="center" vertical="center"/>
    </xf>
    <xf numFmtId="0" fontId="24" fillId="27" borderId="1" xfId="0" applyFont="1" applyFill="1" applyBorder="1" applyAlignment="1" applyProtection="1">
      <alignment horizontal="left" vertical="center"/>
    </xf>
    <xf numFmtId="49" fontId="37" fillId="27" borderId="5" xfId="0" applyNumberFormat="1" applyFont="1" applyFill="1" applyBorder="1" applyAlignment="1" applyProtection="1">
      <alignment horizontal="center" vertical="center"/>
    </xf>
    <xf numFmtId="0" fontId="15" fillId="27" borderId="29" xfId="0" applyFont="1" applyFill="1" applyBorder="1" applyAlignment="1" applyProtection="1">
      <alignment horizontal="right" vertical="center"/>
    </xf>
    <xf numFmtId="0" fontId="15" fillId="27" borderId="24" xfId="0" applyFont="1" applyFill="1" applyBorder="1" applyAlignment="1" applyProtection="1">
      <alignment horizontal="right" vertical="center"/>
    </xf>
    <xf numFmtId="49" fontId="37" fillId="27" borderId="17" xfId="0" applyNumberFormat="1" applyFont="1" applyFill="1" applyBorder="1" applyAlignment="1" applyProtection="1">
      <alignment horizontal="center" vertical="center"/>
    </xf>
    <xf numFmtId="49" fontId="37" fillId="27" borderId="39" xfId="0" applyNumberFormat="1" applyFont="1" applyFill="1" applyBorder="1" applyAlignment="1" applyProtection="1">
      <alignment horizontal="center" vertical="center"/>
    </xf>
    <xf numFmtId="0" fontId="15" fillId="27" borderId="30" xfId="0" applyFont="1" applyFill="1" applyBorder="1" applyAlignment="1" applyProtection="1">
      <alignment horizontal="right" vertical="center"/>
    </xf>
    <xf numFmtId="49" fontId="23" fillId="27" borderId="2" xfId="31" applyNumberFormat="1" applyFont="1" applyFill="1" applyBorder="1" applyAlignment="1" applyProtection="1">
      <alignment horizontal="center" vertical="center"/>
    </xf>
    <xf numFmtId="0" fontId="24" fillId="27" borderId="1" xfId="31" applyFont="1" applyFill="1" applyBorder="1" applyAlignment="1" applyProtection="1">
      <alignment horizontal="left" vertical="center"/>
    </xf>
    <xf numFmtId="49" fontId="37" fillId="27" borderId="17" xfId="31" applyNumberFormat="1" applyFont="1" applyFill="1" applyBorder="1" applyAlignment="1" applyProtection="1">
      <alignment horizontal="center" vertical="center"/>
    </xf>
    <xf numFmtId="0" fontId="15" fillId="27" borderId="24" xfId="31" applyFont="1" applyFill="1" applyBorder="1" applyAlignment="1" applyProtection="1">
      <alignment horizontal="right" vertical="center" wrapText="1"/>
    </xf>
    <xf numFmtId="0" fontId="15" fillId="27" borderId="24" xfId="31" applyFont="1" applyFill="1" applyBorder="1" applyAlignment="1" applyProtection="1">
      <alignment horizontal="right" vertical="center"/>
    </xf>
    <xf numFmtId="49" fontId="23" fillId="27" borderId="26" xfId="31" applyNumberFormat="1" applyFont="1" applyFill="1" applyBorder="1" applyAlignment="1" applyProtection="1">
      <alignment horizontal="center" vertical="center"/>
    </xf>
    <xf numFmtId="0" fontId="15" fillId="0" borderId="24" xfId="31" applyFont="1" applyFill="1" applyBorder="1" applyAlignment="1" applyProtection="1">
      <alignment horizontal="right" vertical="center" wrapText="1"/>
    </xf>
    <xf numFmtId="49" fontId="23" fillId="27" borderId="34" xfId="31" applyNumberFormat="1" applyFont="1" applyFill="1" applyBorder="1" applyAlignment="1" applyProtection="1">
      <alignment horizontal="center" vertical="center"/>
    </xf>
    <xf numFmtId="0" fontId="15" fillId="0" borderId="21" xfId="31" applyFont="1" applyFill="1" applyBorder="1" applyAlignment="1" applyProtection="1">
      <alignment horizontal="right" vertical="center" wrapText="1"/>
    </xf>
    <xf numFmtId="14" fontId="43" fillId="27" borderId="0" xfId="0" applyNumberFormat="1" applyFont="1" applyFill="1" applyAlignment="1" applyProtection="1">
      <alignment horizontal="left" vertical="center" indent="1"/>
    </xf>
    <xf numFmtId="0" fontId="43" fillId="27" borderId="0" xfId="0" applyNumberFormat="1" applyFont="1" applyFill="1" applyAlignment="1" applyProtection="1">
      <alignment horizontal="right"/>
    </xf>
    <xf numFmtId="0" fontId="44" fillId="27" borderId="0" xfId="0" applyNumberFormat="1" applyFont="1" applyFill="1" applyAlignment="1" applyProtection="1">
      <alignment horizontal="center"/>
    </xf>
    <xf numFmtId="0" fontId="24" fillId="27" borderId="0" xfId="0" applyFont="1" applyFill="1" applyAlignment="1" applyProtection="1"/>
    <xf numFmtId="0" fontId="45" fillId="27" borderId="0" xfId="0" applyNumberFormat="1" applyFont="1" applyFill="1" applyAlignment="1" applyProtection="1">
      <alignment horizontal="center"/>
    </xf>
    <xf numFmtId="49" fontId="44" fillId="27" borderId="0" xfId="0" applyNumberFormat="1" applyFont="1" applyFill="1" applyAlignment="1" applyProtection="1">
      <alignment horizontal="center"/>
    </xf>
    <xf numFmtId="0" fontId="73" fillId="27" borderId="0" xfId="32" applyFont="1" applyFill="1" applyProtection="1"/>
    <xf numFmtId="0" fontId="15" fillId="27" borderId="0" xfId="0" applyNumberFormat="1" applyFont="1" applyFill="1" applyProtection="1"/>
    <xf numFmtId="0" fontId="51" fillId="27" borderId="0" xfId="0" applyFont="1" applyFill="1" applyAlignment="1" applyProtection="1"/>
    <xf numFmtId="49" fontId="44" fillId="27" borderId="0" xfId="0" applyNumberFormat="1" applyFont="1" applyFill="1" applyAlignment="1" applyProtection="1">
      <alignment horizontal="right"/>
    </xf>
    <xf numFmtId="49" fontId="73" fillId="27" borderId="0" xfId="32" applyNumberFormat="1" applyFont="1" applyFill="1" applyAlignment="1" applyProtection="1"/>
    <xf numFmtId="0" fontId="73" fillId="27" borderId="0" xfId="32" applyNumberFormat="1" applyFont="1" applyFill="1" applyAlignment="1" applyProtection="1"/>
    <xf numFmtId="0" fontId="44" fillId="27" borderId="0" xfId="0" applyFont="1" applyFill="1" applyProtection="1"/>
    <xf numFmtId="49" fontId="15" fillId="27" borderId="0" xfId="0" applyNumberFormat="1" applyFont="1" applyFill="1" applyAlignment="1" applyProtection="1"/>
    <xf numFmtId="0" fontId="15" fillId="27" borderId="0" xfId="0" applyNumberFormat="1" applyFont="1" applyFill="1" applyAlignment="1" applyProtection="1"/>
    <xf numFmtId="0" fontId="15" fillId="0" borderId="0" xfId="0" applyFont="1" applyAlignment="1" applyProtection="1">
      <alignment vertical="center"/>
    </xf>
    <xf numFmtId="0" fontId="15" fillId="0" borderId="0" xfId="0" applyFont="1" applyAlignment="1" applyProtection="1">
      <alignment horizontal="center" vertical="center"/>
    </xf>
    <xf numFmtId="0" fontId="16" fillId="0" borderId="0" xfId="0" applyFont="1" applyAlignment="1" applyProtection="1">
      <alignment horizontal="center" vertical="center"/>
    </xf>
    <xf numFmtId="0" fontId="44" fillId="0" borderId="0" xfId="0" applyFont="1" applyAlignment="1" applyProtection="1">
      <alignment horizontal="center" vertical="center"/>
    </xf>
    <xf numFmtId="0" fontId="15" fillId="0" borderId="0" xfId="0" applyFont="1" applyFill="1" applyAlignment="1" applyProtection="1">
      <alignment horizontal="center" vertical="center"/>
    </xf>
    <xf numFmtId="0" fontId="15" fillId="0" borderId="0" xfId="0" applyFont="1" applyFill="1" applyAlignment="1" applyProtection="1">
      <alignment vertical="center"/>
    </xf>
    <xf numFmtId="0" fontId="15" fillId="0" borderId="76" xfId="0" applyFont="1" applyBorder="1" applyAlignment="1" applyProtection="1">
      <alignment vertical="center" wrapText="1"/>
    </xf>
    <xf numFmtId="3" fontId="15" fillId="26" borderId="75" xfId="0" applyNumberFormat="1" applyFont="1" applyFill="1" applyBorder="1" applyAlignment="1" applyProtection="1">
      <alignment horizontal="center" vertical="center" wrapText="1"/>
    </xf>
    <xf numFmtId="0" fontId="15" fillId="0" borderId="53" xfId="0" applyFont="1" applyBorder="1" applyAlignment="1" applyProtection="1">
      <alignment vertical="center" wrapText="1"/>
    </xf>
    <xf numFmtId="3" fontId="15" fillId="26" borderId="52" xfId="0" applyNumberFormat="1" applyFont="1" applyFill="1" applyBorder="1" applyAlignment="1" applyProtection="1">
      <alignment horizontal="center" vertical="center" wrapText="1"/>
    </xf>
    <xf numFmtId="3" fontId="15" fillId="26" borderId="7" xfId="0" applyNumberFormat="1" applyFont="1" applyFill="1" applyBorder="1" applyAlignment="1" applyProtection="1">
      <alignment horizontal="center" vertical="center" wrapText="1"/>
    </xf>
    <xf numFmtId="3" fontId="15" fillId="26" borderId="53" xfId="0" applyNumberFormat="1" applyFont="1" applyFill="1" applyBorder="1" applyAlignment="1" applyProtection="1">
      <alignment horizontal="center" vertical="center" wrapText="1"/>
    </xf>
    <xf numFmtId="0" fontId="15" fillId="0" borderId="57" xfId="0" applyFont="1" applyBorder="1" applyAlignment="1" applyProtection="1">
      <alignment vertical="center" wrapText="1"/>
    </xf>
    <xf numFmtId="0" fontId="15" fillId="0" borderId="76" xfId="0" applyFont="1" applyFill="1" applyBorder="1" applyAlignment="1" applyProtection="1">
      <alignment vertical="center" wrapText="1"/>
    </xf>
    <xf numFmtId="0" fontId="15" fillId="0" borderId="53" xfId="0" applyFont="1" applyFill="1" applyBorder="1" applyAlignment="1" applyProtection="1">
      <alignment vertical="center" wrapText="1"/>
    </xf>
    <xf numFmtId="0" fontId="15" fillId="0" borderId="57" xfId="0" applyFont="1" applyFill="1" applyBorder="1" applyAlignment="1" applyProtection="1">
      <alignment vertical="center" wrapText="1"/>
    </xf>
    <xf numFmtId="3" fontId="15" fillId="26" borderId="56" xfId="0" applyNumberFormat="1" applyFont="1" applyFill="1" applyBorder="1" applyAlignment="1" applyProtection="1">
      <alignment horizontal="center" vertical="center" wrapText="1"/>
    </xf>
    <xf numFmtId="0" fontId="15" fillId="0" borderId="32" xfId="0" applyFont="1" applyFill="1" applyBorder="1" applyAlignment="1" applyProtection="1">
      <alignment vertical="center" wrapText="1"/>
    </xf>
    <xf numFmtId="0" fontId="15" fillId="0" borderId="79" xfId="0" applyFont="1" applyFill="1" applyBorder="1" applyAlignment="1" applyProtection="1">
      <alignment vertical="center" wrapText="1"/>
    </xf>
    <xf numFmtId="0" fontId="15" fillId="0" borderId="72" xfId="0" applyFont="1" applyFill="1" applyBorder="1" applyAlignment="1" applyProtection="1">
      <alignment vertical="center" wrapText="1"/>
    </xf>
    <xf numFmtId="0" fontId="15" fillId="0" borderId="44" xfId="0" applyFont="1" applyFill="1" applyBorder="1" applyAlignment="1" applyProtection="1">
      <alignment vertical="center" wrapText="1"/>
    </xf>
    <xf numFmtId="0" fontId="15" fillId="0" borderId="50" xfId="0" applyFont="1" applyFill="1" applyBorder="1" applyAlignment="1" applyProtection="1">
      <alignment vertical="center" wrapText="1"/>
    </xf>
    <xf numFmtId="0" fontId="15" fillId="0" borderId="32" xfId="0" applyFont="1" applyBorder="1" applyAlignment="1" applyProtection="1">
      <alignment vertical="center" wrapText="1"/>
    </xf>
    <xf numFmtId="0" fontId="15" fillId="0" borderId="53" xfId="0" applyFont="1" applyBorder="1" applyAlignment="1" applyProtection="1">
      <alignment horizontal="justify" vertical="center" wrapText="1"/>
    </xf>
    <xf numFmtId="0" fontId="70" fillId="0" borderId="72" xfId="0" applyFont="1" applyFill="1" applyBorder="1" applyAlignment="1" applyProtection="1">
      <alignment vertical="center" wrapText="1"/>
    </xf>
    <xf numFmtId="0" fontId="70" fillId="0" borderId="76" xfId="0" applyFont="1" applyFill="1" applyBorder="1" applyAlignment="1" applyProtection="1">
      <alignment vertical="center" wrapText="1"/>
    </xf>
    <xf numFmtId="3" fontId="24" fillId="0" borderId="29" xfId="0" applyNumberFormat="1" applyFont="1" applyFill="1" applyBorder="1" applyAlignment="1" applyProtection="1">
      <alignment horizontal="center" vertical="center" wrapText="1"/>
    </xf>
    <xf numFmtId="3" fontId="24" fillId="0" borderId="22" xfId="0" applyNumberFormat="1" applyFont="1" applyFill="1" applyBorder="1" applyAlignment="1" applyProtection="1">
      <alignment horizontal="center" vertical="center" wrapText="1"/>
    </xf>
    <xf numFmtId="3" fontId="24" fillId="0" borderId="74" xfId="0" applyNumberFormat="1" applyFont="1" applyFill="1" applyBorder="1" applyAlignment="1" applyProtection="1">
      <alignment horizontal="center" vertical="center" wrapText="1"/>
    </xf>
    <xf numFmtId="0" fontId="70" fillId="0" borderId="32" xfId="0" applyFont="1" applyFill="1" applyBorder="1" applyAlignment="1" applyProtection="1">
      <alignment vertical="center" wrapText="1"/>
    </xf>
    <xf numFmtId="0" fontId="70" fillId="0" borderId="53" xfId="0" applyFont="1" applyFill="1" applyBorder="1" applyAlignment="1" applyProtection="1">
      <alignment vertical="center" wrapText="1"/>
    </xf>
    <xf numFmtId="3" fontId="24" fillId="0" borderId="24" xfId="0" applyNumberFormat="1" applyFont="1" applyFill="1" applyBorder="1" applyAlignment="1" applyProtection="1">
      <alignment horizontal="center" vertical="center" wrapText="1"/>
    </xf>
    <xf numFmtId="3" fontId="24" fillId="0" borderId="62" xfId="0" applyNumberFormat="1" applyFont="1" applyFill="1" applyBorder="1" applyAlignment="1" applyProtection="1">
      <alignment horizontal="center" vertical="center" wrapText="1"/>
    </xf>
    <xf numFmtId="3" fontId="24" fillId="0" borderId="14" xfId="0" applyNumberFormat="1" applyFont="1" applyFill="1" applyBorder="1" applyAlignment="1" applyProtection="1">
      <alignment horizontal="center" vertical="center" wrapText="1"/>
    </xf>
    <xf numFmtId="0" fontId="15" fillId="0" borderId="72" xfId="0" applyFont="1" applyBorder="1" applyAlignment="1" applyProtection="1">
      <alignment vertical="center" wrapText="1"/>
    </xf>
    <xf numFmtId="0" fontId="15" fillId="0" borderId="79" xfId="0" applyFont="1" applyBorder="1" applyAlignment="1" applyProtection="1">
      <alignment vertical="center" wrapText="1"/>
    </xf>
    <xf numFmtId="3" fontId="15" fillId="26" borderId="24" xfId="0" applyNumberFormat="1" applyFont="1" applyFill="1" applyBorder="1" applyAlignment="1" applyProtection="1">
      <alignment horizontal="center" vertical="center" wrapText="1"/>
    </xf>
    <xf numFmtId="3" fontId="15" fillId="26" borderId="62" xfId="0" applyNumberFormat="1" applyFont="1" applyFill="1" applyBorder="1" applyAlignment="1" applyProtection="1">
      <alignment horizontal="center" vertical="center" wrapText="1"/>
    </xf>
    <xf numFmtId="0" fontId="15" fillId="0" borderId="69" xfId="0" applyFont="1" applyFill="1" applyBorder="1" applyAlignment="1" applyProtection="1">
      <alignment vertical="center" wrapText="1"/>
    </xf>
    <xf numFmtId="0" fontId="15" fillId="0" borderId="55" xfId="0" applyFont="1" applyBorder="1" applyAlignment="1" applyProtection="1">
      <alignment vertical="center" wrapText="1"/>
    </xf>
    <xf numFmtId="0" fontId="15" fillId="0" borderId="75" xfId="0" applyFont="1" applyBorder="1" applyAlignment="1" applyProtection="1">
      <alignment vertical="center" wrapText="1"/>
    </xf>
    <xf numFmtId="0" fontId="15" fillId="0" borderId="52" xfId="0" applyFont="1" applyBorder="1" applyAlignment="1" applyProtection="1">
      <alignment vertical="center" wrapText="1"/>
    </xf>
    <xf numFmtId="0" fontId="24" fillId="0" borderId="52" xfId="0" applyFont="1" applyFill="1" applyBorder="1" applyAlignment="1" applyProtection="1">
      <alignment vertical="center" wrapText="1"/>
    </xf>
    <xf numFmtId="0" fontId="24" fillId="0" borderId="53" xfId="0" applyFont="1" applyBorder="1" applyAlignment="1" applyProtection="1">
      <alignment vertical="center" wrapText="1"/>
    </xf>
    <xf numFmtId="0" fontId="15" fillId="26" borderId="7" xfId="0" applyFont="1" applyFill="1" applyBorder="1" applyAlignment="1" applyProtection="1">
      <alignment horizontal="center" vertical="center" wrapText="1"/>
    </xf>
    <xf numFmtId="0" fontId="15" fillId="26" borderId="62" xfId="0" applyFont="1" applyFill="1" applyBorder="1" applyAlignment="1" applyProtection="1">
      <alignment horizontal="center" vertical="center" wrapText="1"/>
    </xf>
    <xf numFmtId="0" fontId="15" fillId="26" borderId="52" xfId="0" applyFont="1" applyFill="1" applyBorder="1" applyAlignment="1" applyProtection="1">
      <alignment horizontal="center" vertical="center" wrapText="1"/>
    </xf>
    <xf numFmtId="0" fontId="15" fillId="26" borderId="53" xfId="0" applyFont="1" applyFill="1" applyBorder="1" applyAlignment="1" applyProtection="1">
      <alignment horizontal="center" vertical="center" wrapText="1"/>
    </xf>
    <xf numFmtId="0" fontId="15" fillId="0" borderId="56" xfId="0" applyFont="1" applyBorder="1" applyAlignment="1" applyProtection="1">
      <alignment vertical="center" wrapText="1"/>
    </xf>
    <xf numFmtId="0" fontId="15" fillId="0" borderId="50" xfId="0" applyFont="1" applyBorder="1" applyAlignment="1" applyProtection="1">
      <alignment vertical="center" wrapText="1"/>
    </xf>
    <xf numFmtId="0" fontId="15" fillId="26" borderId="53" xfId="0" applyFont="1" applyFill="1" applyBorder="1" applyAlignment="1" applyProtection="1">
      <alignment vertical="center" wrapText="1"/>
    </xf>
    <xf numFmtId="0" fontId="70" fillId="0" borderId="72" xfId="0" applyFont="1" applyBorder="1" applyAlignment="1" applyProtection="1">
      <alignment vertical="center" wrapText="1"/>
    </xf>
    <xf numFmtId="0" fontId="70" fillId="0" borderId="76" xfId="0" applyFont="1" applyBorder="1" applyAlignment="1" applyProtection="1">
      <alignment vertical="center" wrapText="1"/>
    </xf>
    <xf numFmtId="0" fontId="109" fillId="0" borderId="32" xfId="0" applyFont="1" applyBorder="1" applyAlignment="1" applyProtection="1">
      <alignment vertical="center" wrapText="1"/>
    </xf>
    <xf numFmtId="0" fontId="109" fillId="0" borderId="53" xfId="0" applyFont="1" applyBorder="1" applyAlignment="1" applyProtection="1">
      <alignment vertical="center" wrapText="1"/>
    </xf>
    <xf numFmtId="0" fontId="15" fillId="0" borderId="15" xfId="0" applyFont="1" applyFill="1" applyBorder="1" applyAlignment="1" applyProtection="1">
      <alignment vertical="center" wrapText="1"/>
    </xf>
    <xf numFmtId="0" fontId="46" fillId="0" borderId="79" xfId="0" applyFont="1" applyBorder="1" applyAlignment="1" applyProtection="1">
      <alignment vertical="center" wrapText="1"/>
    </xf>
    <xf numFmtId="0" fontId="46" fillId="0" borderId="57" xfId="0" applyFont="1" applyBorder="1" applyAlignment="1" applyProtection="1">
      <alignment vertical="center" wrapText="1"/>
    </xf>
    <xf numFmtId="0" fontId="37" fillId="0" borderId="40" xfId="31" applyFont="1" applyFill="1" applyBorder="1" applyAlignment="1" applyProtection="1">
      <alignment horizontal="center" vertical="center" wrapText="1"/>
    </xf>
    <xf numFmtId="0" fontId="15" fillId="0" borderId="51" xfId="31" applyFont="1" applyFill="1" applyBorder="1" applyAlignment="1" applyProtection="1">
      <alignment vertical="center" wrapText="1"/>
    </xf>
    <xf numFmtId="0" fontId="15" fillId="0" borderId="76" xfId="31" applyFont="1" applyFill="1" applyBorder="1" applyAlignment="1" applyProtection="1">
      <alignment vertical="center" wrapText="1"/>
    </xf>
    <xf numFmtId="0" fontId="37" fillId="0" borderId="51" xfId="31" applyFont="1" applyBorder="1" applyAlignment="1" applyProtection="1">
      <alignment vertical="center" wrapText="1"/>
    </xf>
    <xf numFmtId="0" fontId="15" fillId="0" borderId="14" xfId="31" applyFont="1" applyBorder="1" applyAlignment="1" applyProtection="1">
      <alignment vertical="center" wrapText="1"/>
    </xf>
    <xf numFmtId="0" fontId="37" fillId="0" borderId="17" xfId="31" applyFont="1" applyBorder="1" applyAlignment="1" applyProtection="1">
      <alignment vertical="center" wrapText="1"/>
    </xf>
    <xf numFmtId="0" fontId="15" fillId="0" borderId="15" xfId="31" applyFont="1" applyBorder="1" applyAlignment="1" applyProtection="1">
      <alignment vertical="center" wrapText="1"/>
    </xf>
    <xf numFmtId="0" fontId="15" fillId="0" borderId="15" xfId="31" applyFont="1" applyFill="1" applyBorder="1" applyAlignment="1" applyProtection="1">
      <alignment vertical="center" wrapText="1"/>
    </xf>
    <xf numFmtId="0" fontId="37" fillId="0" borderId="26" xfId="31" applyFont="1" applyBorder="1" applyAlignment="1" applyProtection="1">
      <alignment vertical="center" wrapText="1"/>
    </xf>
    <xf numFmtId="0" fontId="15" fillId="0" borderId="17" xfId="31" applyFont="1" applyFill="1" applyBorder="1" applyAlignment="1" applyProtection="1">
      <alignment vertical="center" wrapText="1"/>
    </xf>
    <xf numFmtId="0" fontId="15" fillId="0" borderId="53" xfId="31" applyFont="1" applyBorder="1" applyAlignment="1" applyProtection="1">
      <alignment vertical="center" wrapText="1"/>
    </xf>
    <xf numFmtId="0" fontId="15" fillId="0" borderId="39" xfId="31" applyFont="1" applyFill="1" applyBorder="1" applyAlignment="1" applyProtection="1">
      <alignment vertical="center" wrapText="1"/>
    </xf>
    <xf numFmtId="0" fontId="15" fillId="0" borderId="21" xfId="31" applyFont="1" applyBorder="1" applyAlignment="1" applyProtection="1">
      <alignment vertical="center" wrapText="1"/>
    </xf>
    <xf numFmtId="0" fontId="15" fillId="0" borderId="2" xfId="31" applyFont="1" applyBorder="1" applyAlignment="1" applyProtection="1">
      <alignment vertical="center" wrapText="1"/>
    </xf>
    <xf numFmtId="0" fontId="15" fillId="0" borderId="50" xfId="31" applyFont="1" applyBorder="1" applyAlignment="1" applyProtection="1">
      <alignment vertical="center" wrapText="1"/>
    </xf>
    <xf numFmtId="0" fontId="15" fillId="0" borderId="53" xfId="31" applyFont="1" applyFill="1" applyBorder="1" applyAlignment="1" applyProtection="1">
      <alignment vertical="center" wrapText="1"/>
    </xf>
    <xf numFmtId="0" fontId="15" fillId="0" borderId="55" xfId="31" applyFont="1" applyFill="1" applyBorder="1" applyAlignment="1" applyProtection="1">
      <alignment vertical="center" wrapText="1"/>
    </xf>
    <xf numFmtId="0" fontId="15" fillId="0" borderId="51" xfId="31" applyFont="1" applyBorder="1" applyAlignment="1" applyProtection="1">
      <alignment vertical="center" wrapText="1"/>
    </xf>
    <xf numFmtId="0" fontId="15" fillId="0" borderId="57" xfId="31" applyFont="1" applyBorder="1" applyAlignment="1" applyProtection="1">
      <alignment vertical="center" wrapText="1"/>
    </xf>
    <xf numFmtId="0" fontId="15" fillId="0" borderId="57" xfId="31" applyFont="1" applyFill="1" applyBorder="1" applyAlignment="1" applyProtection="1">
      <alignment vertical="center" wrapText="1"/>
    </xf>
    <xf numFmtId="14" fontId="24" fillId="0" borderId="0" xfId="0" applyNumberFormat="1" applyFont="1" applyAlignment="1" applyProtection="1">
      <alignment horizontal="left" vertical="center"/>
    </xf>
    <xf numFmtId="0" fontId="24" fillId="0" borderId="0" xfId="0" applyFont="1" applyAlignment="1" applyProtection="1">
      <alignment horizontal="right" vertical="center"/>
    </xf>
    <xf numFmtId="0" fontId="16" fillId="0" borderId="0" xfId="0" applyFont="1" applyAlignment="1" applyProtection="1">
      <alignment horizontal="left" vertical="center"/>
    </xf>
    <xf numFmtId="14" fontId="68" fillId="0" borderId="0" xfId="0" applyNumberFormat="1" applyFont="1" applyAlignment="1" applyProtection="1">
      <alignment vertical="center"/>
    </xf>
    <xf numFmtId="0" fontId="24" fillId="0" borderId="0" xfId="0" applyFont="1" applyAlignment="1" applyProtection="1">
      <alignment horizontal="center" vertical="center"/>
    </xf>
    <xf numFmtId="0" fontId="24" fillId="27" borderId="0" xfId="0" applyFont="1" applyFill="1" applyAlignment="1" applyProtection="1">
      <alignment vertical="center"/>
    </xf>
    <xf numFmtId="0" fontId="46" fillId="27" borderId="0" xfId="0" applyFont="1" applyFill="1" applyAlignment="1" applyProtection="1">
      <alignment vertical="center"/>
    </xf>
    <xf numFmtId="0" fontId="15" fillId="0" borderId="0" xfId="0" applyFont="1" applyAlignment="1" applyProtection="1">
      <alignment horizontal="left" vertical="center"/>
    </xf>
    <xf numFmtId="3" fontId="15" fillId="28" borderId="51" xfId="77" applyNumberFormat="1" applyFont="1" applyFill="1" applyBorder="1" applyAlignment="1" applyProtection="1">
      <alignment horizontal="center" vertical="center" wrapText="1"/>
      <protection locked="0"/>
    </xf>
    <xf numFmtId="3" fontId="15" fillId="28" borderId="73" xfId="77" applyNumberFormat="1" applyFont="1" applyFill="1" applyBorder="1" applyAlignment="1" applyProtection="1">
      <alignment horizontal="center" vertical="center" wrapText="1"/>
      <protection locked="0"/>
    </xf>
    <xf numFmtId="3" fontId="15" fillId="28" borderId="22" xfId="77" applyNumberFormat="1" applyFont="1" applyFill="1" applyBorder="1" applyAlignment="1" applyProtection="1">
      <alignment horizontal="center" vertical="center" wrapText="1"/>
      <protection locked="0"/>
    </xf>
    <xf numFmtId="3" fontId="15" fillId="28" borderId="74" xfId="77" applyNumberFormat="1" applyFont="1" applyFill="1" applyBorder="1" applyAlignment="1" applyProtection="1">
      <alignment horizontal="center" vertical="center" wrapText="1"/>
      <protection locked="0"/>
    </xf>
    <xf numFmtId="3" fontId="15" fillId="28" borderId="14" xfId="77" applyNumberFormat="1" applyFont="1" applyFill="1" applyBorder="1" applyAlignment="1" applyProtection="1">
      <alignment horizontal="center" vertical="center" wrapText="1"/>
      <protection locked="0"/>
    </xf>
    <xf numFmtId="3" fontId="15" fillId="28" borderId="17" xfId="77" applyNumberFormat="1" applyFont="1" applyFill="1" applyBorder="1" applyAlignment="1" applyProtection="1">
      <alignment horizontal="center" vertical="center" wrapText="1"/>
      <protection locked="0"/>
    </xf>
    <xf numFmtId="3" fontId="15" fillId="28" borderId="23" xfId="77" applyNumberFormat="1" applyFont="1" applyFill="1" applyBorder="1" applyAlignment="1" applyProtection="1">
      <alignment horizontal="center" vertical="center" wrapText="1"/>
      <protection locked="0"/>
    </xf>
    <xf numFmtId="3" fontId="15" fillId="28" borderId="62" xfId="77" applyNumberFormat="1" applyFont="1" applyFill="1" applyBorder="1" applyAlignment="1" applyProtection="1">
      <alignment horizontal="center" vertical="center" wrapText="1"/>
      <protection locked="0"/>
    </xf>
    <xf numFmtId="3" fontId="15" fillId="28" borderId="7" xfId="77" applyNumberFormat="1" applyFont="1" applyFill="1" applyBorder="1" applyAlignment="1" applyProtection="1">
      <alignment horizontal="center" vertical="center" wrapText="1"/>
      <protection locked="0"/>
    </xf>
    <xf numFmtId="3" fontId="15" fillId="28" borderId="53" xfId="77" applyNumberFormat="1" applyFont="1" applyFill="1" applyBorder="1" applyAlignment="1" applyProtection="1">
      <alignment horizontal="center" vertical="center" wrapText="1"/>
      <protection locked="0"/>
    </xf>
    <xf numFmtId="3" fontId="15" fillId="28" borderId="21" xfId="77" applyNumberFormat="1" applyFont="1" applyFill="1" applyBorder="1" applyAlignment="1" applyProtection="1">
      <alignment horizontal="center" vertical="center" wrapText="1"/>
      <protection locked="0"/>
    </xf>
    <xf numFmtId="3" fontId="15" fillId="28" borderId="78" xfId="77" applyNumberFormat="1" applyFont="1" applyFill="1" applyBorder="1" applyAlignment="1" applyProtection="1">
      <alignment horizontal="center" vertical="center" wrapText="1"/>
      <protection locked="0"/>
    </xf>
    <xf numFmtId="3" fontId="15" fillId="28" borderId="77" xfId="77" applyNumberFormat="1" applyFont="1" applyFill="1" applyBorder="1" applyAlignment="1" applyProtection="1">
      <alignment horizontal="center" vertical="center" wrapText="1"/>
      <protection locked="0"/>
    </xf>
    <xf numFmtId="3" fontId="15" fillId="28" borderId="19" xfId="77" applyNumberFormat="1" applyFont="1" applyFill="1" applyBorder="1" applyAlignment="1" applyProtection="1">
      <alignment horizontal="center" vertical="center" wrapText="1"/>
      <protection locked="0"/>
    </xf>
    <xf numFmtId="0" fontId="15" fillId="28" borderId="73" xfId="77" applyFont="1" applyFill="1" applyBorder="1" applyAlignment="1" applyProtection="1">
      <alignment horizontal="center" vertical="center" wrapText="1"/>
      <protection locked="0"/>
    </xf>
    <xf numFmtId="0" fontId="15" fillId="28" borderId="77" xfId="77" applyFont="1" applyFill="1" applyBorder="1" applyAlignment="1" applyProtection="1">
      <alignment horizontal="center" vertical="center" wrapText="1"/>
      <protection locked="0"/>
    </xf>
    <xf numFmtId="49" fontId="24" fillId="0" borderId="0" xfId="0" applyNumberFormat="1" applyFont="1" applyBorder="1" applyAlignment="1" applyProtection="1">
      <alignment horizontal="left" vertical="center"/>
    </xf>
    <xf numFmtId="0" fontId="15" fillId="0" borderId="0" xfId="0" applyFont="1" applyBorder="1" applyAlignment="1" applyProtection="1">
      <alignment vertical="center"/>
    </xf>
    <xf numFmtId="0" fontId="24" fillId="0" borderId="0" xfId="0" applyFont="1" applyAlignment="1" applyProtection="1">
      <alignment vertical="center"/>
    </xf>
    <xf numFmtId="0" fontId="44" fillId="0" borderId="0" xfId="0" applyFont="1" applyFill="1" applyAlignment="1" applyProtection="1">
      <alignment vertical="center"/>
    </xf>
    <xf numFmtId="0" fontId="24" fillId="0" borderId="0" xfId="0" applyFont="1" applyFill="1" applyAlignment="1" applyProtection="1">
      <alignment vertical="center"/>
    </xf>
    <xf numFmtId="0" fontId="24" fillId="26" borderId="0" xfId="0" applyFont="1" applyFill="1" applyAlignment="1" applyProtection="1">
      <alignment vertical="center"/>
    </xf>
    <xf numFmtId="49" fontId="24" fillId="0" borderId="0" xfId="0" applyNumberFormat="1" applyFont="1" applyBorder="1" applyAlignment="1" applyProtection="1">
      <alignment vertical="center"/>
    </xf>
    <xf numFmtId="0" fontId="24" fillId="0" borderId="0" xfId="0" applyFont="1" applyBorder="1" applyAlignment="1" applyProtection="1">
      <alignment vertical="center"/>
    </xf>
    <xf numFmtId="0" fontId="22" fillId="0" borderId="0" xfId="0" applyFont="1" applyBorder="1" applyAlignment="1" applyProtection="1">
      <alignment horizontal="center" vertical="center"/>
    </xf>
    <xf numFmtId="0" fontId="15" fillId="0" borderId="17" xfId="0" applyNumberFormat="1" applyFont="1" applyBorder="1" applyAlignment="1" applyProtection="1">
      <alignment horizontal="center" vertical="center"/>
    </xf>
    <xf numFmtId="0" fontId="22" fillId="0" borderId="14" xfId="0" applyFont="1" applyFill="1" applyBorder="1" applyAlignment="1" applyProtection="1">
      <alignment vertical="center"/>
    </xf>
    <xf numFmtId="0" fontId="15" fillId="0" borderId="51" xfId="0" applyFont="1" applyFill="1" applyBorder="1" applyAlignment="1" applyProtection="1">
      <alignment horizontal="left" vertical="center" wrapText="1"/>
    </xf>
    <xf numFmtId="9" fontId="24" fillId="22" borderId="50" xfId="0" applyNumberFormat="1" applyFont="1" applyFill="1" applyBorder="1" applyAlignment="1" applyProtection="1">
      <alignment horizontal="center" vertical="center"/>
    </xf>
    <xf numFmtId="9" fontId="24" fillId="26" borderId="0" xfId="0" applyNumberFormat="1" applyFont="1" applyFill="1" applyBorder="1" applyAlignment="1" applyProtection="1">
      <alignment horizontal="center" vertical="center"/>
    </xf>
    <xf numFmtId="0" fontId="22" fillId="0" borderId="15" xfId="0" applyFont="1" applyFill="1" applyBorder="1" applyAlignment="1" applyProtection="1">
      <alignment vertical="center"/>
    </xf>
    <xf numFmtId="0" fontId="15" fillId="0" borderId="17" xfId="0" applyFont="1" applyFill="1" applyBorder="1" applyAlignment="1" applyProtection="1">
      <alignment horizontal="left" vertical="center" wrapText="1"/>
    </xf>
    <xf numFmtId="9" fontId="24" fillId="22" borderId="53" xfId="0" applyNumberFormat="1" applyFont="1" applyFill="1" applyBorder="1" applyAlignment="1" applyProtection="1">
      <alignment horizontal="center" vertical="center"/>
    </xf>
    <xf numFmtId="0" fontId="24" fillId="22" borderId="53" xfId="0" applyFont="1" applyFill="1" applyBorder="1" applyAlignment="1" applyProtection="1">
      <alignment horizontal="center" vertical="center"/>
    </xf>
    <xf numFmtId="0" fontId="24" fillId="26" borderId="0" xfId="0" applyFont="1" applyFill="1" applyBorder="1" applyAlignment="1" applyProtection="1">
      <alignment horizontal="center" vertical="center"/>
    </xf>
    <xf numFmtId="0" fontId="41" fillId="0" borderId="17" xfId="0" applyFont="1" applyFill="1" applyBorder="1" applyAlignment="1" applyProtection="1">
      <alignment vertical="center" wrapText="1"/>
    </xf>
    <xf numFmtId="10" fontId="24" fillId="22" borderId="53" xfId="0" applyNumberFormat="1" applyFont="1" applyFill="1" applyBorder="1" applyAlignment="1" applyProtection="1">
      <alignment horizontal="center" vertical="center"/>
    </xf>
    <xf numFmtId="10" fontId="24" fillId="26" borderId="0" xfId="0" applyNumberFormat="1" applyFont="1" applyFill="1" applyBorder="1" applyAlignment="1" applyProtection="1">
      <alignment horizontal="center" vertical="center"/>
    </xf>
    <xf numFmtId="0" fontId="15" fillId="0" borderId="21" xfId="0" applyNumberFormat="1" applyFont="1" applyBorder="1" applyAlignment="1" applyProtection="1">
      <alignment horizontal="center" vertical="center"/>
    </xf>
    <xf numFmtId="0" fontId="22" fillId="0" borderId="19" xfId="0" applyFont="1" applyFill="1" applyBorder="1" applyAlignment="1" applyProtection="1">
      <alignment vertical="center"/>
    </xf>
    <xf numFmtId="0" fontId="41" fillId="0" borderId="21" xfId="0" applyFont="1" applyFill="1" applyBorder="1" applyAlignment="1" applyProtection="1">
      <alignment vertical="center" wrapText="1"/>
    </xf>
    <xf numFmtId="0" fontId="24" fillId="22" borderId="57" xfId="0" applyFont="1" applyFill="1" applyBorder="1" applyAlignment="1" applyProtection="1">
      <alignment horizontal="center" vertical="center"/>
    </xf>
    <xf numFmtId="2" fontId="15" fillId="21" borderId="83" xfId="70" applyNumberFormat="1" applyFont="1" applyFill="1" applyBorder="1" applyAlignment="1" applyProtection="1">
      <alignment horizontal="center" vertical="center"/>
    </xf>
    <xf numFmtId="0" fontId="15" fillId="26" borderId="110" xfId="0" applyFont="1" applyFill="1" applyBorder="1" applyAlignment="1" applyProtection="1">
      <alignment horizontal="center" vertical="center" wrapText="1"/>
    </xf>
    <xf numFmtId="0" fontId="24" fillId="0" borderId="85"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91" xfId="0" applyFont="1" applyFill="1" applyBorder="1" applyAlignment="1" applyProtection="1">
      <alignment horizontal="center" vertical="center"/>
    </xf>
    <xf numFmtId="10" fontId="15" fillId="21" borderId="83" xfId="70" applyNumberFormat="1" applyFont="1" applyFill="1" applyBorder="1" applyAlignment="1" applyProtection="1">
      <alignment horizontal="center" vertical="center"/>
    </xf>
    <xf numFmtId="0" fontId="15" fillId="26" borderId="116" xfId="0" applyFont="1" applyFill="1" applyBorder="1" applyAlignment="1" applyProtection="1">
      <alignment horizontal="center" vertical="center" wrapText="1"/>
    </xf>
    <xf numFmtId="9" fontId="24" fillId="0" borderId="81" xfId="0" applyNumberFormat="1" applyFont="1" applyFill="1" applyBorder="1" applyAlignment="1" applyProtection="1">
      <alignment horizontal="center" vertical="center"/>
    </xf>
    <xf numFmtId="9" fontId="24" fillId="0" borderId="0" xfId="0" applyNumberFormat="1" applyFont="1" applyFill="1" applyBorder="1" applyAlignment="1" applyProtection="1">
      <alignment horizontal="center" vertical="center"/>
    </xf>
    <xf numFmtId="9" fontId="24" fillId="0" borderId="95" xfId="0" applyNumberFormat="1" applyFont="1" applyFill="1" applyBorder="1" applyAlignment="1" applyProtection="1">
      <alignment horizontal="center" vertical="center"/>
    </xf>
    <xf numFmtId="0" fontId="15" fillId="26" borderId="81" xfId="0" applyFont="1" applyFill="1" applyBorder="1" applyAlignment="1" applyProtection="1">
      <alignment horizontal="center" vertical="center" wrapText="1"/>
    </xf>
    <xf numFmtId="0" fontId="24" fillId="0" borderId="81" xfId="0" applyFont="1" applyFill="1" applyBorder="1" applyAlignment="1" applyProtection="1">
      <alignment horizontal="center" vertical="center"/>
    </xf>
    <xf numFmtId="0" fontId="24" fillId="0" borderId="95" xfId="0" applyFont="1" applyFill="1" applyBorder="1" applyAlignment="1" applyProtection="1">
      <alignment horizontal="center" vertical="center"/>
    </xf>
    <xf numFmtId="10" fontId="24" fillId="0" borderId="81" xfId="0" applyNumberFormat="1" applyFont="1" applyFill="1" applyBorder="1" applyAlignment="1" applyProtection="1">
      <alignment horizontal="center" vertical="center"/>
    </xf>
    <xf numFmtId="10" fontId="24" fillId="0" borderId="0" xfId="0" applyNumberFormat="1" applyFont="1" applyFill="1" applyBorder="1" applyAlignment="1" applyProtection="1">
      <alignment horizontal="center" vertical="center"/>
    </xf>
    <xf numFmtId="0" fontId="15" fillId="0" borderId="21" xfId="0" applyFont="1" applyFill="1" applyBorder="1" applyAlignment="1" applyProtection="1">
      <alignment horizontal="left" vertical="center" wrapText="1"/>
    </xf>
    <xf numFmtId="2" fontId="15" fillId="21" borderId="115" xfId="70" applyNumberFormat="1" applyFont="1" applyFill="1" applyBorder="1" applyAlignment="1" applyProtection="1">
      <alignment horizontal="center" vertical="center"/>
    </xf>
    <xf numFmtId="0" fontId="15" fillId="26" borderId="111" xfId="0" applyFont="1" applyFill="1" applyBorder="1" applyAlignment="1" applyProtection="1">
      <alignment horizontal="center" vertical="center" wrapText="1"/>
    </xf>
    <xf numFmtId="0" fontId="24" fillId="0" borderId="92" xfId="0" applyFont="1" applyFill="1" applyBorder="1" applyAlignment="1" applyProtection="1">
      <alignment horizontal="center" vertical="center"/>
    </xf>
    <xf numFmtId="0" fontId="24" fillId="0" borderId="94" xfId="0" applyFont="1" applyFill="1" applyBorder="1" applyAlignment="1" applyProtection="1">
      <alignment horizontal="center" vertical="center"/>
    </xf>
    <xf numFmtId="49" fontId="15" fillId="0" borderId="0" xfId="0" applyNumberFormat="1" applyFont="1" applyAlignment="1" applyProtection="1">
      <alignment horizontal="center" vertical="center"/>
    </xf>
    <xf numFmtId="169" fontId="15" fillId="0" borderId="0" xfId="0" applyNumberFormat="1" applyFont="1" applyAlignment="1" applyProtection="1">
      <alignment vertical="center"/>
    </xf>
    <xf numFmtId="0" fontId="15" fillId="0" borderId="11" xfId="0" applyFont="1" applyBorder="1" applyAlignment="1" applyProtection="1">
      <alignment vertical="center"/>
    </xf>
    <xf numFmtId="0" fontId="46" fillId="0" borderId="0" xfId="0" applyFont="1" applyAlignment="1" applyProtection="1">
      <alignment vertical="center"/>
    </xf>
    <xf numFmtId="0" fontId="60" fillId="27" borderId="0" xfId="52" applyFont="1" applyFill="1" applyAlignment="1" applyProtection="1">
      <alignment vertical="center"/>
    </xf>
    <xf numFmtId="0" fontId="85" fillId="27" borderId="0" xfId="52" applyFont="1" applyFill="1" applyAlignment="1" applyProtection="1">
      <alignment vertical="center"/>
    </xf>
    <xf numFmtId="0" fontId="85" fillId="27" borderId="0" xfId="52" applyFont="1" applyFill="1" applyAlignment="1" applyProtection="1">
      <alignment horizontal="right" vertical="center"/>
    </xf>
    <xf numFmtId="1" fontId="85" fillId="23" borderId="8" xfId="52" applyNumberFormat="1" applyFont="1" applyFill="1" applyBorder="1" applyAlignment="1" applyProtection="1">
      <alignment horizontal="center" vertical="center"/>
    </xf>
    <xf numFmtId="1" fontId="85" fillId="23" borderId="3" xfId="52" applyNumberFormat="1" applyFont="1" applyFill="1" applyBorder="1" applyAlignment="1" applyProtection="1">
      <alignment horizontal="center" vertical="center"/>
    </xf>
    <xf numFmtId="3" fontId="60" fillId="23" borderId="8" xfId="52" applyNumberFormat="1" applyFont="1" applyFill="1" applyBorder="1" applyAlignment="1" applyProtection="1">
      <alignment horizontal="center" vertical="center"/>
    </xf>
    <xf numFmtId="3" fontId="60" fillId="23" borderId="3" xfId="52" applyNumberFormat="1" applyFont="1" applyFill="1" applyBorder="1" applyAlignment="1" applyProtection="1">
      <alignment horizontal="center" vertical="center"/>
    </xf>
    <xf numFmtId="0" fontId="68" fillId="23" borderId="8" xfId="57" applyFont="1" applyFill="1" applyBorder="1" applyAlignment="1" applyProtection="1">
      <alignment horizontal="left" vertical="center"/>
    </xf>
    <xf numFmtId="14" fontId="68" fillId="27" borderId="0" xfId="52" applyNumberFormat="1" applyFont="1" applyFill="1" applyAlignment="1" applyProtection="1">
      <alignment vertical="center"/>
    </xf>
    <xf numFmtId="0" fontId="24" fillId="27" borderId="0" xfId="52" applyFont="1" applyFill="1" applyAlignment="1" applyProtection="1">
      <alignment horizontal="right" vertical="center"/>
    </xf>
    <xf numFmtId="0" fontId="60" fillId="27" borderId="0" xfId="52" applyNumberFormat="1" applyFont="1" applyFill="1" applyAlignment="1" applyProtection="1">
      <alignment vertical="center"/>
    </xf>
    <xf numFmtId="3" fontId="46" fillId="27" borderId="0" xfId="52" applyNumberFormat="1" applyFont="1" applyFill="1" applyAlignment="1" applyProtection="1">
      <alignment vertical="center"/>
    </xf>
    <xf numFmtId="167" fontId="60" fillId="20" borderId="0" xfId="52" applyNumberFormat="1" applyFont="1" applyFill="1" applyBorder="1" applyAlignment="1" applyProtection="1">
      <alignment horizontal="right" vertical="center"/>
    </xf>
    <xf numFmtId="0" fontId="68" fillId="27" borderId="0" xfId="52" applyFont="1" applyFill="1" applyAlignment="1" applyProtection="1">
      <alignment vertical="center"/>
    </xf>
    <xf numFmtId="0" fontId="46" fillId="27" borderId="0" xfId="52" applyFont="1" applyFill="1" applyAlignment="1" applyProtection="1">
      <alignment vertical="center"/>
    </xf>
    <xf numFmtId="0" fontId="90" fillId="27" borderId="0" xfId="52" applyFont="1" applyFill="1" applyAlignment="1" applyProtection="1">
      <alignment vertical="center"/>
    </xf>
    <xf numFmtId="0" fontId="90" fillId="27" borderId="0" xfId="31" applyFont="1" applyFill="1" applyBorder="1" applyAlignment="1" applyProtection="1">
      <alignment vertical="center"/>
    </xf>
    <xf numFmtId="3" fontId="68" fillId="28" borderId="49" xfId="57" applyNumberFormat="1" applyFont="1" applyFill="1" applyBorder="1" applyAlignment="1" applyProtection="1">
      <alignment horizontal="center" vertical="center"/>
      <protection locked="0"/>
    </xf>
    <xf numFmtId="3" fontId="68" fillId="28" borderId="31" xfId="57" applyNumberFormat="1" applyFont="1" applyFill="1" applyBorder="1" applyAlignment="1" applyProtection="1">
      <alignment horizontal="center" vertical="center"/>
      <protection locked="0"/>
    </xf>
    <xf numFmtId="0" fontId="125" fillId="20" borderId="0" xfId="88" applyFont="1" applyFill="1" applyAlignment="1" applyProtection="1">
      <alignment horizontal="center" vertical="center" wrapText="1"/>
    </xf>
    <xf numFmtId="0" fontId="85" fillId="27" borderId="0" xfId="91" applyFont="1" applyFill="1" applyAlignment="1" applyProtection="1">
      <alignment horizontal="right"/>
    </xf>
    <xf numFmtId="0" fontId="24" fillId="20" borderId="0" xfId="88" applyFont="1" applyFill="1" applyBorder="1" applyAlignment="1" applyProtection="1">
      <alignment horizontal="left" vertical="center" wrapText="1"/>
    </xf>
    <xf numFmtId="177" fontId="125" fillId="20" borderId="0" xfId="88" applyNumberFormat="1" applyFont="1" applyFill="1" applyAlignment="1" applyProtection="1">
      <alignment horizontal="center" vertical="center" wrapText="1"/>
    </xf>
    <xf numFmtId="0" fontId="126" fillId="42" borderId="40" xfId="88" applyFont="1" applyFill="1" applyBorder="1" applyAlignment="1" applyProtection="1">
      <alignment horizontal="center" vertical="center" wrapText="1"/>
    </xf>
    <xf numFmtId="0" fontId="126" fillId="42" borderId="59" xfId="88" applyFont="1" applyFill="1" applyBorder="1" applyAlignment="1" applyProtection="1">
      <alignment horizontal="center" vertical="center" wrapText="1"/>
    </xf>
    <xf numFmtId="0" fontId="126" fillId="42" borderId="80" xfId="88" applyFont="1" applyFill="1" applyBorder="1" applyAlignment="1" applyProtection="1">
      <alignment horizontal="center" vertical="center" wrapText="1"/>
    </xf>
    <xf numFmtId="0" fontId="126" fillId="42" borderId="11" xfId="88" applyFont="1" applyFill="1" applyBorder="1" applyAlignment="1" applyProtection="1">
      <alignment horizontal="center" vertical="center" wrapText="1"/>
    </xf>
    <xf numFmtId="0" fontId="125" fillId="20" borderId="22" xfId="88" applyFont="1" applyFill="1" applyBorder="1" applyAlignment="1" applyProtection="1">
      <alignment horizontal="center" vertical="center" wrapText="1"/>
    </xf>
    <xf numFmtId="0" fontId="128" fillId="20" borderId="33" xfId="88" applyFont="1" applyFill="1" applyBorder="1" applyAlignment="1" applyProtection="1">
      <alignment horizontal="center" vertical="center" wrapText="1"/>
    </xf>
    <xf numFmtId="10" fontId="46" fillId="26" borderId="44" xfId="70" applyNumberFormat="1" applyFont="1" applyFill="1" applyBorder="1" applyAlignment="1" applyProtection="1">
      <alignment horizontal="center" vertical="center" wrapText="1"/>
    </xf>
    <xf numFmtId="0" fontId="125" fillId="20" borderId="53" xfId="88" applyFont="1" applyFill="1" applyBorder="1" applyAlignment="1" applyProtection="1">
      <alignment horizontal="left" vertical="center" wrapText="1"/>
    </xf>
    <xf numFmtId="0" fontId="125" fillId="20" borderId="23" xfId="88" applyFont="1" applyFill="1" applyBorder="1" applyAlignment="1" applyProtection="1">
      <alignment horizontal="center" vertical="center" wrapText="1"/>
    </xf>
    <xf numFmtId="0" fontId="126" fillId="20" borderId="57" xfId="88" applyFont="1" applyFill="1" applyBorder="1" applyAlignment="1" applyProtection="1">
      <alignment horizontal="center" vertical="center" wrapText="1"/>
    </xf>
    <xf numFmtId="0" fontId="126" fillId="20" borderId="28" xfId="88" applyFont="1" applyFill="1" applyBorder="1" applyAlignment="1" applyProtection="1">
      <alignment horizontal="center" vertical="center" wrapText="1"/>
    </xf>
    <xf numFmtId="0" fontId="126" fillId="20" borderId="53" xfId="88" applyFont="1" applyFill="1" applyBorder="1" applyAlignment="1" applyProtection="1">
      <alignment horizontal="center" vertical="center" wrapText="1"/>
    </xf>
    <xf numFmtId="0" fontId="126" fillId="20" borderId="23" xfId="88" applyFont="1" applyFill="1" applyBorder="1" applyAlignment="1" applyProtection="1">
      <alignment horizontal="center" vertical="center" wrapText="1"/>
    </xf>
    <xf numFmtId="3" fontId="126" fillId="26" borderId="52" xfId="88" applyNumberFormat="1" applyFont="1" applyFill="1" applyBorder="1" applyAlignment="1" applyProtection="1">
      <alignment horizontal="center" vertical="center" wrapText="1"/>
    </xf>
    <xf numFmtId="3" fontId="126" fillId="26" borderId="32" xfId="88" applyNumberFormat="1" applyFont="1" applyFill="1" applyBorder="1" applyAlignment="1" applyProtection="1">
      <alignment horizontal="center" vertical="center" wrapText="1"/>
    </xf>
    <xf numFmtId="0" fontId="125" fillId="20" borderId="33" xfId="88" applyFont="1" applyFill="1" applyBorder="1" applyAlignment="1" applyProtection="1">
      <alignment horizontal="center" vertical="center" wrapText="1"/>
    </xf>
    <xf numFmtId="3" fontId="15" fillId="26" borderId="133" xfId="88" applyNumberFormat="1" applyFont="1" applyFill="1" applyBorder="1" applyAlignment="1" applyProtection="1">
      <alignment horizontal="center" vertical="center" wrapText="1"/>
    </xf>
    <xf numFmtId="3" fontId="15" fillId="26" borderId="117" xfId="88" applyNumberFormat="1" applyFont="1" applyFill="1" applyBorder="1" applyAlignment="1" applyProtection="1">
      <alignment horizontal="center" vertical="center" wrapText="1"/>
    </xf>
    <xf numFmtId="3" fontId="15" fillId="26" borderId="137" xfId="88" applyNumberFormat="1" applyFont="1" applyFill="1" applyBorder="1" applyAlignment="1" applyProtection="1">
      <alignment horizontal="center" vertical="center" wrapText="1"/>
    </xf>
    <xf numFmtId="0" fontId="125" fillId="20" borderId="0" xfId="88" applyFont="1" applyFill="1" applyBorder="1" applyAlignment="1" applyProtection="1">
      <alignment horizontal="center" vertical="center" wrapText="1"/>
    </xf>
    <xf numFmtId="0" fontId="125" fillId="20" borderId="20" xfId="88" applyFont="1" applyFill="1" applyBorder="1" applyAlignment="1" applyProtection="1">
      <alignment horizontal="center" vertical="center" wrapText="1"/>
    </xf>
    <xf numFmtId="3" fontId="125" fillId="20" borderId="74" xfId="88" applyNumberFormat="1" applyFont="1" applyFill="1" applyBorder="1" applyAlignment="1" applyProtection="1">
      <alignment horizontal="center" vertical="center" wrapText="1"/>
    </xf>
    <xf numFmtId="3" fontId="125" fillId="20" borderId="62" xfId="88" applyNumberFormat="1" applyFont="1" applyFill="1" applyBorder="1" applyAlignment="1" applyProtection="1">
      <alignment horizontal="center" vertical="center" wrapText="1"/>
    </xf>
    <xf numFmtId="3" fontId="67" fillId="26" borderId="119" xfId="70" applyNumberFormat="1" applyFont="1" applyFill="1" applyBorder="1" applyAlignment="1" applyProtection="1">
      <alignment horizontal="center" vertical="center" wrapText="1"/>
    </xf>
    <xf numFmtId="0" fontId="41" fillId="26" borderId="142" xfId="88" applyFont="1" applyFill="1" applyBorder="1" applyAlignment="1" applyProtection="1">
      <alignment horizontal="center" vertical="center" wrapText="1"/>
    </xf>
    <xf numFmtId="10" fontId="67" fillId="26" borderId="142" xfId="70" applyNumberFormat="1" applyFont="1" applyFill="1" applyBorder="1" applyAlignment="1" applyProtection="1">
      <alignment horizontal="center" vertical="center" wrapText="1"/>
    </xf>
    <xf numFmtId="10" fontId="67" fillId="26" borderId="120" xfId="70" applyNumberFormat="1" applyFont="1" applyFill="1" applyBorder="1" applyAlignment="1" applyProtection="1">
      <alignment horizontal="center" vertical="center" wrapText="1"/>
    </xf>
    <xf numFmtId="3" fontId="67" fillId="26" borderId="121" xfId="70" applyNumberFormat="1" applyFont="1" applyFill="1" applyBorder="1" applyAlignment="1" applyProtection="1">
      <alignment horizontal="center" vertical="center" wrapText="1"/>
    </xf>
    <xf numFmtId="0" fontId="41" fillId="26" borderId="122" xfId="88" applyFont="1" applyFill="1" applyBorder="1" applyAlignment="1" applyProtection="1">
      <alignment horizontal="center" vertical="center" wrapText="1"/>
    </xf>
    <xf numFmtId="0" fontId="41" fillId="26" borderId="0" xfId="88" applyFont="1" applyFill="1" applyAlignment="1" applyProtection="1">
      <alignment horizontal="center" vertical="center" wrapText="1"/>
    </xf>
    <xf numFmtId="3" fontId="125" fillId="20" borderId="0" xfId="88" applyNumberFormat="1" applyFont="1" applyFill="1" applyAlignment="1" applyProtection="1">
      <alignment horizontal="center" vertical="center" wrapText="1"/>
    </xf>
    <xf numFmtId="0" fontId="126" fillId="20" borderId="20" xfId="88" applyFont="1" applyFill="1" applyBorder="1" applyAlignment="1" applyProtection="1">
      <alignment vertical="center" wrapText="1"/>
    </xf>
    <xf numFmtId="0" fontId="126" fillId="20" borderId="0" xfId="88" applyFont="1" applyFill="1" applyBorder="1" applyAlignment="1" applyProtection="1">
      <alignment vertical="center" wrapText="1"/>
    </xf>
    <xf numFmtId="3" fontId="126" fillId="42" borderId="45" xfId="88" applyNumberFormat="1" applyFont="1" applyFill="1" applyBorder="1" applyAlignment="1" applyProtection="1">
      <alignment horizontal="center" vertical="center" wrapText="1"/>
    </xf>
    <xf numFmtId="3" fontId="126" fillId="42" borderId="80" xfId="88" applyNumberFormat="1" applyFont="1" applyFill="1" applyBorder="1" applyAlignment="1" applyProtection="1">
      <alignment horizontal="center" vertical="center" wrapText="1"/>
    </xf>
    <xf numFmtId="3" fontId="126" fillId="42" borderId="41" xfId="88" applyNumberFormat="1" applyFont="1" applyFill="1" applyBorder="1" applyAlignment="1" applyProtection="1">
      <alignment horizontal="center" vertical="center" wrapText="1"/>
    </xf>
    <xf numFmtId="0" fontId="125" fillId="20" borderId="14" xfId="88" applyFont="1" applyFill="1" applyBorder="1" applyAlignment="1" applyProtection="1">
      <alignment horizontal="center" vertical="center" wrapText="1"/>
    </xf>
    <xf numFmtId="0" fontId="125" fillId="20" borderId="6" xfId="88" applyFont="1" applyFill="1" applyBorder="1" applyAlignment="1" applyProtection="1">
      <alignment horizontal="center" vertical="center" wrapText="1"/>
    </xf>
    <xf numFmtId="0" fontId="125" fillId="20" borderId="43" xfId="88" applyFont="1" applyFill="1" applyBorder="1" applyAlignment="1" applyProtection="1">
      <alignment horizontal="center" vertical="center" wrapText="1"/>
    </xf>
    <xf numFmtId="0" fontId="126" fillId="20" borderId="0" xfId="88" applyFont="1" applyFill="1" applyAlignment="1" applyProtection="1">
      <alignment horizontal="left" vertical="center" wrapText="1"/>
    </xf>
    <xf numFmtId="0" fontId="126" fillId="42" borderId="38" xfId="88" applyFont="1" applyFill="1" applyBorder="1" applyAlignment="1" applyProtection="1">
      <alignment horizontal="center" vertical="center" wrapText="1"/>
    </xf>
    <xf numFmtId="0" fontId="126" fillId="42" borderId="10" xfId="88" applyFont="1" applyFill="1" applyBorder="1" applyAlignment="1" applyProtection="1">
      <alignment horizontal="center" vertical="center" wrapText="1"/>
    </xf>
    <xf numFmtId="3" fontId="126" fillId="42" borderId="124" xfId="88" applyNumberFormat="1" applyFont="1" applyFill="1" applyBorder="1" applyAlignment="1" applyProtection="1">
      <alignment horizontal="center" vertical="center" wrapText="1"/>
    </xf>
    <xf numFmtId="0" fontId="125" fillId="20" borderId="76" xfId="88" applyFont="1" applyFill="1" applyBorder="1" applyAlignment="1" applyProtection="1">
      <alignment horizontal="center" vertical="center" wrapText="1"/>
    </xf>
    <xf numFmtId="3" fontId="125" fillId="20" borderId="75" xfId="88" applyNumberFormat="1" applyFont="1" applyFill="1" applyBorder="1" applyAlignment="1" applyProtection="1">
      <alignment horizontal="center" vertical="center" wrapText="1"/>
    </xf>
    <xf numFmtId="3" fontId="125" fillId="20" borderId="14" xfId="88" applyNumberFormat="1" applyFont="1" applyFill="1" applyBorder="1" applyAlignment="1" applyProtection="1">
      <alignment horizontal="center" vertical="center" wrapText="1"/>
    </xf>
    <xf numFmtId="3" fontId="125" fillId="20" borderId="125" xfId="88" applyNumberFormat="1" applyFont="1" applyFill="1" applyBorder="1" applyAlignment="1" applyProtection="1">
      <alignment horizontal="center" vertical="center" wrapText="1"/>
    </xf>
    <xf numFmtId="0" fontId="125" fillId="20" borderId="53" xfId="88" applyFont="1" applyFill="1" applyBorder="1" applyAlignment="1" applyProtection="1">
      <alignment horizontal="center" vertical="center" wrapText="1"/>
    </xf>
    <xf numFmtId="3" fontId="125" fillId="20" borderId="52" xfId="88" applyNumberFormat="1" applyFont="1" applyFill="1" applyBorder="1" applyAlignment="1" applyProtection="1">
      <alignment horizontal="center" vertical="center" wrapText="1"/>
    </xf>
    <xf numFmtId="3" fontId="125" fillId="20" borderId="15" xfId="88" applyNumberFormat="1" applyFont="1" applyFill="1" applyBorder="1" applyAlignment="1" applyProtection="1">
      <alignment horizontal="center" vertical="center" wrapText="1"/>
    </xf>
    <xf numFmtId="3" fontId="125" fillId="20" borderId="82" xfId="88" applyNumberFormat="1" applyFont="1" applyFill="1" applyBorder="1" applyAlignment="1" applyProtection="1">
      <alignment horizontal="center" vertical="center" wrapText="1"/>
    </xf>
    <xf numFmtId="0" fontId="125" fillId="20" borderId="55" xfId="88" applyFont="1" applyFill="1" applyBorder="1" applyAlignment="1" applyProtection="1">
      <alignment horizontal="center" vertical="center" wrapText="1"/>
    </xf>
    <xf numFmtId="0" fontId="125" fillId="20" borderId="37" xfId="88" applyFont="1" applyFill="1" applyBorder="1" applyAlignment="1" applyProtection="1">
      <alignment horizontal="center" vertical="center" wrapText="1"/>
    </xf>
    <xf numFmtId="3" fontId="125" fillId="20" borderId="56" xfId="88" applyNumberFormat="1" applyFont="1" applyFill="1" applyBorder="1" applyAlignment="1" applyProtection="1">
      <alignment horizontal="center" vertical="center" wrapText="1"/>
    </xf>
    <xf numFmtId="3" fontId="125" fillId="20" borderId="79" xfId="88" applyNumberFormat="1" applyFont="1" applyFill="1" applyBorder="1" applyAlignment="1" applyProtection="1">
      <alignment horizontal="center" vertical="center" wrapText="1"/>
    </xf>
    <xf numFmtId="3" fontId="125" fillId="20" borderId="19" xfId="88" applyNumberFormat="1" applyFont="1" applyFill="1" applyBorder="1" applyAlignment="1" applyProtection="1">
      <alignment horizontal="center" vertical="center" wrapText="1"/>
    </xf>
    <xf numFmtId="3" fontId="125" fillId="20" borderId="77" xfId="88" applyNumberFormat="1" applyFont="1" applyFill="1" applyBorder="1" applyAlignment="1" applyProtection="1">
      <alignment horizontal="center" vertical="center" wrapText="1"/>
    </xf>
    <xf numFmtId="3" fontId="125" fillId="20" borderId="126" xfId="88" applyNumberFormat="1" applyFont="1" applyFill="1" applyBorder="1" applyAlignment="1" applyProtection="1">
      <alignment horizontal="center" vertical="center" wrapText="1"/>
    </xf>
    <xf numFmtId="0" fontId="125" fillId="20" borderId="51" xfId="88" applyFont="1" applyFill="1" applyBorder="1" applyAlignment="1" applyProtection="1">
      <alignment horizontal="center" vertical="center" wrapText="1"/>
    </xf>
    <xf numFmtId="4" fontId="125" fillId="20" borderId="75" xfId="88" applyNumberFormat="1" applyFont="1" applyFill="1" applyBorder="1" applyAlignment="1" applyProtection="1">
      <alignment horizontal="center" vertical="center" wrapText="1"/>
    </xf>
    <xf numFmtId="4" fontId="125" fillId="20" borderId="72" xfId="88" applyNumberFormat="1" applyFont="1" applyFill="1" applyBorder="1" applyAlignment="1" applyProtection="1">
      <alignment horizontal="center" vertical="center" wrapText="1"/>
    </xf>
    <xf numFmtId="4" fontId="125" fillId="20" borderId="14" xfId="88" applyNumberFormat="1" applyFont="1" applyFill="1" applyBorder="1" applyAlignment="1" applyProtection="1">
      <alignment horizontal="center" vertical="center" wrapText="1"/>
    </xf>
    <xf numFmtId="4" fontId="125" fillId="20" borderId="73" xfId="88" applyNumberFormat="1" applyFont="1" applyFill="1" applyBorder="1" applyAlignment="1" applyProtection="1">
      <alignment horizontal="center" vertical="center" wrapText="1"/>
    </xf>
    <xf numFmtId="0" fontId="125" fillId="20" borderId="5" xfId="88" applyFont="1" applyFill="1" applyBorder="1" applyAlignment="1" applyProtection="1">
      <alignment horizontal="center" vertical="center" wrapText="1"/>
    </xf>
    <xf numFmtId="4" fontId="125" fillId="20" borderId="52" xfId="88" applyNumberFormat="1" applyFont="1" applyFill="1" applyBorder="1" applyAlignment="1" applyProtection="1">
      <alignment horizontal="center" vertical="center" wrapText="1"/>
    </xf>
    <xf numFmtId="4" fontId="125" fillId="20" borderId="32" xfId="88" applyNumberFormat="1" applyFont="1" applyFill="1" applyBorder="1" applyAlignment="1" applyProtection="1">
      <alignment horizontal="center" vertical="center" wrapText="1"/>
    </xf>
    <xf numFmtId="4" fontId="125" fillId="20" borderId="15" xfId="88" applyNumberFormat="1" applyFont="1" applyFill="1" applyBorder="1" applyAlignment="1" applyProtection="1">
      <alignment horizontal="center" vertical="center" wrapText="1"/>
    </xf>
    <xf numFmtId="4" fontId="125" fillId="20" borderId="7" xfId="88" applyNumberFormat="1" applyFont="1" applyFill="1" applyBorder="1" applyAlignment="1" applyProtection="1">
      <alignment horizontal="center" vertical="center" wrapText="1"/>
    </xf>
    <xf numFmtId="0" fontId="125" fillId="20" borderId="57" xfId="88" applyFont="1" applyFill="1" applyBorder="1" applyAlignment="1" applyProtection="1">
      <alignment horizontal="center" vertical="center" wrapText="1"/>
    </xf>
    <xf numFmtId="4" fontId="125" fillId="20" borderId="56" xfId="88" applyNumberFormat="1" applyFont="1" applyFill="1" applyBorder="1" applyAlignment="1" applyProtection="1">
      <alignment horizontal="center" vertical="center" wrapText="1"/>
    </xf>
    <xf numFmtId="4" fontId="125" fillId="20" borderId="79" xfId="88" applyNumberFormat="1" applyFont="1" applyFill="1" applyBorder="1" applyAlignment="1" applyProtection="1">
      <alignment horizontal="center" vertical="center" wrapText="1"/>
    </xf>
    <xf numFmtId="4" fontId="125" fillId="20" borderId="19" xfId="88" applyNumberFormat="1" applyFont="1" applyFill="1" applyBorder="1" applyAlignment="1" applyProtection="1">
      <alignment horizontal="center" vertical="center" wrapText="1"/>
    </xf>
    <xf numFmtId="4" fontId="125" fillId="20" borderId="77" xfId="88" applyNumberFormat="1" applyFont="1" applyFill="1" applyBorder="1" applyAlignment="1" applyProtection="1">
      <alignment horizontal="center" vertical="center" wrapText="1"/>
    </xf>
    <xf numFmtId="0" fontId="125" fillId="20" borderId="50" xfId="88" applyFont="1" applyFill="1" applyBorder="1" applyAlignment="1" applyProtection="1">
      <alignment horizontal="center" vertical="center" wrapText="1"/>
    </xf>
    <xf numFmtId="0" fontId="125" fillId="20" borderId="38" xfId="88" applyFont="1" applyFill="1" applyBorder="1" applyAlignment="1" applyProtection="1">
      <alignment horizontal="center" vertical="center" wrapText="1"/>
    </xf>
    <xf numFmtId="0" fontId="125" fillId="20" borderId="8" xfId="88" applyFont="1" applyFill="1" applyBorder="1" applyAlignment="1" applyProtection="1">
      <alignment horizontal="center" vertical="center" wrapText="1"/>
    </xf>
    <xf numFmtId="0" fontId="125" fillId="20" borderId="2" xfId="88" applyFont="1" applyFill="1" applyBorder="1" applyAlignment="1" applyProtection="1">
      <alignment horizontal="center" vertical="center" wrapText="1"/>
    </xf>
    <xf numFmtId="3" fontId="125" fillId="20" borderId="132" xfId="88" applyNumberFormat="1" applyFont="1" applyFill="1" applyBorder="1" applyAlignment="1" applyProtection="1">
      <alignment horizontal="center" vertical="center" wrapText="1"/>
    </xf>
    <xf numFmtId="3" fontId="125" fillId="20" borderId="105" xfId="88" applyNumberFormat="1" applyFont="1" applyFill="1" applyBorder="1" applyAlignment="1" applyProtection="1">
      <alignment horizontal="center" vertical="center" wrapText="1"/>
    </xf>
    <xf numFmtId="3" fontId="125" fillId="20" borderId="70" xfId="88" applyNumberFormat="1" applyFont="1" applyFill="1" applyBorder="1" applyAlignment="1" applyProtection="1">
      <alignment horizontal="center" vertical="center" wrapText="1"/>
    </xf>
    <xf numFmtId="3" fontId="125" fillId="20" borderId="71" xfId="88" applyNumberFormat="1" applyFont="1" applyFill="1" applyBorder="1" applyAlignment="1" applyProtection="1">
      <alignment horizontal="center" vertical="center" wrapText="1"/>
    </xf>
    <xf numFmtId="3" fontId="125" fillId="20" borderId="131" xfId="88" applyNumberFormat="1" applyFont="1" applyFill="1" applyBorder="1" applyAlignment="1" applyProtection="1">
      <alignment horizontal="center" vertical="center" wrapText="1"/>
    </xf>
    <xf numFmtId="0" fontId="15" fillId="26" borderId="46" xfId="88" applyFont="1" applyFill="1" applyBorder="1" applyAlignment="1" applyProtection="1">
      <alignment horizontal="center" vertical="center" wrapText="1"/>
    </xf>
    <xf numFmtId="0" fontId="15" fillId="26" borderId="11" xfId="88" applyFont="1" applyFill="1" applyBorder="1" applyAlignment="1" applyProtection="1">
      <alignment horizontal="center" vertical="center" wrapText="1"/>
    </xf>
    <xf numFmtId="10" fontId="15" fillId="26" borderId="75" xfId="89" applyNumberFormat="1" applyFont="1" applyFill="1" applyBorder="1" applyAlignment="1" applyProtection="1">
      <alignment horizontal="center" vertical="center" wrapText="1"/>
    </xf>
    <xf numFmtId="10" fontId="15" fillId="26" borderId="72" xfId="89" applyNumberFormat="1" applyFont="1" applyFill="1" applyBorder="1" applyAlignment="1" applyProtection="1">
      <alignment horizontal="center" vertical="center" wrapText="1"/>
    </xf>
    <xf numFmtId="10" fontId="15" fillId="26" borderId="14" xfId="89" applyNumberFormat="1" applyFont="1" applyFill="1" applyBorder="1" applyAlignment="1" applyProtection="1">
      <alignment horizontal="center" vertical="center" wrapText="1"/>
    </xf>
    <xf numFmtId="10" fontId="15" fillId="26" borderId="22" xfId="89" applyNumberFormat="1" applyFont="1" applyFill="1" applyBorder="1" applyAlignment="1" applyProtection="1">
      <alignment horizontal="center" vertical="center" wrapText="1"/>
    </xf>
    <xf numFmtId="0" fontId="83" fillId="26" borderId="91" xfId="88" applyFont="1" applyFill="1" applyBorder="1" applyAlignment="1" applyProtection="1">
      <alignment horizontal="left" vertical="center" wrapText="1"/>
    </xf>
    <xf numFmtId="0" fontId="15" fillId="26" borderId="57" xfId="88" applyFont="1" applyFill="1" applyBorder="1" applyAlignment="1" applyProtection="1">
      <alignment horizontal="center" vertical="center" wrapText="1"/>
    </xf>
    <xf numFmtId="0" fontId="15" fillId="26" borderId="37" xfId="88" applyFont="1" applyFill="1" applyBorder="1" applyAlignment="1" applyProtection="1">
      <alignment horizontal="center" vertical="center" wrapText="1"/>
    </xf>
    <xf numFmtId="10" fontId="15" fillId="26" borderId="52" xfId="89" applyNumberFormat="1" applyFont="1" applyFill="1" applyBorder="1" applyAlignment="1" applyProtection="1">
      <alignment horizontal="center" vertical="center" wrapText="1"/>
    </xf>
    <xf numFmtId="10" fontId="15" fillId="26" borderId="32" xfId="89" applyNumberFormat="1" applyFont="1" applyFill="1" applyBorder="1" applyAlignment="1" applyProtection="1">
      <alignment horizontal="center" vertical="center" wrapText="1"/>
    </xf>
    <xf numFmtId="10" fontId="15" fillId="26" borderId="15" xfId="89" applyNumberFormat="1" applyFont="1" applyFill="1" applyBorder="1" applyAlignment="1" applyProtection="1">
      <alignment horizontal="center" vertical="center" wrapText="1"/>
    </xf>
    <xf numFmtId="10" fontId="15" fillId="26" borderId="23" xfId="89" applyNumberFormat="1" applyFont="1" applyFill="1" applyBorder="1" applyAlignment="1" applyProtection="1">
      <alignment horizontal="center" vertical="center" wrapText="1"/>
    </xf>
    <xf numFmtId="0" fontId="83" fillId="26" borderId="95" xfId="88" applyFont="1" applyFill="1" applyBorder="1" applyAlignment="1" applyProtection="1">
      <alignment horizontal="left" vertical="center" wrapText="1"/>
    </xf>
    <xf numFmtId="0" fontId="15" fillId="26" borderId="76" xfId="88" applyFont="1" applyFill="1" applyBorder="1" applyAlignment="1" applyProtection="1">
      <alignment horizontal="center" vertical="center" wrapText="1"/>
    </xf>
    <xf numFmtId="0" fontId="15" fillId="26" borderId="22" xfId="88" applyFont="1" applyFill="1" applyBorder="1" applyAlignment="1" applyProtection="1">
      <alignment horizontal="center" vertical="center" wrapText="1"/>
    </xf>
    <xf numFmtId="0" fontId="15" fillId="26" borderId="55" xfId="88" applyFont="1" applyFill="1" applyBorder="1" applyAlignment="1" applyProtection="1">
      <alignment horizontal="center" vertical="center" wrapText="1"/>
    </xf>
    <xf numFmtId="10" fontId="83" fillId="26" borderId="95" xfId="89" applyNumberFormat="1" applyFont="1" applyFill="1" applyBorder="1" applyAlignment="1" applyProtection="1">
      <alignment horizontal="center" vertical="center" wrapText="1"/>
    </xf>
    <xf numFmtId="0" fontId="15" fillId="26" borderId="28" xfId="88" applyFont="1" applyFill="1" applyBorder="1" applyAlignment="1" applyProtection="1">
      <alignment horizontal="center" vertical="center" wrapText="1"/>
    </xf>
    <xf numFmtId="10" fontId="15" fillId="26" borderId="56" xfId="89" applyNumberFormat="1" applyFont="1" applyFill="1" applyBorder="1" applyAlignment="1" applyProtection="1">
      <alignment horizontal="center" vertical="center" wrapText="1"/>
    </xf>
    <xf numFmtId="10" fontId="15" fillId="26" borderId="79" xfId="89" applyNumberFormat="1" applyFont="1" applyFill="1" applyBorder="1" applyAlignment="1" applyProtection="1">
      <alignment horizontal="center" vertical="center" wrapText="1"/>
    </xf>
    <xf numFmtId="10" fontId="15" fillId="26" borderId="19" xfId="89" applyNumberFormat="1" applyFont="1" applyFill="1" applyBorder="1" applyAlignment="1" applyProtection="1">
      <alignment horizontal="center" vertical="center" wrapText="1"/>
    </xf>
    <xf numFmtId="10" fontId="15" fillId="26" borderId="28" xfId="89" applyNumberFormat="1" applyFont="1" applyFill="1" applyBorder="1" applyAlignment="1" applyProtection="1">
      <alignment horizontal="center" vertical="center" wrapText="1"/>
    </xf>
    <xf numFmtId="0" fontId="83" fillId="26" borderId="94" xfId="88" applyFont="1" applyFill="1" applyBorder="1" applyAlignment="1" applyProtection="1">
      <alignment horizontal="left" vertical="center" wrapText="1"/>
    </xf>
    <xf numFmtId="0" fontId="15" fillId="26" borderId="0" xfId="88" applyFont="1" applyFill="1" applyBorder="1" applyAlignment="1" applyProtection="1">
      <alignment horizontal="center" vertical="center" wrapText="1"/>
    </xf>
    <xf numFmtId="10" fontId="15" fillId="26" borderId="0" xfId="89" applyNumberFormat="1" applyFont="1" applyFill="1" applyBorder="1" applyAlignment="1" applyProtection="1">
      <alignment horizontal="center" vertical="center" wrapText="1"/>
    </xf>
    <xf numFmtId="0" fontId="83" fillId="26" borderId="0" xfId="88" applyFont="1" applyFill="1" applyBorder="1" applyAlignment="1" applyProtection="1">
      <alignment horizontal="left" vertical="center" wrapText="1"/>
    </xf>
    <xf numFmtId="14" fontId="126" fillId="20" borderId="0" xfId="88" applyNumberFormat="1" applyFont="1" applyFill="1" applyAlignment="1" applyProtection="1">
      <alignment horizontal="left" vertical="center"/>
    </xf>
    <xf numFmtId="0" fontId="15" fillId="20" borderId="0" xfId="88" applyFont="1" applyFill="1" applyBorder="1" applyAlignment="1" applyProtection="1">
      <alignment horizontal="center" vertical="center"/>
    </xf>
    <xf numFmtId="0" fontId="24" fillId="20" borderId="0" xfId="88" applyFont="1" applyFill="1" applyBorder="1" applyAlignment="1" applyProtection="1">
      <alignment horizontal="right" vertical="center"/>
    </xf>
    <xf numFmtId="0" fontId="15" fillId="20" borderId="0" xfId="88" applyFont="1" applyFill="1" applyBorder="1" applyAlignment="1" applyProtection="1">
      <alignment horizontal="left" vertical="center"/>
    </xf>
    <xf numFmtId="0" fontId="46" fillId="20" borderId="0" xfId="88" applyFont="1" applyFill="1" applyBorder="1" applyAlignment="1" applyProtection="1">
      <alignment horizontal="left" vertical="center"/>
    </xf>
    <xf numFmtId="0" fontId="15" fillId="20" borderId="0" xfId="88" applyFont="1" applyFill="1" applyBorder="1" applyAlignment="1" applyProtection="1">
      <alignment horizontal="right" vertical="center"/>
    </xf>
    <xf numFmtId="0" fontId="126" fillId="20" borderId="0" xfId="88" applyFont="1" applyFill="1" applyAlignment="1" applyProtection="1">
      <alignment horizontal="right" vertical="center" wrapText="1"/>
    </xf>
    <xf numFmtId="3" fontId="126" fillId="28" borderId="56" xfId="88" applyNumberFormat="1" applyFont="1" applyFill="1" applyBorder="1" applyAlignment="1" applyProtection="1">
      <alignment horizontal="center" vertical="center" wrapText="1"/>
      <protection locked="0"/>
    </xf>
    <xf numFmtId="3" fontId="126" fillId="28" borderId="79" xfId="88" applyNumberFormat="1" applyFont="1" applyFill="1" applyBorder="1" applyAlignment="1" applyProtection="1">
      <alignment horizontal="center" vertical="center" wrapText="1"/>
      <protection locked="0"/>
    </xf>
    <xf numFmtId="3" fontId="126" fillId="28" borderId="19" xfId="88" applyNumberFormat="1" applyFont="1" applyFill="1" applyBorder="1" applyAlignment="1" applyProtection="1">
      <alignment horizontal="center" vertical="center" wrapText="1"/>
      <protection locked="0"/>
    </xf>
    <xf numFmtId="3" fontId="126" fillId="28" borderId="54" xfId="88" applyNumberFormat="1" applyFont="1" applyFill="1" applyBorder="1" applyAlignment="1" applyProtection="1">
      <alignment horizontal="center" vertical="center" wrapText="1"/>
      <protection locked="0"/>
    </xf>
    <xf numFmtId="3" fontId="126" fillId="28" borderId="69" xfId="88" applyNumberFormat="1" applyFont="1" applyFill="1" applyBorder="1" applyAlignment="1" applyProtection="1">
      <alignment horizontal="center" vertical="center" wrapText="1"/>
      <protection locked="0"/>
    </xf>
    <xf numFmtId="3" fontId="126" fillId="28" borderId="18" xfId="88" applyNumberFormat="1" applyFont="1" applyFill="1" applyBorder="1" applyAlignment="1" applyProtection="1">
      <alignment horizontal="center" vertical="center" wrapText="1"/>
      <protection locked="0"/>
    </xf>
    <xf numFmtId="3" fontId="125" fillId="28" borderId="32" xfId="88" applyNumberFormat="1" applyFont="1" applyFill="1" applyBorder="1" applyAlignment="1" applyProtection="1">
      <alignment horizontal="center" vertical="center" wrapText="1"/>
      <protection locked="0"/>
    </xf>
    <xf numFmtId="3" fontId="125" fillId="28" borderId="7" xfId="88" applyNumberFormat="1" applyFont="1" applyFill="1" applyBorder="1" applyAlignment="1" applyProtection="1">
      <alignment horizontal="center" vertical="center" wrapText="1"/>
      <protection locked="0"/>
    </xf>
    <xf numFmtId="0" fontId="86" fillId="45" borderId="2" xfId="52" applyFont="1" applyFill="1" applyBorder="1" applyAlignment="1" applyProtection="1">
      <alignment horizontal="center" vertical="center"/>
    </xf>
    <xf numFmtId="0" fontId="43" fillId="40" borderId="42" xfId="49" applyFont="1" applyFill="1" applyBorder="1" applyAlignment="1" applyProtection="1">
      <alignment horizontal="center" vertical="center" wrapText="1"/>
    </xf>
    <xf numFmtId="0" fontId="24" fillId="40" borderId="42" xfId="49" applyNumberFormat="1" applyFont="1" applyFill="1" applyBorder="1" applyAlignment="1" applyProtection="1">
      <alignment horizontal="left" vertical="center" wrapText="1"/>
    </xf>
    <xf numFmtId="0" fontId="43" fillId="40" borderId="38" xfId="49" applyFont="1" applyFill="1" applyBorder="1" applyAlignment="1" applyProtection="1">
      <alignment horizontal="center" vertical="center" wrapText="1"/>
    </xf>
    <xf numFmtId="0" fontId="43" fillId="40" borderId="9" xfId="49" applyFont="1" applyFill="1" applyBorder="1" applyAlignment="1" applyProtection="1">
      <alignment horizontal="center" vertical="center" wrapText="1"/>
    </xf>
    <xf numFmtId="0" fontId="43" fillId="40" borderId="10" xfId="49" applyFont="1" applyFill="1" applyBorder="1" applyAlignment="1" applyProtection="1">
      <alignment horizontal="center" vertical="center" wrapText="1"/>
    </xf>
    <xf numFmtId="0" fontId="60" fillId="27" borderId="15" xfId="52" applyFont="1" applyFill="1" applyBorder="1" applyAlignment="1" applyProtection="1">
      <alignment horizontal="left" vertical="center"/>
    </xf>
    <xf numFmtId="0" fontId="43" fillId="40" borderId="47" xfId="49" applyFont="1" applyFill="1" applyBorder="1" applyAlignment="1" applyProtection="1">
      <alignment horizontal="center" vertical="center" wrapText="1"/>
    </xf>
    <xf numFmtId="0" fontId="43" fillId="40" borderId="71" xfId="49" applyFont="1" applyFill="1" applyBorder="1" applyAlignment="1" applyProtection="1">
      <alignment horizontal="center" vertical="center" wrapText="1"/>
    </xf>
    <xf numFmtId="0" fontId="43" fillId="40" borderId="48" xfId="49" applyFont="1" applyFill="1" applyBorder="1" applyAlignment="1" applyProtection="1">
      <alignment horizontal="center" vertical="center" wrapText="1"/>
    </xf>
    <xf numFmtId="0" fontId="43" fillId="26" borderId="42" xfId="49" applyFont="1" applyFill="1" applyBorder="1" applyAlignment="1" applyProtection="1">
      <alignment horizontal="center" vertical="center" wrapText="1"/>
    </xf>
    <xf numFmtId="0" fontId="65" fillId="27" borderId="0" xfId="52" applyFont="1" applyFill="1" applyAlignment="1" applyProtection="1">
      <alignment vertical="center"/>
    </xf>
    <xf numFmtId="0" fontId="44" fillId="27" borderId="0" xfId="52" applyFont="1" applyFill="1" applyAlignment="1" applyProtection="1">
      <alignment vertical="center"/>
    </xf>
    <xf numFmtId="14" fontId="86" fillId="27" borderId="0" xfId="52" applyNumberFormat="1" applyFont="1" applyFill="1" applyAlignment="1" applyProtection="1">
      <alignment horizontal="left" vertical="center"/>
    </xf>
    <xf numFmtId="14" fontId="43" fillId="27" borderId="0" xfId="52" applyNumberFormat="1" applyFont="1" applyFill="1" applyAlignment="1" applyProtection="1">
      <alignment vertical="center"/>
    </xf>
    <xf numFmtId="3" fontId="24" fillId="27" borderId="0" xfId="84" applyNumberFormat="1" applyFont="1" applyFill="1" applyBorder="1" applyAlignment="1" applyProtection="1">
      <alignment horizontal="right" vertical="center"/>
    </xf>
    <xf numFmtId="3" fontId="15" fillId="27" borderId="0" xfId="84" applyNumberFormat="1" applyFont="1" applyFill="1" applyBorder="1" applyAlignment="1" applyProtection="1">
      <alignment horizontal="left" vertical="center"/>
    </xf>
    <xf numFmtId="0" fontId="43" fillId="27" borderId="0" xfId="52" applyFont="1" applyFill="1" applyAlignment="1" applyProtection="1">
      <alignment horizontal="right" vertical="center"/>
    </xf>
    <xf numFmtId="0" fontId="44" fillId="27" borderId="0" xfId="52" applyNumberFormat="1" applyFont="1" applyFill="1" applyAlignment="1" applyProtection="1">
      <alignment vertical="center"/>
    </xf>
    <xf numFmtId="3" fontId="15" fillId="27" borderId="0" xfId="84" applyNumberFormat="1" applyFont="1" applyFill="1" applyAlignment="1" applyProtection="1">
      <alignment horizontal="right" vertical="center"/>
    </xf>
    <xf numFmtId="3" fontId="46" fillId="27" borderId="0" xfId="84" applyNumberFormat="1" applyFont="1" applyFill="1" applyBorder="1" applyAlignment="1" applyProtection="1">
      <alignment horizontal="left" vertical="center"/>
    </xf>
    <xf numFmtId="0" fontId="45" fillId="27" borderId="0" xfId="52" applyFont="1" applyFill="1" applyAlignment="1" applyProtection="1">
      <alignment vertical="center"/>
    </xf>
    <xf numFmtId="3" fontId="15" fillId="27" borderId="0" xfId="84" applyNumberFormat="1" applyFont="1" applyFill="1" applyBorder="1" applyAlignment="1" applyProtection="1">
      <alignment vertical="center"/>
    </xf>
    <xf numFmtId="0" fontId="15" fillId="27" borderId="0" xfId="52" applyFont="1" applyFill="1" applyAlignment="1" applyProtection="1">
      <alignment vertical="center"/>
    </xf>
    <xf numFmtId="0" fontId="60" fillId="27" borderId="0" xfId="54" applyFont="1" applyFill="1" applyAlignment="1" applyProtection="1">
      <alignment vertical="center"/>
    </xf>
    <xf numFmtId="0" fontId="68" fillId="27" borderId="0" xfId="54" applyFont="1" applyFill="1" applyBorder="1" applyAlignment="1" applyProtection="1">
      <alignment vertical="center"/>
    </xf>
    <xf numFmtId="0" fontId="68" fillId="27" borderId="0" xfId="54" applyFont="1" applyFill="1" applyAlignment="1" applyProtection="1">
      <alignment vertical="center"/>
    </xf>
    <xf numFmtId="0" fontId="110" fillId="27" borderId="0" xfId="54" applyFont="1" applyFill="1" applyAlignment="1" applyProtection="1">
      <alignment vertical="center" wrapText="1"/>
    </xf>
    <xf numFmtId="0" fontId="46" fillId="26" borderId="0" xfId="0" applyFont="1" applyFill="1" applyAlignment="1" applyProtection="1">
      <alignment vertical="center" wrapText="1"/>
    </xf>
    <xf numFmtId="3" fontId="68" fillId="28" borderId="49" xfId="52" applyNumberFormat="1" applyFont="1" applyFill="1" applyBorder="1" applyAlignment="1" applyProtection="1">
      <alignment horizontal="center" vertical="center"/>
      <protection locked="0"/>
    </xf>
    <xf numFmtId="3" fontId="68" fillId="28" borderId="73" xfId="52" applyNumberFormat="1" applyFont="1" applyFill="1" applyBorder="1" applyAlignment="1" applyProtection="1">
      <alignment horizontal="center" vertical="center"/>
      <protection locked="0"/>
    </xf>
    <xf numFmtId="3" fontId="68" fillId="28" borderId="76" xfId="52" applyNumberFormat="1" applyFont="1" applyFill="1" applyBorder="1" applyAlignment="1" applyProtection="1">
      <alignment horizontal="center" vertical="center"/>
      <protection locked="0"/>
    </xf>
    <xf numFmtId="3" fontId="15" fillId="28" borderId="75" xfId="57" applyNumberFormat="1" applyFont="1" applyFill="1" applyBorder="1" applyAlignment="1" applyProtection="1">
      <alignment horizontal="center" vertical="center"/>
      <protection locked="0"/>
    </xf>
    <xf numFmtId="3" fontId="15" fillId="28" borderId="73" xfId="57" applyNumberFormat="1" applyFont="1" applyFill="1" applyBorder="1" applyAlignment="1" applyProtection="1">
      <alignment horizontal="center" vertical="center"/>
      <protection locked="0"/>
    </xf>
    <xf numFmtId="3" fontId="15" fillId="28" borderId="76" xfId="57" applyNumberFormat="1" applyFont="1" applyFill="1" applyBorder="1" applyAlignment="1" applyProtection="1">
      <alignment horizontal="center" vertical="center"/>
      <protection locked="0"/>
    </xf>
    <xf numFmtId="3" fontId="15" fillId="28" borderId="49" xfId="57" applyNumberFormat="1" applyFont="1" applyFill="1" applyBorder="1" applyAlignment="1" applyProtection="1">
      <alignment horizontal="center" vertical="center"/>
      <protection locked="0"/>
    </xf>
    <xf numFmtId="3" fontId="15" fillId="28" borderId="31" xfId="57" applyNumberFormat="1" applyFont="1" applyFill="1" applyBorder="1" applyAlignment="1" applyProtection="1">
      <alignment horizontal="center" vertical="center"/>
      <protection locked="0"/>
    </xf>
    <xf numFmtId="3" fontId="15" fillId="28" borderId="50" xfId="57" applyNumberFormat="1" applyFont="1" applyFill="1" applyBorder="1" applyAlignment="1" applyProtection="1">
      <alignment horizontal="center" vertical="center"/>
      <protection locked="0"/>
    </xf>
    <xf numFmtId="0" fontId="55" fillId="26" borderId="0" xfId="32" applyFont="1" applyFill="1" applyAlignment="1" applyProtection="1">
      <alignment vertical="center"/>
    </xf>
    <xf numFmtId="0" fontId="30" fillId="27" borderId="0" xfId="32" applyFill="1" applyAlignment="1" applyProtection="1">
      <alignment vertical="center"/>
    </xf>
    <xf numFmtId="0" fontId="16" fillId="26" borderId="0" xfId="32" applyFont="1" applyFill="1" applyAlignment="1" applyProtection="1">
      <alignment horizontal="right" vertical="center"/>
    </xf>
    <xf numFmtId="0" fontId="0" fillId="27" borderId="0" xfId="0" applyFill="1" applyAlignment="1" applyProtection="1">
      <alignment vertical="center"/>
    </xf>
    <xf numFmtId="0" fontId="30" fillId="27" borderId="0" xfId="32" applyFont="1" applyFill="1" applyAlignment="1" applyProtection="1">
      <alignment vertical="center"/>
    </xf>
    <xf numFmtId="0" fontId="71" fillId="27" borderId="0" xfId="32" applyFont="1" applyFill="1" applyAlignment="1" applyProtection="1">
      <alignment vertical="center"/>
    </xf>
    <xf numFmtId="49" fontId="43" fillId="27" borderId="24" xfId="0" applyNumberFormat="1" applyFont="1" applyFill="1" applyBorder="1" applyAlignment="1" applyProtection="1">
      <alignment horizontal="center" vertical="center" wrapText="1"/>
    </xf>
    <xf numFmtId="3" fontId="43" fillId="26" borderId="52" xfId="0" applyNumberFormat="1" applyFont="1" applyFill="1" applyBorder="1" applyAlignment="1" applyProtection="1">
      <alignment horizontal="center" vertical="center"/>
    </xf>
    <xf numFmtId="3" fontId="43" fillId="26" borderId="7" xfId="0" applyNumberFormat="1" applyFont="1" applyFill="1" applyBorder="1" applyAlignment="1" applyProtection="1">
      <alignment horizontal="center" vertical="center"/>
    </xf>
    <xf numFmtId="3" fontId="43" fillId="26" borderId="53" xfId="0" applyNumberFormat="1" applyFont="1" applyFill="1" applyBorder="1" applyAlignment="1" applyProtection="1">
      <alignment horizontal="center" vertical="center"/>
    </xf>
    <xf numFmtId="3" fontId="44" fillId="0" borderId="99" xfId="0" applyNumberFormat="1" applyFont="1" applyFill="1" applyBorder="1" applyAlignment="1" applyProtection="1">
      <alignment horizontal="right" vertical="center"/>
    </xf>
    <xf numFmtId="3" fontId="44" fillId="0" borderId="113" xfId="0" applyNumberFormat="1" applyFont="1" applyFill="1" applyBorder="1" applyAlignment="1" applyProtection="1">
      <alignment horizontal="right" vertical="center"/>
    </xf>
    <xf numFmtId="3" fontId="44" fillId="0" borderId="95" xfId="0" applyNumberFormat="1" applyFont="1" applyFill="1" applyBorder="1" applyAlignment="1" applyProtection="1">
      <alignment horizontal="right" vertical="center"/>
    </xf>
    <xf numFmtId="3" fontId="156" fillId="0" borderId="25" xfId="0" applyNumberFormat="1" applyFont="1" applyFill="1" applyBorder="1" applyAlignment="1" applyProtection="1">
      <alignment horizontal="center" vertical="center"/>
    </xf>
    <xf numFmtId="3" fontId="156" fillId="0" borderId="77" xfId="0" applyNumberFormat="1" applyFont="1" applyFill="1" applyBorder="1" applyAlignment="1" applyProtection="1">
      <alignment horizontal="center" vertical="center"/>
    </xf>
    <xf numFmtId="3" fontId="156" fillId="0" borderId="44" xfId="0" applyNumberFormat="1" applyFont="1" applyFill="1" applyBorder="1" applyAlignment="1" applyProtection="1">
      <alignment horizontal="center" vertical="center"/>
    </xf>
    <xf numFmtId="3" fontId="156" fillId="0" borderId="31" xfId="0" applyNumberFormat="1" applyFont="1" applyFill="1" applyBorder="1" applyAlignment="1" applyProtection="1">
      <alignment horizontal="center" vertical="center"/>
    </xf>
    <xf numFmtId="3" fontId="156" fillId="0" borderId="50" xfId="0" applyNumberFormat="1" applyFont="1" applyFill="1" applyBorder="1" applyAlignment="1" applyProtection="1">
      <alignment horizontal="center" vertical="center"/>
    </xf>
    <xf numFmtId="3" fontId="156" fillId="0" borderId="49" xfId="0" applyNumberFormat="1" applyFont="1" applyFill="1" applyBorder="1" applyAlignment="1" applyProtection="1">
      <alignment horizontal="center" vertical="center"/>
    </xf>
    <xf numFmtId="3" fontId="44" fillId="0" borderId="93" xfId="0" applyNumberFormat="1" applyFont="1" applyFill="1" applyBorder="1" applyAlignment="1" applyProtection="1">
      <alignment horizontal="right" vertical="center"/>
    </xf>
    <xf numFmtId="3" fontId="44" fillId="0" borderId="114" xfId="0" applyNumberFormat="1" applyFont="1" applyFill="1" applyBorder="1" applyAlignment="1" applyProtection="1">
      <alignment horizontal="right" vertical="center"/>
    </xf>
    <xf numFmtId="3" fontId="44" fillId="0" borderId="94" xfId="0" applyNumberFormat="1" applyFont="1" applyFill="1" applyBorder="1" applyAlignment="1" applyProtection="1">
      <alignment horizontal="right" vertical="center"/>
    </xf>
    <xf numFmtId="3" fontId="44" fillId="31" borderId="75" xfId="0" applyNumberFormat="1" applyFont="1" applyFill="1" applyBorder="1" applyAlignment="1" applyProtection="1">
      <alignment horizontal="right" vertical="center"/>
    </xf>
    <xf numFmtId="3" fontId="44" fillId="31" borderId="73" xfId="0" applyNumberFormat="1" applyFont="1" applyFill="1" applyBorder="1" applyAlignment="1" applyProtection="1">
      <alignment horizontal="right" vertical="center"/>
    </xf>
    <xf numFmtId="3" fontId="44" fillId="31" borderId="76" xfId="0" applyNumberFormat="1" applyFont="1" applyFill="1" applyBorder="1" applyAlignment="1" applyProtection="1">
      <alignment horizontal="right" vertical="center"/>
    </xf>
    <xf numFmtId="9" fontId="43" fillId="0" borderId="56" xfId="51" applyNumberFormat="1" applyFont="1" applyFill="1" applyBorder="1" applyAlignment="1" applyProtection="1">
      <alignment horizontal="center" vertical="center"/>
    </xf>
    <xf numFmtId="9" fontId="43" fillId="0" borderId="77" xfId="51" applyNumberFormat="1" applyFont="1" applyFill="1" applyBorder="1" applyAlignment="1" applyProtection="1">
      <alignment horizontal="center" vertical="center"/>
    </xf>
    <xf numFmtId="9" fontId="43" fillId="0" borderId="57" xfId="51" applyNumberFormat="1" applyFont="1" applyFill="1" applyBorder="1" applyAlignment="1" applyProtection="1">
      <alignment horizontal="center" vertical="center"/>
    </xf>
    <xf numFmtId="0" fontId="30" fillId="27" borderId="0" xfId="32" applyFill="1" applyAlignment="1" applyProtection="1">
      <alignment horizontal="center" vertical="center"/>
    </xf>
    <xf numFmtId="0" fontId="0" fillId="27" borderId="0" xfId="0" applyFill="1" applyAlignment="1" applyProtection="1">
      <alignment horizontal="center" vertical="center"/>
    </xf>
    <xf numFmtId="0" fontId="30" fillId="27" borderId="0" xfId="0" applyFont="1" applyFill="1" applyAlignment="1" applyProtection="1">
      <alignment vertical="center"/>
    </xf>
    <xf numFmtId="0" fontId="71" fillId="27" borderId="0" xfId="0" applyFont="1" applyFill="1" applyAlignment="1" applyProtection="1">
      <alignment vertical="center"/>
    </xf>
    <xf numFmtId="14" fontId="43" fillId="26" borderId="0" xfId="32" applyNumberFormat="1" applyFont="1" applyFill="1" applyBorder="1" applyAlignment="1" applyProtection="1">
      <alignment horizontal="center" vertical="center"/>
    </xf>
    <xf numFmtId="14" fontId="43" fillId="26" borderId="0" xfId="32" applyNumberFormat="1" applyFont="1" applyFill="1" applyBorder="1" applyAlignment="1" applyProtection="1">
      <alignment vertical="center"/>
    </xf>
    <xf numFmtId="0" fontId="44" fillId="26" borderId="0" xfId="32" applyNumberFormat="1" applyFont="1" applyFill="1" applyBorder="1" applyAlignment="1" applyProtection="1">
      <alignment horizontal="center" vertical="center"/>
    </xf>
    <xf numFmtId="0" fontId="43" fillId="26" borderId="0" xfId="32" applyNumberFormat="1" applyFont="1" applyFill="1" applyBorder="1" applyAlignment="1" applyProtection="1">
      <alignment horizontal="right" vertical="center"/>
    </xf>
    <xf numFmtId="0" fontId="44" fillId="26" borderId="0" xfId="32" applyNumberFormat="1" applyFont="1" applyFill="1" applyBorder="1" applyAlignment="1" applyProtection="1">
      <alignment horizontal="left" vertical="center"/>
    </xf>
    <xf numFmtId="0" fontId="44" fillId="26" borderId="0" xfId="32" applyFont="1" applyFill="1" applyBorder="1" applyAlignment="1" applyProtection="1">
      <alignment horizontal="center" vertical="center"/>
    </xf>
    <xf numFmtId="0" fontId="44" fillId="26" borderId="0" xfId="32" applyFont="1" applyFill="1" applyBorder="1" applyAlignment="1" applyProtection="1">
      <alignment vertical="center"/>
    </xf>
    <xf numFmtId="49" fontId="44" fillId="26" borderId="0" xfId="32" applyNumberFormat="1" applyFont="1" applyFill="1" applyBorder="1" applyAlignment="1" applyProtection="1">
      <alignment horizontal="right" vertical="center"/>
    </xf>
    <xf numFmtId="0" fontId="139" fillId="26" borderId="0" xfId="32" applyNumberFormat="1" applyFont="1" applyFill="1" applyBorder="1" applyAlignment="1" applyProtection="1">
      <alignment horizontal="left" vertical="center"/>
    </xf>
    <xf numFmtId="14" fontId="151" fillId="27" borderId="0" xfId="0" applyNumberFormat="1" applyFont="1" applyFill="1" applyAlignment="1" applyProtection="1">
      <alignment vertical="center"/>
    </xf>
    <xf numFmtId="0" fontId="152" fillId="27" borderId="0" xfId="0" applyFont="1" applyFill="1" applyAlignment="1" applyProtection="1">
      <alignment vertical="center"/>
    </xf>
    <xf numFmtId="0" fontId="151" fillId="27" borderId="0" xfId="0" applyFont="1" applyFill="1" applyAlignment="1" applyProtection="1">
      <alignment vertical="center"/>
    </xf>
    <xf numFmtId="0" fontId="151" fillId="27" borderId="0" xfId="0" applyFont="1" applyFill="1" applyAlignment="1" applyProtection="1">
      <alignment horizontal="right" vertical="center"/>
    </xf>
    <xf numFmtId="0" fontId="152" fillId="27" borderId="0" xfId="0" applyFont="1" applyFill="1" applyAlignment="1" applyProtection="1">
      <alignment horizontal="center" vertical="center"/>
    </xf>
    <xf numFmtId="0" fontId="30" fillId="27" borderId="0" xfId="32" applyFill="1" applyAlignment="1" applyProtection="1">
      <alignment horizontal="right" vertical="center"/>
    </xf>
    <xf numFmtId="0" fontId="82" fillId="27" borderId="0" xfId="0" applyFont="1" applyFill="1" applyAlignment="1" applyProtection="1">
      <alignment vertical="center"/>
    </xf>
    <xf numFmtId="0" fontId="155" fillId="27" borderId="0" xfId="0" applyFont="1" applyFill="1" applyAlignment="1" applyProtection="1">
      <alignment horizontal="center" vertical="center"/>
    </xf>
    <xf numFmtId="0" fontId="30" fillId="27" borderId="0" xfId="32" applyFont="1" applyFill="1" applyAlignment="1" applyProtection="1">
      <alignment horizontal="center" vertical="center"/>
    </xf>
    <xf numFmtId="0" fontId="30" fillId="27" borderId="0" xfId="0" applyFont="1" applyFill="1" applyAlignment="1" applyProtection="1">
      <alignment horizontal="center" vertical="center"/>
    </xf>
    <xf numFmtId="0" fontId="30" fillId="27" borderId="0" xfId="32" applyFont="1" applyFill="1" applyAlignment="1" applyProtection="1">
      <alignment horizontal="right" vertical="center"/>
    </xf>
    <xf numFmtId="0" fontId="153" fillId="27" borderId="0" xfId="32" applyFont="1" applyFill="1" applyAlignment="1" applyProtection="1">
      <alignment horizontal="center" vertical="center"/>
    </xf>
    <xf numFmtId="0" fontId="154" fillId="27" borderId="0" xfId="32" applyFont="1" applyFill="1" applyAlignment="1" applyProtection="1">
      <alignment horizontal="center" vertical="center"/>
    </xf>
    <xf numFmtId="0" fontId="94" fillId="27" borderId="0" xfId="0" applyFont="1" applyFill="1" applyAlignment="1" applyProtection="1">
      <alignment vertical="center"/>
    </xf>
    <xf numFmtId="3" fontId="43" fillId="28" borderId="49" xfId="0" applyNumberFormat="1" applyFont="1" applyFill="1" applyBorder="1" applyAlignment="1" applyProtection="1">
      <alignment horizontal="center" vertical="center"/>
      <protection locked="0"/>
    </xf>
    <xf numFmtId="3" fontId="43" fillId="28" borderId="31" xfId="0" applyNumberFormat="1" applyFont="1" applyFill="1" applyBorder="1" applyAlignment="1" applyProtection="1">
      <alignment horizontal="center" vertical="center"/>
      <protection locked="0"/>
    </xf>
    <xf numFmtId="3" fontId="43" fillId="28" borderId="50" xfId="0" applyNumberFormat="1" applyFont="1" applyFill="1" applyBorder="1" applyAlignment="1" applyProtection="1">
      <alignment horizontal="center" vertical="center"/>
      <protection locked="0"/>
    </xf>
    <xf numFmtId="0" fontId="55" fillId="26" borderId="0" xfId="0" applyFont="1" applyFill="1" applyAlignment="1" applyProtection="1">
      <alignment vertical="center"/>
    </xf>
    <xf numFmtId="0" fontId="55" fillId="26" borderId="0" xfId="0" applyFont="1" applyFill="1" applyAlignment="1" applyProtection="1">
      <alignment horizontal="center" vertical="center"/>
    </xf>
    <xf numFmtId="0" fontId="16" fillId="26" borderId="0" xfId="0" applyFont="1" applyFill="1" applyBorder="1" applyAlignment="1" applyProtection="1">
      <alignment horizontal="center" vertical="center"/>
    </xf>
    <xf numFmtId="0" fontId="0" fillId="26" borderId="0" xfId="0" applyFill="1" applyAlignment="1" applyProtection="1">
      <alignment vertical="center"/>
    </xf>
    <xf numFmtId="0" fontId="147" fillId="26" borderId="0" xfId="0" applyFont="1" applyFill="1" applyAlignment="1" applyProtection="1">
      <alignment horizontal="center" vertical="center"/>
    </xf>
    <xf numFmtId="167" fontId="44" fillId="26" borderId="7" xfId="0" applyNumberFormat="1" applyFont="1" applyFill="1" applyBorder="1" applyAlignment="1" applyProtection="1">
      <alignment horizontal="center" vertical="center" wrapText="1"/>
    </xf>
    <xf numFmtId="3" fontId="44" fillId="26" borderId="113" xfId="32" applyNumberFormat="1" applyFont="1" applyFill="1" applyBorder="1" applyAlignment="1" applyProtection="1">
      <alignment horizontal="center" vertical="center"/>
    </xf>
    <xf numFmtId="167" fontId="44" fillId="26" borderId="7" xfId="0" applyNumberFormat="1" applyFont="1" applyFill="1" applyBorder="1" applyAlignment="1" applyProtection="1">
      <alignment horizontal="center" vertical="center"/>
    </xf>
    <xf numFmtId="0" fontId="0" fillId="26" borderId="0" xfId="0" applyFill="1" applyAlignment="1" applyProtection="1">
      <alignment horizontal="center" vertical="center"/>
    </xf>
    <xf numFmtId="3" fontId="44" fillId="26" borderId="7" xfId="0" applyNumberFormat="1" applyFont="1" applyFill="1" applyBorder="1" applyAlignment="1" applyProtection="1">
      <alignment horizontal="center" vertical="center"/>
    </xf>
    <xf numFmtId="3" fontId="44" fillId="26" borderId="0" xfId="49" applyNumberFormat="1" applyFont="1" applyFill="1" applyBorder="1" applyAlignment="1" applyProtection="1">
      <alignment horizontal="right" vertical="center"/>
    </xf>
    <xf numFmtId="3" fontId="44" fillId="26" borderId="0" xfId="0" applyNumberFormat="1" applyFont="1" applyFill="1" applyBorder="1" applyAlignment="1" applyProtection="1">
      <alignment horizontal="center" vertical="center"/>
    </xf>
    <xf numFmtId="4" fontId="44" fillId="26" borderId="7" xfId="0" applyNumberFormat="1" applyFont="1" applyFill="1" applyBorder="1" applyAlignment="1" applyProtection="1">
      <alignment horizontal="center" vertical="center"/>
    </xf>
    <xf numFmtId="14" fontId="44" fillId="26" borderId="0" xfId="0" applyNumberFormat="1" applyFont="1" applyFill="1" applyBorder="1" applyAlignment="1" applyProtection="1">
      <alignment vertical="center"/>
    </xf>
    <xf numFmtId="14" fontId="43" fillId="26" borderId="0" xfId="0" applyNumberFormat="1" applyFont="1" applyFill="1" applyBorder="1" applyAlignment="1" applyProtection="1">
      <alignment vertical="center"/>
    </xf>
    <xf numFmtId="0" fontId="44" fillId="26" borderId="0" xfId="0" applyFont="1" applyFill="1" applyBorder="1" applyAlignment="1" applyProtection="1">
      <alignment horizontal="center" vertical="center"/>
    </xf>
    <xf numFmtId="0" fontId="43" fillId="26" borderId="0" xfId="0" applyFont="1" applyFill="1" applyBorder="1" applyAlignment="1" applyProtection="1">
      <alignment horizontal="right" vertical="center"/>
    </xf>
    <xf numFmtId="0" fontId="44" fillId="26" borderId="0" xfId="0" applyFont="1" applyFill="1" applyBorder="1" applyAlignment="1" applyProtection="1">
      <alignment horizontal="left" vertical="center"/>
    </xf>
    <xf numFmtId="0" fontId="44" fillId="26" borderId="0" xfId="0" applyFont="1" applyFill="1" applyBorder="1" applyAlignment="1" applyProtection="1">
      <alignment vertical="center"/>
    </xf>
    <xf numFmtId="0" fontId="44" fillId="26" borderId="0" xfId="0" applyNumberFormat="1" applyFont="1" applyFill="1" applyBorder="1" applyAlignment="1" applyProtection="1">
      <alignment vertical="center"/>
    </xf>
    <xf numFmtId="0" fontId="43" fillId="26" borderId="0" xfId="0" applyNumberFormat="1" applyFont="1" applyFill="1" applyBorder="1" applyAlignment="1" applyProtection="1">
      <alignment horizontal="right" vertical="center"/>
    </xf>
    <xf numFmtId="0" fontId="45" fillId="26" borderId="0" xfId="0" applyFont="1" applyFill="1" applyBorder="1" applyAlignment="1" applyProtection="1">
      <alignment horizontal="left" vertical="center"/>
    </xf>
    <xf numFmtId="49" fontId="44" fillId="26" borderId="0" xfId="0" applyNumberFormat="1" applyFont="1" applyFill="1" applyBorder="1" applyAlignment="1" applyProtection="1">
      <alignment horizontal="center" vertical="center"/>
    </xf>
    <xf numFmtId="0" fontId="45" fillId="26" borderId="0" xfId="0" applyNumberFormat="1" applyFont="1" applyFill="1" applyBorder="1" applyAlignment="1" applyProtection="1">
      <alignment horizontal="left" vertical="center"/>
    </xf>
    <xf numFmtId="0" fontId="44" fillId="27" borderId="0" xfId="0" applyFont="1" applyFill="1" applyAlignment="1" applyProtection="1">
      <alignment vertical="center"/>
    </xf>
    <xf numFmtId="0" fontId="44" fillId="27" borderId="0" xfId="0" applyFont="1" applyFill="1" applyAlignment="1" applyProtection="1">
      <alignment horizontal="center" vertical="center"/>
    </xf>
    <xf numFmtId="0" fontId="45" fillId="27" borderId="0" xfId="31" applyFont="1" applyFill="1" applyBorder="1" applyAlignment="1" applyProtection="1">
      <alignment horizontal="center" vertical="center"/>
    </xf>
    <xf numFmtId="0" fontId="49" fillId="27" borderId="0" xfId="31" applyFont="1" applyFill="1" applyBorder="1" applyAlignment="1" applyProtection="1">
      <alignment horizontal="right" vertical="center"/>
    </xf>
    <xf numFmtId="0" fontId="45" fillId="27" borderId="0" xfId="31" applyFont="1" applyFill="1" applyBorder="1" applyAlignment="1" applyProtection="1">
      <alignment horizontal="left" vertical="center"/>
    </xf>
    <xf numFmtId="0" fontId="43" fillId="27" borderId="0" xfId="0" applyFont="1" applyFill="1" applyAlignment="1" applyProtection="1">
      <alignment vertical="center"/>
    </xf>
    <xf numFmtId="0" fontId="43" fillId="27" borderId="0" xfId="0" applyFont="1" applyFill="1" applyAlignment="1" applyProtection="1">
      <alignment horizontal="center" vertical="center"/>
    </xf>
    <xf numFmtId="0" fontId="43" fillId="26" borderId="0" xfId="0" applyNumberFormat="1" applyFont="1" applyFill="1" applyBorder="1" applyAlignment="1" applyProtection="1">
      <alignment horizontal="center" vertical="center"/>
    </xf>
    <xf numFmtId="0" fontId="43" fillId="27" borderId="0" xfId="0" applyFont="1" applyFill="1" applyBorder="1" applyAlignment="1" applyProtection="1">
      <alignment horizontal="center" vertical="center"/>
    </xf>
    <xf numFmtId="0" fontId="44" fillId="26" borderId="0" xfId="0" applyNumberFormat="1" applyFont="1" applyFill="1" applyBorder="1" applyAlignment="1" applyProtection="1">
      <alignment horizontal="center" vertical="center"/>
    </xf>
    <xf numFmtId="0" fontId="45" fillId="26" borderId="0" xfId="0" applyNumberFormat="1" applyFont="1" applyFill="1" applyBorder="1" applyAlignment="1" applyProtection="1">
      <alignment horizontal="center" vertical="center"/>
    </xf>
    <xf numFmtId="0" fontId="30" fillId="26" borderId="0" xfId="0" applyFont="1" applyFill="1" applyAlignment="1" applyProtection="1">
      <alignment horizontal="center" vertical="center"/>
    </xf>
    <xf numFmtId="0" fontId="46" fillId="27" borderId="0" xfId="0" applyFont="1" applyFill="1" applyAlignment="1" applyProtection="1">
      <alignment horizontal="left" vertical="center"/>
    </xf>
    <xf numFmtId="0" fontId="128" fillId="27" borderId="0" xfId="0" applyFont="1" applyFill="1" applyAlignment="1" applyProtection="1">
      <alignment horizontal="left" vertical="center"/>
    </xf>
    <xf numFmtId="0" fontId="78" fillId="26" borderId="0" xfId="0" applyFont="1" applyFill="1" applyAlignment="1" applyProtection="1">
      <alignment horizontal="center" vertical="center"/>
    </xf>
    <xf numFmtId="0" fontId="15" fillId="0" borderId="0" xfId="32" applyFont="1" applyAlignment="1" applyProtection="1">
      <alignment vertical="center"/>
    </xf>
    <xf numFmtId="0" fontId="16" fillId="0" borderId="0" xfId="32" applyFont="1" applyAlignment="1" applyProtection="1">
      <alignment vertical="center"/>
    </xf>
    <xf numFmtId="0" fontId="16" fillId="0" borderId="0" xfId="32" applyFont="1" applyAlignment="1" applyProtection="1">
      <alignment horizontal="center" vertical="center"/>
    </xf>
    <xf numFmtId="0" fontId="23" fillId="0" borderId="0" xfId="32" applyFont="1" applyFill="1" applyBorder="1" applyAlignment="1" applyProtection="1">
      <alignment horizontal="center" vertical="center"/>
    </xf>
    <xf numFmtId="0" fontId="44" fillId="24" borderId="17" xfId="32" applyFont="1" applyFill="1" applyBorder="1" applyAlignment="1" applyProtection="1">
      <alignment horizontal="center" vertical="center" wrapText="1"/>
    </xf>
    <xf numFmtId="0" fontId="44" fillId="0" borderId="53" xfId="32" applyFont="1" applyBorder="1" applyAlignment="1" applyProtection="1">
      <alignment horizontal="left" vertical="center" wrapText="1"/>
    </xf>
    <xf numFmtId="0" fontId="44" fillId="20" borderId="5" xfId="32" applyFont="1" applyFill="1" applyBorder="1" applyAlignment="1" applyProtection="1">
      <alignment horizontal="center" vertical="center" wrapText="1"/>
    </xf>
    <xf numFmtId="0" fontId="44" fillId="20" borderId="17" xfId="32" applyFont="1" applyFill="1" applyBorder="1" applyAlignment="1" applyProtection="1">
      <alignment horizontal="center" vertical="center" wrapText="1"/>
    </xf>
    <xf numFmtId="0" fontId="44" fillId="24" borderId="51" xfId="78" applyFont="1" applyFill="1" applyBorder="1" applyAlignment="1" applyProtection="1">
      <alignment horizontal="center" vertical="center" wrapText="1"/>
    </xf>
    <xf numFmtId="175" fontId="43" fillId="24" borderId="51" xfId="78" applyNumberFormat="1" applyFont="1" applyFill="1" applyBorder="1" applyAlignment="1" applyProtection="1">
      <alignment horizontal="center" vertical="center"/>
    </xf>
    <xf numFmtId="175" fontId="43" fillId="24" borderId="75" xfId="78" applyNumberFormat="1" applyFont="1" applyFill="1" applyBorder="1" applyAlignment="1" applyProtection="1">
      <alignment horizontal="center" vertical="center"/>
    </xf>
    <xf numFmtId="0" fontId="44" fillId="26" borderId="17" xfId="78" applyFont="1" applyFill="1" applyBorder="1" applyAlignment="1" applyProtection="1">
      <alignment horizontal="center" vertical="center" wrapText="1"/>
    </xf>
    <xf numFmtId="175" fontId="44" fillId="26" borderId="17" xfId="78" applyNumberFormat="1" applyFont="1" applyFill="1" applyBorder="1" applyAlignment="1" applyProtection="1">
      <alignment horizontal="center" vertical="center"/>
    </xf>
    <xf numFmtId="3" fontId="44" fillId="26" borderId="39" xfId="78" applyNumberFormat="1" applyFont="1" applyFill="1" applyBorder="1" applyAlignment="1" applyProtection="1">
      <alignment horizontal="center" vertical="center"/>
    </xf>
    <xf numFmtId="0" fontId="44" fillId="31" borderId="17" xfId="78" applyFont="1" applyFill="1" applyBorder="1" applyAlignment="1" applyProtection="1">
      <alignment horizontal="center" vertical="center" wrapText="1"/>
    </xf>
    <xf numFmtId="175" fontId="43" fillId="24" borderId="17" xfId="78" applyNumberFormat="1" applyFont="1" applyFill="1" applyBorder="1" applyAlignment="1" applyProtection="1">
      <alignment horizontal="center" vertical="center"/>
    </xf>
    <xf numFmtId="175" fontId="43" fillId="24" borderId="52" xfId="78" applyNumberFormat="1" applyFont="1" applyFill="1" applyBorder="1" applyAlignment="1" applyProtection="1">
      <alignment horizontal="center" vertical="center"/>
    </xf>
    <xf numFmtId="3" fontId="44" fillId="26" borderId="17" xfId="78" applyNumberFormat="1" applyFont="1" applyFill="1" applyBorder="1" applyAlignment="1" applyProtection="1">
      <alignment horizontal="center" vertical="center"/>
    </xf>
    <xf numFmtId="0" fontId="44" fillId="24" borderId="17" xfId="78" applyFont="1" applyFill="1" applyBorder="1" applyAlignment="1" applyProtection="1">
      <alignment horizontal="center" vertical="center" wrapText="1"/>
    </xf>
    <xf numFmtId="175" fontId="43" fillId="24" borderId="49" xfId="78" applyNumberFormat="1" applyFont="1" applyFill="1" applyBorder="1" applyAlignment="1" applyProtection="1">
      <alignment horizontal="center" vertical="center"/>
    </xf>
    <xf numFmtId="175" fontId="43" fillId="24" borderId="5" xfId="78" applyNumberFormat="1" applyFont="1" applyFill="1" applyBorder="1" applyAlignment="1" applyProtection="1">
      <alignment horizontal="center" vertical="center"/>
    </xf>
    <xf numFmtId="14" fontId="44" fillId="26" borderId="57" xfId="78" applyNumberFormat="1" applyFont="1" applyFill="1" applyBorder="1" applyAlignment="1" applyProtection="1">
      <alignment vertical="center"/>
    </xf>
    <xf numFmtId="0" fontId="44" fillId="26" borderId="21" xfId="78" applyFont="1" applyFill="1" applyBorder="1" applyAlignment="1" applyProtection="1">
      <alignment horizontal="center" vertical="center" wrapText="1"/>
    </xf>
    <xf numFmtId="175" fontId="44" fillId="26" borderId="21" xfId="78" applyNumberFormat="1" applyFont="1" applyFill="1" applyBorder="1" applyAlignment="1" applyProtection="1">
      <alignment horizontal="center" vertical="center"/>
    </xf>
    <xf numFmtId="0" fontId="44" fillId="0" borderId="0" xfId="32" applyFont="1" applyFill="1" applyBorder="1" applyAlignment="1" applyProtection="1">
      <alignment horizontal="center" vertical="center" wrapText="1"/>
    </xf>
    <xf numFmtId="0" fontId="44" fillId="0" borderId="0" xfId="32" applyFont="1" applyAlignment="1" applyProtection="1">
      <alignment vertical="center"/>
    </xf>
    <xf numFmtId="14" fontId="43" fillId="0" borderId="0" xfId="32" applyNumberFormat="1" applyFont="1" applyAlignment="1" applyProtection="1">
      <alignment horizontal="left" vertical="center"/>
    </xf>
    <xf numFmtId="0" fontId="44" fillId="0" borderId="0" xfId="32" applyFont="1" applyFill="1" applyAlignment="1" applyProtection="1">
      <alignment vertical="center"/>
    </xf>
    <xf numFmtId="0" fontId="44" fillId="0" borderId="0" xfId="32" applyFont="1" applyFill="1" applyAlignment="1" applyProtection="1">
      <alignment horizontal="center" vertical="center"/>
    </xf>
    <xf numFmtId="0" fontId="43" fillId="0" borderId="0" xfId="32" applyFont="1" applyAlignment="1" applyProtection="1">
      <alignment horizontal="right" vertical="center"/>
    </xf>
    <xf numFmtId="0" fontId="44" fillId="0" borderId="0" xfId="32" applyFont="1" applyAlignment="1" applyProtection="1">
      <alignment horizontal="left" vertical="center"/>
    </xf>
    <xf numFmtId="0" fontId="44" fillId="0" borderId="0" xfId="32" applyFont="1" applyAlignment="1" applyProtection="1">
      <alignment horizontal="center" vertical="center"/>
    </xf>
    <xf numFmtId="0" fontId="44" fillId="0" borderId="0" xfId="32" applyNumberFormat="1" applyFont="1" applyFill="1" applyAlignment="1" applyProtection="1">
      <alignment vertical="center"/>
    </xf>
    <xf numFmtId="0" fontId="43" fillId="0" borderId="0" xfId="32" applyNumberFormat="1" applyFont="1" applyFill="1" applyAlignment="1" applyProtection="1">
      <alignment horizontal="center" vertical="center"/>
    </xf>
    <xf numFmtId="0" fontId="45" fillId="0" borderId="0" xfId="32" applyFont="1" applyAlignment="1" applyProtection="1">
      <alignment horizontal="left" vertical="center"/>
    </xf>
    <xf numFmtId="3" fontId="44" fillId="0" borderId="0" xfId="32" applyNumberFormat="1" applyFont="1" applyAlignment="1" applyProtection="1">
      <alignment horizontal="center" vertical="center"/>
    </xf>
    <xf numFmtId="0" fontId="45" fillId="0" borderId="0" xfId="32" applyNumberFormat="1" applyFont="1" applyFill="1" applyAlignment="1" applyProtection="1">
      <alignment horizontal="center" vertical="center"/>
    </xf>
    <xf numFmtId="49" fontId="43" fillId="0" borderId="0" xfId="32" applyNumberFormat="1" applyFont="1" applyFill="1" applyAlignment="1" applyProtection="1">
      <alignment horizontal="center" vertical="center"/>
    </xf>
    <xf numFmtId="0" fontId="46" fillId="0" borderId="0" xfId="31" applyFont="1" applyFill="1" applyBorder="1" applyAlignment="1" applyProtection="1">
      <alignment horizontal="center" vertical="center"/>
    </xf>
    <xf numFmtId="0" fontId="45" fillId="0" borderId="0" xfId="31" applyFont="1" applyFill="1" applyBorder="1" applyAlignment="1" applyProtection="1">
      <alignment horizontal="center" vertical="center"/>
    </xf>
    <xf numFmtId="0" fontId="43" fillId="0" borderId="0" xfId="32" applyFont="1" applyBorder="1" applyAlignment="1" applyProtection="1">
      <alignment horizontal="center" vertical="center"/>
    </xf>
    <xf numFmtId="0" fontId="43" fillId="0" borderId="0" xfId="32" applyFont="1" applyAlignment="1" applyProtection="1">
      <alignment horizontal="center" vertical="center"/>
    </xf>
    <xf numFmtId="0" fontId="44" fillId="27" borderId="0" xfId="32" applyFont="1" applyFill="1" applyAlignment="1" applyProtection="1">
      <alignment vertical="center"/>
    </xf>
    <xf numFmtId="0" fontId="44" fillId="27" borderId="0" xfId="32" applyFont="1" applyFill="1" applyAlignment="1" applyProtection="1">
      <alignment vertical="center" wrapText="1"/>
    </xf>
    <xf numFmtId="0" fontId="49" fillId="27" borderId="0" xfId="0" applyFont="1" applyFill="1" applyBorder="1" applyAlignment="1" applyProtection="1">
      <alignment vertical="center"/>
    </xf>
    <xf numFmtId="3" fontId="44" fillId="27" borderId="53" xfId="32" applyNumberFormat="1" applyFont="1" applyFill="1" applyBorder="1" applyAlignment="1" applyProtection="1">
      <alignment horizontal="left" vertical="center" wrapText="1"/>
    </xf>
    <xf numFmtId="3" fontId="44" fillId="26" borderId="93" xfId="32" applyNumberFormat="1" applyFont="1" applyFill="1" applyBorder="1" applyAlignment="1" applyProtection="1">
      <alignment horizontal="center" vertical="center"/>
    </xf>
    <xf numFmtId="3" fontId="44" fillId="26" borderId="114" xfId="32" applyNumberFormat="1" applyFont="1" applyFill="1" applyBorder="1" applyAlignment="1" applyProtection="1">
      <alignment horizontal="center" vertical="center"/>
    </xf>
    <xf numFmtId="3" fontId="44" fillId="26" borderId="94" xfId="32" applyNumberFormat="1" applyFont="1" applyFill="1" applyBorder="1" applyAlignment="1" applyProtection="1">
      <alignment horizontal="center" vertical="center"/>
    </xf>
    <xf numFmtId="0" fontId="45" fillId="26" borderId="24" xfId="32" applyFont="1" applyFill="1" applyBorder="1" applyAlignment="1" applyProtection="1">
      <alignment horizontal="center" vertical="center"/>
    </xf>
    <xf numFmtId="3" fontId="44" fillId="26" borderId="90" xfId="32" applyNumberFormat="1" applyFont="1" applyFill="1" applyBorder="1" applyAlignment="1" applyProtection="1">
      <alignment horizontal="center" vertical="center"/>
    </xf>
    <xf numFmtId="3" fontId="44" fillId="26" borderId="112" xfId="32" applyNumberFormat="1" applyFont="1" applyFill="1" applyBorder="1" applyAlignment="1" applyProtection="1">
      <alignment horizontal="center" vertical="center"/>
    </xf>
    <xf numFmtId="3" fontId="44" fillId="26" borderId="91" xfId="32" applyNumberFormat="1" applyFont="1" applyFill="1" applyBorder="1" applyAlignment="1" applyProtection="1">
      <alignment horizontal="center" vertical="center"/>
    </xf>
    <xf numFmtId="3" fontId="44" fillId="26" borderId="99" xfId="32" applyNumberFormat="1" applyFont="1" applyFill="1" applyBorder="1" applyAlignment="1" applyProtection="1">
      <alignment horizontal="center" vertical="center"/>
    </xf>
    <xf numFmtId="3" fontId="44" fillId="26" borderId="95" xfId="32" applyNumberFormat="1" applyFont="1" applyFill="1" applyBorder="1" applyAlignment="1" applyProtection="1">
      <alignment horizontal="center" vertical="center"/>
    </xf>
    <xf numFmtId="3" fontId="44" fillId="26" borderId="134" xfId="32" applyNumberFormat="1" applyFont="1" applyFill="1" applyBorder="1" applyAlignment="1" applyProtection="1">
      <alignment horizontal="center" vertical="center"/>
    </xf>
    <xf numFmtId="3" fontId="44" fillId="26" borderId="138" xfId="32" applyNumberFormat="1" applyFont="1" applyFill="1" applyBorder="1" applyAlignment="1" applyProtection="1">
      <alignment horizontal="center" vertical="center"/>
    </xf>
    <xf numFmtId="3" fontId="44" fillId="26" borderId="139" xfId="32" applyNumberFormat="1" applyFont="1" applyFill="1" applyBorder="1" applyAlignment="1" applyProtection="1">
      <alignment horizontal="center" vertical="center"/>
    </xf>
    <xf numFmtId="0" fontId="44" fillId="26" borderId="0" xfId="0" applyFont="1" applyFill="1" applyAlignment="1" applyProtection="1">
      <alignment vertical="center"/>
    </xf>
    <xf numFmtId="0" fontId="44" fillId="26" borderId="0" xfId="0" applyFont="1" applyFill="1" applyBorder="1" applyAlignment="1" applyProtection="1">
      <alignment vertical="center" wrapText="1"/>
    </xf>
    <xf numFmtId="0" fontId="44" fillId="27" borderId="0" xfId="0" applyFont="1" applyFill="1" applyBorder="1" applyAlignment="1" applyProtection="1">
      <alignment vertical="center"/>
    </xf>
    <xf numFmtId="14" fontId="43" fillId="26" borderId="0" xfId="0" applyNumberFormat="1" applyFont="1" applyFill="1" applyBorder="1" applyAlignment="1" applyProtection="1">
      <alignment horizontal="left" vertical="center"/>
    </xf>
    <xf numFmtId="0" fontId="45" fillId="27" borderId="0" xfId="0" applyNumberFormat="1" applyFont="1" applyFill="1" applyBorder="1" applyAlignment="1" applyProtection="1">
      <alignment horizontal="center" vertical="center"/>
    </xf>
    <xf numFmtId="49" fontId="44" fillId="27" borderId="0" xfId="0" applyNumberFormat="1" applyFont="1" applyFill="1" applyBorder="1" applyAlignment="1" applyProtection="1">
      <alignment horizontal="right" vertical="center"/>
    </xf>
    <xf numFmtId="0" fontId="45" fillId="27" borderId="0" xfId="31" applyFont="1" applyFill="1" applyBorder="1" applyAlignment="1" applyProtection="1">
      <alignment vertical="center"/>
    </xf>
    <xf numFmtId="0" fontId="45" fillId="27" borderId="0" xfId="0" applyFont="1" applyFill="1" applyAlignment="1" applyProtection="1">
      <alignment horizontal="left" vertical="center"/>
    </xf>
    <xf numFmtId="0" fontId="45" fillId="27" borderId="0" xfId="0" applyFont="1" applyFill="1" applyAlignment="1" applyProtection="1">
      <alignment vertical="center"/>
    </xf>
    <xf numFmtId="0" fontId="60" fillId="27" borderId="0" xfId="32" applyFont="1" applyFill="1" applyAlignment="1" applyProtection="1">
      <alignment horizontal="center" vertical="center"/>
    </xf>
    <xf numFmtId="0" fontId="60" fillId="27" borderId="0" xfId="32" applyFont="1" applyFill="1" applyAlignment="1" applyProtection="1">
      <alignment vertical="center"/>
    </xf>
    <xf numFmtId="0" fontId="60" fillId="27" borderId="0" xfId="32" applyFont="1" applyFill="1" applyAlignment="1" applyProtection="1">
      <alignment vertical="center" wrapText="1"/>
    </xf>
    <xf numFmtId="0" fontId="90" fillId="27" borderId="0" xfId="32" applyFont="1" applyFill="1" applyAlignment="1" applyProtection="1">
      <alignment horizontal="center" vertical="center"/>
    </xf>
    <xf numFmtId="0" fontId="48" fillId="27" borderId="0" xfId="32" applyFont="1" applyFill="1" applyAlignment="1" applyProtection="1">
      <alignment horizontal="center" vertical="center"/>
    </xf>
    <xf numFmtId="0" fontId="90" fillId="27" borderId="0" xfId="32" applyFont="1" applyFill="1" applyAlignment="1" applyProtection="1">
      <alignment vertical="center"/>
    </xf>
    <xf numFmtId="0" fontId="60" fillId="27" borderId="0" xfId="32" applyFont="1" applyFill="1" applyAlignment="1" applyProtection="1">
      <alignment horizontal="center" vertical="center" wrapText="1"/>
    </xf>
    <xf numFmtId="0" fontId="85" fillId="27" borderId="0" xfId="32" applyFont="1" applyFill="1" applyBorder="1" applyAlignment="1" applyProtection="1">
      <alignment horizontal="right" vertical="center"/>
    </xf>
    <xf numFmtId="0" fontId="90" fillId="27" borderId="0" xfId="32" applyFont="1" applyFill="1" applyAlignment="1" applyProtection="1">
      <alignment horizontal="left" vertical="center" wrapText="1"/>
    </xf>
    <xf numFmtId="0" fontId="81" fillId="27" borderId="0" xfId="32" applyFont="1" applyFill="1" applyAlignment="1" applyProtection="1">
      <alignment vertical="center" wrapText="1"/>
    </xf>
    <xf numFmtId="0" fontId="60" fillId="27" borderId="0" xfId="32" applyFont="1" applyFill="1" applyAlignment="1" applyProtection="1">
      <alignment horizontal="left" vertical="center"/>
    </xf>
    <xf numFmtId="0" fontId="72" fillId="27" borderId="0" xfId="32" applyFont="1" applyFill="1" applyBorder="1" applyAlignment="1" applyProtection="1">
      <alignment vertical="center"/>
    </xf>
    <xf numFmtId="0" fontId="140" fillId="27" borderId="0" xfId="32" applyFont="1" applyFill="1" applyAlignment="1" applyProtection="1">
      <alignment horizontal="center" vertical="center"/>
    </xf>
    <xf numFmtId="0" fontId="140" fillId="27" borderId="0" xfId="32" applyFont="1" applyFill="1" applyAlignment="1" applyProtection="1">
      <alignment vertical="center"/>
    </xf>
    <xf numFmtId="0" fontId="140" fillId="27" borderId="0" xfId="32" applyFont="1" applyFill="1" applyAlignment="1" applyProtection="1">
      <alignment horizontal="left" vertical="center"/>
    </xf>
    <xf numFmtId="0" fontId="68" fillId="27" borderId="20" xfId="32" applyFont="1" applyFill="1" applyBorder="1" applyAlignment="1" applyProtection="1">
      <alignment vertical="center"/>
    </xf>
    <xf numFmtId="0" fontId="90" fillId="27" borderId="20" xfId="32" applyFont="1" applyFill="1" applyBorder="1" applyAlignment="1" applyProtection="1">
      <alignment vertical="center"/>
    </xf>
    <xf numFmtId="0" fontId="68" fillId="27" borderId="20" xfId="32" applyFont="1" applyFill="1" applyBorder="1" applyAlignment="1" applyProtection="1">
      <alignment horizontal="center" vertical="center"/>
    </xf>
    <xf numFmtId="3" fontId="141" fillId="37" borderId="38" xfId="32" applyNumberFormat="1" applyFont="1" applyFill="1" applyBorder="1" applyAlignment="1" applyProtection="1">
      <alignment horizontal="center" vertical="center"/>
    </xf>
    <xf numFmtId="3" fontId="141" fillId="37" borderId="10" xfId="32" applyNumberFormat="1" applyFont="1" applyFill="1" applyBorder="1" applyAlignment="1" applyProtection="1">
      <alignment horizontal="center" vertical="center"/>
    </xf>
    <xf numFmtId="3" fontId="50" fillId="37" borderId="65" xfId="32" applyNumberFormat="1" applyFont="1" applyFill="1" applyBorder="1" applyAlignment="1" applyProtection="1">
      <alignment horizontal="center" vertical="center"/>
    </xf>
    <xf numFmtId="3" fontId="50" fillId="37" borderId="9" xfId="32" applyNumberFormat="1" applyFont="1" applyFill="1" applyBorder="1" applyAlignment="1" applyProtection="1">
      <alignment horizontal="center" vertical="center"/>
    </xf>
    <xf numFmtId="3" fontId="50" fillId="37" borderId="10" xfId="32" applyNumberFormat="1" applyFont="1" applyFill="1" applyBorder="1" applyAlignment="1" applyProtection="1">
      <alignment horizontal="center" vertical="center"/>
    </xf>
    <xf numFmtId="1" fontId="141" fillId="37" borderId="65" xfId="32" applyNumberFormat="1" applyFont="1" applyFill="1" applyBorder="1" applyAlignment="1" applyProtection="1">
      <alignment horizontal="center" vertical="center" wrapText="1"/>
    </xf>
    <xf numFmtId="1" fontId="141" fillId="37" borderId="10" xfId="32" applyNumberFormat="1" applyFont="1" applyFill="1" applyBorder="1" applyAlignment="1" applyProtection="1">
      <alignment horizontal="center" vertical="center" wrapText="1"/>
    </xf>
    <xf numFmtId="1" fontId="50" fillId="37" borderId="65" xfId="32" applyNumberFormat="1" applyFont="1" applyFill="1" applyBorder="1" applyAlignment="1" applyProtection="1">
      <alignment horizontal="center" vertical="center" wrapText="1"/>
    </xf>
    <xf numFmtId="1" fontId="50" fillId="37" borderId="9" xfId="32" applyNumberFormat="1" applyFont="1" applyFill="1" applyBorder="1" applyAlignment="1" applyProtection="1">
      <alignment horizontal="center" vertical="center" wrapText="1"/>
    </xf>
    <xf numFmtId="1" fontId="50" fillId="37" borderId="60" xfId="32" applyNumberFormat="1" applyFont="1" applyFill="1" applyBorder="1" applyAlignment="1" applyProtection="1">
      <alignment horizontal="center" vertical="center" wrapText="1"/>
    </xf>
    <xf numFmtId="1" fontId="141" fillId="37" borderId="38" xfId="32" applyNumberFormat="1" applyFont="1" applyFill="1" applyBorder="1" applyAlignment="1" applyProtection="1">
      <alignment horizontal="center" vertical="center" wrapText="1"/>
    </xf>
    <xf numFmtId="0" fontId="50" fillId="37" borderId="2" xfId="0" applyFont="1" applyFill="1" applyBorder="1" applyAlignment="1" applyProtection="1">
      <alignment horizontal="center" vertical="center" wrapText="1"/>
    </xf>
    <xf numFmtId="1" fontId="50" fillId="37" borderId="20" xfId="32" applyNumberFormat="1" applyFont="1" applyFill="1" applyBorder="1" applyAlignment="1" applyProtection="1">
      <alignment horizontal="center" vertical="center"/>
    </xf>
    <xf numFmtId="1" fontId="50" fillId="37" borderId="9" xfId="32" applyNumberFormat="1" applyFont="1" applyFill="1" applyBorder="1" applyAlignment="1" applyProtection="1">
      <alignment horizontal="center" vertical="center"/>
    </xf>
    <xf numFmtId="1" fontId="50" fillId="37" borderId="71" xfId="32" applyNumberFormat="1" applyFont="1" applyFill="1" applyBorder="1" applyAlignment="1" applyProtection="1">
      <alignment horizontal="center" vertical="center"/>
    </xf>
    <xf numFmtId="1" fontId="50" fillId="37" borderId="48" xfId="32" applyNumberFormat="1" applyFont="1" applyFill="1" applyBorder="1" applyAlignment="1" applyProtection="1">
      <alignment vertical="center"/>
    </xf>
    <xf numFmtId="0" fontId="50" fillId="31" borderId="2" xfId="32" applyFont="1" applyFill="1" applyBorder="1" applyAlignment="1" applyProtection="1">
      <alignment horizontal="center" vertical="center"/>
    </xf>
    <xf numFmtId="0" fontId="50" fillId="31" borderId="2" xfId="32" applyFont="1" applyFill="1" applyBorder="1" applyAlignment="1" applyProtection="1">
      <alignment horizontal="left" vertical="center"/>
    </xf>
    <xf numFmtId="0" fontId="50" fillId="31" borderId="2" xfId="32" applyFont="1" applyFill="1" applyBorder="1" applyAlignment="1" applyProtection="1">
      <alignment vertical="center" wrapText="1"/>
    </xf>
    <xf numFmtId="3" fontId="141" fillId="31" borderId="38" xfId="55" applyNumberFormat="1" applyFont="1" applyFill="1" applyBorder="1" applyAlignment="1" applyProtection="1">
      <alignment horizontal="center" vertical="center"/>
    </xf>
    <xf numFmtId="3" fontId="141" fillId="31" borderId="10" xfId="55" applyNumberFormat="1" applyFont="1" applyFill="1" applyBorder="1" applyAlignment="1" applyProtection="1">
      <alignment horizontal="center" vertical="center"/>
    </xf>
    <xf numFmtId="3" fontId="50" fillId="31" borderId="65" xfId="55" applyNumberFormat="1" applyFont="1" applyFill="1" applyBorder="1" applyAlignment="1" applyProtection="1">
      <alignment horizontal="center" vertical="center"/>
    </xf>
    <xf numFmtId="3" fontId="50" fillId="31" borderId="9" xfId="55" applyNumberFormat="1" applyFont="1" applyFill="1" applyBorder="1" applyAlignment="1" applyProtection="1">
      <alignment horizontal="center" vertical="center"/>
    </xf>
    <xf numFmtId="3" fontId="50" fillId="31" borderId="60" xfId="55" applyNumberFormat="1" applyFont="1" applyFill="1" applyBorder="1" applyAlignment="1" applyProtection="1">
      <alignment horizontal="center" vertical="center"/>
    </xf>
    <xf numFmtId="3" fontId="50" fillId="31" borderId="2" xfId="32" applyNumberFormat="1" applyFont="1" applyFill="1" applyBorder="1" applyAlignment="1" applyProtection="1">
      <alignment horizontal="center" vertical="center"/>
    </xf>
    <xf numFmtId="3" fontId="141" fillId="31" borderId="38" xfId="32" applyNumberFormat="1" applyFont="1" applyFill="1" applyBorder="1" applyAlignment="1" applyProtection="1">
      <alignment horizontal="center" vertical="center"/>
    </xf>
    <xf numFmtId="3" fontId="141" fillId="31" borderId="10" xfId="32" applyNumberFormat="1" applyFont="1" applyFill="1" applyBorder="1" applyAlignment="1" applyProtection="1">
      <alignment horizontal="center" vertical="center"/>
    </xf>
    <xf numFmtId="3" fontId="50" fillId="31" borderId="65" xfId="32" applyNumberFormat="1" applyFont="1" applyFill="1" applyBorder="1" applyAlignment="1" applyProtection="1">
      <alignment horizontal="center" vertical="center"/>
    </xf>
    <xf numFmtId="3" fontId="50" fillId="31" borderId="9" xfId="32" applyNumberFormat="1" applyFont="1" applyFill="1" applyBorder="1" applyAlignment="1" applyProtection="1">
      <alignment horizontal="center" vertical="center"/>
    </xf>
    <xf numFmtId="3" fontId="50" fillId="31" borderId="10" xfId="32" applyNumberFormat="1" applyFont="1" applyFill="1" applyBorder="1" applyAlignment="1" applyProtection="1">
      <alignment horizontal="center" vertical="center"/>
    </xf>
    <xf numFmtId="3" fontId="50" fillId="31" borderId="60" xfId="32" applyNumberFormat="1" applyFont="1" applyFill="1" applyBorder="1" applyAlignment="1" applyProtection="1">
      <alignment horizontal="center" vertical="center"/>
    </xf>
    <xf numFmtId="3" fontId="48" fillId="29" borderId="38" xfId="49" applyNumberFormat="1" applyFont="1" applyFill="1" applyBorder="1" applyAlignment="1" applyProtection="1">
      <alignment horizontal="center" vertical="center"/>
    </xf>
    <xf numFmtId="3" fontId="48" fillId="29" borderId="60" xfId="49" applyNumberFormat="1" applyFont="1" applyFill="1" applyBorder="1" applyAlignment="1" applyProtection="1">
      <alignment horizontal="right" vertical="center"/>
    </xf>
    <xf numFmtId="3" fontId="48" fillId="29" borderId="2" xfId="49" applyNumberFormat="1" applyFont="1" applyFill="1" applyBorder="1" applyAlignment="1" applyProtection="1">
      <alignment horizontal="center" vertical="center"/>
    </xf>
    <xf numFmtId="3" fontId="48" fillId="29" borderId="9" xfId="49" applyNumberFormat="1" applyFont="1" applyFill="1" applyBorder="1" applyAlignment="1" applyProtection="1">
      <alignment horizontal="center" vertical="center"/>
    </xf>
    <xf numFmtId="3" fontId="48" fillId="29" borderId="10" xfId="49" applyNumberFormat="1" applyFont="1" applyFill="1" applyBorder="1" applyAlignment="1" applyProtection="1">
      <alignment horizontal="right" vertical="center"/>
    </xf>
    <xf numFmtId="3" fontId="48" fillId="29" borderId="3" xfId="49" applyNumberFormat="1" applyFont="1" applyFill="1" applyBorder="1" applyAlignment="1" applyProtection="1">
      <alignment horizontal="left" vertical="center"/>
    </xf>
    <xf numFmtId="0" fontId="50" fillId="27" borderId="5" xfId="32" applyFont="1" applyFill="1" applyBorder="1" applyAlignment="1" applyProtection="1">
      <alignment horizontal="center" vertical="center"/>
    </xf>
    <xf numFmtId="0" fontId="48" fillId="0" borderId="5" xfId="0" applyFont="1" applyFill="1" applyBorder="1" applyAlignment="1" applyProtection="1">
      <alignment horizontal="center" vertical="center"/>
    </xf>
    <xf numFmtId="9" fontId="48" fillId="27" borderId="5" xfId="70" applyFont="1" applyFill="1" applyBorder="1" applyAlignment="1" applyProtection="1">
      <alignment horizontal="center" vertical="center"/>
    </xf>
    <xf numFmtId="3" fontId="48" fillId="27" borderId="25" xfId="32" applyNumberFormat="1" applyFont="1" applyFill="1" applyBorder="1" applyAlignment="1" applyProtection="1">
      <alignment horizontal="left" vertical="center" wrapText="1"/>
    </xf>
    <xf numFmtId="3" fontId="60" fillId="0" borderId="40" xfId="55" applyNumberFormat="1" applyFont="1" applyFill="1" applyBorder="1" applyAlignment="1" applyProtection="1">
      <alignment horizontal="center" vertical="center"/>
    </xf>
    <xf numFmtId="3" fontId="60" fillId="0" borderId="46" xfId="55" applyNumberFormat="1" applyFont="1" applyFill="1" applyBorder="1" applyAlignment="1" applyProtection="1">
      <alignment horizontal="center" vertical="center"/>
    </xf>
    <xf numFmtId="3" fontId="60" fillId="0" borderId="13" xfId="55" applyNumberFormat="1" applyFont="1" applyFill="1" applyBorder="1" applyAlignment="1" applyProtection="1">
      <alignment horizontal="center" vertical="center"/>
    </xf>
    <xf numFmtId="3" fontId="60" fillId="0" borderId="4" xfId="55" applyNumberFormat="1" applyFont="1" applyFill="1" applyBorder="1" applyAlignment="1" applyProtection="1">
      <alignment horizontal="center" vertical="center"/>
    </xf>
    <xf numFmtId="3" fontId="60" fillId="0" borderId="67" xfId="55" applyNumberFormat="1" applyFont="1" applyFill="1" applyBorder="1" applyAlignment="1" applyProtection="1">
      <alignment horizontal="center" vertical="center"/>
    </xf>
    <xf numFmtId="3" fontId="50" fillId="27" borderId="5" xfId="32" applyNumberFormat="1" applyFont="1" applyFill="1" applyBorder="1" applyAlignment="1" applyProtection="1">
      <alignment horizontal="center" vertical="center"/>
    </xf>
    <xf numFmtId="3" fontId="48" fillId="0" borderId="5" xfId="32" applyNumberFormat="1" applyFont="1" applyFill="1" applyBorder="1" applyAlignment="1" applyProtection="1">
      <alignment horizontal="center" vertical="center" wrapText="1"/>
    </xf>
    <xf numFmtId="3" fontId="139" fillId="27" borderId="5" xfId="32" applyNumberFormat="1" applyFont="1" applyFill="1" applyBorder="1" applyAlignment="1" applyProtection="1">
      <alignment horizontal="left" vertical="center" wrapText="1"/>
    </xf>
    <xf numFmtId="0" fontId="50" fillId="27" borderId="17" xfId="32" applyFont="1" applyFill="1" applyBorder="1" applyAlignment="1" applyProtection="1">
      <alignment horizontal="center" vertical="center"/>
    </xf>
    <xf numFmtId="0" fontId="48" fillId="0" borderId="17" xfId="0" applyFont="1" applyFill="1" applyBorder="1" applyAlignment="1" applyProtection="1">
      <alignment horizontal="center" vertical="center"/>
    </xf>
    <xf numFmtId="9" fontId="48" fillId="27" borderId="17" xfId="70" applyFont="1" applyFill="1" applyBorder="1" applyAlignment="1" applyProtection="1">
      <alignment horizontal="center" vertical="center"/>
    </xf>
    <xf numFmtId="3" fontId="48" fillId="27" borderId="24" xfId="32" applyNumberFormat="1" applyFont="1" applyFill="1" applyBorder="1" applyAlignment="1" applyProtection="1">
      <alignment horizontal="left" vertical="center" wrapText="1"/>
    </xf>
    <xf numFmtId="3" fontId="60" fillId="0" borderId="24" xfId="55" applyNumberFormat="1" applyFont="1" applyFill="1" applyBorder="1" applyAlignment="1" applyProtection="1">
      <alignment horizontal="center" vertical="center"/>
    </xf>
    <xf numFmtId="3" fontId="60" fillId="0" borderId="53" xfId="55" applyNumberFormat="1" applyFont="1" applyFill="1" applyBorder="1" applyAlignment="1" applyProtection="1">
      <alignment horizontal="center" vertical="center"/>
    </xf>
    <xf numFmtId="3" fontId="60" fillId="0" borderId="52" xfId="55" applyNumberFormat="1" applyFont="1" applyFill="1" applyBorder="1" applyAlignment="1" applyProtection="1">
      <alignment horizontal="center" vertical="center"/>
    </xf>
    <xf numFmtId="3" fontId="60" fillId="0" borderId="7" xfId="55" applyNumberFormat="1" applyFont="1" applyFill="1" applyBorder="1" applyAlignment="1" applyProtection="1">
      <alignment horizontal="center" vertical="center"/>
    </xf>
    <xf numFmtId="3" fontId="60" fillId="0" borderId="62" xfId="55" applyNumberFormat="1" applyFont="1" applyFill="1" applyBorder="1" applyAlignment="1" applyProtection="1">
      <alignment horizontal="center" vertical="center"/>
    </xf>
    <xf numFmtId="3" fontId="50" fillId="27" borderId="17" xfId="32" applyNumberFormat="1" applyFont="1" applyFill="1" applyBorder="1" applyAlignment="1" applyProtection="1">
      <alignment horizontal="center" vertical="center"/>
    </xf>
    <xf numFmtId="3" fontId="48" fillId="0" borderId="17" xfId="32" applyNumberFormat="1" applyFont="1" applyFill="1" applyBorder="1" applyAlignment="1" applyProtection="1">
      <alignment horizontal="center" vertical="center" wrapText="1"/>
    </xf>
    <xf numFmtId="3" fontId="139" fillId="27" borderId="17" xfId="32" applyNumberFormat="1" applyFont="1" applyFill="1" applyBorder="1" applyAlignment="1" applyProtection="1">
      <alignment horizontal="left" vertical="center" wrapText="1"/>
    </xf>
    <xf numFmtId="9" fontId="48" fillId="26" borderId="17" xfId="70" applyFont="1" applyFill="1" applyBorder="1" applyAlignment="1" applyProtection="1">
      <alignment horizontal="center" vertical="center"/>
    </xf>
    <xf numFmtId="3" fontId="48" fillId="0" borderId="24" xfId="32" applyNumberFormat="1" applyFont="1" applyFill="1" applyBorder="1" applyAlignment="1" applyProtection="1">
      <alignment horizontal="left" vertical="center" wrapText="1"/>
    </xf>
    <xf numFmtId="9" fontId="48" fillId="0" borderId="17" xfId="70" applyFont="1" applyFill="1" applyBorder="1" applyAlignment="1" applyProtection="1">
      <alignment horizontal="center" vertical="center"/>
    </xf>
    <xf numFmtId="3" fontId="139" fillId="26" borderId="17" xfId="32" applyNumberFormat="1" applyFont="1" applyFill="1" applyBorder="1" applyAlignment="1" applyProtection="1">
      <alignment horizontal="left" vertical="center" wrapText="1"/>
    </xf>
    <xf numFmtId="3" fontId="139" fillId="0" borderId="17" xfId="32" applyNumberFormat="1" applyFont="1" applyFill="1" applyBorder="1" applyAlignment="1" applyProtection="1">
      <alignment horizontal="left" vertical="center" wrapText="1"/>
    </xf>
    <xf numFmtId="3" fontId="48" fillId="26" borderId="17" xfId="32" applyNumberFormat="1" applyFont="1" applyFill="1" applyBorder="1" applyAlignment="1" applyProtection="1">
      <alignment horizontal="center" vertical="center" wrapText="1"/>
    </xf>
    <xf numFmtId="0" fontId="50" fillId="22" borderId="17" xfId="32" applyFont="1" applyFill="1" applyBorder="1" applyAlignment="1" applyProtection="1">
      <alignment horizontal="center" vertical="center"/>
    </xf>
    <xf numFmtId="0" fontId="50" fillId="22" borderId="39" xfId="32" applyFont="1" applyFill="1" applyBorder="1" applyAlignment="1" applyProtection="1">
      <alignment horizontal="center" vertical="center"/>
    </xf>
    <xf numFmtId="0" fontId="48" fillId="0" borderId="39" xfId="0" applyFont="1" applyFill="1" applyBorder="1" applyAlignment="1" applyProtection="1">
      <alignment horizontal="center" vertical="center"/>
    </xf>
    <xf numFmtId="9" fontId="48" fillId="27" borderId="39" xfId="70" applyFont="1" applyFill="1" applyBorder="1" applyAlignment="1" applyProtection="1">
      <alignment horizontal="center" vertical="center"/>
    </xf>
    <xf numFmtId="3" fontId="48" fillId="27" borderId="36" xfId="32" applyNumberFormat="1" applyFont="1" applyFill="1" applyBorder="1" applyAlignment="1" applyProtection="1">
      <alignment horizontal="left" vertical="center" wrapText="1"/>
    </xf>
    <xf numFmtId="3" fontId="50" fillId="27" borderId="21" xfId="32" applyNumberFormat="1" applyFont="1" applyFill="1" applyBorder="1" applyAlignment="1" applyProtection="1">
      <alignment horizontal="center" vertical="center"/>
    </xf>
    <xf numFmtId="3" fontId="48" fillId="0" borderId="39" xfId="32" applyNumberFormat="1" applyFont="1" applyFill="1" applyBorder="1" applyAlignment="1" applyProtection="1">
      <alignment horizontal="center" vertical="center" wrapText="1"/>
    </xf>
    <xf numFmtId="3" fontId="139" fillId="0" borderId="39" xfId="32" applyNumberFormat="1" applyFont="1" applyFill="1" applyBorder="1" applyAlignment="1" applyProtection="1">
      <alignment horizontal="left" vertical="center" wrapText="1"/>
    </xf>
    <xf numFmtId="3" fontId="50" fillId="31" borderId="10" xfId="55" applyNumberFormat="1" applyFont="1" applyFill="1" applyBorder="1" applyAlignment="1" applyProtection="1">
      <alignment horizontal="center" vertical="center"/>
    </xf>
    <xf numFmtId="3" fontId="50" fillId="31" borderId="1" xfId="32" applyNumberFormat="1" applyFont="1" applyFill="1" applyBorder="1" applyAlignment="1" applyProtection="1">
      <alignment horizontal="center" vertical="center"/>
    </xf>
    <xf numFmtId="3" fontId="50" fillId="31" borderId="2" xfId="32" applyNumberFormat="1" applyFont="1" applyFill="1" applyBorder="1" applyAlignment="1" applyProtection="1">
      <alignment horizontal="center" vertical="center" wrapText="1"/>
    </xf>
    <xf numFmtId="3" fontId="50" fillId="31" borderId="10" xfId="32" applyNumberFormat="1" applyFont="1" applyFill="1" applyBorder="1" applyAlignment="1" applyProtection="1">
      <alignment horizontal="right" vertical="center" wrapText="1"/>
    </xf>
    <xf numFmtId="3" fontId="50" fillId="31" borderId="65" xfId="32" applyNumberFormat="1" applyFont="1" applyFill="1" applyBorder="1" applyAlignment="1" applyProtection="1">
      <alignment horizontal="center" vertical="center" wrapText="1"/>
    </xf>
    <xf numFmtId="3" fontId="50" fillId="31" borderId="9" xfId="32" applyNumberFormat="1" applyFont="1" applyFill="1" applyBorder="1" applyAlignment="1" applyProtection="1">
      <alignment horizontal="center" vertical="center" wrapText="1"/>
    </xf>
    <xf numFmtId="3" fontId="50" fillId="31" borderId="10" xfId="32" applyNumberFormat="1" applyFont="1" applyFill="1" applyBorder="1" applyAlignment="1" applyProtection="1">
      <alignment horizontal="center" vertical="center" wrapText="1"/>
    </xf>
    <xf numFmtId="0" fontId="141" fillId="31" borderId="2" xfId="32" applyFont="1" applyFill="1" applyBorder="1" applyAlignment="1" applyProtection="1">
      <alignment horizontal="left" vertical="center" wrapText="1"/>
    </xf>
    <xf numFmtId="0" fontId="48" fillId="27" borderId="5" xfId="32" applyFont="1" applyFill="1" applyBorder="1" applyAlignment="1" applyProtection="1">
      <alignment horizontal="center" vertical="center"/>
    </xf>
    <xf numFmtId="0" fontId="48" fillId="0" borderId="5" xfId="32" applyFont="1" applyFill="1" applyBorder="1" applyAlignment="1" applyProtection="1">
      <alignment horizontal="center" vertical="center"/>
    </xf>
    <xf numFmtId="3" fontId="48" fillId="27" borderId="5" xfId="32" applyNumberFormat="1" applyFont="1" applyFill="1" applyBorder="1" applyAlignment="1" applyProtection="1">
      <alignment horizontal="left" vertical="center" wrapText="1"/>
    </xf>
    <xf numFmtId="3" fontId="50" fillId="27" borderId="25" xfId="32" applyNumberFormat="1" applyFont="1" applyFill="1" applyBorder="1" applyAlignment="1" applyProtection="1">
      <alignment horizontal="center" vertical="center"/>
    </xf>
    <xf numFmtId="3" fontId="139" fillId="26" borderId="5" xfId="32" applyNumberFormat="1" applyFont="1" applyFill="1" applyBorder="1" applyAlignment="1" applyProtection="1">
      <alignment horizontal="left" vertical="center" wrapText="1"/>
    </xf>
    <xf numFmtId="0" fontId="48" fillId="27" borderId="17" xfId="32" applyFont="1" applyFill="1" applyBorder="1" applyAlignment="1" applyProtection="1">
      <alignment horizontal="center" vertical="center"/>
    </xf>
    <xf numFmtId="0" fontId="48" fillId="0" borderId="17" xfId="32" applyFont="1" applyFill="1" applyBorder="1" applyAlignment="1" applyProtection="1">
      <alignment horizontal="center" vertical="center"/>
    </xf>
    <xf numFmtId="3" fontId="48" fillId="27" borderId="17" xfId="32" applyNumberFormat="1" applyFont="1" applyFill="1" applyBorder="1" applyAlignment="1" applyProtection="1">
      <alignment horizontal="left" vertical="center" wrapText="1"/>
    </xf>
    <xf numFmtId="3" fontId="50" fillId="27" borderId="24" xfId="32" applyNumberFormat="1" applyFont="1" applyFill="1" applyBorder="1" applyAlignment="1" applyProtection="1">
      <alignment horizontal="center" vertical="center"/>
    </xf>
    <xf numFmtId="3" fontId="48" fillId="0" borderId="17" xfId="32" applyNumberFormat="1" applyFont="1" applyFill="1" applyBorder="1" applyAlignment="1" applyProtection="1">
      <alignment horizontal="left" vertical="center" wrapText="1"/>
    </xf>
    <xf numFmtId="3" fontId="139" fillId="26" borderId="32" xfId="32" applyNumberFormat="1" applyFont="1" applyFill="1" applyBorder="1" applyAlignment="1" applyProtection="1">
      <alignment horizontal="center" vertical="center"/>
    </xf>
    <xf numFmtId="3" fontId="139" fillId="26" borderId="62" xfId="32" applyNumberFormat="1" applyFont="1" applyFill="1" applyBorder="1" applyAlignment="1" applyProtection="1">
      <alignment horizontal="center" vertical="center"/>
    </xf>
    <xf numFmtId="3" fontId="139" fillId="26" borderId="52" xfId="32" applyNumberFormat="1" applyFont="1" applyFill="1" applyBorder="1" applyAlignment="1" applyProtection="1">
      <alignment horizontal="center" vertical="center"/>
    </xf>
    <xf numFmtId="3" fontId="139" fillId="26" borderId="7" xfId="32" applyNumberFormat="1" applyFont="1" applyFill="1" applyBorder="1" applyAlignment="1" applyProtection="1">
      <alignment horizontal="center" vertical="center"/>
    </xf>
    <xf numFmtId="3" fontId="139" fillId="26" borderId="53" xfId="32" applyNumberFormat="1" applyFont="1" applyFill="1" applyBorder="1" applyAlignment="1" applyProtection="1">
      <alignment horizontal="center" vertical="center"/>
    </xf>
    <xf numFmtId="0" fontId="48" fillId="22" borderId="17" xfId="32" applyFont="1" applyFill="1" applyBorder="1" applyAlignment="1" applyProtection="1">
      <alignment horizontal="center" vertical="center"/>
    </xf>
    <xf numFmtId="0" fontId="48" fillId="22" borderId="39" xfId="32" applyFont="1" applyFill="1" applyBorder="1" applyAlignment="1" applyProtection="1">
      <alignment horizontal="center" vertical="center"/>
    </xf>
    <xf numFmtId="0" fontId="48" fillId="0" borderId="39" xfId="32" applyFont="1" applyFill="1" applyBorder="1" applyAlignment="1" applyProtection="1">
      <alignment horizontal="center" vertical="center"/>
    </xf>
    <xf numFmtId="3" fontId="48" fillId="27" borderId="39" xfId="32" applyNumberFormat="1" applyFont="1" applyFill="1" applyBorder="1" applyAlignment="1" applyProtection="1">
      <alignment horizontal="left" vertical="center" wrapText="1"/>
    </xf>
    <xf numFmtId="3" fontId="50" fillId="27" borderId="36" xfId="32" applyNumberFormat="1" applyFont="1" applyFill="1" applyBorder="1" applyAlignment="1" applyProtection="1">
      <alignment horizontal="center" vertical="center"/>
    </xf>
    <xf numFmtId="3" fontId="48" fillId="0" borderId="5" xfId="32" applyNumberFormat="1" applyFont="1" applyFill="1" applyBorder="1" applyAlignment="1" applyProtection="1">
      <alignment horizontal="left" vertical="center" wrapText="1"/>
    </xf>
    <xf numFmtId="3" fontId="60" fillId="0" borderId="49" xfId="32" applyNumberFormat="1" applyFont="1" applyFill="1" applyBorder="1" applyAlignment="1" applyProtection="1">
      <alignment horizontal="center" vertical="center"/>
    </xf>
    <xf numFmtId="3" fontId="60" fillId="0" borderId="50" xfId="32" applyNumberFormat="1" applyFont="1" applyFill="1" applyBorder="1" applyAlignment="1" applyProtection="1">
      <alignment horizontal="center" vertical="center"/>
    </xf>
    <xf numFmtId="3" fontId="60" fillId="0" borderId="44" xfId="32" applyNumberFormat="1" applyFont="1" applyFill="1" applyBorder="1" applyAlignment="1" applyProtection="1">
      <alignment horizontal="center" vertical="center"/>
    </xf>
    <xf numFmtId="3" fontId="60" fillId="0" borderId="31" xfId="32" applyNumberFormat="1" applyFont="1" applyFill="1" applyBorder="1" applyAlignment="1" applyProtection="1">
      <alignment horizontal="center" vertical="center"/>
    </xf>
    <xf numFmtId="3" fontId="60" fillId="0" borderId="52" xfId="32" applyNumberFormat="1" applyFont="1" applyFill="1" applyBorder="1" applyAlignment="1" applyProtection="1">
      <alignment horizontal="center" vertical="center"/>
    </xf>
    <xf numFmtId="3" fontId="60" fillId="0" borderId="53" xfId="32" applyNumberFormat="1" applyFont="1" applyFill="1" applyBorder="1" applyAlignment="1" applyProtection="1">
      <alignment horizontal="center" vertical="center"/>
    </xf>
    <xf numFmtId="3" fontId="60" fillId="0" borderId="32" xfId="32" applyNumberFormat="1" applyFont="1" applyFill="1" applyBorder="1" applyAlignment="1" applyProtection="1">
      <alignment horizontal="center" vertical="center"/>
    </xf>
    <xf numFmtId="3" fontId="60" fillId="0" borderId="7" xfId="32" applyNumberFormat="1" applyFont="1" applyFill="1" applyBorder="1" applyAlignment="1" applyProtection="1">
      <alignment horizontal="center" vertical="center"/>
    </xf>
    <xf numFmtId="3" fontId="60" fillId="0" borderId="54" xfId="32" applyNumberFormat="1" applyFont="1" applyFill="1" applyBorder="1" applyAlignment="1" applyProtection="1">
      <alignment horizontal="center" vertical="center"/>
    </xf>
    <xf numFmtId="3" fontId="60" fillId="0" borderId="55" xfId="32" applyNumberFormat="1" applyFont="1" applyFill="1" applyBorder="1" applyAlignment="1" applyProtection="1">
      <alignment horizontal="center" vertical="center"/>
    </xf>
    <xf numFmtId="3" fontId="60" fillId="0" borderId="69" xfId="32" applyNumberFormat="1" applyFont="1" applyFill="1" applyBorder="1" applyAlignment="1" applyProtection="1">
      <alignment horizontal="center" vertical="center"/>
    </xf>
    <xf numFmtId="3" fontId="60" fillId="0" borderId="63" xfId="32" applyNumberFormat="1" applyFont="1" applyFill="1" applyBorder="1" applyAlignment="1" applyProtection="1">
      <alignment horizontal="center" vertical="center"/>
    </xf>
    <xf numFmtId="9" fontId="48" fillId="0" borderId="5" xfId="70" applyFont="1" applyFill="1" applyBorder="1" applyAlignment="1" applyProtection="1">
      <alignment horizontal="center" vertical="center"/>
    </xf>
    <xf numFmtId="3" fontId="139" fillId="0" borderId="5" xfId="32" applyNumberFormat="1" applyFont="1" applyFill="1" applyBorder="1" applyAlignment="1" applyProtection="1">
      <alignment horizontal="left" vertical="center" wrapText="1"/>
    </xf>
    <xf numFmtId="0" fontId="48" fillId="27" borderId="39" xfId="32" applyFont="1" applyFill="1" applyBorder="1" applyAlignment="1" applyProtection="1">
      <alignment horizontal="center" vertical="center"/>
    </xf>
    <xf numFmtId="9" fontId="48" fillId="0" borderId="39" xfId="70" applyFont="1" applyFill="1" applyBorder="1" applyAlignment="1" applyProtection="1">
      <alignment horizontal="center" vertical="center"/>
    </xf>
    <xf numFmtId="3" fontId="48" fillId="0" borderId="39" xfId="32" applyNumberFormat="1" applyFont="1" applyFill="1" applyBorder="1" applyAlignment="1" applyProtection="1">
      <alignment horizontal="left" vertical="center" wrapText="1"/>
    </xf>
    <xf numFmtId="0" fontId="48" fillId="22" borderId="5" xfId="32" applyFont="1" applyFill="1" applyBorder="1" applyAlignment="1" applyProtection="1">
      <alignment horizontal="center" vertical="center"/>
    </xf>
    <xf numFmtId="9" fontId="48" fillId="26" borderId="5" xfId="70" applyFont="1" applyFill="1" applyBorder="1" applyAlignment="1" applyProtection="1">
      <alignment horizontal="center" vertical="center"/>
    </xf>
    <xf numFmtId="0" fontId="48" fillId="26" borderId="17" xfId="32" applyFont="1" applyFill="1" applyBorder="1" applyAlignment="1" applyProtection="1">
      <alignment horizontal="center" vertical="center"/>
    </xf>
    <xf numFmtId="9" fontId="60" fillId="27" borderId="17" xfId="70" applyFont="1" applyFill="1" applyBorder="1" applyAlignment="1" applyProtection="1">
      <alignment horizontal="center" vertical="center"/>
    </xf>
    <xf numFmtId="3" fontId="48" fillId="27" borderId="17" xfId="32" applyNumberFormat="1" applyFont="1" applyFill="1" applyBorder="1" applyAlignment="1" applyProtection="1">
      <alignment horizontal="left" vertical="center"/>
    </xf>
    <xf numFmtId="3" fontId="48" fillId="0" borderId="21" xfId="32" applyNumberFormat="1" applyFont="1" applyFill="1" applyBorder="1" applyAlignment="1" applyProtection="1">
      <alignment horizontal="center" vertical="center" wrapText="1"/>
    </xf>
    <xf numFmtId="3" fontId="48" fillId="26" borderId="5" xfId="32" applyNumberFormat="1" applyFont="1" applyFill="1" applyBorder="1" applyAlignment="1" applyProtection="1">
      <alignment horizontal="center" vertical="center" wrapText="1"/>
    </xf>
    <xf numFmtId="3" fontId="139" fillId="27" borderId="21" xfId="32" applyNumberFormat="1" applyFont="1" applyFill="1" applyBorder="1" applyAlignment="1" applyProtection="1">
      <alignment horizontal="left" vertical="center" wrapText="1"/>
    </xf>
    <xf numFmtId="1" fontId="141" fillId="31" borderId="38" xfId="55" applyNumberFormat="1" applyFont="1" applyFill="1" applyBorder="1" applyAlignment="1" applyProtection="1">
      <alignment horizontal="center" vertical="center"/>
    </xf>
    <xf numFmtId="1" fontId="141" fillId="31" borderId="10" xfId="55" applyNumberFormat="1" applyFont="1" applyFill="1" applyBorder="1" applyAlignment="1" applyProtection="1">
      <alignment horizontal="center" vertical="center"/>
    </xf>
    <xf numFmtId="1" fontId="50" fillId="31" borderId="65" xfId="55" applyNumberFormat="1" applyFont="1" applyFill="1" applyBorder="1" applyAlignment="1" applyProtection="1">
      <alignment horizontal="center" vertical="center"/>
    </xf>
    <xf numFmtId="1" fontId="50" fillId="31" borderId="9" xfId="55" applyNumberFormat="1" applyFont="1" applyFill="1" applyBorder="1" applyAlignment="1" applyProtection="1">
      <alignment horizontal="center" vertical="center"/>
    </xf>
    <xf numFmtId="1" fontId="50" fillId="31" borderId="60" xfId="55" applyNumberFormat="1" applyFont="1" applyFill="1" applyBorder="1" applyAlignment="1" applyProtection="1">
      <alignment horizontal="center" vertical="center"/>
    </xf>
    <xf numFmtId="3" fontId="48" fillId="29" borderId="3" xfId="49" applyNumberFormat="1" applyFont="1" applyFill="1" applyBorder="1" applyAlignment="1" applyProtection="1">
      <alignment horizontal="center" vertical="center"/>
    </xf>
    <xf numFmtId="3" fontId="48" fillId="29" borderId="65" xfId="49" applyNumberFormat="1" applyFont="1" applyFill="1" applyBorder="1" applyAlignment="1" applyProtection="1">
      <alignment horizontal="center" vertical="center"/>
    </xf>
    <xf numFmtId="0" fontId="50" fillId="31" borderId="51" xfId="32" applyFont="1" applyFill="1" applyBorder="1" applyAlignment="1" applyProtection="1">
      <alignment horizontal="center" vertical="center"/>
    </xf>
    <xf numFmtId="0" fontId="50" fillId="31" borderId="51" xfId="32" applyFont="1" applyFill="1" applyBorder="1" applyAlignment="1" applyProtection="1">
      <alignment horizontal="left" vertical="center"/>
    </xf>
    <xf numFmtId="0" fontId="50" fillId="31" borderId="51" xfId="32" applyFont="1" applyFill="1" applyBorder="1" applyAlignment="1" applyProtection="1">
      <alignment vertical="center" wrapText="1"/>
    </xf>
    <xf numFmtId="3" fontId="141" fillId="31" borderId="75" xfId="55" applyNumberFormat="1" applyFont="1" applyFill="1" applyBorder="1" applyAlignment="1" applyProtection="1">
      <alignment horizontal="center" vertical="center"/>
    </xf>
    <xf numFmtId="3" fontId="141" fillId="31" borderId="76" xfId="55" applyNumberFormat="1" applyFont="1" applyFill="1" applyBorder="1" applyAlignment="1" applyProtection="1">
      <alignment horizontal="center" vertical="center"/>
    </xf>
    <xf numFmtId="3" fontId="50" fillId="31" borderId="72" xfId="55" applyNumberFormat="1" applyFont="1" applyFill="1" applyBorder="1" applyAlignment="1" applyProtection="1">
      <alignment horizontal="center" vertical="center"/>
    </xf>
    <xf numFmtId="3" fontId="50" fillId="31" borderId="73" xfId="55" applyNumberFormat="1" applyFont="1" applyFill="1" applyBorder="1" applyAlignment="1" applyProtection="1">
      <alignment horizontal="center" vertical="center"/>
    </xf>
    <xf numFmtId="3" fontId="50" fillId="31" borderId="76" xfId="55" applyNumberFormat="1" applyFont="1" applyFill="1" applyBorder="1" applyAlignment="1" applyProtection="1">
      <alignment horizontal="center" vertical="center"/>
    </xf>
    <xf numFmtId="3" fontId="50" fillId="31" borderId="51" xfId="32" applyNumberFormat="1" applyFont="1" applyFill="1" applyBorder="1" applyAlignment="1" applyProtection="1">
      <alignment horizontal="center" vertical="center"/>
    </xf>
    <xf numFmtId="3" fontId="141" fillId="31" borderId="75" xfId="32" applyNumberFormat="1" applyFont="1" applyFill="1" applyBorder="1" applyAlignment="1" applyProtection="1">
      <alignment horizontal="center" vertical="center"/>
    </xf>
    <xf numFmtId="3" fontId="141" fillId="31" borderId="76" xfId="32" applyNumberFormat="1" applyFont="1" applyFill="1" applyBorder="1" applyAlignment="1" applyProtection="1">
      <alignment horizontal="center" vertical="center"/>
    </xf>
    <xf numFmtId="3" fontId="50" fillId="31" borderId="72" xfId="32" applyNumberFormat="1" applyFont="1" applyFill="1" applyBorder="1" applyAlignment="1" applyProtection="1">
      <alignment horizontal="center" vertical="center"/>
    </xf>
    <xf numFmtId="3" fontId="50" fillId="31" borderId="73" xfId="32" applyNumberFormat="1" applyFont="1" applyFill="1" applyBorder="1" applyAlignment="1" applyProtection="1">
      <alignment horizontal="center" vertical="center"/>
    </xf>
    <xf numFmtId="3" fontId="50" fillId="31" borderId="74" xfId="32" applyNumberFormat="1" applyFont="1" applyFill="1" applyBorder="1" applyAlignment="1" applyProtection="1">
      <alignment horizontal="center" vertical="center"/>
    </xf>
    <xf numFmtId="3" fontId="50" fillId="31" borderId="76" xfId="32" applyNumberFormat="1" applyFont="1" applyFill="1" applyBorder="1" applyAlignment="1" applyProtection="1">
      <alignment horizontal="center" vertical="center"/>
    </xf>
    <xf numFmtId="3" fontId="48" fillId="29" borderId="73" xfId="49" applyNumberFormat="1" applyFont="1" applyFill="1" applyBorder="1" applyAlignment="1" applyProtection="1">
      <alignment horizontal="center" vertical="center"/>
    </xf>
    <xf numFmtId="3" fontId="48" fillId="29" borderId="73" xfId="49" applyNumberFormat="1" applyFont="1" applyFill="1" applyBorder="1" applyAlignment="1" applyProtection="1">
      <alignment horizontal="right" vertical="center"/>
    </xf>
    <xf numFmtId="3" fontId="48" fillId="29" borderId="76" xfId="49" applyNumberFormat="1" applyFont="1" applyFill="1" applyBorder="1" applyAlignment="1" applyProtection="1">
      <alignment horizontal="left" vertical="center"/>
    </xf>
    <xf numFmtId="0" fontId="50" fillId="26" borderId="5" xfId="32" applyFont="1" applyFill="1" applyBorder="1" applyAlignment="1" applyProtection="1">
      <alignment horizontal="center" vertical="center"/>
    </xf>
    <xf numFmtId="0" fontId="50" fillId="26" borderId="5" xfId="32" applyFont="1" applyFill="1" applyBorder="1" applyAlignment="1" applyProtection="1">
      <alignment horizontal="left" vertical="center"/>
    </xf>
    <xf numFmtId="0" fontId="50" fillId="26" borderId="5" xfId="32" applyFont="1" applyFill="1" applyBorder="1" applyAlignment="1" applyProtection="1">
      <alignment vertical="center" wrapText="1"/>
    </xf>
    <xf numFmtId="3" fontId="141" fillId="26" borderId="52" xfId="55" applyNumberFormat="1" applyFont="1" applyFill="1" applyBorder="1" applyAlignment="1" applyProtection="1">
      <alignment horizontal="center" vertical="center"/>
    </xf>
    <xf numFmtId="3" fontId="141" fillId="26" borderId="53" xfId="55" applyNumberFormat="1" applyFont="1" applyFill="1" applyBorder="1" applyAlignment="1" applyProtection="1">
      <alignment horizontal="center" vertical="center"/>
    </xf>
    <xf numFmtId="3" fontId="50" fillId="26" borderId="32" xfId="55" applyNumberFormat="1" applyFont="1" applyFill="1" applyBorder="1" applyAlignment="1" applyProtection="1">
      <alignment horizontal="center" vertical="center"/>
    </xf>
    <xf numFmtId="3" fontId="50" fillId="26" borderId="7" xfId="55" applyNumberFormat="1" applyFont="1" applyFill="1" applyBorder="1" applyAlignment="1" applyProtection="1">
      <alignment horizontal="center" vertical="center"/>
    </xf>
    <xf numFmtId="3" fontId="50" fillId="26" borderId="53" xfId="55" applyNumberFormat="1" applyFont="1" applyFill="1" applyBorder="1" applyAlignment="1" applyProtection="1">
      <alignment horizontal="center" vertical="center"/>
    </xf>
    <xf numFmtId="3" fontId="50" fillId="26" borderId="62" xfId="32" applyNumberFormat="1" applyFont="1" applyFill="1" applyBorder="1" applyAlignment="1" applyProtection="1">
      <alignment horizontal="center" vertical="center"/>
    </xf>
    <xf numFmtId="3" fontId="141" fillId="26" borderId="52" xfId="32" applyNumberFormat="1" applyFont="1" applyFill="1" applyBorder="1" applyAlignment="1" applyProtection="1">
      <alignment horizontal="center" vertical="center"/>
    </xf>
    <xf numFmtId="3" fontId="141" fillId="26" borderId="53" xfId="32" applyNumberFormat="1" applyFont="1" applyFill="1" applyBorder="1" applyAlignment="1" applyProtection="1">
      <alignment horizontal="center" vertical="center"/>
    </xf>
    <xf numFmtId="3" fontId="50" fillId="26" borderId="32" xfId="32" applyNumberFormat="1" applyFont="1" applyFill="1" applyBorder="1" applyAlignment="1" applyProtection="1">
      <alignment horizontal="center" vertical="center"/>
    </xf>
    <xf numFmtId="3" fontId="50" fillId="26" borderId="7" xfId="32" applyNumberFormat="1" applyFont="1" applyFill="1" applyBorder="1" applyAlignment="1" applyProtection="1">
      <alignment horizontal="center" vertical="center"/>
    </xf>
    <xf numFmtId="3" fontId="50" fillId="26" borderId="53" xfId="32" applyNumberFormat="1" applyFont="1" applyFill="1" applyBorder="1" applyAlignment="1" applyProtection="1">
      <alignment horizontal="center" vertical="center"/>
    </xf>
    <xf numFmtId="3" fontId="48" fillId="29" borderId="7" xfId="49" applyNumberFormat="1" applyFont="1" applyFill="1" applyBorder="1" applyAlignment="1" applyProtection="1">
      <alignment horizontal="center" vertical="center"/>
    </xf>
    <xf numFmtId="3" fontId="48" fillId="29" borderId="7" xfId="49" applyNumberFormat="1" applyFont="1" applyFill="1" applyBorder="1" applyAlignment="1" applyProtection="1">
      <alignment horizontal="right" vertical="center"/>
    </xf>
    <xf numFmtId="3" fontId="48" fillId="29" borderId="53" xfId="49" applyNumberFormat="1" applyFont="1" applyFill="1" applyBorder="1" applyAlignment="1" applyProtection="1">
      <alignment horizontal="left" vertical="center"/>
    </xf>
    <xf numFmtId="0" fontId="50" fillId="26" borderId="34" xfId="32" applyFont="1" applyFill="1" applyBorder="1" applyAlignment="1" applyProtection="1">
      <alignment horizontal="center" vertical="center"/>
    </xf>
    <xf numFmtId="0" fontId="50" fillId="26" borderId="34" xfId="32" applyFont="1" applyFill="1" applyBorder="1" applyAlignment="1" applyProtection="1">
      <alignment horizontal="left" vertical="center"/>
    </xf>
    <xf numFmtId="0" fontId="50" fillId="26" borderId="34" xfId="32" applyFont="1" applyFill="1" applyBorder="1" applyAlignment="1" applyProtection="1">
      <alignment vertical="center" wrapText="1"/>
    </xf>
    <xf numFmtId="3" fontId="141" fillId="26" borderId="56" xfId="55" applyNumberFormat="1" applyFont="1" applyFill="1" applyBorder="1" applyAlignment="1" applyProtection="1">
      <alignment horizontal="center" vertical="center"/>
    </xf>
    <xf numFmtId="3" fontId="141" fillId="26" borderId="57" xfId="55" applyNumberFormat="1" applyFont="1" applyFill="1" applyBorder="1" applyAlignment="1" applyProtection="1">
      <alignment horizontal="center" vertical="center"/>
    </xf>
    <xf numFmtId="3" fontId="50" fillId="26" borderId="70" xfId="55" applyNumberFormat="1" applyFont="1" applyFill="1" applyBorder="1" applyAlignment="1" applyProtection="1">
      <alignment horizontal="center" vertical="center"/>
    </xf>
    <xf numFmtId="3" fontId="50" fillId="26" borderId="71" xfId="55" applyNumberFormat="1" applyFont="1" applyFill="1" applyBorder="1" applyAlignment="1" applyProtection="1">
      <alignment horizontal="center" vertical="center"/>
    </xf>
    <xf numFmtId="3" fontId="50" fillId="26" borderId="48" xfId="55" applyNumberFormat="1" applyFont="1" applyFill="1" applyBorder="1" applyAlignment="1" applyProtection="1">
      <alignment horizontal="center" vertical="center"/>
    </xf>
    <xf numFmtId="3" fontId="50" fillId="26" borderId="101" xfId="32" applyNumberFormat="1" applyFont="1" applyFill="1" applyBorder="1" applyAlignment="1" applyProtection="1">
      <alignment horizontal="center" vertical="center"/>
    </xf>
    <xf numFmtId="3" fontId="141" fillId="26" borderId="47" xfId="32" applyNumberFormat="1" applyFont="1" applyFill="1" applyBorder="1" applyAlignment="1" applyProtection="1">
      <alignment horizontal="center" vertical="center"/>
    </xf>
    <xf numFmtId="3" fontId="141" fillId="26" borderId="48" xfId="32" applyNumberFormat="1" applyFont="1" applyFill="1" applyBorder="1" applyAlignment="1" applyProtection="1">
      <alignment horizontal="center" vertical="center"/>
    </xf>
    <xf numFmtId="3" fontId="50" fillId="26" borderId="70" xfId="32" applyNumberFormat="1" applyFont="1" applyFill="1" applyBorder="1" applyAlignment="1" applyProtection="1">
      <alignment horizontal="center" vertical="center"/>
    </xf>
    <xf numFmtId="3" fontId="50" fillId="26" borderId="71" xfId="32" applyNumberFormat="1" applyFont="1" applyFill="1" applyBorder="1" applyAlignment="1" applyProtection="1">
      <alignment horizontal="center" vertical="center"/>
    </xf>
    <xf numFmtId="3" fontId="50" fillId="26" borderId="48" xfId="32" applyNumberFormat="1" applyFont="1" applyFill="1" applyBorder="1" applyAlignment="1" applyProtection="1">
      <alignment horizontal="center" vertical="center"/>
    </xf>
    <xf numFmtId="3" fontId="48" fillId="29" borderId="77" xfId="49" applyNumberFormat="1" applyFont="1" applyFill="1" applyBorder="1" applyAlignment="1" applyProtection="1">
      <alignment horizontal="center" vertical="center"/>
    </xf>
    <xf numFmtId="3" fontId="48" fillId="29" borderId="77" xfId="49" applyNumberFormat="1" applyFont="1" applyFill="1" applyBorder="1" applyAlignment="1" applyProtection="1">
      <alignment horizontal="right" vertical="center"/>
    </xf>
    <xf numFmtId="3" fontId="48" fillId="29" borderId="57" xfId="49" applyNumberFormat="1" applyFont="1" applyFill="1" applyBorder="1" applyAlignment="1" applyProtection="1">
      <alignment horizontal="left" vertical="center"/>
    </xf>
    <xf numFmtId="0" fontId="60" fillId="26" borderId="0" xfId="0" applyFont="1" applyFill="1" applyAlignment="1" applyProtection="1">
      <alignment horizontal="center" vertical="center"/>
    </xf>
    <xf numFmtId="0" fontId="60" fillId="26" borderId="0" xfId="0" applyFont="1" applyFill="1" applyAlignment="1" applyProtection="1">
      <alignment vertical="center"/>
    </xf>
    <xf numFmtId="3" fontId="90" fillId="27" borderId="0" xfId="32" applyNumberFormat="1" applyFont="1" applyFill="1" applyAlignment="1" applyProtection="1">
      <alignment horizontal="center" vertical="center"/>
    </xf>
    <xf numFmtId="3" fontId="60" fillId="27" borderId="0" xfId="32" applyNumberFormat="1" applyFont="1" applyFill="1" applyAlignment="1" applyProtection="1">
      <alignment horizontal="center" vertical="center"/>
    </xf>
    <xf numFmtId="0" fontId="60" fillId="27" borderId="0" xfId="32" applyFont="1" applyFill="1" applyBorder="1" applyAlignment="1" applyProtection="1">
      <alignment horizontal="center" vertical="center"/>
    </xf>
    <xf numFmtId="0" fontId="90" fillId="27" borderId="0" xfId="32" applyFont="1" applyFill="1" applyBorder="1" applyAlignment="1" applyProtection="1">
      <alignment horizontal="center" vertical="center"/>
    </xf>
    <xf numFmtId="0" fontId="48" fillId="27" borderId="0" xfId="32" applyFont="1" applyFill="1" applyBorder="1" applyAlignment="1" applyProtection="1">
      <alignment vertical="center" wrapText="1"/>
    </xf>
    <xf numFmtId="0" fontId="48" fillId="27" borderId="0" xfId="32" applyFont="1" applyFill="1" applyBorder="1" applyAlignment="1" applyProtection="1">
      <alignment horizontal="center" vertical="center" wrapText="1"/>
    </xf>
    <xf numFmtId="14" fontId="48" fillId="27" borderId="0" xfId="32" applyNumberFormat="1" applyFont="1" applyFill="1" applyBorder="1" applyAlignment="1" applyProtection="1">
      <alignment vertical="center" wrapText="1"/>
    </xf>
    <xf numFmtId="0" fontId="48" fillId="27" borderId="0" xfId="32" applyFont="1" applyFill="1" applyAlignment="1" applyProtection="1">
      <alignment vertical="center"/>
    </xf>
    <xf numFmtId="0" fontId="48" fillId="27" borderId="0" xfId="32" applyFont="1" applyFill="1" applyAlignment="1" applyProtection="1">
      <alignment vertical="center" wrapText="1"/>
    </xf>
    <xf numFmtId="3" fontId="139" fillId="27" borderId="0" xfId="32" applyNumberFormat="1" applyFont="1" applyFill="1" applyAlignment="1" applyProtection="1">
      <alignment horizontal="center" vertical="center"/>
    </xf>
    <xf numFmtId="3" fontId="48" fillId="27" borderId="0" xfId="32" applyNumberFormat="1" applyFont="1" applyFill="1" applyAlignment="1" applyProtection="1">
      <alignment horizontal="center" vertical="center"/>
    </xf>
    <xf numFmtId="0" fontId="48" fillId="27" borderId="0" xfId="32" applyFont="1" applyFill="1" applyBorder="1" applyAlignment="1" applyProtection="1">
      <alignment horizontal="center" vertical="center"/>
    </xf>
    <xf numFmtId="0" fontId="139" fillId="27" borderId="0" xfId="32" applyFont="1" applyFill="1" applyBorder="1" applyAlignment="1" applyProtection="1">
      <alignment horizontal="center" vertical="center"/>
    </xf>
    <xf numFmtId="0" fontId="50" fillId="31" borderId="1" xfId="32" applyFont="1" applyFill="1" applyBorder="1" applyAlignment="1" applyProtection="1">
      <alignment vertical="center" wrapText="1"/>
    </xf>
    <xf numFmtId="9" fontId="141" fillId="31" borderId="38" xfId="70" applyFont="1" applyFill="1" applyBorder="1" applyAlignment="1" applyProtection="1">
      <alignment horizontal="center" vertical="center"/>
    </xf>
    <xf numFmtId="9" fontId="141" fillId="31" borderId="10" xfId="70" applyFont="1" applyFill="1" applyBorder="1" applyAlignment="1" applyProtection="1">
      <alignment horizontal="center" vertical="center"/>
    </xf>
    <xf numFmtId="9" fontId="50" fillId="31" borderId="65" xfId="70" applyFont="1" applyFill="1" applyBorder="1" applyAlignment="1" applyProtection="1">
      <alignment horizontal="center" vertical="center"/>
    </xf>
    <xf numFmtId="9" fontId="50" fillId="31" borderId="9" xfId="70" applyFont="1" applyFill="1" applyBorder="1" applyAlignment="1" applyProtection="1">
      <alignment horizontal="center" vertical="center"/>
    </xf>
    <xf numFmtId="9" fontId="50" fillId="31" borderId="60" xfId="70" applyFont="1" applyFill="1" applyBorder="1" applyAlignment="1" applyProtection="1">
      <alignment horizontal="center" vertical="center"/>
    </xf>
    <xf numFmtId="3" fontId="142" fillId="0" borderId="143" xfId="32" applyNumberFormat="1" applyFont="1" applyFill="1" applyBorder="1" applyAlignment="1" applyProtection="1">
      <alignment horizontal="center" vertical="center"/>
    </xf>
    <xf numFmtId="9" fontId="50" fillId="31" borderId="10" xfId="70" applyFont="1" applyFill="1" applyBorder="1" applyAlignment="1" applyProtection="1">
      <alignment horizontal="center" vertical="center"/>
    </xf>
    <xf numFmtId="0" fontId="50" fillId="31" borderId="2" xfId="32" applyFont="1" applyFill="1" applyBorder="1" applyAlignment="1" applyProtection="1">
      <alignment horizontal="center" vertical="center" wrapText="1"/>
    </xf>
    <xf numFmtId="0" fontId="50" fillId="31" borderId="29" xfId="32" applyFont="1" applyFill="1" applyBorder="1" applyAlignment="1" applyProtection="1">
      <alignment horizontal="center" vertical="center" wrapText="1"/>
    </xf>
    <xf numFmtId="3" fontId="50" fillId="31" borderId="75" xfId="32" applyNumberFormat="1" applyFont="1" applyFill="1" applyBorder="1" applyAlignment="1" applyProtection="1">
      <alignment horizontal="center" vertical="center"/>
    </xf>
    <xf numFmtId="0" fontId="48" fillId="27" borderId="25" xfId="32" applyFont="1" applyFill="1" applyBorder="1" applyAlignment="1" applyProtection="1">
      <alignment vertical="center" wrapText="1"/>
    </xf>
    <xf numFmtId="9" fontId="60" fillId="0" borderId="49" xfId="70" applyFont="1" applyFill="1" applyBorder="1" applyAlignment="1" applyProtection="1">
      <alignment horizontal="center" vertical="center"/>
    </xf>
    <xf numFmtId="9" fontId="139" fillId="0" borderId="50" xfId="70" applyFont="1" applyFill="1" applyBorder="1" applyAlignment="1" applyProtection="1">
      <alignment horizontal="center" vertical="center"/>
    </xf>
    <xf numFmtId="9" fontId="48" fillId="0" borderId="44" xfId="70" applyFont="1" applyFill="1" applyBorder="1" applyAlignment="1" applyProtection="1">
      <alignment horizontal="center" vertical="center"/>
    </xf>
    <xf numFmtId="9" fontId="48" fillId="0" borderId="31" xfId="70" applyFont="1" applyFill="1" applyBorder="1" applyAlignment="1" applyProtection="1">
      <alignment horizontal="center" vertical="center"/>
    </xf>
    <xf numFmtId="9" fontId="48" fillId="0" borderId="61" xfId="70" applyFont="1" applyFill="1" applyBorder="1" applyAlignment="1" applyProtection="1">
      <alignment horizontal="center" vertical="center"/>
    </xf>
    <xf numFmtId="3" fontId="142" fillId="0" borderId="137" xfId="32" applyNumberFormat="1" applyFont="1" applyFill="1" applyBorder="1" applyAlignment="1" applyProtection="1">
      <alignment horizontal="center" vertical="center"/>
    </xf>
    <xf numFmtId="9" fontId="48" fillId="0" borderId="25" xfId="70" applyFont="1" applyFill="1" applyBorder="1" applyAlignment="1" applyProtection="1">
      <alignment horizontal="center" vertical="center"/>
    </xf>
    <xf numFmtId="9" fontId="48" fillId="0" borderId="50" xfId="70" applyFont="1" applyFill="1" applyBorder="1" applyAlignment="1" applyProtection="1">
      <alignment horizontal="center" vertical="center"/>
    </xf>
    <xf numFmtId="9" fontId="48" fillId="0" borderId="33" xfId="70" applyFont="1" applyFill="1" applyBorder="1" applyAlignment="1" applyProtection="1">
      <alignment horizontal="center" vertical="center"/>
    </xf>
    <xf numFmtId="9" fontId="48" fillId="0" borderId="49" xfId="70" applyFont="1" applyFill="1" applyBorder="1" applyAlignment="1" applyProtection="1">
      <alignment horizontal="center" vertical="center"/>
    </xf>
    <xf numFmtId="0" fontId="48" fillId="27" borderId="25" xfId="32" applyFont="1" applyFill="1" applyBorder="1" applyAlignment="1" applyProtection="1">
      <alignment horizontal="center" vertical="center" wrapText="1"/>
    </xf>
    <xf numFmtId="0" fontId="48" fillId="27" borderId="24" xfId="32" applyFont="1" applyFill="1" applyBorder="1" applyAlignment="1" applyProtection="1">
      <alignment vertical="center" wrapText="1"/>
    </xf>
    <xf numFmtId="3" fontId="139" fillId="27" borderId="52" xfId="32" applyNumberFormat="1" applyFont="1" applyFill="1" applyBorder="1" applyAlignment="1" applyProtection="1">
      <alignment horizontal="center" vertical="center"/>
    </xf>
    <xf numFmtId="3" fontId="139" fillId="26" borderId="95" xfId="32" applyNumberFormat="1" applyFont="1" applyFill="1" applyBorder="1" applyAlignment="1" applyProtection="1">
      <alignment horizontal="center" vertical="center"/>
    </xf>
    <xf numFmtId="3" fontId="48" fillId="26" borderId="52" xfId="32" applyNumberFormat="1" applyFont="1" applyFill="1" applyBorder="1" applyAlignment="1" applyProtection="1">
      <alignment horizontal="center" vertical="center"/>
    </xf>
    <xf numFmtId="3" fontId="48" fillId="26" borderId="32" xfId="32" applyNumberFormat="1" applyFont="1" applyFill="1" applyBorder="1" applyAlignment="1" applyProtection="1">
      <alignment horizontal="center" vertical="center"/>
    </xf>
    <xf numFmtId="3" fontId="48" fillId="26" borderId="15" xfId="32" applyNumberFormat="1" applyFont="1" applyFill="1" applyBorder="1" applyAlignment="1" applyProtection="1">
      <alignment horizontal="center" vertical="center"/>
    </xf>
    <xf numFmtId="9" fontId="139" fillId="0" borderId="52" xfId="70" applyFont="1" applyFill="1" applyBorder="1" applyAlignment="1" applyProtection="1">
      <alignment horizontal="center" vertical="center"/>
    </xf>
    <xf numFmtId="9" fontId="139" fillId="0" borderId="53" xfId="70" applyFont="1" applyFill="1" applyBorder="1" applyAlignment="1" applyProtection="1">
      <alignment horizontal="center" vertical="center"/>
    </xf>
    <xf numFmtId="9" fontId="48" fillId="0" borderId="32" xfId="70" applyFont="1" applyFill="1" applyBorder="1" applyAlignment="1" applyProtection="1">
      <alignment horizontal="center" vertical="center"/>
    </xf>
    <xf numFmtId="9" fontId="48" fillId="0" borderId="7" xfId="70" applyFont="1" applyFill="1" applyBorder="1" applyAlignment="1" applyProtection="1">
      <alignment horizontal="center" vertical="center"/>
    </xf>
    <xf numFmtId="9" fontId="48" fillId="0" borderId="62" xfId="70" applyFont="1" applyFill="1" applyBorder="1" applyAlignment="1" applyProtection="1">
      <alignment horizontal="center" vertical="center"/>
    </xf>
    <xf numFmtId="3" fontId="142" fillId="0" borderId="95" xfId="32" applyNumberFormat="1" applyFont="1" applyFill="1" applyBorder="1" applyAlignment="1" applyProtection="1">
      <alignment horizontal="center" vertical="center"/>
    </xf>
    <xf numFmtId="9" fontId="48" fillId="0" borderId="24" xfId="70" applyFont="1" applyFill="1" applyBorder="1" applyAlignment="1" applyProtection="1">
      <alignment horizontal="center" vertical="center"/>
    </xf>
    <xf numFmtId="9" fontId="48" fillId="0" borderId="53" xfId="70" applyFont="1" applyFill="1" applyBorder="1" applyAlignment="1" applyProtection="1">
      <alignment horizontal="center" vertical="center"/>
    </xf>
    <xf numFmtId="9" fontId="48" fillId="0" borderId="23" xfId="70" applyFont="1" applyFill="1" applyBorder="1" applyAlignment="1" applyProtection="1">
      <alignment horizontal="center" vertical="center"/>
    </xf>
    <xf numFmtId="9" fontId="48" fillId="0" borderId="52" xfId="70" applyFont="1" applyFill="1" applyBorder="1" applyAlignment="1" applyProtection="1">
      <alignment horizontal="center" vertical="center"/>
    </xf>
    <xf numFmtId="0" fontId="48" fillId="27" borderId="24" xfId="32" applyFont="1" applyFill="1" applyBorder="1" applyAlignment="1" applyProtection="1">
      <alignment horizontal="center" vertical="center" wrapText="1"/>
    </xf>
    <xf numFmtId="3" fontId="139" fillId="26" borderId="99" xfId="32" applyNumberFormat="1" applyFont="1" applyFill="1" applyBorder="1" applyAlignment="1" applyProtection="1">
      <alignment horizontal="center" vertical="center"/>
    </xf>
    <xf numFmtId="3" fontId="48" fillId="26" borderId="99" xfId="32" applyNumberFormat="1" applyFont="1" applyFill="1" applyBorder="1" applyAlignment="1" applyProtection="1">
      <alignment horizontal="center" vertical="center"/>
    </xf>
    <xf numFmtId="3" fontId="48" fillId="26" borderId="7" xfId="32" applyNumberFormat="1" applyFont="1" applyFill="1" applyBorder="1" applyAlignment="1" applyProtection="1">
      <alignment horizontal="center" vertical="center"/>
    </xf>
    <xf numFmtId="3" fontId="48" fillId="26" borderId="53" xfId="32" applyNumberFormat="1" applyFont="1" applyFill="1" applyBorder="1" applyAlignment="1" applyProtection="1">
      <alignment horizontal="center" vertical="center"/>
    </xf>
    <xf numFmtId="0" fontId="48" fillId="27" borderId="30" xfId="32" applyFont="1" applyFill="1" applyBorder="1" applyAlignment="1" applyProtection="1">
      <alignment vertical="center" wrapText="1"/>
    </xf>
    <xf numFmtId="9" fontId="139" fillId="0" borderId="56" xfId="70" applyFont="1" applyFill="1" applyBorder="1" applyAlignment="1" applyProtection="1">
      <alignment horizontal="center" vertical="center"/>
    </xf>
    <xf numFmtId="9" fontId="139" fillId="0" borderId="57" xfId="70" applyFont="1" applyFill="1" applyBorder="1" applyAlignment="1" applyProtection="1">
      <alignment horizontal="center" vertical="center"/>
    </xf>
    <xf numFmtId="9" fontId="48" fillId="0" borderId="79" xfId="70" applyFont="1" applyFill="1" applyBorder="1" applyAlignment="1" applyProtection="1">
      <alignment horizontal="center" vertical="center"/>
    </xf>
    <xf numFmtId="9" fontId="48" fillId="0" borderId="77" xfId="70" applyFont="1" applyFill="1" applyBorder="1" applyAlignment="1" applyProtection="1">
      <alignment horizontal="center" vertical="center"/>
    </xf>
    <xf numFmtId="9" fontId="48" fillId="0" borderId="78" xfId="70" applyFont="1" applyFill="1" applyBorder="1" applyAlignment="1" applyProtection="1">
      <alignment horizontal="center" vertical="center"/>
    </xf>
    <xf numFmtId="3" fontId="142" fillId="0" borderId="94" xfId="32" applyNumberFormat="1" applyFont="1" applyFill="1" applyBorder="1" applyAlignment="1" applyProtection="1">
      <alignment horizontal="center" vertical="center"/>
    </xf>
    <xf numFmtId="9" fontId="48" fillId="0" borderId="30" xfId="70" applyFont="1" applyFill="1" applyBorder="1" applyAlignment="1" applyProtection="1">
      <alignment horizontal="center" vertical="center"/>
    </xf>
    <xf numFmtId="9" fontId="48" fillId="0" borderId="57" xfId="70" applyFont="1" applyFill="1" applyBorder="1" applyAlignment="1" applyProtection="1">
      <alignment horizontal="center" vertical="center"/>
    </xf>
    <xf numFmtId="9" fontId="48" fillId="0" borderId="28" xfId="70" applyFont="1" applyFill="1" applyBorder="1" applyAlignment="1" applyProtection="1">
      <alignment horizontal="center" vertical="center"/>
    </xf>
    <xf numFmtId="9" fontId="48" fillId="0" borderId="56" xfId="70" applyFont="1" applyFill="1" applyBorder="1" applyAlignment="1" applyProtection="1">
      <alignment horizontal="center" vertical="center"/>
    </xf>
    <xf numFmtId="0" fontId="48" fillId="27" borderId="30" xfId="32" applyFont="1" applyFill="1" applyBorder="1" applyAlignment="1" applyProtection="1">
      <alignment horizontal="center" vertical="center" wrapText="1"/>
    </xf>
    <xf numFmtId="3" fontId="139" fillId="26" borderId="56" xfId="32" applyNumberFormat="1" applyFont="1" applyFill="1" applyBorder="1" applyAlignment="1" applyProtection="1">
      <alignment horizontal="center" vertical="center"/>
    </xf>
    <xf numFmtId="3" fontId="139" fillId="26" borderId="94" xfId="32" applyNumberFormat="1" applyFont="1" applyFill="1" applyBorder="1" applyAlignment="1" applyProtection="1">
      <alignment horizontal="center" vertical="center"/>
    </xf>
    <xf numFmtId="3" fontId="48" fillId="26" borderId="56" xfId="32" applyNumberFormat="1" applyFont="1" applyFill="1" applyBorder="1" applyAlignment="1" applyProtection="1">
      <alignment horizontal="center" vertical="center"/>
    </xf>
    <xf numFmtId="3" fontId="48" fillId="26" borderId="77" xfId="32" applyNumberFormat="1" applyFont="1" applyFill="1" applyBorder="1" applyAlignment="1" applyProtection="1">
      <alignment horizontal="center" vertical="center"/>
    </xf>
    <xf numFmtId="3" fontId="48" fillId="26" borderId="57" xfId="32" applyNumberFormat="1" applyFont="1" applyFill="1" applyBorder="1" applyAlignment="1" applyProtection="1">
      <alignment horizontal="center" vertical="center"/>
    </xf>
    <xf numFmtId="3" fontId="48" fillId="27" borderId="0" xfId="32" applyNumberFormat="1" applyFont="1" applyFill="1" applyBorder="1" applyAlignment="1" applyProtection="1">
      <alignment horizontal="center" vertical="center"/>
    </xf>
    <xf numFmtId="3" fontId="139" fillId="27" borderId="0" xfId="32" applyNumberFormat="1" applyFont="1" applyFill="1" applyBorder="1" applyAlignment="1" applyProtection="1">
      <alignment horizontal="center" vertical="center"/>
    </xf>
    <xf numFmtId="0" fontId="50" fillId="31" borderId="29" xfId="32" applyFont="1" applyFill="1" applyBorder="1" applyAlignment="1" applyProtection="1">
      <alignment vertical="center" wrapText="1"/>
    </xf>
    <xf numFmtId="3" fontId="50" fillId="31" borderId="29" xfId="32" applyNumberFormat="1" applyFont="1" applyFill="1" applyBorder="1" applyAlignment="1" applyProtection="1">
      <alignment horizontal="center" vertical="center"/>
    </xf>
    <xf numFmtId="3" fontId="139" fillId="27" borderId="49" xfId="32" applyNumberFormat="1" applyFont="1" applyFill="1" applyBorder="1" applyAlignment="1" applyProtection="1">
      <alignment horizontal="center" vertical="center"/>
    </xf>
    <xf numFmtId="3" fontId="139" fillId="27" borderId="50" xfId="32" applyNumberFormat="1" applyFont="1" applyFill="1" applyBorder="1" applyAlignment="1" applyProtection="1">
      <alignment horizontal="center" vertical="center"/>
    </xf>
    <xf numFmtId="3" fontId="48" fillId="27" borderId="44" xfId="32" applyNumberFormat="1" applyFont="1" applyFill="1" applyBorder="1" applyAlignment="1" applyProtection="1">
      <alignment horizontal="center" vertical="center"/>
    </xf>
    <xf numFmtId="3" fontId="48" fillId="27" borderId="31" xfId="32" applyNumberFormat="1" applyFont="1" applyFill="1" applyBorder="1" applyAlignment="1" applyProtection="1">
      <alignment horizontal="center" vertical="center"/>
    </xf>
    <xf numFmtId="3" fontId="48" fillId="27" borderId="61" xfId="32" applyNumberFormat="1" applyFont="1" applyFill="1" applyBorder="1" applyAlignment="1" applyProtection="1">
      <alignment horizontal="center" vertical="center"/>
    </xf>
    <xf numFmtId="3" fontId="48" fillId="27" borderId="32" xfId="32" applyNumberFormat="1" applyFont="1" applyFill="1" applyBorder="1" applyAlignment="1" applyProtection="1">
      <alignment horizontal="center" vertical="center"/>
    </xf>
    <xf numFmtId="3" fontId="48" fillId="27" borderId="7" xfId="32" applyNumberFormat="1" applyFont="1" applyFill="1" applyBorder="1" applyAlignment="1" applyProtection="1">
      <alignment horizontal="center" vertical="center"/>
    </xf>
    <xf numFmtId="3" fontId="48" fillId="27" borderId="53" xfId="32" applyNumberFormat="1" applyFont="1" applyFill="1" applyBorder="1" applyAlignment="1" applyProtection="1">
      <alignment horizontal="center" vertical="center"/>
    </xf>
    <xf numFmtId="3" fontId="139" fillId="27" borderId="31" xfId="32" applyNumberFormat="1" applyFont="1" applyFill="1" applyBorder="1" applyAlignment="1" applyProtection="1">
      <alignment horizontal="center" vertical="center"/>
    </xf>
    <xf numFmtId="3" fontId="139" fillId="27" borderId="53" xfId="32" applyNumberFormat="1" applyFont="1" applyFill="1" applyBorder="1" applyAlignment="1" applyProtection="1">
      <alignment horizontal="center" vertical="center"/>
    </xf>
    <xf numFmtId="3" fontId="139" fillId="27" borderId="32" xfId="32" applyNumberFormat="1" applyFont="1" applyFill="1" applyBorder="1" applyAlignment="1" applyProtection="1">
      <alignment horizontal="center" vertical="center"/>
    </xf>
    <xf numFmtId="3" fontId="139" fillId="27" borderId="7" xfId="32" applyNumberFormat="1" applyFont="1" applyFill="1" applyBorder="1" applyAlignment="1" applyProtection="1">
      <alignment horizontal="center" vertical="center"/>
    </xf>
    <xf numFmtId="0" fontId="68" fillId="26" borderId="0" xfId="0" applyFont="1" applyFill="1" applyAlignment="1" applyProtection="1">
      <alignment horizontal="center" vertical="center"/>
    </xf>
    <xf numFmtId="0" fontId="68" fillId="26" borderId="0" xfId="0" applyFont="1" applyFill="1" applyAlignment="1" applyProtection="1">
      <alignment vertical="center"/>
    </xf>
    <xf numFmtId="3" fontId="139" fillId="27" borderId="56" xfId="32" applyNumberFormat="1" applyFont="1" applyFill="1" applyBorder="1" applyAlignment="1" applyProtection="1">
      <alignment horizontal="center" vertical="center"/>
    </xf>
    <xf numFmtId="3" fontId="139" fillId="27" borderId="48" xfId="32" applyNumberFormat="1" applyFont="1" applyFill="1" applyBorder="1" applyAlignment="1" applyProtection="1">
      <alignment horizontal="center" vertical="center"/>
    </xf>
    <xf numFmtId="3" fontId="48" fillId="27" borderId="70" xfId="32" applyNumberFormat="1" applyFont="1" applyFill="1" applyBorder="1" applyAlignment="1" applyProtection="1">
      <alignment horizontal="center" vertical="center"/>
    </xf>
    <xf numFmtId="3" fontId="48" fillId="27" borderId="71" xfId="32" applyNumberFormat="1" applyFont="1" applyFill="1" applyBorder="1" applyAlignment="1" applyProtection="1">
      <alignment horizontal="center" vertical="center"/>
    </xf>
    <xf numFmtId="3" fontId="48" fillId="27" borderId="101" xfId="32" applyNumberFormat="1" applyFont="1" applyFill="1" applyBorder="1" applyAlignment="1" applyProtection="1">
      <alignment horizontal="center" vertical="center"/>
    </xf>
    <xf numFmtId="3" fontId="50" fillId="27" borderId="30" xfId="32" applyNumberFormat="1" applyFont="1" applyFill="1" applyBorder="1" applyAlignment="1" applyProtection="1">
      <alignment horizontal="center" vertical="center"/>
    </xf>
    <xf numFmtId="3" fontId="139" fillId="27" borderId="57" xfId="32" applyNumberFormat="1" applyFont="1" applyFill="1" applyBorder="1" applyAlignment="1" applyProtection="1">
      <alignment horizontal="center" vertical="center"/>
    </xf>
    <xf numFmtId="3" fontId="139" fillId="27" borderId="79" xfId="32" applyNumberFormat="1" applyFont="1" applyFill="1" applyBorder="1" applyAlignment="1" applyProtection="1">
      <alignment horizontal="center" vertical="center"/>
    </xf>
    <xf numFmtId="3" fontId="139" fillId="27" borderId="77" xfId="32" applyNumberFormat="1" applyFont="1" applyFill="1" applyBorder="1" applyAlignment="1" applyProtection="1">
      <alignment horizontal="center" vertical="center"/>
    </xf>
    <xf numFmtId="3" fontId="139" fillId="27" borderId="47" xfId="32" applyNumberFormat="1" applyFont="1" applyFill="1" applyBorder="1" applyAlignment="1" applyProtection="1">
      <alignment horizontal="center" vertical="center"/>
    </xf>
    <xf numFmtId="3" fontId="139" fillId="27" borderId="71" xfId="32" applyNumberFormat="1" applyFont="1" applyFill="1" applyBorder="1" applyAlignment="1" applyProtection="1">
      <alignment horizontal="center" vertical="center"/>
    </xf>
    <xf numFmtId="3" fontId="144" fillId="27" borderId="0" xfId="32" applyNumberFormat="1" applyFont="1" applyFill="1" applyBorder="1" applyAlignment="1" applyProtection="1">
      <alignment horizontal="center" vertical="center" wrapText="1"/>
    </xf>
    <xf numFmtId="3" fontId="144" fillId="27" borderId="0" xfId="32" applyNumberFormat="1" applyFont="1" applyFill="1" applyBorder="1" applyAlignment="1" applyProtection="1">
      <alignment horizontal="right" vertical="center" wrapText="1"/>
    </xf>
    <xf numFmtId="0" fontId="144" fillId="27" borderId="0" xfId="32" applyFont="1" applyFill="1" applyAlignment="1" applyProtection="1">
      <alignment horizontal="center" vertical="center"/>
    </xf>
    <xf numFmtId="0" fontId="144" fillId="27" borderId="0" xfId="32" applyFont="1" applyFill="1" applyAlignment="1" applyProtection="1">
      <alignment vertical="center"/>
    </xf>
    <xf numFmtId="0" fontId="68" fillId="27" borderId="0" xfId="32" applyFont="1" applyFill="1" applyAlignment="1" applyProtection="1">
      <alignment horizontal="left" vertical="center"/>
    </xf>
    <xf numFmtId="3" fontId="48" fillId="27" borderId="33" xfId="32" applyNumberFormat="1" applyFont="1" applyFill="1" applyBorder="1" applyAlignment="1" applyProtection="1">
      <alignment horizontal="center" vertical="center"/>
    </xf>
    <xf numFmtId="0" fontId="50" fillId="31" borderId="51" xfId="0" applyFont="1" applyFill="1" applyBorder="1" applyAlignment="1" applyProtection="1">
      <alignment vertical="center" wrapText="1"/>
    </xf>
    <xf numFmtId="3" fontId="50" fillId="31" borderId="72" xfId="0" applyNumberFormat="1" applyFont="1" applyFill="1" applyBorder="1" applyAlignment="1" applyProtection="1">
      <alignment horizontal="center" vertical="center"/>
    </xf>
    <xf numFmtId="3" fontId="50" fillId="31" borderId="76" xfId="0" applyNumberFormat="1" applyFont="1" applyFill="1" applyBorder="1" applyAlignment="1" applyProtection="1">
      <alignment horizontal="center" vertical="center"/>
    </xf>
    <xf numFmtId="3" fontId="50" fillId="31" borderId="73" xfId="0" applyNumberFormat="1" applyFont="1" applyFill="1" applyBorder="1" applyAlignment="1" applyProtection="1">
      <alignment horizontal="center" vertical="center"/>
    </xf>
    <xf numFmtId="3" fontId="50" fillId="31" borderId="75" xfId="0" applyNumberFormat="1" applyFont="1" applyFill="1" applyBorder="1" applyAlignment="1" applyProtection="1">
      <alignment horizontal="center" vertical="center"/>
    </xf>
    <xf numFmtId="0" fontId="48" fillId="27" borderId="17" xfId="32" applyFont="1" applyFill="1" applyBorder="1" applyAlignment="1" applyProtection="1">
      <alignment vertical="center" wrapText="1"/>
    </xf>
    <xf numFmtId="3" fontId="48" fillId="27" borderId="52" xfId="32" applyNumberFormat="1" applyFont="1" applyFill="1" applyBorder="1" applyAlignment="1" applyProtection="1">
      <alignment horizontal="center" vertical="center"/>
    </xf>
    <xf numFmtId="0" fontId="43" fillId="27" borderId="0" xfId="32" applyFont="1" applyFill="1" applyBorder="1" applyAlignment="1" applyProtection="1">
      <alignment vertical="center" wrapText="1"/>
    </xf>
    <xf numFmtId="0" fontId="43" fillId="27" borderId="0" xfId="32" applyFont="1" applyFill="1" applyBorder="1" applyAlignment="1" applyProtection="1">
      <alignment horizontal="center" vertical="center" wrapText="1"/>
    </xf>
    <xf numFmtId="14" fontId="43" fillId="27" borderId="0" xfId="32" applyNumberFormat="1" applyFont="1" applyFill="1" applyBorder="1" applyAlignment="1" applyProtection="1">
      <alignment horizontal="left" vertical="center"/>
    </xf>
    <xf numFmtId="0" fontId="43" fillId="27" borderId="0" xfId="32" applyFont="1" applyFill="1" applyBorder="1" applyAlignment="1" applyProtection="1">
      <alignment horizontal="right" vertical="center"/>
    </xf>
    <xf numFmtId="0" fontId="48" fillId="27" borderId="0" xfId="32" applyFont="1" applyFill="1" applyBorder="1" applyAlignment="1" applyProtection="1">
      <alignment horizontal="right" vertical="center" wrapText="1"/>
    </xf>
    <xf numFmtId="3" fontId="50" fillId="27" borderId="0" xfId="32" applyNumberFormat="1" applyFont="1" applyFill="1" applyBorder="1" applyAlignment="1" applyProtection="1">
      <alignment horizontal="center" vertical="center" wrapText="1"/>
    </xf>
    <xf numFmtId="3" fontId="43" fillId="27" borderId="0" xfId="32" applyNumberFormat="1" applyFont="1" applyFill="1" applyBorder="1" applyAlignment="1" applyProtection="1">
      <alignment horizontal="right" vertical="center" wrapText="1"/>
    </xf>
    <xf numFmtId="0" fontId="43" fillId="27" borderId="0" xfId="32" applyFont="1" applyFill="1" applyBorder="1" applyAlignment="1" applyProtection="1">
      <alignment horizontal="center" vertical="center"/>
    </xf>
    <xf numFmtId="0" fontId="45" fillId="27" borderId="0" xfId="32" applyFont="1" applyFill="1" applyBorder="1" applyAlignment="1" applyProtection="1">
      <alignment horizontal="center" vertical="center"/>
    </xf>
    <xf numFmtId="0" fontId="50" fillId="27" borderId="0" xfId="32" applyFont="1" applyFill="1" applyAlignment="1" applyProtection="1">
      <alignment horizontal="center" vertical="center"/>
    </xf>
    <xf numFmtId="0" fontId="48" fillId="0" borderId="17" xfId="32" applyFont="1" applyFill="1" applyBorder="1" applyAlignment="1" applyProtection="1">
      <alignment vertical="center" wrapText="1"/>
    </xf>
    <xf numFmtId="3" fontId="48" fillId="0" borderId="44" xfId="32" applyNumberFormat="1" applyFont="1" applyFill="1" applyBorder="1" applyAlignment="1" applyProtection="1">
      <alignment horizontal="center" vertical="center"/>
    </xf>
    <xf numFmtId="3" fontId="48" fillId="0" borderId="50" xfId="32" applyNumberFormat="1" applyFont="1" applyFill="1" applyBorder="1" applyAlignment="1" applyProtection="1">
      <alignment horizontal="center" vertical="center"/>
    </xf>
    <xf numFmtId="3" fontId="48" fillId="0" borderId="31" xfId="32" applyNumberFormat="1" applyFont="1" applyFill="1" applyBorder="1" applyAlignment="1" applyProtection="1">
      <alignment horizontal="center" vertical="center"/>
    </xf>
    <xf numFmtId="3" fontId="50" fillId="0" borderId="24" xfId="32" applyNumberFormat="1" applyFont="1" applyFill="1" applyBorder="1" applyAlignment="1" applyProtection="1">
      <alignment horizontal="center" vertical="center"/>
    </xf>
    <xf numFmtId="3" fontId="48" fillId="0" borderId="49" xfId="32" applyNumberFormat="1" applyFont="1" applyFill="1" applyBorder="1" applyAlignment="1" applyProtection="1">
      <alignment horizontal="center" vertical="center"/>
    </xf>
    <xf numFmtId="0" fontId="48" fillId="0" borderId="21" xfId="32" applyFont="1" applyFill="1" applyBorder="1" applyAlignment="1" applyProtection="1">
      <alignment vertical="center" wrapText="1"/>
    </xf>
    <xf numFmtId="3" fontId="48" fillId="0" borderId="70" xfId="32" applyNumberFormat="1" applyFont="1" applyFill="1" applyBorder="1" applyAlignment="1" applyProtection="1">
      <alignment horizontal="center" vertical="center"/>
    </xf>
    <xf numFmtId="3" fontId="48" fillId="0" borderId="57" xfId="32" applyNumberFormat="1" applyFont="1" applyFill="1" applyBorder="1" applyAlignment="1" applyProtection="1">
      <alignment horizontal="center" vertical="center"/>
    </xf>
    <xf numFmtId="3" fontId="48" fillId="0" borderId="79" xfId="32" applyNumberFormat="1" applyFont="1" applyFill="1" applyBorder="1" applyAlignment="1" applyProtection="1">
      <alignment horizontal="center" vertical="center"/>
    </xf>
    <xf numFmtId="3" fontId="48" fillId="0" borderId="77" xfId="32" applyNumberFormat="1" applyFont="1" applyFill="1" applyBorder="1" applyAlignment="1" applyProtection="1">
      <alignment horizontal="center" vertical="center"/>
    </xf>
    <xf numFmtId="3" fontId="48" fillId="0" borderId="56" xfId="32" applyNumberFormat="1" applyFont="1" applyFill="1" applyBorder="1" applyAlignment="1" applyProtection="1">
      <alignment horizontal="center" vertical="center"/>
    </xf>
    <xf numFmtId="3" fontId="60" fillId="27" borderId="0" xfId="32" applyNumberFormat="1" applyFont="1" applyFill="1" applyBorder="1" applyAlignment="1" applyProtection="1">
      <alignment horizontal="center" vertical="center"/>
    </xf>
    <xf numFmtId="3" fontId="90" fillId="27" borderId="0" xfId="32" applyNumberFormat="1" applyFont="1" applyFill="1" applyBorder="1" applyAlignment="1" applyProtection="1">
      <alignment horizontal="center" vertical="center"/>
    </xf>
    <xf numFmtId="3" fontId="48" fillId="27" borderId="0" xfId="32" applyNumberFormat="1" applyFont="1" applyFill="1" applyBorder="1" applyAlignment="1" applyProtection="1">
      <alignment vertical="center" wrapText="1"/>
    </xf>
    <xf numFmtId="0" fontId="50" fillId="31" borderId="29" xfId="0" applyFont="1" applyFill="1" applyBorder="1" applyAlignment="1" applyProtection="1">
      <alignment vertical="center" wrapText="1"/>
    </xf>
    <xf numFmtId="3" fontId="50" fillId="31" borderId="74" xfId="0" applyNumberFormat="1" applyFont="1" applyFill="1" applyBorder="1" applyAlignment="1" applyProtection="1">
      <alignment horizontal="center" vertical="center"/>
    </xf>
    <xf numFmtId="3" fontId="60" fillId="27" borderId="52" xfId="32" applyNumberFormat="1" applyFont="1" applyFill="1" applyBorder="1" applyAlignment="1" applyProtection="1">
      <alignment horizontal="center" vertical="center"/>
    </xf>
    <xf numFmtId="3" fontId="60" fillId="27" borderId="53" xfId="32" applyNumberFormat="1" applyFont="1" applyFill="1" applyBorder="1" applyAlignment="1" applyProtection="1">
      <alignment horizontal="center" vertical="center"/>
    </xf>
    <xf numFmtId="3" fontId="60" fillId="27" borderId="32" xfId="32" applyNumberFormat="1" applyFont="1" applyFill="1" applyBorder="1" applyAlignment="1" applyProtection="1">
      <alignment horizontal="center" vertical="center"/>
    </xf>
    <xf numFmtId="3" fontId="60" fillId="27" borderId="7" xfId="32" applyNumberFormat="1" applyFont="1" applyFill="1" applyBorder="1" applyAlignment="1" applyProtection="1">
      <alignment horizontal="center" vertical="center"/>
    </xf>
    <xf numFmtId="3" fontId="60" fillId="27" borderId="62" xfId="32" applyNumberFormat="1" applyFont="1" applyFill="1" applyBorder="1" applyAlignment="1" applyProtection="1">
      <alignment horizontal="center" vertical="center"/>
    </xf>
    <xf numFmtId="0" fontId="60" fillId="27" borderId="0" xfId="32" applyFont="1" applyFill="1" applyBorder="1" applyAlignment="1" applyProtection="1">
      <alignment horizontal="center" vertical="center" wrapText="1"/>
    </xf>
    <xf numFmtId="0" fontId="60" fillId="27" borderId="0" xfId="32" applyFont="1" applyFill="1" applyBorder="1" applyAlignment="1" applyProtection="1">
      <alignment vertical="center" wrapText="1"/>
    </xf>
    <xf numFmtId="0" fontId="48" fillId="27" borderId="5" xfId="32" applyFont="1" applyFill="1" applyBorder="1" applyAlignment="1" applyProtection="1">
      <alignment vertical="center" wrapText="1"/>
    </xf>
    <xf numFmtId="3" fontId="48" fillId="27" borderId="49" xfId="32" applyNumberFormat="1" applyFont="1" applyFill="1" applyBorder="1" applyAlignment="1" applyProtection="1">
      <alignment horizontal="center" vertical="center"/>
    </xf>
    <xf numFmtId="3" fontId="48" fillId="27" borderId="50" xfId="32" applyNumberFormat="1" applyFont="1" applyFill="1" applyBorder="1" applyAlignment="1" applyProtection="1">
      <alignment horizontal="center" vertical="center"/>
    </xf>
    <xf numFmtId="0" fontId="48" fillId="27" borderId="21" xfId="32" applyFont="1" applyFill="1" applyBorder="1" applyAlignment="1" applyProtection="1">
      <alignment vertical="center" wrapText="1"/>
    </xf>
    <xf numFmtId="3" fontId="60" fillId="27" borderId="56" xfId="32" applyNumberFormat="1" applyFont="1" applyFill="1" applyBorder="1" applyAlignment="1" applyProtection="1">
      <alignment horizontal="center" vertical="center"/>
    </xf>
    <xf numFmtId="3" fontId="60" fillId="27" borderId="57" xfId="32" applyNumberFormat="1" applyFont="1" applyFill="1" applyBorder="1" applyAlignment="1" applyProtection="1">
      <alignment horizontal="center" vertical="center"/>
    </xf>
    <xf numFmtId="3" fontId="60" fillId="27" borderId="79" xfId="32" applyNumberFormat="1" applyFont="1" applyFill="1" applyBorder="1" applyAlignment="1" applyProtection="1">
      <alignment horizontal="center" vertical="center"/>
    </xf>
    <xf numFmtId="3" fontId="60" fillId="27" borderId="77" xfId="32" applyNumberFormat="1" applyFont="1" applyFill="1" applyBorder="1" applyAlignment="1" applyProtection="1">
      <alignment horizontal="center" vertical="center"/>
    </xf>
    <xf numFmtId="3" fontId="48" fillId="27" borderId="56" xfId="32" applyNumberFormat="1" applyFont="1" applyFill="1" applyBorder="1" applyAlignment="1" applyProtection="1">
      <alignment horizontal="center" vertical="center"/>
    </xf>
    <xf numFmtId="3" fontId="48" fillId="27" borderId="57" xfId="32" applyNumberFormat="1" applyFont="1" applyFill="1" applyBorder="1" applyAlignment="1" applyProtection="1">
      <alignment horizontal="center" vertical="center"/>
    </xf>
    <xf numFmtId="3" fontId="48" fillId="27" borderId="79" xfId="32" applyNumberFormat="1" applyFont="1" applyFill="1" applyBorder="1" applyAlignment="1" applyProtection="1">
      <alignment horizontal="center" vertical="center"/>
    </xf>
    <xf numFmtId="3" fontId="48" fillId="27" borderId="77" xfId="32" applyNumberFormat="1" applyFont="1" applyFill="1" applyBorder="1" applyAlignment="1" applyProtection="1">
      <alignment horizontal="center" vertical="center"/>
    </xf>
    <xf numFmtId="0" fontId="90" fillId="26" borderId="0" xfId="0" applyFont="1" applyFill="1" applyAlignment="1" applyProtection="1">
      <alignment vertical="center"/>
    </xf>
    <xf numFmtId="0" fontId="50" fillId="26" borderId="0" xfId="0" applyNumberFormat="1" applyFont="1" applyFill="1" applyBorder="1" applyAlignment="1" applyProtection="1">
      <alignment horizontal="right" vertical="center"/>
    </xf>
    <xf numFmtId="0" fontId="48" fillId="26" borderId="0" xfId="0" applyNumberFormat="1" applyFont="1" applyFill="1" applyBorder="1" applyAlignment="1" applyProtection="1">
      <alignment vertical="center"/>
    </xf>
    <xf numFmtId="0" fontId="90" fillId="26" borderId="0" xfId="0" applyFont="1" applyFill="1" applyAlignment="1" applyProtection="1">
      <alignment horizontal="center" vertical="center"/>
    </xf>
    <xf numFmtId="49" fontId="48" fillId="26" borderId="0" xfId="0" applyNumberFormat="1" applyFont="1" applyFill="1" applyBorder="1" applyAlignment="1" applyProtection="1">
      <alignment horizontal="right" vertical="center"/>
    </xf>
    <xf numFmtId="14" fontId="24" fillId="26" borderId="0" xfId="0" applyNumberFormat="1" applyFont="1" applyFill="1" applyAlignment="1" applyProtection="1">
      <alignment horizontal="left" vertical="center"/>
    </xf>
    <xf numFmtId="0" fontId="50" fillId="26" borderId="0" xfId="0" applyFont="1" applyFill="1" applyAlignment="1" applyProtection="1">
      <alignment horizontal="right" vertical="center"/>
    </xf>
    <xf numFmtId="0" fontId="48" fillId="26" borderId="0" xfId="0" applyFont="1" applyFill="1" applyBorder="1" applyAlignment="1" applyProtection="1">
      <alignment horizontal="center" vertical="center"/>
    </xf>
    <xf numFmtId="14" fontId="50" fillId="0" borderId="0" xfId="0" applyNumberFormat="1" applyFont="1" applyFill="1" applyBorder="1" applyAlignment="1" applyProtection="1">
      <alignment vertical="center"/>
    </xf>
    <xf numFmtId="0" fontId="48" fillId="26" borderId="0" xfId="0" applyFont="1" applyFill="1" applyBorder="1" applyAlignment="1" applyProtection="1">
      <alignment vertical="center"/>
    </xf>
    <xf numFmtId="14" fontId="60" fillId="26" borderId="0" xfId="0" applyNumberFormat="1" applyFont="1" applyFill="1" applyAlignment="1" applyProtection="1">
      <alignment horizontal="center" vertical="center"/>
    </xf>
    <xf numFmtId="0" fontId="139" fillId="26" borderId="0" xfId="0" applyFont="1" applyFill="1" applyAlignment="1" applyProtection="1">
      <alignment vertical="center"/>
    </xf>
    <xf numFmtId="0" fontId="48" fillId="26" borderId="0" xfId="0" applyFont="1" applyFill="1" applyBorder="1" applyAlignment="1" applyProtection="1">
      <alignment vertical="center" wrapText="1"/>
    </xf>
    <xf numFmtId="0" fontId="50" fillId="27" borderId="0" xfId="0" applyFont="1" applyFill="1" applyAlignment="1" applyProtection="1">
      <alignment horizontal="left" vertical="center"/>
    </xf>
    <xf numFmtId="0" fontId="68" fillId="27" borderId="0" xfId="0" applyFont="1" applyFill="1" applyAlignment="1" applyProtection="1">
      <alignment horizontal="left" vertical="center"/>
    </xf>
    <xf numFmtId="0" fontId="60" fillId="26" borderId="0" xfId="0" applyFont="1" applyFill="1" applyBorder="1" applyAlignment="1" applyProtection="1">
      <alignment vertical="center"/>
    </xf>
    <xf numFmtId="0" fontId="90" fillId="27" borderId="0" xfId="0" applyFont="1" applyFill="1" applyAlignment="1" applyProtection="1">
      <alignment vertical="center"/>
    </xf>
    <xf numFmtId="49" fontId="68" fillId="26" borderId="0" xfId="0" applyNumberFormat="1" applyFont="1" applyFill="1" applyBorder="1" applyAlignment="1" applyProtection="1">
      <alignment horizontal="right" vertical="center"/>
    </xf>
    <xf numFmtId="0" fontId="90" fillId="26" borderId="0" xfId="0" applyNumberFormat="1" applyFont="1" applyFill="1" applyBorder="1" applyAlignment="1" applyProtection="1">
      <alignment horizontal="center" vertical="center"/>
    </xf>
    <xf numFmtId="0" fontId="48" fillId="27" borderId="0" xfId="0" applyFont="1" applyFill="1" applyAlignment="1" applyProtection="1">
      <alignment horizontal="center" vertical="center"/>
    </xf>
    <xf numFmtId="0" fontId="139" fillId="26" borderId="0" xfId="0" applyNumberFormat="1" applyFont="1" applyFill="1" applyBorder="1" applyAlignment="1" applyProtection="1">
      <alignment horizontal="left" vertical="center"/>
    </xf>
    <xf numFmtId="0" fontId="90" fillId="27" borderId="0" xfId="0" applyFont="1" applyFill="1" applyAlignment="1" applyProtection="1">
      <alignment vertical="center" wrapText="1"/>
    </xf>
    <xf numFmtId="0" fontId="48" fillId="26" borderId="0" xfId="0" applyFont="1" applyFill="1" applyBorder="1" applyAlignment="1" applyProtection="1">
      <alignment horizontal="left" vertical="center"/>
    </xf>
    <xf numFmtId="0" fontId="60" fillId="26" borderId="0" xfId="0" applyFont="1" applyFill="1" applyAlignment="1" applyProtection="1">
      <alignment horizontal="left" vertical="center"/>
    </xf>
    <xf numFmtId="49" fontId="48" fillId="26" borderId="0" xfId="0" applyNumberFormat="1" applyFont="1" applyFill="1" applyBorder="1" applyAlignment="1" applyProtection="1">
      <alignment horizontal="left" vertical="center"/>
    </xf>
    <xf numFmtId="49" fontId="15" fillId="0" borderId="0" xfId="31" applyNumberFormat="1" applyFont="1" applyAlignment="1" applyProtection="1">
      <alignment horizontal="center" vertical="center"/>
    </xf>
    <xf numFmtId="0" fontId="15" fillId="0" borderId="0" xfId="31" applyFont="1" applyBorder="1" applyAlignment="1" applyProtection="1">
      <alignment horizontal="center" vertical="center"/>
    </xf>
    <xf numFmtId="0" fontId="23" fillId="0" borderId="0" xfId="31" applyFont="1" applyBorder="1" applyAlignment="1" applyProtection="1">
      <alignment vertical="center"/>
    </xf>
    <xf numFmtId="0" fontId="52" fillId="0" borderId="0" xfId="31" applyFont="1" applyBorder="1" applyAlignment="1" applyProtection="1">
      <alignment vertical="center"/>
    </xf>
    <xf numFmtId="0" fontId="15" fillId="0" borderId="0" xfId="31" applyFont="1" applyBorder="1" applyAlignment="1" applyProtection="1">
      <alignment vertical="center"/>
    </xf>
    <xf numFmtId="0" fontId="15" fillId="0" borderId="0" xfId="31" applyFont="1" applyAlignment="1" applyProtection="1">
      <alignment vertical="center"/>
    </xf>
    <xf numFmtId="0" fontId="46" fillId="0" borderId="0" xfId="31" applyFont="1" applyAlignment="1" applyProtection="1">
      <alignment horizontal="right" vertical="center"/>
    </xf>
    <xf numFmtId="0" fontId="43" fillId="37" borderId="56" xfId="31" applyFont="1" applyFill="1" applyBorder="1" applyAlignment="1" applyProtection="1">
      <alignment horizontal="center" vertical="center"/>
    </xf>
    <xf numFmtId="0" fontId="43" fillId="37" borderId="77" xfId="31" applyFont="1" applyFill="1" applyBorder="1" applyAlignment="1" applyProtection="1">
      <alignment horizontal="center" vertical="center"/>
    </xf>
    <xf numFmtId="0" fontId="43" fillId="37" borderId="57" xfId="31" applyFont="1" applyFill="1" applyBorder="1" applyAlignment="1" applyProtection="1">
      <alignment horizontal="center" vertical="center"/>
    </xf>
    <xf numFmtId="0" fontId="43" fillId="37" borderId="79" xfId="31" applyFont="1" applyFill="1" applyBorder="1" applyAlignment="1" applyProtection="1">
      <alignment horizontal="center" vertical="center"/>
    </xf>
    <xf numFmtId="49" fontId="43" fillId="0" borderId="75" xfId="31" applyNumberFormat="1" applyFont="1" applyBorder="1" applyAlignment="1" applyProtection="1">
      <alignment horizontal="center" vertical="center"/>
    </xf>
    <xf numFmtId="0" fontId="43" fillId="24" borderId="74" xfId="31" applyFont="1" applyFill="1" applyBorder="1" applyAlignment="1" applyProtection="1">
      <alignment horizontal="center" vertical="center"/>
    </xf>
    <xf numFmtId="49" fontId="44" fillId="0" borderId="52" xfId="31" applyNumberFormat="1" applyFont="1" applyBorder="1" applyAlignment="1" applyProtection="1">
      <alignment horizontal="center" vertical="center"/>
    </xf>
    <xf numFmtId="0" fontId="45" fillId="0" borderId="62" xfId="31" applyFont="1" applyBorder="1" applyAlignment="1" applyProtection="1">
      <alignment horizontal="right" vertical="center"/>
    </xf>
    <xf numFmtId="49" fontId="44" fillId="0" borderId="56" xfId="31" applyNumberFormat="1" applyFont="1" applyBorder="1" applyAlignment="1" applyProtection="1">
      <alignment horizontal="center" vertical="center"/>
    </xf>
    <xf numFmtId="0" fontId="45" fillId="0" borderId="78" xfId="31" applyFont="1" applyBorder="1" applyAlignment="1" applyProtection="1">
      <alignment horizontal="right" vertical="center"/>
    </xf>
    <xf numFmtId="49" fontId="15" fillId="0" borderId="0" xfId="31" applyNumberFormat="1" applyFont="1" applyFill="1" applyAlignment="1" applyProtection="1">
      <alignment horizontal="center" vertical="center"/>
    </xf>
    <xf numFmtId="0" fontId="44" fillId="0" borderId="0" xfId="31" applyFont="1" applyFill="1" applyAlignment="1" applyProtection="1">
      <alignment vertical="center"/>
    </xf>
    <xf numFmtId="3" fontId="43" fillId="0" borderId="0" xfId="31" applyNumberFormat="1" applyFont="1" applyFill="1" applyBorder="1" applyAlignment="1" applyProtection="1">
      <alignment vertical="center"/>
    </xf>
    <xf numFmtId="3" fontId="43" fillId="24" borderId="75" xfId="31" applyNumberFormat="1" applyFont="1" applyFill="1" applyBorder="1" applyAlignment="1" applyProtection="1">
      <alignment horizontal="center" vertical="center"/>
    </xf>
    <xf numFmtId="3" fontId="43" fillId="24" borderId="73" xfId="31" applyNumberFormat="1" applyFont="1" applyFill="1" applyBorder="1" applyAlignment="1" applyProtection="1">
      <alignment horizontal="center" vertical="center"/>
    </xf>
    <xf numFmtId="3" fontId="43" fillId="24" borderId="76" xfId="31" applyNumberFormat="1" applyFont="1" applyFill="1" applyBorder="1" applyAlignment="1" applyProtection="1">
      <alignment horizontal="center" vertical="center"/>
    </xf>
    <xf numFmtId="3" fontId="43" fillId="24" borderId="72" xfId="31" applyNumberFormat="1" applyFont="1" applyFill="1" applyBorder="1" applyAlignment="1" applyProtection="1">
      <alignment horizontal="center" vertical="center"/>
    </xf>
    <xf numFmtId="3" fontId="43" fillId="24" borderId="74" xfId="31" applyNumberFormat="1" applyFont="1" applyFill="1" applyBorder="1" applyAlignment="1" applyProtection="1">
      <alignment horizontal="center" vertical="center"/>
    </xf>
    <xf numFmtId="49" fontId="24" fillId="0" borderId="52" xfId="31" applyNumberFormat="1" applyFont="1" applyBorder="1" applyAlignment="1" applyProtection="1">
      <alignment horizontal="center" vertical="center"/>
    </xf>
    <xf numFmtId="0" fontId="43" fillId="26" borderId="62" xfId="31" applyFont="1" applyFill="1" applyBorder="1" applyAlignment="1" applyProtection="1">
      <alignment horizontal="center" vertical="center"/>
    </xf>
    <xf numFmtId="49" fontId="46" fillId="0" borderId="52" xfId="31" applyNumberFormat="1" applyFont="1" applyBorder="1" applyAlignment="1" applyProtection="1">
      <alignment horizontal="center" vertical="center"/>
    </xf>
    <xf numFmtId="49" fontId="46" fillId="44" borderId="52" xfId="31" applyNumberFormat="1" applyFont="1" applyFill="1" applyBorder="1" applyAlignment="1" applyProtection="1">
      <alignment horizontal="center" vertical="center"/>
    </xf>
    <xf numFmtId="0" fontId="45" fillId="44" borderId="62" xfId="31" applyFont="1" applyFill="1" applyBorder="1" applyAlignment="1" applyProtection="1">
      <alignment horizontal="right" vertical="center"/>
    </xf>
    <xf numFmtId="49" fontId="83" fillId="0" borderId="38" xfId="0" applyNumberFormat="1" applyFont="1" applyBorder="1" applyAlignment="1" applyProtection="1">
      <alignment horizontal="center" vertical="center"/>
    </xf>
    <xf numFmtId="0" fontId="103" fillId="26" borderId="60" xfId="31" applyFont="1" applyFill="1" applyBorder="1" applyAlignment="1" applyProtection="1">
      <alignment vertical="center" wrapText="1"/>
    </xf>
    <xf numFmtId="49" fontId="83" fillId="0" borderId="47" xfId="0" applyNumberFormat="1" applyFont="1" applyBorder="1" applyAlignment="1" applyProtection="1">
      <alignment horizontal="center" vertical="center"/>
    </xf>
    <xf numFmtId="0" fontId="103" fillId="26" borderId="101" xfId="31" applyFont="1" applyFill="1" applyBorder="1" applyAlignment="1" applyProtection="1">
      <alignment vertical="center" wrapText="1"/>
    </xf>
    <xf numFmtId="0" fontId="103" fillId="0" borderId="0" xfId="31" applyFont="1" applyBorder="1" applyAlignment="1" applyProtection="1">
      <alignment vertical="center" wrapText="1"/>
    </xf>
    <xf numFmtId="49" fontId="15" fillId="26" borderId="38" xfId="0" applyNumberFormat="1" applyFont="1" applyFill="1" applyBorder="1" applyAlignment="1" applyProtection="1">
      <alignment horizontal="center" vertical="center"/>
    </xf>
    <xf numFmtId="3" fontId="44" fillId="0" borderId="38" xfId="21" applyNumberFormat="1" applyFont="1" applyFill="1" applyBorder="1" applyAlignment="1" applyProtection="1">
      <alignment horizontal="center" vertical="center" wrapText="1"/>
    </xf>
    <xf numFmtId="3" fontId="44" fillId="0" borderId="65" xfId="21" applyNumberFormat="1" applyFont="1" applyFill="1" applyBorder="1" applyAlignment="1" applyProtection="1">
      <alignment horizontal="center" vertical="center" wrapText="1"/>
    </xf>
    <xf numFmtId="3" fontId="44" fillId="0" borderId="9" xfId="21" applyNumberFormat="1" applyFont="1" applyFill="1" applyBorder="1" applyAlignment="1" applyProtection="1">
      <alignment horizontal="center" vertical="center" wrapText="1"/>
    </xf>
    <xf numFmtId="3" fontId="44" fillId="0" borderId="60" xfId="21" applyNumberFormat="1" applyFont="1" applyFill="1" applyBorder="1" applyAlignment="1" applyProtection="1">
      <alignment horizontal="center" vertical="center" wrapText="1"/>
    </xf>
    <xf numFmtId="3" fontId="44" fillId="0" borderId="10" xfId="21" applyNumberFormat="1" applyFont="1" applyFill="1" applyBorder="1" applyAlignment="1" applyProtection="1">
      <alignment horizontal="center" vertical="center" wrapText="1"/>
    </xf>
    <xf numFmtId="49" fontId="15" fillId="0" borderId="0" xfId="0" applyNumberFormat="1" applyFont="1" applyFill="1" applyBorder="1" applyAlignment="1" applyProtection="1">
      <alignment horizontal="center" vertical="center"/>
    </xf>
    <xf numFmtId="0" fontId="43" fillId="0" borderId="0" xfId="0" applyFont="1" applyFill="1" applyBorder="1" applyAlignment="1" applyProtection="1">
      <alignment vertical="center"/>
    </xf>
    <xf numFmtId="0" fontId="44" fillId="0" borderId="0" xfId="0" applyFont="1" applyFill="1" applyBorder="1" applyAlignment="1" applyProtection="1">
      <alignment vertical="center"/>
    </xf>
    <xf numFmtId="49" fontId="15" fillId="0" borderId="75" xfId="0" applyNumberFormat="1" applyFont="1" applyFill="1" applyBorder="1" applyAlignment="1" applyProtection="1">
      <alignment horizontal="center" vertical="center"/>
    </xf>
    <xf numFmtId="49" fontId="15" fillId="0" borderId="52" xfId="0" applyNumberFormat="1" applyFont="1" applyFill="1" applyBorder="1" applyAlignment="1" applyProtection="1">
      <alignment horizontal="center" vertical="center"/>
    </xf>
    <xf numFmtId="3" fontId="44" fillId="0" borderId="52" xfId="21" applyNumberFormat="1" applyFont="1" applyFill="1" applyBorder="1" applyAlignment="1" applyProtection="1">
      <alignment horizontal="center" vertical="center" wrapText="1"/>
    </xf>
    <xf numFmtId="3" fontId="44" fillId="0" borderId="7" xfId="21" applyNumberFormat="1" applyFont="1" applyFill="1" applyBorder="1" applyAlignment="1" applyProtection="1">
      <alignment horizontal="center" vertical="center" wrapText="1"/>
    </xf>
    <xf numFmtId="3" fontId="44" fillId="0" borderId="53" xfId="21" applyNumberFormat="1" applyFont="1" applyFill="1" applyBorder="1" applyAlignment="1" applyProtection="1">
      <alignment horizontal="center" vertical="center" wrapText="1"/>
    </xf>
    <xf numFmtId="3" fontId="44" fillId="0" borderId="32" xfId="21" applyNumberFormat="1" applyFont="1" applyFill="1" applyBorder="1" applyAlignment="1" applyProtection="1">
      <alignment horizontal="center" vertical="center" wrapText="1"/>
    </xf>
    <xf numFmtId="3" fontId="44" fillId="0" borderId="62" xfId="21" applyNumberFormat="1" applyFont="1" applyFill="1" applyBorder="1" applyAlignment="1" applyProtection="1">
      <alignment horizontal="center" vertical="center" wrapText="1"/>
    </xf>
    <xf numFmtId="49" fontId="15" fillId="0" borderId="54" xfId="0" applyNumberFormat="1" applyFont="1" applyFill="1" applyBorder="1" applyAlignment="1" applyProtection="1">
      <alignment horizontal="center" vertical="center"/>
    </xf>
    <xf numFmtId="49" fontId="15" fillId="0" borderId="38" xfId="0" applyNumberFormat="1" applyFont="1" applyFill="1" applyBorder="1" applyAlignment="1" applyProtection="1">
      <alignment horizontal="center" vertical="center"/>
    </xf>
    <xf numFmtId="3" fontId="15" fillId="0" borderId="1" xfId="32" applyNumberFormat="1" applyFont="1" applyFill="1" applyBorder="1" applyAlignment="1" applyProtection="1">
      <alignment horizontal="center" vertical="center"/>
    </xf>
    <xf numFmtId="3" fontId="15" fillId="0" borderId="9" xfId="32" applyNumberFormat="1" applyFont="1" applyFill="1" applyBorder="1" applyAlignment="1" applyProtection="1">
      <alignment horizontal="center" vertical="center"/>
    </xf>
    <xf numFmtId="3" fontId="15" fillId="0" borderId="65" xfId="32" applyNumberFormat="1" applyFont="1" applyFill="1" applyBorder="1" applyAlignment="1" applyProtection="1">
      <alignment horizontal="center" vertical="center"/>
    </xf>
    <xf numFmtId="49" fontId="15" fillId="0" borderId="66" xfId="0" applyNumberFormat="1" applyFont="1" applyFill="1" applyBorder="1" applyAlignment="1" applyProtection="1">
      <alignment horizontal="center" vertical="center"/>
    </xf>
    <xf numFmtId="9" fontId="43" fillId="0" borderId="13" xfId="21" applyNumberFormat="1" applyFont="1" applyFill="1" applyBorder="1" applyAlignment="1" applyProtection="1">
      <alignment horizontal="center" vertical="center" wrapText="1"/>
    </xf>
    <xf numFmtId="9" fontId="43" fillId="0" borderId="4" xfId="21" applyNumberFormat="1" applyFont="1" applyFill="1" applyBorder="1" applyAlignment="1" applyProtection="1">
      <alignment horizontal="center" vertical="center" wrapText="1"/>
    </xf>
    <xf numFmtId="9" fontId="43" fillId="0" borderId="67" xfId="21" applyNumberFormat="1" applyFont="1" applyFill="1" applyBorder="1" applyAlignment="1" applyProtection="1">
      <alignment horizontal="center" vertical="center" wrapText="1"/>
    </xf>
    <xf numFmtId="9" fontId="43" fillId="0" borderId="66" xfId="21" applyNumberFormat="1" applyFont="1" applyFill="1" applyBorder="1" applyAlignment="1" applyProtection="1">
      <alignment horizontal="center" vertical="center" wrapText="1"/>
    </xf>
    <xf numFmtId="9" fontId="43" fillId="0" borderId="68" xfId="21" applyNumberFormat="1" applyFont="1" applyFill="1" applyBorder="1" applyAlignment="1" applyProtection="1">
      <alignment horizontal="center" vertical="center" wrapText="1"/>
    </xf>
    <xf numFmtId="178" fontId="15" fillId="26" borderId="65" xfId="32" applyNumberFormat="1" applyFont="1" applyFill="1" applyBorder="1" applyAlignment="1" applyProtection="1">
      <alignment horizontal="center" vertical="center"/>
    </xf>
    <xf numFmtId="178" fontId="15" fillId="26" borderId="9" xfId="32" applyNumberFormat="1" applyFont="1" applyFill="1" applyBorder="1" applyAlignment="1" applyProtection="1">
      <alignment horizontal="center" vertical="center"/>
    </xf>
    <xf numFmtId="178" fontId="15" fillId="26" borderId="10" xfId="32" applyNumberFormat="1" applyFont="1" applyFill="1" applyBorder="1" applyAlignment="1" applyProtection="1">
      <alignment horizontal="center" vertical="center"/>
    </xf>
    <xf numFmtId="49" fontId="44" fillId="29" borderId="1" xfId="49" applyNumberFormat="1" applyFont="1" applyFill="1" applyBorder="1" applyAlignment="1" applyProtection="1">
      <alignment horizontal="right" vertical="center"/>
    </xf>
    <xf numFmtId="173" fontId="43" fillId="37" borderId="56" xfId="31" applyNumberFormat="1" applyFont="1" applyFill="1" applyBorder="1" applyAlignment="1" applyProtection="1">
      <alignment horizontal="center" vertical="center"/>
    </xf>
    <xf numFmtId="173" fontId="43" fillId="37" borderId="77" xfId="31" applyNumberFormat="1" applyFont="1" applyFill="1" applyBorder="1" applyAlignment="1" applyProtection="1">
      <alignment horizontal="center" vertical="center"/>
    </xf>
    <xf numFmtId="173" fontId="43" fillId="37" borderId="57" xfId="31" applyNumberFormat="1" applyFont="1" applyFill="1" applyBorder="1" applyAlignment="1" applyProtection="1">
      <alignment horizontal="center" vertical="center"/>
    </xf>
    <xf numFmtId="173" fontId="43" fillId="37" borderId="79" xfId="31" applyNumberFormat="1" applyFont="1" applyFill="1" applyBorder="1" applyAlignment="1" applyProtection="1">
      <alignment horizontal="center" vertical="center"/>
    </xf>
    <xf numFmtId="49" fontId="44" fillId="0" borderId="33" xfId="27" applyFont="1" applyFill="1" applyBorder="1" applyAlignment="1" applyProtection="1">
      <alignment vertical="center" wrapText="1"/>
    </xf>
    <xf numFmtId="3" fontId="15" fillId="26" borderId="52" xfId="32" applyNumberFormat="1" applyFont="1" applyFill="1" applyBorder="1" applyAlignment="1" applyProtection="1">
      <alignment horizontal="center" vertical="center"/>
    </xf>
    <xf numFmtId="49" fontId="44" fillId="0" borderId="23" xfId="27" applyFont="1" applyFill="1" applyBorder="1" applyAlignment="1" applyProtection="1">
      <alignment vertical="center" wrapText="1"/>
    </xf>
    <xf numFmtId="3" fontId="15" fillId="26" borderId="7" xfId="32" applyNumberFormat="1" applyFont="1" applyFill="1" applyBorder="1" applyAlignment="1" applyProtection="1">
      <alignment horizontal="center" vertical="center"/>
    </xf>
    <xf numFmtId="3" fontId="15" fillId="26" borderId="53" xfId="32" applyNumberFormat="1" applyFont="1" applyFill="1" applyBorder="1" applyAlignment="1" applyProtection="1">
      <alignment horizontal="center" vertical="center"/>
    </xf>
    <xf numFmtId="10" fontId="44" fillId="26" borderId="24" xfId="70" applyNumberFormat="1" applyFont="1" applyFill="1" applyBorder="1" applyAlignment="1" applyProtection="1">
      <alignment horizontal="right" vertical="center" wrapText="1"/>
    </xf>
    <xf numFmtId="10" fontId="44" fillId="26" borderId="15" xfId="70" applyNumberFormat="1" applyFont="1" applyFill="1" applyBorder="1" applyAlignment="1" applyProtection="1">
      <alignment horizontal="right" vertical="center" wrapText="1"/>
    </xf>
    <xf numFmtId="10" fontId="44" fillId="0" borderId="52" xfId="70" applyNumberFormat="1" applyFont="1" applyFill="1" applyBorder="1" applyAlignment="1" applyProtection="1">
      <alignment horizontal="right" vertical="center" wrapText="1"/>
    </xf>
    <xf numFmtId="10" fontId="44" fillId="0" borderId="7" xfId="70" applyNumberFormat="1" applyFont="1" applyFill="1" applyBorder="1" applyAlignment="1" applyProtection="1">
      <alignment horizontal="right" vertical="center" wrapText="1"/>
    </xf>
    <xf numFmtId="10" fontId="44" fillId="0" borderId="53" xfId="70" applyNumberFormat="1" applyFont="1" applyFill="1" applyBorder="1" applyAlignment="1" applyProtection="1">
      <alignment horizontal="right" vertical="center" wrapText="1"/>
    </xf>
    <xf numFmtId="38" fontId="44" fillId="0" borderId="52" xfId="28" applyFont="1" applyFill="1" applyBorder="1" applyAlignment="1" applyProtection="1">
      <alignment horizontal="right" vertical="center" wrapText="1"/>
    </xf>
    <xf numFmtId="38" fontId="44" fillId="0" borderId="7" xfId="28" applyFont="1" applyFill="1" applyBorder="1" applyAlignment="1" applyProtection="1">
      <alignment horizontal="right" vertical="center" wrapText="1"/>
    </xf>
    <xf numFmtId="38" fontId="44" fillId="0" borderId="53" xfId="28" applyFont="1" applyFill="1" applyBorder="1" applyAlignment="1" applyProtection="1">
      <alignment horizontal="right" vertical="center" wrapText="1"/>
    </xf>
    <xf numFmtId="173" fontId="43" fillId="37" borderId="54" xfId="31" applyNumberFormat="1" applyFont="1" applyFill="1" applyBorder="1" applyAlignment="1" applyProtection="1">
      <alignment vertical="center"/>
    </xf>
    <xf numFmtId="173" fontId="43" fillId="37" borderId="63" xfId="31" applyNumberFormat="1" applyFont="1" applyFill="1" applyBorder="1" applyAlignment="1" applyProtection="1">
      <alignment vertical="center"/>
    </xf>
    <xf numFmtId="173" fontId="43" fillId="37" borderId="55" xfId="31" applyNumberFormat="1" applyFont="1" applyFill="1" applyBorder="1" applyAlignment="1" applyProtection="1">
      <alignment vertical="center"/>
    </xf>
    <xf numFmtId="173" fontId="43" fillId="37" borderId="69" xfId="31" applyNumberFormat="1" applyFont="1" applyFill="1" applyBorder="1" applyAlignment="1" applyProtection="1">
      <alignment horizontal="center" vertical="center"/>
    </xf>
    <xf numFmtId="173" fontId="43" fillId="37" borderId="63" xfId="31" applyNumberFormat="1" applyFont="1" applyFill="1" applyBorder="1" applyAlignment="1" applyProtection="1">
      <alignment horizontal="center" vertical="center"/>
    </xf>
    <xf numFmtId="173" fontId="43" fillId="37" borderId="55" xfId="31" applyNumberFormat="1" applyFont="1" applyFill="1" applyBorder="1" applyAlignment="1" applyProtection="1">
      <alignment horizontal="center" vertical="center"/>
    </xf>
    <xf numFmtId="10" fontId="44" fillId="0" borderId="32" xfId="70" applyNumberFormat="1" applyFont="1" applyFill="1" applyBorder="1" applyAlignment="1" applyProtection="1">
      <alignment horizontal="right" vertical="center" wrapText="1"/>
    </xf>
    <xf numFmtId="38" fontId="44" fillId="0" borderId="32" xfId="28" applyFont="1" applyFill="1" applyBorder="1" applyAlignment="1" applyProtection="1">
      <alignment horizontal="right" vertical="center" wrapText="1"/>
    </xf>
    <xf numFmtId="38" fontId="44" fillId="0" borderId="54" xfId="28" applyFont="1" applyFill="1" applyBorder="1" applyAlignment="1" applyProtection="1">
      <alignment horizontal="right" vertical="center" wrapText="1"/>
    </xf>
    <xf numFmtId="38" fontId="44" fillId="0" borderId="63" xfId="28" applyFont="1" applyFill="1" applyBorder="1" applyAlignment="1" applyProtection="1">
      <alignment horizontal="right" vertical="center" wrapText="1"/>
    </xf>
    <xf numFmtId="38" fontId="44" fillId="0" borderId="55" xfId="28" applyFont="1" applyFill="1" applyBorder="1" applyAlignment="1" applyProtection="1">
      <alignment horizontal="right" vertical="center" wrapText="1"/>
    </xf>
    <xf numFmtId="38" fontId="44" fillId="0" borderId="69" xfId="28" applyFont="1" applyFill="1" applyBorder="1" applyAlignment="1" applyProtection="1">
      <alignment horizontal="right" vertical="center" wrapText="1"/>
    </xf>
    <xf numFmtId="49" fontId="44" fillId="0" borderId="28" xfId="27" applyFont="1" applyFill="1" applyBorder="1" applyAlignment="1" applyProtection="1">
      <alignment vertical="center" wrapText="1"/>
    </xf>
    <xf numFmtId="38" fontId="44" fillId="0" borderId="56" xfId="28" applyFont="1" applyFill="1" applyBorder="1" applyAlignment="1" applyProtection="1">
      <alignment horizontal="right" vertical="center" wrapText="1"/>
    </xf>
    <xf numFmtId="38" fontId="44" fillId="0" borderId="77" xfId="28" applyFont="1" applyFill="1" applyBorder="1" applyAlignment="1" applyProtection="1">
      <alignment horizontal="right" vertical="center" wrapText="1"/>
    </xf>
    <xf numFmtId="38" fontId="44" fillId="0" borderId="57" xfId="28" applyFont="1" applyFill="1" applyBorder="1" applyAlignment="1" applyProtection="1">
      <alignment horizontal="right" vertical="center" wrapText="1"/>
    </xf>
    <xf numFmtId="173" fontId="43" fillId="37" borderId="56" xfId="31" applyNumberFormat="1" applyFont="1" applyFill="1" applyBorder="1" applyAlignment="1" applyProtection="1">
      <alignment vertical="center"/>
    </xf>
    <xf numFmtId="173" fontId="43" fillId="37" borderId="77" xfId="31" applyNumberFormat="1" applyFont="1" applyFill="1" applyBorder="1" applyAlignment="1" applyProtection="1">
      <alignment vertical="center"/>
    </xf>
    <xf numFmtId="173" fontId="43" fillId="37" borderId="57" xfId="31" applyNumberFormat="1" applyFont="1" applyFill="1" applyBorder="1" applyAlignment="1" applyProtection="1">
      <alignment vertical="center"/>
    </xf>
    <xf numFmtId="9" fontId="15" fillId="26" borderId="7" xfId="70" applyNumberFormat="1" applyFont="1" applyFill="1" applyBorder="1" applyAlignment="1" applyProtection="1">
      <alignment horizontal="center" vertical="center"/>
    </xf>
    <xf numFmtId="9" fontId="15" fillId="26" borderId="53" xfId="70" applyNumberFormat="1" applyFont="1" applyFill="1" applyBorder="1" applyAlignment="1" applyProtection="1">
      <alignment horizontal="center" vertical="center"/>
    </xf>
    <xf numFmtId="9" fontId="15" fillId="26" borderId="77" xfId="70" applyNumberFormat="1" applyFont="1" applyFill="1" applyBorder="1" applyAlignment="1" applyProtection="1">
      <alignment horizontal="center" vertical="center"/>
    </xf>
    <xf numFmtId="9" fontId="15" fillId="26" borderId="57" xfId="70" applyNumberFormat="1" applyFont="1" applyFill="1" applyBorder="1" applyAlignment="1" applyProtection="1">
      <alignment horizontal="center" vertical="center"/>
    </xf>
    <xf numFmtId="9" fontId="15" fillId="26" borderId="31" xfId="70" applyNumberFormat="1" applyFont="1" applyFill="1" applyBorder="1" applyAlignment="1" applyProtection="1">
      <alignment horizontal="center" vertical="center"/>
    </xf>
    <xf numFmtId="9" fontId="15" fillId="26" borderId="50" xfId="70" applyNumberFormat="1" applyFont="1" applyFill="1" applyBorder="1" applyAlignment="1" applyProtection="1">
      <alignment horizontal="center" vertical="center"/>
    </xf>
    <xf numFmtId="0" fontId="43" fillId="0" borderId="0" xfId="31" applyFont="1" applyFill="1" applyBorder="1" applyAlignment="1" applyProtection="1">
      <alignment horizontal="right" vertical="center"/>
    </xf>
    <xf numFmtId="14" fontId="24" fillId="0" borderId="0" xfId="31" applyNumberFormat="1" applyFont="1" applyAlignment="1" applyProtection="1">
      <alignment vertical="center"/>
    </xf>
    <xf numFmtId="0" fontId="24" fillId="0" borderId="0" xfId="0" applyNumberFormat="1" applyFont="1" applyAlignment="1" applyProtection="1">
      <alignment horizontal="right" vertical="center"/>
    </xf>
    <xf numFmtId="0" fontId="15" fillId="0" borderId="0" xfId="0" applyNumberFormat="1" applyFont="1" applyAlignment="1" applyProtection="1">
      <alignment vertical="center"/>
    </xf>
    <xf numFmtId="0" fontId="24" fillId="26" borderId="0" xfId="0" applyFont="1" applyFill="1" applyAlignment="1" applyProtection="1">
      <alignment horizontal="left" vertical="center"/>
    </xf>
    <xf numFmtId="49" fontId="15" fillId="0" borderId="0" xfId="31" applyNumberFormat="1" applyFont="1" applyAlignment="1" applyProtection="1">
      <alignment vertical="center"/>
    </xf>
    <xf numFmtId="49" fontId="15" fillId="0" borderId="0" xfId="0" applyNumberFormat="1" applyFont="1" applyAlignment="1" applyProtection="1">
      <alignment horizontal="right" vertical="center"/>
    </xf>
    <xf numFmtId="0" fontId="39" fillId="0" borderId="0" xfId="0" applyNumberFormat="1" applyFont="1" applyAlignment="1" applyProtection="1">
      <alignment horizontal="center" vertical="center"/>
    </xf>
    <xf numFmtId="49" fontId="24" fillId="0" borderId="0" xfId="0" applyNumberFormat="1" applyFont="1" applyAlignment="1" applyProtection="1">
      <alignment horizontal="right" vertical="center"/>
    </xf>
    <xf numFmtId="0" fontId="15" fillId="27" borderId="0" xfId="49" applyFont="1" applyFill="1" applyAlignment="1" applyProtection="1">
      <alignment horizontal="center" vertical="center" wrapText="1"/>
    </xf>
    <xf numFmtId="0" fontId="15" fillId="27" borderId="0" xfId="49" applyFont="1" applyFill="1" applyAlignment="1" applyProtection="1">
      <alignment vertical="center" wrapText="1"/>
    </xf>
    <xf numFmtId="167" fontId="15" fillId="27" borderId="0" xfId="49" applyNumberFormat="1" applyFont="1" applyFill="1" applyAlignment="1" applyProtection="1">
      <alignment vertical="center" wrapText="1"/>
    </xf>
    <xf numFmtId="0" fontId="82" fillId="27" borderId="0" xfId="49" applyFill="1" applyAlignment="1" applyProtection="1">
      <alignment vertical="center" wrapText="1"/>
    </xf>
    <xf numFmtId="0" fontId="17" fillId="27" borderId="0" xfId="49" applyFont="1" applyFill="1" applyAlignment="1" applyProtection="1">
      <alignment vertical="center" wrapText="1"/>
    </xf>
    <xf numFmtId="0" fontId="19" fillId="27" borderId="0" xfId="49" applyFont="1" applyFill="1" applyAlignment="1" applyProtection="1">
      <alignment vertical="center" wrapText="1"/>
    </xf>
    <xf numFmtId="0" fontId="55" fillId="27" borderId="0" xfId="49" applyFont="1" applyFill="1" applyBorder="1" applyAlignment="1" applyProtection="1">
      <alignment vertical="center" wrapText="1"/>
    </xf>
    <xf numFmtId="0" fontId="24" fillId="27" borderId="0" xfId="49" applyFont="1" applyFill="1" applyAlignment="1" applyProtection="1">
      <alignment vertical="center" wrapText="1"/>
    </xf>
    <xf numFmtId="1" fontId="43" fillId="38" borderId="1" xfId="21" applyFont="1" applyFill="1" applyBorder="1" applyAlignment="1" applyProtection="1">
      <alignment horizontal="center" vertical="center" wrapText="1"/>
    </xf>
    <xf numFmtId="1" fontId="43" fillId="38" borderId="38" xfId="21" applyFont="1" applyFill="1" applyBorder="1" applyAlignment="1" applyProtection="1">
      <alignment horizontal="center" vertical="center" wrapText="1"/>
    </xf>
    <xf numFmtId="1" fontId="43" fillId="38" borderId="9" xfId="21" applyFont="1" applyFill="1" applyBorder="1" applyAlignment="1" applyProtection="1">
      <alignment horizontal="center" vertical="center" wrapText="1"/>
    </xf>
    <xf numFmtId="1" fontId="43" fillId="38" borderId="10" xfId="21" applyFont="1" applyFill="1" applyBorder="1" applyAlignment="1" applyProtection="1">
      <alignment horizontal="center" vertical="center" wrapText="1"/>
    </xf>
    <xf numFmtId="1" fontId="43" fillId="38" borderId="65" xfId="21" applyFont="1" applyFill="1" applyBorder="1" applyAlignment="1" applyProtection="1">
      <alignment horizontal="center" vertical="center" wrapText="1"/>
    </xf>
    <xf numFmtId="1" fontId="43" fillId="38" borderId="2" xfId="21" applyFont="1" applyFill="1" applyBorder="1" applyAlignment="1" applyProtection="1">
      <alignment horizontal="center" vertical="center" wrapText="1"/>
    </xf>
    <xf numFmtId="0" fontId="43" fillId="32" borderId="42" xfId="49" applyFont="1" applyFill="1" applyBorder="1" applyAlignment="1" applyProtection="1">
      <alignment horizontal="center" vertical="center" wrapText="1"/>
    </xf>
    <xf numFmtId="0" fontId="43" fillId="32" borderId="34" xfId="49" applyFont="1" applyFill="1" applyBorder="1" applyAlignment="1" applyProtection="1">
      <alignment horizontal="left" vertical="center" wrapText="1"/>
    </xf>
    <xf numFmtId="0" fontId="43" fillId="32" borderId="2" xfId="49" applyFont="1" applyFill="1" applyBorder="1" applyAlignment="1" applyProtection="1">
      <alignment horizontal="center" vertical="center" wrapText="1"/>
    </xf>
    <xf numFmtId="0" fontId="43" fillId="32" borderId="65" xfId="49" applyFont="1" applyFill="1" applyBorder="1" applyAlignment="1" applyProtection="1">
      <alignment horizontal="left" vertical="center" wrapText="1"/>
    </xf>
    <xf numFmtId="0" fontId="43" fillId="32" borderId="9" xfId="49" applyFont="1" applyFill="1" applyBorder="1" applyAlignment="1" applyProtection="1">
      <alignment horizontal="left" vertical="center" wrapText="1"/>
    </xf>
    <xf numFmtId="3" fontId="43" fillId="32" borderId="9" xfId="49" applyNumberFormat="1" applyFont="1" applyFill="1" applyBorder="1" applyAlignment="1" applyProtection="1">
      <alignment horizontal="left" vertical="center" wrapText="1"/>
    </xf>
    <xf numFmtId="0" fontId="43" fillId="32" borderId="10" xfId="49" applyFont="1" applyFill="1" applyBorder="1" applyAlignment="1" applyProtection="1">
      <alignment horizontal="left" vertical="center" wrapText="1"/>
    </xf>
    <xf numFmtId="0" fontId="43" fillId="32" borderId="34" xfId="49" applyFont="1" applyFill="1" applyBorder="1" applyAlignment="1" applyProtection="1">
      <alignment horizontal="center" vertical="center" wrapText="1"/>
    </xf>
    <xf numFmtId="0" fontId="43" fillId="32" borderId="38" xfId="49" applyFont="1" applyFill="1" applyBorder="1" applyAlignment="1" applyProtection="1">
      <alignment horizontal="left" vertical="center" wrapText="1"/>
    </xf>
    <xf numFmtId="0" fontId="76" fillId="27" borderId="0" xfId="49" applyFont="1" applyFill="1" applyAlignment="1" applyProtection="1">
      <alignment vertical="center" wrapText="1"/>
    </xf>
    <xf numFmtId="167" fontId="102" fillId="27" borderId="88" xfId="49" applyNumberFormat="1" applyFont="1" applyFill="1" applyBorder="1" applyAlignment="1" applyProtection="1">
      <alignment horizontal="center" vertical="center" wrapText="1"/>
    </xf>
    <xf numFmtId="49" fontId="43" fillId="24" borderId="1" xfId="49" applyNumberFormat="1" applyFont="1" applyFill="1" applyBorder="1" applyAlignment="1" applyProtection="1">
      <alignment horizontal="center" vertical="center" wrapText="1"/>
    </xf>
    <xf numFmtId="49" fontId="43" fillId="24" borderId="1" xfId="49" applyNumberFormat="1" applyFont="1" applyFill="1" applyBorder="1" applyAlignment="1" applyProtection="1">
      <alignment vertical="center" wrapText="1"/>
    </xf>
    <xf numFmtId="3" fontId="43" fillId="31" borderId="35" xfId="49" applyNumberFormat="1" applyFont="1" applyFill="1" applyBorder="1" applyAlignment="1" applyProtection="1">
      <alignment horizontal="center" vertical="center" wrapText="1"/>
    </xf>
    <xf numFmtId="3" fontId="43" fillId="31" borderId="65" xfId="49" applyNumberFormat="1" applyFont="1" applyFill="1" applyBorder="1" applyAlignment="1" applyProtection="1">
      <alignment horizontal="center" vertical="center" wrapText="1"/>
    </xf>
    <xf numFmtId="3" fontId="43" fillId="31" borderId="9" xfId="49" applyNumberFormat="1" applyFont="1" applyFill="1" applyBorder="1" applyAlignment="1" applyProtection="1">
      <alignment horizontal="center" vertical="center" wrapText="1"/>
    </xf>
    <xf numFmtId="3" fontId="43" fillId="31" borderId="10" xfId="49" applyNumberFormat="1" applyFont="1" applyFill="1" applyBorder="1" applyAlignment="1" applyProtection="1">
      <alignment horizontal="center" vertical="center" wrapText="1"/>
    </xf>
    <xf numFmtId="3" fontId="43" fillId="31" borderId="2" xfId="49" applyNumberFormat="1" applyFont="1" applyFill="1" applyBorder="1" applyAlignment="1" applyProtection="1">
      <alignment horizontal="center" vertical="center" wrapText="1"/>
    </xf>
    <xf numFmtId="3" fontId="24" fillId="27" borderId="0" xfId="0" applyNumberFormat="1" applyFont="1" applyFill="1" applyAlignment="1" applyProtection="1">
      <alignment vertical="center" wrapText="1"/>
    </xf>
    <xf numFmtId="0" fontId="44" fillId="27" borderId="5" xfId="49" applyFont="1" applyFill="1" applyBorder="1" applyAlignment="1" applyProtection="1">
      <alignment horizontal="center" vertical="center" wrapText="1"/>
    </xf>
    <xf numFmtId="0" fontId="44" fillId="26" borderId="5" xfId="49" applyFont="1" applyFill="1" applyBorder="1" applyAlignment="1" applyProtection="1">
      <alignment horizontal="center" vertical="center" wrapText="1"/>
    </xf>
    <xf numFmtId="9" fontId="44" fillId="26" borderId="5" xfId="49" applyNumberFormat="1" applyFont="1" applyFill="1" applyBorder="1" applyAlignment="1" applyProtection="1">
      <alignment horizontal="center" vertical="center" wrapText="1"/>
    </xf>
    <xf numFmtId="0" fontId="44" fillId="26" borderId="25" xfId="49" applyFont="1" applyFill="1" applyBorder="1" applyAlignment="1" applyProtection="1">
      <alignment vertical="center" wrapText="1"/>
    </xf>
    <xf numFmtId="0" fontId="0" fillId="27" borderId="0" xfId="0" applyFill="1" applyAlignment="1" applyProtection="1">
      <alignment vertical="center" wrapText="1"/>
    </xf>
    <xf numFmtId="3" fontId="30" fillId="27" borderId="88" xfId="0" applyNumberFormat="1" applyFont="1" applyFill="1" applyBorder="1" applyAlignment="1" applyProtection="1">
      <alignment vertical="center" wrapText="1"/>
    </xf>
    <xf numFmtId="0" fontId="44" fillId="27" borderId="17" xfId="49" applyFont="1" applyFill="1" applyBorder="1" applyAlignment="1" applyProtection="1">
      <alignment horizontal="center" vertical="center" wrapText="1"/>
    </xf>
    <xf numFmtId="0" fontId="44" fillId="26" borderId="17" xfId="49" applyFont="1" applyFill="1" applyBorder="1" applyAlignment="1" applyProtection="1">
      <alignment horizontal="center" vertical="center" wrapText="1"/>
    </xf>
    <xf numFmtId="9" fontId="44" fillId="26" borderId="17" xfId="49" applyNumberFormat="1" applyFont="1" applyFill="1" applyBorder="1" applyAlignment="1" applyProtection="1">
      <alignment horizontal="center" vertical="center" wrapText="1"/>
    </xf>
    <xf numFmtId="0" fontId="44" fillId="26" borderId="24" xfId="49" applyFont="1" applyFill="1" applyBorder="1" applyAlignment="1" applyProtection="1">
      <alignment vertical="center" wrapText="1"/>
    </xf>
    <xf numFmtId="3" fontId="78" fillId="27" borderId="88" xfId="0" applyNumberFormat="1" applyFont="1" applyFill="1" applyBorder="1" applyAlignment="1" applyProtection="1">
      <alignment vertical="center" wrapText="1"/>
    </xf>
    <xf numFmtId="49" fontId="44" fillId="26" borderId="24" xfId="49" applyNumberFormat="1" applyFont="1" applyFill="1" applyBorder="1" applyAlignment="1" applyProtection="1">
      <alignment vertical="center" wrapText="1"/>
    </xf>
    <xf numFmtId="0" fontId="17" fillId="27" borderId="88" xfId="0" applyFont="1" applyFill="1" applyBorder="1" applyAlignment="1" applyProtection="1">
      <alignment vertical="center" wrapText="1"/>
    </xf>
    <xf numFmtId="9" fontId="44" fillId="26" borderId="24" xfId="49" applyNumberFormat="1" applyFont="1" applyFill="1" applyBorder="1" applyAlignment="1" applyProtection="1">
      <alignment horizontal="center" vertical="center" wrapText="1"/>
    </xf>
    <xf numFmtId="49" fontId="44" fillId="26" borderId="24" xfId="49" applyNumberFormat="1" applyFont="1" applyFill="1" applyBorder="1" applyAlignment="1" applyProtection="1">
      <alignment horizontal="right" vertical="center" wrapText="1"/>
    </xf>
    <xf numFmtId="0" fontId="30" fillId="27" borderId="0" xfId="0" applyFont="1" applyFill="1" applyAlignment="1" applyProtection="1">
      <alignment vertical="center" wrapText="1"/>
    </xf>
    <xf numFmtId="49" fontId="44" fillId="0" borderId="24" xfId="49" applyNumberFormat="1" applyFont="1" applyFill="1" applyBorder="1" applyAlignment="1" applyProtection="1">
      <alignment horizontal="left" vertical="center" wrapText="1"/>
    </xf>
    <xf numFmtId="0" fontId="44" fillId="27" borderId="24" xfId="49" applyFont="1" applyFill="1" applyBorder="1" applyAlignment="1" applyProtection="1">
      <alignment horizontal="center" vertical="center" wrapText="1"/>
    </xf>
    <xf numFmtId="0" fontId="44" fillId="26" borderId="24" xfId="49" applyFont="1" applyFill="1" applyBorder="1" applyAlignment="1" applyProtection="1">
      <alignment horizontal="center" vertical="center" wrapText="1"/>
    </xf>
    <xf numFmtId="0" fontId="44" fillId="26" borderId="24" xfId="49" applyFont="1" applyFill="1" applyBorder="1" applyAlignment="1" applyProtection="1">
      <alignment horizontal="right" vertical="center" wrapText="1"/>
    </xf>
    <xf numFmtId="49" fontId="44" fillId="26" borderId="24" xfId="49" applyNumberFormat="1" applyFont="1" applyFill="1" applyBorder="1" applyAlignment="1" applyProtection="1">
      <alignment horizontal="left" vertical="center" wrapText="1"/>
    </xf>
    <xf numFmtId="0" fontId="44" fillId="26" borderId="24" xfId="0" applyFont="1" applyFill="1" applyBorder="1" applyAlignment="1" applyProtection="1">
      <alignment horizontal="center" vertical="center" wrapText="1"/>
    </xf>
    <xf numFmtId="0" fontId="44" fillId="0" borderId="24" xfId="49" applyFont="1" applyFill="1" applyBorder="1" applyAlignment="1" applyProtection="1">
      <alignment horizontal="center" vertical="center" wrapText="1"/>
    </xf>
    <xf numFmtId="0" fontId="44" fillId="26" borderId="24" xfId="49" applyFont="1" applyFill="1" applyBorder="1" applyAlignment="1" applyProtection="1">
      <alignment horizontal="left" vertical="center" wrapText="1"/>
    </xf>
    <xf numFmtId="9" fontId="44" fillId="27" borderId="24" xfId="49" applyNumberFormat="1" applyFont="1" applyFill="1" applyBorder="1" applyAlignment="1" applyProtection="1">
      <alignment horizontal="center" vertical="center" wrapText="1"/>
    </xf>
    <xf numFmtId="0" fontId="44" fillId="26" borderId="25" xfId="0" applyFont="1" applyFill="1" applyBorder="1" applyAlignment="1" applyProtection="1">
      <alignment vertical="center" wrapText="1"/>
    </xf>
    <xf numFmtId="49" fontId="44" fillId="27" borderId="24" xfId="49" applyNumberFormat="1" applyFont="1" applyFill="1" applyBorder="1" applyAlignment="1" applyProtection="1">
      <alignment vertical="center" wrapText="1"/>
    </xf>
    <xf numFmtId="0" fontId="44" fillId="27" borderId="36" xfId="49" applyFont="1" applyFill="1" applyBorder="1" applyAlignment="1" applyProtection="1">
      <alignment horizontal="center" vertical="center" wrapText="1"/>
    </xf>
    <xf numFmtId="9" fontId="44" fillId="27" borderId="36" xfId="49" applyNumberFormat="1" applyFont="1" applyFill="1" applyBorder="1" applyAlignment="1" applyProtection="1">
      <alignment horizontal="center" vertical="center" wrapText="1"/>
    </xf>
    <xf numFmtId="49" fontId="44" fillId="27" borderId="36" xfId="49" applyNumberFormat="1" applyFont="1" applyFill="1" applyBorder="1" applyAlignment="1" applyProtection="1">
      <alignment vertical="center" wrapText="1"/>
    </xf>
    <xf numFmtId="0" fontId="43" fillId="24" borderId="1" xfId="49" applyFont="1" applyFill="1" applyBorder="1" applyAlignment="1" applyProtection="1">
      <alignment horizontal="left" vertical="center" wrapText="1"/>
    </xf>
    <xf numFmtId="1" fontId="78" fillId="27" borderId="86" xfId="0" applyNumberFormat="1" applyFont="1" applyFill="1" applyBorder="1" applyAlignment="1" applyProtection="1">
      <alignment horizontal="center" vertical="center" wrapText="1"/>
    </xf>
    <xf numFmtId="0" fontId="44" fillId="26" borderId="5" xfId="0" applyFont="1" applyFill="1" applyBorder="1" applyAlignment="1" applyProtection="1">
      <alignment horizontal="center" vertical="center" wrapText="1"/>
    </xf>
    <xf numFmtId="0" fontId="44" fillId="26" borderId="5" xfId="49" applyFont="1" applyFill="1" applyBorder="1" applyAlignment="1" applyProtection="1">
      <alignment vertical="center" wrapText="1"/>
    </xf>
    <xf numFmtId="1" fontId="0" fillId="27" borderId="0" xfId="0" applyNumberFormat="1" applyFill="1" applyAlignment="1" applyProtection="1">
      <alignment vertical="center" wrapText="1"/>
    </xf>
    <xf numFmtId="1" fontId="78" fillId="0" borderId="87" xfId="0" applyNumberFormat="1" applyFont="1" applyFill="1" applyBorder="1" applyAlignment="1" applyProtection="1">
      <alignment horizontal="center" vertical="center" wrapText="1"/>
    </xf>
    <xf numFmtId="0" fontId="44" fillId="26" borderId="17" xfId="0" applyFont="1" applyFill="1" applyBorder="1" applyAlignment="1" applyProtection="1">
      <alignment horizontal="center" vertical="center" wrapText="1"/>
    </xf>
    <xf numFmtId="0" fontId="44" fillId="26" borderId="17" xfId="49" applyFont="1" applyFill="1" applyBorder="1" applyAlignment="1" applyProtection="1">
      <alignment vertical="center" wrapText="1"/>
    </xf>
    <xf numFmtId="49" fontId="44" fillId="26" borderId="17" xfId="49" applyNumberFormat="1" applyFont="1" applyFill="1" applyBorder="1" applyAlignment="1" applyProtection="1">
      <alignment vertical="center" wrapText="1"/>
    </xf>
    <xf numFmtId="3" fontId="43" fillId="27" borderId="0" xfId="0" applyNumberFormat="1" applyFont="1" applyFill="1" applyBorder="1" applyAlignment="1" applyProtection="1">
      <alignment horizontal="center" vertical="center" wrapText="1"/>
    </xf>
    <xf numFmtId="0" fontId="30" fillId="27" borderId="88" xfId="0" applyFont="1" applyFill="1" applyBorder="1" applyAlignment="1" applyProtection="1">
      <alignment vertical="center" wrapText="1"/>
    </xf>
    <xf numFmtId="49" fontId="44" fillId="26" borderId="17" xfId="49" applyNumberFormat="1" applyFont="1" applyFill="1" applyBorder="1" applyAlignment="1" applyProtection="1">
      <alignment horizontal="right" vertical="center" wrapText="1"/>
    </xf>
    <xf numFmtId="0" fontId="15" fillId="27" borderId="88" xfId="0" applyFont="1" applyFill="1" applyBorder="1" applyAlignment="1" applyProtection="1">
      <alignment vertical="center" wrapText="1"/>
    </xf>
    <xf numFmtId="49" fontId="44" fillId="26" borderId="17" xfId="49" applyNumberFormat="1" applyFont="1" applyFill="1" applyBorder="1" applyAlignment="1" applyProtection="1">
      <alignment horizontal="left" vertical="center" wrapText="1"/>
    </xf>
    <xf numFmtId="0" fontId="44" fillId="26" borderId="17" xfId="49" applyFont="1" applyFill="1" applyBorder="1" applyAlignment="1" applyProtection="1">
      <alignment horizontal="right" vertical="center" wrapText="1"/>
    </xf>
    <xf numFmtId="0" fontId="44" fillId="26" borderId="17" xfId="49" applyFont="1" applyFill="1" applyBorder="1" applyAlignment="1" applyProtection="1">
      <alignment horizontal="left" vertical="center" wrapText="1"/>
    </xf>
    <xf numFmtId="49" fontId="44" fillId="27" borderId="17" xfId="49" applyNumberFormat="1" applyFont="1" applyFill="1" applyBorder="1" applyAlignment="1" applyProtection="1">
      <alignment vertical="center" wrapText="1"/>
    </xf>
    <xf numFmtId="0" fontId="44" fillId="27" borderId="5" xfId="0" applyFont="1" applyFill="1" applyBorder="1" applyAlignment="1" applyProtection="1">
      <alignment vertical="center" wrapText="1"/>
    </xf>
    <xf numFmtId="0" fontId="44" fillId="27" borderId="24" xfId="0" applyFont="1" applyFill="1" applyBorder="1" applyAlignment="1" applyProtection="1">
      <alignment horizontal="center" vertical="center" wrapText="1"/>
    </xf>
    <xf numFmtId="9" fontId="44" fillId="27" borderId="5" xfId="49" applyNumberFormat="1" applyFont="1" applyFill="1" applyBorder="1" applyAlignment="1" applyProtection="1">
      <alignment horizontal="center" vertical="center" wrapText="1"/>
    </xf>
    <xf numFmtId="0" fontId="44" fillId="27" borderId="36" xfId="0" applyFont="1" applyFill="1" applyBorder="1" applyAlignment="1" applyProtection="1">
      <alignment horizontal="center" vertical="center" wrapText="1"/>
    </xf>
    <xf numFmtId="49" fontId="44" fillId="27" borderId="39" xfId="49" applyNumberFormat="1" applyFont="1" applyFill="1" applyBorder="1" applyAlignment="1" applyProtection="1">
      <alignment vertical="center" wrapText="1"/>
    </xf>
    <xf numFmtId="0" fontId="44" fillId="27" borderId="5" xfId="49" applyFont="1" applyFill="1" applyBorder="1" applyAlignment="1" applyProtection="1">
      <alignment vertical="center" wrapText="1"/>
    </xf>
    <xf numFmtId="9" fontId="44" fillId="27" borderId="17" xfId="49" applyNumberFormat="1" applyFont="1" applyFill="1" applyBorder="1" applyAlignment="1" applyProtection="1">
      <alignment horizontal="center" vertical="center" wrapText="1"/>
    </xf>
    <xf numFmtId="0" fontId="44" fillId="27" borderId="17" xfId="49" applyFont="1" applyFill="1" applyBorder="1" applyAlignment="1" applyProtection="1">
      <alignment vertical="center" wrapText="1"/>
    </xf>
    <xf numFmtId="9" fontId="44" fillId="27" borderId="36" xfId="70" applyFont="1" applyFill="1" applyBorder="1" applyAlignment="1" applyProtection="1">
      <alignment horizontal="center" vertical="center" wrapText="1"/>
    </xf>
    <xf numFmtId="3" fontId="78" fillId="27" borderId="86" xfId="0" applyNumberFormat="1" applyFont="1" applyFill="1" applyBorder="1" applyAlignment="1" applyProtection="1">
      <alignment horizontal="center" vertical="center" wrapText="1"/>
    </xf>
    <xf numFmtId="3" fontId="83" fillId="27" borderId="88" xfId="0" applyNumberFormat="1" applyFont="1" applyFill="1" applyBorder="1" applyAlignment="1" applyProtection="1">
      <alignment vertical="center" wrapText="1"/>
    </xf>
    <xf numFmtId="0" fontId="54" fillId="27" borderId="0" xfId="0" applyFont="1" applyFill="1" applyAlignment="1" applyProtection="1">
      <alignment vertical="center" wrapText="1"/>
    </xf>
    <xf numFmtId="0" fontId="43" fillId="32" borderId="1" xfId="49" applyFont="1" applyFill="1" applyBorder="1" applyAlignment="1" applyProtection="1">
      <alignment horizontal="center" vertical="center" wrapText="1"/>
    </xf>
    <xf numFmtId="0" fontId="43" fillId="32" borderId="2" xfId="49" applyFont="1" applyFill="1" applyBorder="1" applyAlignment="1" applyProtection="1">
      <alignment horizontal="left" vertical="center" wrapText="1"/>
    </xf>
    <xf numFmtId="0" fontId="76" fillId="27" borderId="0" xfId="0" applyFont="1" applyFill="1" applyAlignment="1" applyProtection="1">
      <alignment vertical="center" wrapText="1"/>
    </xf>
    <xf numFmtId="9" fontId="44" fillId="26" borderId="17" xfId="49" applyNumberFormat="1" applyFont="1" applyFill="1" applyBorder="1" applyAlignment="1" applyProtection="1">
      <alignment horizontal="left" vertical="center" wrapText="1"/>
    </xf>
    <xf numFmtId="9" fontId="44" fillId="26" borderId="17" xfId="70" applyFont="1" applyFill="1" applyBorder="1" applyAlignment="1" applyProtection="1">
      <alignment horizontal="center" vertical="center" wrapText="1"/>
    </xf>
    <xf numFmtId="0" fontId="44" fillId="0" borderId="17" xfId="49" applyFont="1" applyFill="1" applyBorder="1" applyAlignment="1" applyProtection="1">
      <alignment horizontal="center" vertical="center" wrapText="1"/>
    </xf>
    <xf numFmtId="0" fontId="15" fillId="26" borderId="17" xfId="49" applyFont="1" applyFill="1" applyBorder="1" applyAlignment="1" applyProtection="1">
      <alignment horizontal="center" vertical="center"/>
    </xf>
    <xf numFmtId="49" fontId="43" fillId="24" borderId="1" xfId="49" applyNumberFormat="1" applyFont="1" applyFill="1" applyBorder="1" applyAlignment="1" applyProtection="1">
      <alignment vertical="center"/>
    </xf>
    <xf numFmtId="0" fontId="44" fillId="0" borderId="5" xfId="49" applyFont="1" applyFill="1" applyBorder="1" applyAlignment="1" applyProtection="1">
      <alignment horizontal="center" vertical="center" wrapText="1"/>
    </xf>
    <xf numFmtId="0" fontId="44" fillId="0" borderId="17" xfId="49" applyFont="1" applyFill="1" applyBorder="1" applyAlignment="1" applyProtection="1">
      <alignment vertical="center" wrapText="1"/>
    </xf>
    <xf numFmtId="0" fontId="43" fillId="36" borderId="1" xfId="49" applyFont="1" applyFill="1" applyBorder="1" applyAlignment="1" applyProtection="1">
      <alignment horizontal="center" vertical="center" wrapText="1"/>
    </xf>
    <xf numFmtId="0" fontId="43" fillId="36" borderId="1" xfId="49" applyFont="1" applyFill="1" applyBorder="1" applyAlignment="1" applyProtection="1">
      <alignment horizontal="left" vertical="center" wrapText="1"/>
    </xf>
    <xf numFmtId="0" fontId="30" fillId="27" borderId="89" xfId="0" applyFont="1" applyFill="1" applyBorder="1" applyAlignment="1" applyProtection="1">
      <alignment vertical="center" wrapText="1"/>
    </xf>
    <xf numFmtId="49" fontId="15" fillId="27" borderId="0" xfId="49" applyNumberFormat="1" applyFont="1" applyFill="1" applyBorder="1" applyAlignment="1" applyProtection="1">
      <alignment vertical="center" wrapText="1"/>
    </xf>
    <xf numFmtId="14" fontId="24" fillId="27" borderId="0" xfId="49" applyNumberFormat="1" applyFont="1" applyFill="1" applyAlignment="1" applyProtection="1">
      <alignment vertical="center"/>
    </xf>
    <xf numFmtId="0" fontId="15" fillId="27" borderId="0" xfId="49" applyNumberFormat="1" applyFont="1" applyFill="1" applyAlignment="1" applyProtection="1">
      <alignment vertical="center" wrapText="1"/>
    </xf>
    <xf numFmtId="3" fontId="15" fillId="27" borderId="0" xfId="49" applyNumberFormat="1" applyFont="1" applyFill="1" applyAlignment="1" applyProtection="1">
      <alignment vertical="center" wrapText="1"/>
    </xf>
    <xf numFmtId="0" fontId="15" fillId="27" borderId="0" xfId="0" applyNumberFormat="1" applyFont="1" applyFill="1" applyAlignment="1" applyProtection="1">
      <alignment horizontal="center" vertical="center" wrapText="1"/>
    </xf>
    <xf numFmtId="14" fontId="24" fillId="27" borderId="0" xfId="49" applyNumberFormat="1" applyFont="1" applyFill="1" applyAlignment="1" applyProtection="1">
      <alignment horizontal="center" vertical="center"/>
    </xf>
    <xf numFmtId="167" fontId="24" fillId="27" borderId="0" xfId="49" applyNumberFormat="1" applyFont="1" applyFill="1" applyAlignment="1" applyProtection="1">
      <alignment vertical="center"/>
    </xf>
    <xf numFmtId="14" fontId="90" fillId="27" borderId="0" xfId="0" applyNumberFormat="1" applyFont="1" applyFill="1" applyAlignment="1" applyProtection="1">
      <alignment horizontal="left" vertical="center"/>
    </xf>
    <xf numFmtId="0" fontId="15" fillId="27" borderId="0" xfId="0" applyFont="1" applyFill="1" applyAlignment="1" applyProtection="1">
      <alignment vertical="center" wrapText="1"/>
    </xf>
    <xf numFmtId="0" fontId="24" fillId="27" borderId="0" xfId="49" applyFont="1" applyFill="1" applyAlignment="1" applyProtection="1">
      <alignment vertical="center"/>
    </xf>
    <xf numFmtId="0" fontId="24" fillId="27" borderId="0" xfId="49" applyFont="1" applyFill="1" applyAlignment="1" applyProtection="1">
      <alignment horizontal="right" vertical="center"/>
    </xf>
    <xf numFmtId="0" fontId="15" fillId="27" borderId="0" xfId="49" applyFont="1" applyFill="1" applyAlignment="1" applyProtection="1">
      <alignment horizontal="center" vertical="center"/>
    </xf>
    <xf numFmtId="49" fontId="15" fillId="27" borderId="0" xfId="0" applyNumberFormat="1" applyFont="1" applyFill="1" applyAlignment="1" applyProtection="1">
      <alignment horizontal="right" vertical="center" wrapText="1"/>
    </xf>
    <xf numFmtId="0" fontId="39" fillId="27" borderId="0" xfId="0" applyNumberFormat="1" applyFont="1" applyFill="1" applyAlignment="1" applyProtection="1">
      <alignment horizontal="center" vertical="center" wrapText="1"/>
    </xf>
    <xf numFmtId="0" fontId="46" fillId="27" borderId="0" xfId="49" applyFont="1" applyFill="1" applyAlignment="1" applyProtection="1">
      <alignment vertical="center"/>
    </xf>
    <xf numFmtId="49" fontId="15" fillId="27" borderId="0" xfId="0" applyNumberFormat="1" applyFont="1" applyFill="1" applyAlignment="1" applyProtection="1">
      <alignment horizontal="left" vertical="center" wrapText="1"/>
    </xf>
    <xf numFmtId="0" fontId="15" fillId="27" borderId="0" xfId="49" applyFont="1" applyFill="1" applyAlignment="1" applyProtection="1">
      <alignment vertical="center"/>
    </xf>
    <xf numFmtId="0" fontId="24" fillId="27" borderId="0" xfId="0" applyNumberFormat="1" applyFont="1" applyFill="1" applyAlignment="1" applyProtection="1">
      <alignment vertical="center"/>
    </xf>
    <xf numFmtId="0" fontId="15" fillId="27" borderId="0" xfId="49" applyFont="1" applyFill="1" applyAlignment="1" applyProtection="1">
      <alignment horizontal="right" vertical="center"/>
    </xf>
    <xf numFmtId="0" fontId="15" fillId="27" borderId="0" xfId="49" applyFont="1" applyFill="1" applyAlignment="1" applyProtection="1">
      <alignment horizontal="left" vertical="center"/>
    </xf>
    <xf numFmtId="0" fontId="15" fillId="27" borderId="0" xfId="0" applyNumberFormat="1" applyFont="1" applyFill="1" applyAlignment="1" applyProtection="1">
      <alignment vertical="center" wrapText="1"/>
    </xf>
    <xf numFmtId="0" fontId="15" fillId="27" borderId="0" xfId="31" applyFont="1" applyFill="1" applyAlignment="1" applyProtection="1">
      <alignment horizontal="center" vertical="center" wrapText="1"/>
    </xf>
    <xf numFmtId="14" fontId="24" fillId="27" borderId="0" xfId="0" applyNumberFormat="1" applyFont="1" applyFill="1" applyAlignment="1" applyProtection="1">
      <alignment horizontal="right" vertical="center"/>
    </xf>
    <xf numFmtId="0" fontId="39" fillId="27" borderId="0" xfId="0" applyNumberFormat="1" applyFont="1" applyFill="1" applyAlignment="1" applyProtection="1">
      <alignment horizontal="center" vertical="center"/>
    </xf>
    <xf numFmtId="0" fontId="46" fillId="27" borderId="0" xfId="31" applyFont="1" applyFill="1" applyBorder="1" applyAlignment="1" applyProtection="1">
      <alignment horizontal="left" vertical="center" wrapText="1"/>
    </xf>
    <xf numFmtId="0" fontId="15" fillId="27" borderId="0" xfId="49" applyFont="1" applyFill="1" applyAlignment="1" applyProtection="1">
      <alignment horizontal="left" vertical="center" wrapText="1"/>
    </xf>
    <xf numFmtId="0" fontId="44" fillId="28" borderId="17" xfId="0" applyFont="1" applyFill="1" applyBorder="1" applyAlignment="1" applyProtection="1">
      <alignment horizontal="center" vertical="center" wrapText="1"/>
      <protection locked="0"/>
    </xf>
    <xf numFmtId="3" fontId="15" fillId="3" borderId="51" xfId="32" applyNumberFormat="1" applyFont="1" applyFill="1" applyBorder="1" applyAlignment="1" applyProtection="1">
      <alignment horizontal="center" vertical="center"/>
      <protection locked="0"/>
    </xf>
    <xf numFmtId="3" fontId="44" fillId="27" borderId="72" xfId="49" applyNumberFormat="1" applyFont="1" applyFill="1" applyBorder="1" applyAlignment="1" applyProtection="1">
      <alignment horizontal="center" vertical="center" wrapText="1"/>
    </xf>
    <xf numFmtId="3" fontId="44" fillId="27" borderId="73" xfId="49" applyNumberFormat="1" applyFont="1" applyFill="1" applyBorder="1" applyAlignment="1" applyProtection="1">
      <alignment horizontal="center" vertical="center" wrapText="1"/>
    </xf>
    <xf numFmtId="3" fontId="44" fillId="27" borderId="76" xfId="49" applyNumberFormat="1" applyFont="1" applyFill="1" applyBorder="1" applyAlignment="1" applyProtection="1">
      <alignment horizontal="center" vertical="center" wrapText="1"/>
    </xf>
    <xf numFmtId="3" fontId="44" fillId="27" borderId="75" xfId="49" applyNumberFormat="1" applyFont="1" applyFill="1" applyBorder="1" applyAlignment="1" applyProtection="1">
      <alignment horizontal="center" vertical="center" wrapText="1"/>
    </xf>
    <xf numFmtId="3" fontId="43" fillId="27" borderId="5" xfId="49" applyNumberFormat="1" applyFont="1" applyFill="1" applyBorder="1" applyAlignment="1" applyProtection="1">
      <alignment horizontal="center" vertical="center" wrapText="1"/>
    </xf>
    <xf numFmtId="3" fontId="43" fillId="27" borderId="32" xfId="49" applyNumberFormat="1" applyFont="1" applyFill="1" applyBorder="1" applyAlignment="1" applyProtection="1">
      <alignment horizontal="center" vertical="center" wrapText="1"/>
    </xf>
    <xf numFmtId="3" fontId="43" fillId="27" borderId="7" xfId="49" applyNumberFormat="1" applyFont="1" applyFill="1" applyBorder="1" applyAlignment="1" applyProtection="1">
      <alignment horizontal="center" vertical="center" wrapText="1"/>
    </xf>
    <xf numFmtId="3" fontId="43" fillId="27" borderId="53" xfId="49" applyNumberFormat="1" applyFont="1" applyFill="1" applyBorder="1" applyAlignment="1" applyProtection="1">
      <alignment horizontal="center" vertical="center" wrapText="1"/>
    </xf>
    <xf numFmtId="3" fontId="43" fillId="20" borderId="17" xfId="49" applyNumberFormat="1" applyFont="1" applyFill="1" applyBorder="1" applyAlignment="1" applyProtection="1">
      <alignment horizontal="center" vertical="center" wrapText="1"/>
    </xf>
    <xf numFmtId="3" fontId="43" fillId="20" borderId="32" xfId="49" applyNumberFormat="1" applyFont="1" applyFill="1" applyBorder="1" applyAlignment="1" applyProtection="1">
      <alignment horizontal="center" vertical="center" wrapText="1"/>
    </xf>
    <xf numFmtId="3" fontId="43" fillId="20" borderId="7" xfId="49" applyNumberFormat="1" applyFont="1" applyFill="1" applyBorder="1" applyAlignment="1" applyProtection="1">
      <alignment horizontal="center" vertical="center" wrapText="1"/>
    </xf>
    <xf numFmtId="3" fontId="43" fillId="20" borderId="53" xfId="49" applyNumberFormat="1" applyFont="1" applyFill="1" applyBorder="1" applyAlignment="1" applyProtection="1">
      <alignment horizontal="center" vertical="center" wrapText="1"/>
    </xf>
    <xf numFmtId="3" fontId="44" fillId="0" borderId="75" xfId="49" applyNumberFormat="1" applyFont="1" applyFill="1" applyBorder="1" applyAlignment="1" applyProtection="1">
      <alignment horizontal="center" vertical="center" wrapText="1"/>
    </xf>
    <xf numFmtId="3" fontId="44" fillId="0" borderId="76" xfId="49" applyNumberFormat="1" applyFont="1" applyFill="1" applyBorder="1" applyAlignment="1" applyProtection="1">
      <alignment horizontal="center" vertical="center" wrapText="1"/>
    </xf>
    <xf numFmtId="3" fontId="44" fillId="3" borderId="17" xfId="49" applyNumberFormat="1" applyFont="1" applyFill="1" applyBorder="1" applyAlignment="1" applyProtection="1">
      <alignment horizontal="center" vertical="center" wrapText="1"/>
      <protection locked="0"/>
    </xf>
    <xf numFmtId="3" fontId="44" fillId="0" borderId="52" xfId="49" applyNumberFormat="1" applyFont="1" applyFill="1" applyBorder="1" applyAlignment="1" applyProtection="1">
      <alignment horizontal="center" vertical="center" wrapText="1"/>
    </xf>
    <xf numFmtId="3" fontId="44" fillId="0" borderId="53" xfId="49" applyNumberFormat="1" applyFont="1" applyFill="1" applyBorder="1" applyAlignment="1" applyProtection="1">
      <alignment horizontal="center" vertical="center" wrapText="1"/>
    </xf>
    <xf numFmtId="3" fontId="43" fillId="27" borderId="17" xfId="49" applyNumberFormat="1" applyFont="1" applyFill="1" applyBorder="1" applyAlignment="1" applyProtection="1">
      <alignment horizontal="center" vertical="center" wrapText="1"/>
    </xf>
    <xf numFmtId="3" fontId="43" fillId="27" borderId="52" xfId="49" applyNumberFormat="1" applyFont="1" applyFill="1" applyBorder="1" applyAlignment="1" applyProtection="1">
      <alignment horizontal="center" vertical="center" wrapText="1"/>
    </xf>
    <xf numFmtId="3" fontId="44" fillId="27" borderId="51" xfId="49" applyNumberFormat="1" applyFont="1" applyFill="1" applyBorder="1" applyAlignment="1" applyProtection="1">
      <alignment horizontal="center" vertical="center" wrapText="1"/>
    </xf>
    <xf numFmtId="3" fontId="44" fillId="27" borderId="74" xfId="49" applyNumberFormat="1" applyFont="1" applyFill="1" applyBorder="1" applyAlignment="1" applyProtection="1">
      <alignment horizontal="center" vertical="center" wrapText="1"/>
    </xf>
    <xf numFmtId="3" fontId="44" fillId="27" borderId="62" xfId="49" applyNumberFormat="1" applyFont="1" applyFill="1" applyBorder="1" applyAlignment="1" applyProtection="1">
      <alignment horizontal="center" vertical="center" wrapText="1"/>
    </xf>
    <xf numFmtId="3" fontId="43" fillId="27" borderId="44" xfId="49" applyNumberFormat="1" applyFont="1" applyFill="1" applyBorder="1" applyAlignment="1" applyProtection="1">
      <alignment horizontal="center" vertical="center" wrapText="1"/>
    </xf>
    <xf numFmtId="3" fontId="43" fillId="27" borderId="31" xfId="49" applyNumberFormat="1" applyFont="1" applyFill="1" applyBorder="1" applyAlignment="1" applyProtection="1">
      <alignment horizontal="center" vertical="center" wrapText="1"/>
    </xf>
    <xf numFmtId="3" fontId="43" fillId="27" borderId="61" xfId="49" applyNumberFormat="1" applyFont="1" applyFill="1" applyBorder="1" applyAlignment="1" applyProtection="1">
      <alignment horizontal="center" vertical="center" wrapText="1"/>
    </xf>
    <xf numFmtId="3" fontId="43" fillId="27" borderId="62" xfId="49" applyNumberFormat="1" applyFont="1" applyFill="1" applyBorder="1" applyAlignment="1" applyProtection="1">
      <alignment horizontal="center" vertical="center" wrapText="1"/>
    </xf>
    <xf numFmtId="3" fontId="44" fillId="27" borderId="21" xfId="49" applyNumberFormat="1" applyFont="1" applyFill="1" applyBorder="1" applyAlignment="1" applyProtection="1">
      <alignment horizontal="center" vertical="center" wrapText="1"/>
    </xf>
    <xf numFmtId="3" fontId="43" fillId="32" borderId="2" xfId="49" applyNumberFormat="1" applyFont="1" applyFill="1" applyBorder="1" applyAlignment="1" applyProtection="1">
      <alignment horizontal="center" vertical="center" wrapText="1"/>
    </xf>
    <xf numFmtId="3" fontId="43" fillId="32" borderId="38" xfId="49" applyNumberFormat="1" applyFont="1" applyFill="1" applyBorder="1" applyAlignment="1" applyProtection="1">
      <alignment horizontal="left" vertical="center" wrapText="1"/>
    </xf>
    <xf numFmtId="3" fontId="43" fillId="32" borderId="10" xfId="49" applyNumberFormat="1" applyFont="1" applyFill="1" applyBorder="1" applyAlignment="1" applyProtection="1">
      <alignment horizontal="left" vertical="center" wrapText="1"/>
    </xf>
    <xf numFmtId="3" fontId="43" fillId="24" borderId="38" xfId="49" applyNumberFormat="1" applyFont="1" applyFill="1" applyBorder="1" applyAlignment="1" applyProtection="1">
      <alignment horizontal="center" vertical="center" wrapText="1"/>
    </xf>
    <xf numFmtId="3" fontId="43" fillId="24" borderId="10" xfId="49" applyNumberFormat="1" applyFont="1" applyFill="1" applyBorder="1" applyAlignment="1" applyProtection="1">
      <alignment horizontal="center" vertical="center" wrapText="1"/>
    </xf>
    <xf numFmtId="3" fontId="44" fillId="0" borderId="56" xfId="49" applyNumberFormat="1" applyFont="1" applyFill="1" applyBorder="1" applyAlignment="1" applyProtection="1">
      <alignment horizontal="center" vertical="center" wrapText="1"/>
    </xf>
    <xf numFmtId="3" fontId="44" fillId="0" borderId="57" xfId="49" applyNumberFormat="1" applyFont="1" applyFill="1" applyBorder="1" applyAlignment="1" applyProtection="1">
      <alignment horizontal="center" vertical="center" wrapText="1"/>
    </xf>
    <xf numFmtId="3" fontId="44" fillId="27" borderId="47" xfId="49" applyNumberFormat="1" applyFont="1" applyFill="1" applyBorder="1" applyAlignment="1" applyProtection="1">
      <alignment horizontal="center" vertical="center" wrapText="1"/>
    </xf>
    <xf numFmtId="3" fontId="44" fillId="27" borderId="71" xfId="49" applyNumberFormat="1" applyFont="1" applyFill="1" applyBorder="1" applyAlignment="1" applyProtection="1">
      <alignment horizontal="center" vertical="center" wrapText="1"/>
    </xf>
    <xf numFmtId="3" fontId="44" fillId="27" borderId="48" xfId="49" applyNumberFormat="1" applyFont="1" applyFill="1" applyBorder="1" applyAlignment="1" applyProtection="1">
      <alignment horizontal="center" vertical="center" wrapText="1"/>
    </xf>
    <xf numFmtId="3" fontId="44" fillId="26" borderId="51" xfId="49" applyNumberFormat="1" applyFont="1" applyFill="1" applyBorder="1" applyAlignment="1" applyProtection="1">
      <alignment horizontal="center" vertical="center" wrapText="1"/>
    </xf>
    <xf numFmtId="3" fontId="44" fillId="26" borderId="25" xfId="49" applyNumberFormat="1" applyFont="1" applyFill="1" applyBorder="1" applyAlignment="1" applyProtection="1">
      <alignment horizontal="center" vertical="center" wrapText="1"/>
    </xf>
    <xf numFmtId="3" fontId="44" fillId="26" borderId="17" xfId="49" applyNumberFormat="1" applyFont="1" applyFill="1" applyBorder="1" applyAlignment="1" applyProtection="1">
      <alignment horizontal="center" vertical="center" wrapText="1"/>
    </xf>
    <xf numFmtId="3" fontId="43" fillId="36" borderId="2" xfId="49" applyNumberFormat="1" applyFont="1" applyFill="1" applyBorder="1" applyAlignment="1" applyProtection="1">
      <alignment horizontal="center" vertical="center" wrapText="1"/>
    </xf>
    <xf numFmtId="3" fontId="43" fillId="36" borderId="65" xfId="49" applyNumberFormat="1" applyFont="1" applyFill="1" applyBorder="1" applyAlignment="1" applyProtection="1">
      <alignment horizontal="center" vertical="center" wrapText="1"/>
    </xf>
    <xf numFmtId="3" fontId="43" fillId="36" borderId="9" xfId="49" applyNumberFormat="1" applyFont="1" applyFill="1" applyBorder="1" applyAlignment="1" applyProtection="1">
      <alignment horizontal="center" vertical="center" wrapText="1"/>
    </xf>
    <xf numFmtId="3" fontId="43" fillId="36" borderId="60" xfId="49" applyNumberFormat="1" applyFont="1" applyFill="1" applyBorder="1" applyAlignment="1" applyProtection="1">
      <alignment horizontal="center" vertical="center" wrapText="1"/>
    </xf>
    <xf numFmtId="3" fontId="43" fillId="36" borderId="10" xfId="49" applyNumberFormat="1" applyFont="1" applyFill="1" applyBorder="1" applyAlignment="1" applyProtection="1">
      <alignment horizontal="center" vertical="center" wrapText="1"/>
    </xf>
    <xf numFmtId="3" fontId="16" fillId="27" borderId="0" xfId="32" applyNumberFormat="1" applyFont="1" applyFill="1" applyBorder="1" applyAlignment="1" applyProtection="1">
      <alignment horizontal="center" vertical="center"/>
    </xf>
    <xf numFmtId="3" fontId="15" fillId="27" borderId="0" xfId="49" applyNumberFormat="1" applyFont="1" applyFill="1" applyAlignment="1" applyProtection="1">
      <alignment horizontal="center"/>
    </xf>
    <xf numFmtId="3" fontId="16" fillId="27" borderId="0" xfId="49" applyNumberFormat="1" applyFont="1" applyFill="1" applyBorder="1" applyAlignment="1" applyProtection="1">
      <alignment horizontal="right" vertical="center"/>
    </xf>
    <xf numFmtId="3" fontId="16" fillId="27" borderId="0" xfId="49" applyNumberFormat="1" applyFont="1" applyFill="1" applyBorder="1" applyAlignment="1" applyProtection="1">
      <alignment vertical="center"/>
    </xf>
    <xf numFmtId="3" fontId="15" fillId="27" borderId="0" xfId="49" applyNumberFormat="1" applyFont="1" applyFill="1" applyProtection="1"/>
    <xf numFmtId="3" fontId="30" fillId="27" borderId="0" xfId="49" applyNumberFormat="1" applyFont="1" applyFill="1" applyProtection="1"/>
    <xf numFmtId="3" fontId="82" fillId="27" borderId="0" xfId="49" applyNumberFormat="1" applyFont="1" applyFill="1" applyProtection="1"/>
    <xf numFmtId="3" fontId="18" fillId="27" borderId="0" xfId="49" applyNumberFormat="1" applyFont="1" applyFill="1" applyAlignment="1" applyProtection="1">
      <alignment vertical="center" wrapText="1"/>
    </xf>
    <xf numFmtId="3" fontId="82" fillId="27" borderId="0" xfId="49" applyNumberFormat="1" applyFont="1" applyFill="1" applyAlignment="1" applyProtection="1">
      <alignment vertical="center"/>
    </xf>
    <xf numFmtId="3" fontId="18" fillId="27" borderId="0" xfId="49" applyNumberFormat="1" applyFont="1" applyFill="1" applyAlignment="1" applyProtection="1">
      <alignment wrapText="1"/>
    </xf>
    <xf numFmtId="3" fontId="23" fillId="27" borderId="0" xfId="49" applyNumberFormat="1" applyFont="1" applyFill="1" applyBorder="1" applyAlignment="1" applyProtection="1">
      <alignment vertical="center"/>
    </xf>
    <xf numFmtId="3" fontId="23" fillId="27" borderId="0" xfId="49" applyNumberFormat="1" applyFont="1" applyFill="1" applyBorder="1" applyAlignment="1" applyProtection="1">
      <alignment horizontal="center" vertical="center"/>
    </xf>
    <xf numFmtId="3" fontId="30" fillId="0" borderId="1" xfId="0" applyNumberFormat="1" applyFont="1" applyFill="1" applyBorder="1" applyAlignment="1" applyProtection="1"/>
    <xf numFmtId="3" fontId="15" fillId="0" borderId="2" xfId="32" applyNumberFormat="1" applyFont="1" applyFill="1" applyBorder="1" applyAlignment="1" applyProtection="1">
      <alignment horizontal="right"/>
    </xf>
    <xf numFmtId="3" fontId="24" fillId="0" borderId="2" xfId="32" applyNumberFormat="1" applyFont="1" applyFill="1" applyBorder="1" applyAlignment="1" applyProtection="1">
      <alignment horizontal="center"/>
    </xf>
    <xf numFmtId="3" fontId="24" fillId="0" borderId="0" xfId="49" applyNumberFormat="1" applyFont="1" applyFill="1" applyBorder="1" applyAlignment="1" applyProtection="1">
      <alignment horizontal="center" vertical="center"/>
    </xf>
    <xf numFmtId="3" fontId="99" fillId="27" borderId="0" xfId="49" applyNumberFormat="1" applyFont="1" applyFill="1" applyBorder="1" applyAlignment="1" applyProtection="1">
      <alignment vertical="center"/>
    </xf>
    <xf numFmtId="3" fontId="30" fillId="0" borderId="1" xfId="0" applyNumberFormat="1" applyFont="1" applyFill="1" applyBorder="1" applyAlignment="1" applyProtection="1">
      <alignment horizontal="right"/>
    </xf>
    <xf numFmtId="3" fontId="98" fillId="27" borderId="0" xfId="49" applyNumberFormat="1" applyFont="1" applyFill="1" applyAlignment="1" applyProtection="1"/>
    <xf numFmtId="3" fontId="46" fillId="0" borderId="0" xfId="31" applyNumberFormat="1" applyFont="1" applyAlignment="1" applyProtection="1">
      <alignment horizontal="right"/>
    </xf>
    <xf numFmtId="3" fontId="43" fillId="38" borderId="1" xfId="21" applyNumberFormat="1" applyFont="1" applyFill="1" applyBorder="1" applyProtection="1">
      <alignment horizontal="center" vertical="center" wrapText="1"/>
    </xf>
    <xf numFmtId="3" fontId="43" fillId="38" borderId="38" xfId="21" applyNumberFormat="1" applyFont="1" applyFill="1" applyBorder="1" applyProtection="1">
      <alignment horizontal="center" vertical="center" wrapText="1"/>
    </xf>
    <xf numFmtId="3" fontId="43" fillId="38" borderId="9" xfId="21" applyNumberFormat="1" applyFont="1" applyFill="1" applyBorder="1" applyProtection="1">
      <alignment horizontal="center" vertical="center" wrapText="1"/>
    </xf>
    <xf numFmtId="3" fontId="43" fillId="38" borderId="10" xfId="21" applyNumberFormat="1" applyFont="1" applyFill="1" applyBorder="1" applyProtection="1">
      <alignment horizontal="center" vertical="center" wrapText="1"/>
    </xf>
    <xf numFmtId="3" fontId="43" fillId="38" borderId="2" xfId="21" applyNumberFormat="1" applyFont="1" applyFill="1" applyBorder="1" applyProtection="1">
      <alignment horizontal="center" vertical="center" wrapText="1"/>
    </xf>
    <xf numFmtId="3" fontId="43" fillId="38" borderId="65" xfId="21" applyNumberFormat="1" applyFont="1" applyFill="1" applyBorder="1" applyProtection="1">
      <alignment horizontal="center" vertical="center" wrapText="1"/>
    </xf>
    <xf numFmtId="3" fontId="43" fillId="24" borderId="1" xfId="49" applyNumberFormat="1" applyFont="1" applyFill="1" applyBorder="1" applyAlignment="1" applyProtection="1">
      <alignment horizontal="center" vertical="center"/>
    </xf>
    <xf numFmtId="3" fontId="43" fillId="24" borderId="1" xfId="49" applyNumberFormat="1" applyFont="1" applyFill="1" applyBorder="1" applyAlignment="1" applyProtection="1">
      <alignment vertical="center"/>
    </xf>
    <xf numFmtId="3" fontId="43" fillId="31" borderId="1" xfId="49" applyNumberFormat="1" applyFont="1" applyFill="1" applyBorder="1" applyAlignment="1" applyProtection="1">
      <alignment horizontal="center" wrapText="1"/>
    </xf>
    <xf numFmtId="3" fontId="43" fillId="31" borderId="38" xfId="49" applyNumberFormat="1" applyFont="1" applyFill="1" applyBorder="1" applyAlignment="1" applyProtection="1">
      <alignment horizontal="center" wrapText="1"/>
    </xf>
    <xf numFmtId="3" fontId="43" fillId="31" borderId="9" xfId="49" applyNumberFormat="1" applyFont="1" applyFill="1" applyBorder="1" applyAlignment="1" applyProtection="1">
      <alignment horizontal="center" wrapText="1"/>
    </xf>
    <xf numFmtId="3" fontId="43" fillId="31" borderId="10" xfId="49" applyNumberFormat="1" applyFont="1" applyFill="1" applyBorder="1" applyAlignment="1" applyProtection="1">
      <alignment horizontal="center" wrapText="1"/>
    </xf>
    <xf numFmtId="3" fontId="43" fillId="31" borderId="2" xfId="49" applyNumberFormat="1" applyFont="1" applyFill="1" applyBorder="1" applyAlignment="1" applyProtection="1">
      <alignment horizontal="center" wrapText="1"/>
    </xf>
    <xf numFmtId="3" fontId="43" fillId="31" borderId="65" xfId="49" applyNumberFormat="1" applyFont="1" applyFill="1" applyBorder="1" applyAlignment="1" applyProtection="1">
      <alignment horizontal="center" wrapText="1"/>
    </xf>
    <xf numFmtId="3" fontId="57" fillId="27" borderId="0" xfId="49" applyNumberFormat="1" applyFont="1" applyFill="1" applyProtection="1"/>
    <xf numFmtId="3" fontId="43" fillId="27" borderId="51" xfId="49" applyNumberFormat="1" applyFont="1" applyFill="1" applyBorder="1" applyAlignment="1" applyProtection="1">
      <alignment horizontal="center" vertical="center"/>
    </xf>
    <xf numFmtId="3" fontId="43" fillId="27" borderId="51" xfId="49" applyNumberFormat="1" applyFont="1" applyFill="1" applyBorder="1" applyAlignment="1" applyProtection="1">
      <alignment wrapText="1"/>
    </xf>
    <xf numFmtId="3" fontId="43" fillId="0" borderId="29" xfId="49" applyNumberFormat="1" applyFont="1" applyFill="1" applyBorder="1" applyAlignment="1" applyProtection="1">
      <alignment horizontal="center" vertical="center" wrapText="1"/>
    </xf>
    <xf numFmtId="3" fontId="43" fillId="27" borderId="75" xfId="49" applyNumberFormat="1" applyFont="1" applyFill="1" applyBorder="1" applyAlignment="1" applyProtection="1">
      <alignment horizontal="center" vertical="center" wrapText="1"/>
    </xf>
    <xf numFmtId="3" fontId="43" fillId="27" borderId="73" xfId="49" applyNumberFormat="1" applyFont="1" applyFill="1" applyBorder="1" applyAlignment="1" applyProtection="1">
      <alignment horizontal="center" vertical="center" wrapText="1"/>
    </xf>
    <xf numFmtId="3" fontId="43" fillId="27" borderId="76" xfId="49" applyNumberFormat="1" applyFont="1" applyFill="1" applyBorder="1" applyAlignment="1" applyProtection="1">
      <alignment horizontal="center" vertical="center" wrapText="1"/>
    </xf>
    <xf numFmtId="3" fontId="43" fillId="0" borderId="51" xfId="49" applyNumberFormat="1" applyFont="1" applyFill="1" applyBorder="1" applyAlignment="1" applyProtection="1">
      <alignment horizontal="center" vertical="center" wrapText="1"/>
    </xf>
    <xf numFmtId="3" fontId="43" fillId="27" borderId="72" xfId="49" applyNumberFormat="1" applyFont="1" applyFill="1" applyBorder="1" applyAlignment="1" applyProtection="1">
      <alignment horizontal="center" vertical="center" wrapText="1"/>
    </xf>
    <xf numFmtId="3" fontId="71" fillId="27" borderId="0" xfId="49" applyNumberFormat="1" applyFont="1" applyFill="1" applyProtection="1"/>
    <xf numFmtId="3" fontId="44" fillId="27" borderId="5" xfId="49" applyNumberFormat="1" applyFont="1" applyFill="1" applyBorder="1" applyAlignment="1" applyProtection="1">
      <alignment horizontal="center" vertical="center"/>
    </xf>
    <xf numFmtId="3" fontId="44" fillId="27" borderId="5" xfId="49" applyNumberFormat="1" applyFont="1" applyFill="1" applyBorder="1" applyAlignment="1" applyProtection="1">
      <alignment wrapText="1"/>
    </xf>
    <xf numFmtId="3" fontId="44" fillId="0" borderId="25" xfId="49" applyNumberFormat="1" applyFont="1" applyFill="1" applyBorder="1" applyAlignment="1" applyProtection="1">
      <alignment horizontal="center" vertical="center" wrapText="1"/>
    </xf>
    <xf numFmtId="3" fontId="44" fillId="27" borderId="6" xfId="49" applyNumberFormat="1" applyFont="1" applyFill="1" applyBorder="1" applyAlignment="1" applyProtection="1">
      <alignment horizontal="center" vertical="center" wrapText="1"/>
    </xf>
    <xf numFmtId="3" fontId="44" fillId="26" borderId="44" xfId="49" applyNumberFormat="1" applyFont="1" applyFill="1" applyBorder="1" applyAlignment="1" applyProtection="1">
      <alignment horizontal="center" vertical="center" wrapText="1"/>
    </xf>
    <xf numFmtId="3" fontId="44" fillId="27" borderId="15" xfId="49" applyNumberFormat="1" applyFont="1" applyFill="1" applyBorder="1" applyAlignment="1" applyProtection="1">
      <alignment horizontal="center" vertical="center" wrapText="1"/>
    </xf>
    <xf numFmtId="3" fontId="78" fillId="27" borderId="0" xfId="49" applyNumberFormat="1" applyFont="1" applyFill="1" applyProtection="1"/>
    <xf numFmtId="3" fontId="44" fillId="26" borderId="17" xfId="49" applyNumberFormat="1" applyFont="1" applyFill="1" applyBorder="1" applyAlignment="1" applyProtection="1">
      <alignment vertical="center" wrapText="1"/>
    </xf>
    <xf numFmtId="3" fontId="43" fillId="27" borderId="17" xfId="49" applyNumberFormat="1" applyFont="1" applyFill="1" applyBorder="1" applyAlignment="1" applyProtection="1">
      <alignment horizontal="center" vertical="center"/>
    </xf>
    <xf numFmtId="3" fontId="43" fillId="26" borderId="17" xfId="49" applyNumberFormat="1" applyFont="1" applyFill="1" applyBorder="1" applyAlignment="1" applyProtection="1">
      <alignment wrapText="1"/>
    </xf>
    <xf numFmtId="3" fontId="43" fillId="27" borderId="24" xfId="49" applyNumberFormat="1" applyFont="1" applyFill="1" applyBorder="1" applyAlignment="1" applyProtection="1">
      <alignment horizontal="center" vertical="center"/>
    </xf>
    <xf numFmtId="3" fontId="43" fillId="27" borderId="52" xfId="49" applyNumberFormat="1" applyFont="1" applyFill="1" applyBorder="1" applyAlignment="1" applyProtection="1">
      <alignment horizontal="center" vertical="center"/>
    </xf>
    <xf numFmtId="3" fontId="43" fillId="27" borderId="7" xfId="49" applyNumberFormat="1" applyFont="1" applyFill="1" applyBorder="1" applyAlignment="1" applyProtection="1">
      <alignment horizontal="center" vertical="center"/>
    </xf>
    <xf numFmtId="3" fontId="43" fillId="27" borderId="53" xfId="49" applyNumberFormat="1" applyFont="1" applyFill="1" applyBorder="1" applyAlignment="1" applyProtection="1">
      <alignment horizontal="center" vertical="center"/>
    </xf>
    <xf numFmtId="3" fontId="43" fillId="27" borderId="32" xfId="49" applyNumberFormat="1" applyFont="1" applyFill="1" applyBorder="1" applyAlignment="1" applyProtection="1">
      <alignment horizontal="center" vertical="center"/>
    </xf>
    <xf numFmtId="3" fontId="44" fillId="27" borderId="17" xfId="49" applyNumberFormat="1" applyFont="1" applyFill="1" applyBorder="1" applyAlignment="1" applyProtection="1">
      <alignment horizontal="center" vertical="center"/>
    </xf>
    <xf numFmtId="3" fontId="44" fillId="26" borderId="17" xfId="49" applyNumberFormat="1" applyFont="1" applyFill="1" applyBorder="1" applyAlignment="1" applyProtection="1">
      <alignment horizontal="left" vertical="center"/>
    </xf>
    <xf numFmtId="3" fontId="43" fillId="27" borderId="17" xfId="49" applyNumberFormat="1" applyFont="1" applyFill="1" applyBorder="1" applyAlignment="1" applyProtection="1">
      <alignment horizontal="center"/>
    </xf>
    <xf numFmtId="3" fontId="71" fillId="27" borderId="0" xfId="49" applyNumberFormat="1" applyFont="1" applyFill="1" applyAlignment="1" applyProtection="1">
      <alignment vertical="center"/>
    </xf>
    <xf numFmtId="3" fontId="44" fillId="26" borderId="17" xfId="49" applyNumberFormat="1" applyFont="1" applyFill="1" applyBorder="1" applyAlignment="1" applyProtection="1">
      <alignment horizontal="left" wrapText="1"/>
    </xf>
    <xf numFmtId="3" fontId="44" fillId="33" borderId="24" xfId="49" applyNumberFormat="1" applyFont="1" applyFill="1" applyBorder="1" applyAlignment="1" applyProtection="1">
      <alignment horizontal="center" vertical="center"/>
    </xf>
    <xf numFmtId="3" fontId="44" fillId="33" borderId="52" xfId="49" applyNumberFormat="1" applyFont="1" applyFill="1" applyBorder="1" applyAlignment="1" applyProtection="1">
      <alignment horizontal="center" vertical="center"/>
    </xf>
    <xf numFmtId="3" fontId="44" fillId="33" borderId="7" xfId="49" applyNumberFormat="1" applyFont="1" applyFill="1" applyBorder="1" applyAlignment="1" applyProtection="1">
      <alignment horizontal="center" vertical="center"/>
    </xf>
    <xf numFmtId="3" fontId="44" fillId="33" borderId="53" xfId="49" applyNumberFormat="1" applyFont="1" applyFill="1" applyBorder="1" applyAlignment="1" applyProtection="1">
      <alignment horizontal="center" vertical="center"/>
    </xf>
    <xf numFmtId="3" fontId="44" fillId="33" borderId="17" xfId="49" applyNumberFormat="1" applyFont="1" applyFill="1" applyBorder="1" applyAlignment="1" applyProtection="1">
      <alignment horizontal="center" vertical="center"/>
    </xf>
    <xf numFmtId="3" fontId="44" fillId="33" borderId="32" xfId="49" applyNumberFormat="1" applyFont="1" applyFill="1" applyBorder="1" applyAlignment="1" applyProtection="1">
      <alignment horizontal="center" vertical="center"/>
    </xf>
    <xf numFmtId="3" fontId="45" fillId="26" borderId="17" xfId="49" applyNumberFormat="1" applyFont="1" applyFill="1" applyBorder="1" applyAlignment="1" applyProtection="1">
      <alignment horizontal="right" wrapText="1"/>
    </xf>
    <xf numFmtId="3" fontId="43" fillId="26" borderId="17" xfId="49" applyNumberFormat="1" applyFont="1" applyFill="1" applyBorder="1" applyAlignment="1" applyProtection="1">
      <alignment horizontal="left" wrapText="1"/>
    </xf>
    <xf numFmtId="3" fontId="45" fillId="26" borderId="17" xfId="49" applyNumberFormat="1" applyFont="1" applyFill="1" applyBorder="1" applyAlignment="1" applyProtection="1">
      <alignment horizontal="right" vertical="center" wrapText="1"/>
    </xf>
    <xf numFmtId="3" fontId="15" fillId="26" borderId="17" xfId="49" applyNumberFormat="1" applyFont="1" applyFill="1" applyBorder="1" applyAlignment="1" applyProtection="1">
      <alignment horizontal="left" wrapText="1"/>
    </xf>
    <xf numFmtId="3" fontId="43" fillId="20" borderId="24" xfId="49" applyNumberFormat="1" applyFont="1" applyFill="1" applyBorder="1" applyAlignment="1" applyProtection="1">
      <alignment horizontal="center" vertical="center"/>
    </xf>
    <xf numFmtId="3" fontId="43" fillId="20" borderId="52" xfId="49" applyNumberFormat="1" applyFont="1" applyFill="1" applyBorder="1" applyAlignment="1" applyProtection="1">
      <alignment horizontal="center" vertical="center"/>
    </xf>
    <xf numFmtId="3" fontId="43" fillId="20" borderId="7" xfId="49" applyNumberFormat="1" applyFont="1" applyFill="1" applyBorder="1" applyAlignment="1" applyProtection="1">
      <alignment horizontal="center" vertical="center"/>
    </xf>
    <xf numFmtId="3" fontId="43" fillId="20" borderId="53" xfId="49" applyNumberFormat="1" applyFont="1" applyFill="1" applyBorder="1" applyAlignment="1" applyProtection="1">
      <alignment horizontal="center" vertical="center"/>
    </xf>
    <xf numFmtId="3" fontId="43" fillId="20" borderId="17" xfId="49" applyNumberFormat="1" applyFont="1" applyFill="1" applyBorder="1" applyAlignment="1" applyProtection="1">
      <alignment horizontal="center" vertical="center"/>
    </xf>
    <xf numFmtId="3" fontId="43" fillId="20" borderId="32" xfId="49" applyNumberFormat="1" applyFont="1" applyFill="1" applyBorder="1" applyAlignment="1" applyProtection="1">
      <alignment horizontal="center" vertical="center"/>
    </xf>
    <xf numFmtId="3" fontId="44" fillId="27" borderId="24" xfId="49" applyNumberFormat="1" applyFont="1" applyFill="1" applyBorder="1" applyAlignment="1" applyProtection="1">
      <alignment horizontal="center" vertical="center"/>
    </xf>
    <xf numFmtId="3" fontId="44" fillId="26" borderId="17" xfId="49" applyNumberFormat="1" applyFont="1" applyFill="1" applyBorder="1" applyAlignment="1" applyProtection="1">
      <alignment horizontal="left" vertical="center" wrapText="1"/>
    </xf>
    <xf numFmtId="3" fontId="43" fillId="26" borderId="17" xfId="49" applyNumberFormat="1" applyFont="1" applyFill="1" applyBorder="1" applyAlignment="1" applyProtection="1">
      <alignment horizontal="left" vertical="center" wrapText="1"/>
    </xf>
    <xf numFmtId="3" fontId="43" fillId="27" borderId="30" xfId="49" applyNumberFormat="1" applyFont="1" applyFill="1" applyBorder="1" applyAlignment="1" applyProtection="1">
      <alignment horizontal="center" vertical="center"/>
    </xf>
    <xf numFmtId="3" fontId="43" fillId="27" borderId="21" xfId="49" applyNumberFormat="1" applyFont="1" applyFill="1" applyBorder="1" applyAlignment="1" applyProtection="1">
      <alignment wrapText="1"/>
    </xf>
    <xf numFmtId="3" fontId="44" fillId="0" borderId="42" xfId="49" applyNumberFormat="1" applyFont="1" applyFill="1" applyBorder="1" applyAlignment="1" applyProtection="1">
      <alignment horizontal="center" vertical="center" wrapText="1"/>
    </xf>
    <xf numFmtId="3" fontId="43" fillId="27" borderId="56" xfId="49" applyNumberFormat="1" applyFont="1" applyFill="1" applyBorder="1" applyAlignment="1" applyProtection="1">
      <alignment horizontal="center" vertical="center" wrapText="1"/>
    </xf>
    <xf numFmtId="3" fontId="43" fillId="27" borderId="77" xfId="49" applyNumberFormat="1" applyFont="1" applyFill="1" applyBorder="1" applyAlignment="1" applyProtection="1">
      <alignment horizontal="center" vertical="center" wrapText="1"/>
    </xf>
    <xf numFmtId="3" fontId="43" fillId="27" borderId="78" xfId="49" applyNumberFormat="1" applyFont="1" applyFill="1" applyBorder="1" applyAlignment="1" applyProtection="1">
      <alignment horizontal="center" vertical="center" wrapText="1"/>
    </xf>
    <xf numFmtId="3" fontId="44" fillId="0" borderId="34" xfId="49" applyNumberFormat="1" applyFont="1" applyFill="1" applyBorder="1" applyAlignment="1" applyProtection="1">
      <alignment horizontal="center" vertical="center" wrapText="1"/>
    </xf>
    <xf numFmtId="3" fontId="43" fillId="27" borderId="57" xfId="49" applyNumberFormat="1" applyFont="1" applyFill="1" applyBorder="1" applyAlignment="1" applyProtection="1">
      <alignment horizontal="center" vertical="center" wrapText="1"/>
    </xf>
    <xf numFmtId="3" fontId="43" fillId="27" borderId="79" xfId="49" applyNumberFormat="1" applyFont="1" applyFill="1" applyBorder="1" applyAlignment="1" applyProtection="1">
      <alignment horizontal="center" vertical="center" wrapText="1"/>
    </xf>
    <xf numFmtId="3" fontId="43" fillId="31" borderId="60" xfId="49" applyNumberFormat="1" applyFont="1" applyFill="1" applyBorder="1" applyAlignment="1" applyProtection="1">
      <alignment horizontal="center" wrapText="1"/>
    </xf>
    <xf numFmtId="3" fontId="43" fillId="27" borderId="5" xfId="49" applyNumberFormat="1" applyFont="1" applyFill="1" applyBorder="1" applyAlignment="1" applyProtection="1">
      <alignment horizontal="center" vertical="center"/>
    </xf>
    <xf numFmtId="3" fontId="43" fillId="27" borderId="5" xfId="49" applyNumberFormat="1" applyFont="1" applyFill="1" applyBorder="1" applyAlignment="1" applyProtection="1">
      <alignment wrapText="1"/>
    </xf>
    <xf numFmtId="3" fontId="43" fillId="0" borderId="25" xfId="49" applyNumberFormat="1" applyFont="1" applyFill="1" applyBorder="1" applyAlignment="1" applyProtection="1">
      <alignment horizontal="center" vertical="center" wrapText="1"/>
    </xf>
    <xf numFmtId="3" fontId="43" fillId="0" borderId="75" xfId="49" applyNumberFormat="1" applyFont="1" applyFill="1" applyBorder="1" applyAlignment="1" applyProtection="1">
      <alignment horizontal="center" vertical="center" wrapText="1"/>
    </xf>
    <xf numFmtId="3" fontId="43" fillId="0" borderId="73" xfId="49" applyNumberFormat="1" applyFont="1" applyFill="1" applyBorder="1" applyAlignment="1" applyProtection="1">
      <alignment horizontal="center" vertical="center" wrapText="1"/>
    </xf>
    <xf numFmtId="3" fontId="43" fillId="0" borderId="74" xfId="49" applyNumberFormat="1" applyFont="1" applyFill="1" applyBorder="1" applyAlignment="1" applyProtection="1">
      <alignment horizontal="center" vertical="center" wrapText="1"/>
    </xf>
    <xf numFmtId="3" fontId="43" fillId="0" borderId="76" xfId="49" applyNumberFormat="1" applyFont="1" applyFill="1" applyBorder="1" applyAlignment="1" applyProtection="1">
      <alignment horizontal="center" vertical="center" wrapText="1"/>
    </xf>
    <xf numFmtId="3" fontId="43" fillId="0" borderId="72" xfId="49" applyNumberFormat="1" applyFont="1" applyFill="1" applyBorder="1" applyAlignment="1" applyProtection="1">
      <alignment horizontal="center" vertical="center" wrapText="1"/>
    </xf>
    <xf numFmtId="3" fontId="71" fillId="0" borderId="0" xfId="49" applyNumberFormat="1" applyFont="1" applyFill="1" applyProtection="1"/>
    <xf numFmtId="3" fontId="44" fillId="0" borderId="62" xfId="49" applyNumberFormat="1" applyFont="1" applyFill="1" applyBorder="1" applyAlignment="1" applyProtection="1">
      <alignment horizontal="center" vertical="center" wrapText="1"/>
    </xf>
    <xf numFmtId="3" fontId="78" fillId="0" borderId="0" xfId="49" applyNumberFormat="1" applyFont="1" applyFill="1" applyProtection="1"/>
    <xf numFmtId="3" fontId="44" fillId="27" borderId="17" xfId="49" applyNumberFormat="1" applyFont="1" applyFill="1" applyBorder="1" applyAlignment="1" applyProtection="1">
      <alignment vertical="center" wrapText="1"/>
    </xf>
    <xf numFmtId="3" fontId="96" fillId="0" borderId="0" xfId="49" applyNumberFormat="1" applyFont="1" applyFill="1" applyAlignment="1" applyProtection="1">
      <alignment horizontal="right"/>
    </xf>
    <xf numFmtId="3" fontId="43" fillId="27" borderId="17" xfId="49" applyNumberFormat="1" applyFont="1" applyFill="1" applyBorder="1" applyAlignment="1" applyProtection="1">
      <alignment wrapText="1"/>
    </xf>
    <xf numFmtId="3" fontId="43" fillId="0" borderId="24" xfId="49" applyNumberFormat="1" applyFont="1" applyFill="1" applyBorder="1" applyAlignment="1" applyProtection="1">
      <alignment horizontal="center" vertical="center"/>
    </xf>
    <xf numFmtId="3" fontId="43" fillId="0" borderId="52" xfId="49" applyNumberFormat="1" applyFont="1" applyFill="1" applyBorder="1" applyAlignment="1" applyProtection="1">
      <alignment horizontal="center" vertical="center"/>
    </xf>
    <xf numFmtId="3" fontId="43" fillId="0" borderId="7" xfId="49" applyNumberFormat="1" applyFont="1" applyFill="1" applyBorder="1" applyAlignment="1" applyProtection="1">
      <alignment horizontal="center" vertical="center"/>
    </xf>
    <xf numFmtId="3" fontId="43" fillId="0" borderId="62" xfId="49" applyNumberFormat="1" applyFont="1" applyFill="1" applyBorder="1" applyAlignment="1" applyProtection="1">
      <alignment horizontal="center" vertical="center"/>
    </xf>
    <xf numFmtId="3" fontId="43" fillId="0" borderId="17" xfId="49" applyNumberFormat="1" applyFont="1" applyFill="1" applyBorder="1" applyAlignment="1" applyProtection="1">
      <alignment horizontal="center" vertical="center"/>
    </xf>
    <xf numFmtId="3" fontId="43" fillId="0" borderId="53" xfId="49" applyNumberFormat="1" applyFont="1" applyFill="1" applyBorder="1" applyAlignment="1" applyProtection="1">
      <alignment horizontal="center" vertical="center"/>
    </xf>
    <xf numFmtId="3" fontId="43" fillId="0" borderId="32" xfId="49" applyNumberFormat="1" applyFont="1" applyFill="1" applyBorder="1" applyAlignment="1" applyProtection="1">
      <alignment horizontal="center" vertical="center"/>
    </xf>
    <xf numFmtId="3" fontId="97" fillId="0" borderId="0" xfId="49" applyNumberFormat="1" applyFont="1" applyFill="1" applyAlignment="1" applyProtection="1">
      <alignment horizontal="right"/>
    </xf>
    <xf numFmtId="3" fontId="44" fillId="27" borderId="17" xfId="49" applyNumberFormat="1" applyFont="1" applyFill="1" applyBorder="1" applyAlignment="1" applyProtection="1">
      <alignment horizontal="left" vertical="center"/>
    </xf>
    <xf numFmtId="3" fontId="78" fillId="0" borderId="0" xfId="49" applyNumberFormat="1" applyFont="1" applyFill="1" applyAlignment="1" applyProtection="1">
      <alignment horizontal="right"/>
    </xf>
    <xf numFmtId="3" fontId="44" fillId="27" borderId="17" xfId="49" applyNumberFormat="1" applyFont="1" applyFill="1" applyBorder="1" applyAlignment="1" applyProtection="1">
      <alignment horizontal="left" wrapText="1"/>
    </xf>
    <xf numFmtId="3" fontId="30" fillId="0" borderId="0" xfId="49" applyNumberFormat="1" applyFont="1" applyFill="1" applyProtection="1"/>
    <xf numFmtId="3" fontId="44" fillId="33" borderId="62" xfId="49" applyNumberFormat="1" applyFont="1" applyFill="1" applyBorder="1" applyAlignment="1" applyProtection="1">
      <alignment horizontal="center" vertical="center"/>
    </xf>
    <xf numFmtId="3" fontId="45" fillId="27" borderId="17" xfId="49" applyNumberFormat="1" applyFont="1" applyFill="1" applyBorder="1" applyAlignment="1" applyProtection="1">
      <alignment horizontal="center" vertical="center"/>
    </xf>
    <xf numFmtId="3" fontId="45" fillId="27" borderId="17" xfId="49" applyNumberFormat="1" applyFont="1" applyFill="1" applyBorder="1" applyAlignment="1" applyProtection="1">
      <alignment horizontal="right" wrapText="1"/>
    </xf>
    <xf numFmtId="3" fontId="45" fillId="0" borderId="52" xfId="49" applyNumberFormat="1" applyFont="1" applyFill="1" applyBorder="1" applyAlignment="1" applyProtection="1">
      <alignment horizontal="center" vertical="center" wrapText="1"/>
    </xf>
    <xf numFmtId="3" fontId="45" fillId="27" borderId="7" xfId="49" applyNumberFormat="1" applyFont="1" applyFill="1" applyBorder="1" applyAlignment="1" applyProtection="1">
      <alignment horizontal="center" vertical="center" wrapText="1"/>
    </xf>
    <xf numFmtId="3" fontId="45" fillId="27" borderId="62" xfId="49" applyNumberFormat="1" applyFont="1" applyFill="1" applyBorder="1" applyAlignment="1" applyProtection="1">
      <alignment horizontal="center" vertical="center" wrapText="1"/>
    </xf>
    <xf numFmtId="3" fontId="45" fillId="27" borderId="52" xfId="49" applyNumberFormat="1" applyFont="1" applyFill="1" applyBorder="1" applyAlignment="1" applyProtection="1">
      <alignment horizontal="center" vertical="center" wrapText="1"/>
    </xf>
    <xf numFmtId="3" fontId="45" fillId="27" borderId="53" xfId="49" applyNumberFormat="1" applyFont="1" applyFill="1" applyBorder="1" applyAlignment="1" applyProtection="1">
      <alignment horizontal="center" vertical="center" wrapText="1"/>
    </xf>
    <xf numFmtId="3" fontId="45" fillId="27" borderId="32" xfId="49" applyNumberFormat="1" applyFont="1" applyFill="1" applyBorder="1" applyAlignment="1" applyProtection="1">
      <alignment horizontal="center" vertical="center" wrapText="1"/>
    </xf>
    <xf numFmtId="3" fontId="40" fillId="27" borderId="0" xfId="49" applyNumberFormat="1" applyFont="1" applyFill="1" applyProtection="1"/>
    <xf numFmtId="3" fontId="43" fillId="0" borderId="52" xfId="49" applyNumberFormat="1" applyFont="1" applyFill="1" applyBorder="1" applyAlignment="1" applyProtection="1">
      <alignment horizontal="center" vertical="center" wrapText="1"/>
    </xf>
    <xf numFmtId="3" fontId="43" fillId="0" borderId="62" xfId="49" applyNumberFormat="1" applyFont="1" applyFill="1" applyBorder="1" applyAlignment="1" applyProtection="1">
      <alignment horizontal="center" vertical="center" wrapText="1"/>
    </xf>
    <xf numFmtId="3" fontId="43" fillId="0" borderId="53" xfId="49" applyNumberFormat="1" applyFont="1" applyFill="1" applyBorder="1" applyAlignment="1" applyProtection="1">
      <alignment horizontal="center" vertical="center" wrapText="1"/>
    </xf>
    <xf numFmtId="3" fontId="43" fillId="0" borderId="5" xfId="49" applyNumberFormat="1" applyFont="1" applyFill="1" applyBorder="1" applyAlignment="1" applyProtection="1">
      <alignment horizontal="center" vertical="center" wrapText="1"/>
    </xf>
    <xf numFmtId="3" fontId="43" fillId="27" borderId="36" xfId="49" applyNumberFormat="1" applyFont="1" applyFill="1" applyBorder="1" applyAlignment="1" applyProtection="1">
      <alignment horizontal="center" vertical="center"/>
    </xf>
    <xf numFmtId="3" fontId="43" fillId="26" borderId="21" xfId="49" applyNumberFormat="1" applyFont="1" applyFill="1" applyBorder="1" applyAlignment="1" applyProtection="1">
      <alignment wrapText="1"/>
    </xf>
    <xf numFmtId="3" fontId="43" fillId="0" borderId="21" xfId="49" applyNumberFormat="1" applyFont="1" applyFill="1" applyBorder="1" applyAlignment="1" applyProtection="1">
      <alignment horizontal="center" vertical="center" wrapText="1"/>
    </xf>
    <xf numFmtId="3" fontId="43" fillId="0" borderId="56" xfId="49" applyNumberFormat="1" applyFont="1" applyFill="1" applyBorder="1" applyAlignment="1" applyProtection="1">
      <alignment horizontal="center" vertical="center" wrapText="1"/>
    </xf>
    <xf numFmtId="3" fontId="43" fillId="0" borderId="77" xfId="49" applyNumberFormat="1" applyFont="1" applyFill="1" applyBorder="1" applyAlignment="1" applyProtection="1">
      <alignment horizontal="center" vertical="center" wrapText="1"/>
    </xf>
    <xf numFmtId="3" fontId="43" fillId="0" borderId="78" xfId="49" applyNumberFormat="1" applyFont="1" applyFill="1" applyBorder="1" applyAlignment="1" applyProtection="1">
      <alignment horizontal="center" vertical="center" wrapText="1"/>
    </xf>
    <xf numFmtId="3" fontId="43" fillId="0" borderId="57" xfId="49" applyNumberFormat="1" applyFont="1" applyFill="1" applyBorder="1" applyAlignment="1" applyProtection="1">
      <alignment horizontal="center" vertical="center" wrapText="1"/>
    </xf>
    <xf numFmtId="3" fontId="43" fillId="0" borderId="79" xfId="49" applyNumberFormat="1" applyFont="1" applyFill="1" applyBorder="1" applyAlignment="1" applyProtection="1">
      <alignment horizontal="center" vertical="center" wrapText="1"/>
    </xf>
    <xf numFmtId="3" fontId="24" fillId="27" borderId="0" xfId="49" applyNumberFormat="1" applyFont="1" applyFill="1" applyBorder="1" applyAlignment="1" applyProtection="1">
      <alignment horizontal="center" vertical="center"/>
    </xf>
    <xf numFmtId="3" fontId="24" fillId="27" borderId="0" xfId="49" applyNumberFormat="1" applyFont="1" applyFill="1" applyBorder="1" applyAlignment="1" applyProtection="1">
      <alignment vertical="center"/>
    </xf>
    <xf numFmtId="3" fontId="24" fillId="27" borderId="0" xfId="49" applyNumberFormat="1" applyFont="1" applyFill="1" applyBorder="1" applyAlignment="1" applyProtection="1">
      <alignment horizontal="right" vertical="center"/>
    </xf>
    <xf numFmtId="3" fontId="15" fillId="31" borderId="29" xfId="32" applyNumberFormat="1" applyFont="1" applyFill="1" applyBorder="1" applyProtection="1"/>
    <xf numFmtId="3" fontId="46" fillId="31" borderId="51" xfId="32" applyNumberFormat="1" applyFont="1" applyFill="1" applyBorder="1" applyAlignment="1" applyProtection="1">
      <alignment horizontal="left" vertical="center" wrapText="1"/>
    </xf>
    <xf numFmtId="3" fontId="15" fillId="31" borderId="75" xfId="70" applyNumberFormat="1" applyFont="1" applyFill="1" applyBorder="1" applyAlignment="1" applyProtection="1">
      <alignment horizontal="center"/>
    </xf>
    <xf numFmtId="3" fontId="15" fillId="31" borderId="73" xfId="70" applyNumberFormat="1" applyFont="1" applyFill="1" applyBorder="1" applyAlignment="1" applyProtection="1">
      <alignment horizontal="center"/>
    </xf>
    <xf numFmtId="3" fontId="15" fillId="31" borderId="76" xfId="70" applyNumberFormat="1" applyFont="1" applyFill="1" applyBorder="1" applyAlignment="1" applyProtection="1">
      <alignment horizontal="center"/>
    </xf>
    <xf numFmtId="3" fontId="95" fillId="27" borderId="27" xfId="70" applyNumberFormat="1" applyFont="1" applyFill="1" applyBorder="1" applyAlignment="1" applyProtection="1">
      <alignment horizontal="center"/>
    </xf>
    <xf numFmtId="3" fontId="15" fillId="31" borderId="36" xfId="32" applyNumberFormat="1" applyFont="1" applyFill="1" applyBorder="1" applyProtection="1"/>
    <xf numFmtId="3" fontId="46" fillId="31" borderId="39" xfId="32" applyNumberFormat="1" applyFont="1" applyFill="1" applyBorder="1" applyAlignment="1" applyProtection="1">
      <alignment horizontal="left" vertical="center" wrapText="1"/>
    </xf>
    <xf numFmtId="3" fontId="15" fillId="31" borderId="52" xfId="70" applyNumberFormat="1" applyFont="1" applyFill="1" applyBorder="1" applyAlignment="1" applyProtection="1">
      <alignment horizontal="center"/>
    </xf>
    <xf numFmtId="3" fontId="15" fillId="31" borderId="7" xfId="70" applyNumberFormat="1" applyFont="1" applyFill="1" applyBorder="1" applyAlignment="1" applyProtection="1">
      <alignment horizontal="center"/>
    </xf>
    <xf numFmtId="3" fontId="15" fillId="31" borderId="53" xfId="70" applyNumberFormat="1" applyFont="1" applyFill="1" applyBorder="1" applyAlignment="1" applyProtection="1">
      <alignment horizontal="center"/>
    </xf>
    <xf numFmtId="3" fontId="15" fillId="31" borderId="30" xfId="32" applyNumberFormat="1" applyFont="1" applyFill="1" applyBorder="1" applyProtection="1"/>
    <xf numFmtId="3" fontId="46" fillId="31" borderId="21" xfId="32" applyNumberFormat="1" applyFont="1" applyFill="1" applyBorder="1" applyAlignment="1" applyProtection="1">
      <alignment horizontal="left" vertical="center" wrapText="1"/>
    </xf>
    <xf numFmtId="3" fontId="15" fillId="31" borderId="56" xfId="70" applyNumberFormat="1" applyFont="1" applyFill="1" applyBorder="1" applyAlignment="1" applyProtection="1">
      <alignment horizontal="center"/>
    </xf>
    <xf numFmtId="3" fontId="15" fillId="31" borderId="77" xfId="70" applyNumberFormat="1" applyFont="1" applyFill="1" applyBorder="1" applyAlignment="1" applyProtection="1">
      <alignment horizontal="center"/>
    </xf>
    <xf numFmtId="3" fontId="15" fillId="31" borderId="57" xfId="70" applyNumberFormat="1" applyFont="1" applyFill="1" applyBorder="1" applyAlignment="1" applyProtection="1">
      <alignment horizontal="center"/>
    </xf>
    <xf numFmtId="3" fontId="24" fillId="31" borderId="38" xfId="70" applyNumberFormat="1" applyFont="1" applyFill="1" applyBorder="1" applyAlignment="1" applyProtection="1">
      <alignment horizontal="center" vertical="center"/>
    </xf>
    <xf numFmtId="3" fontId="24" fillId="31" borderId="9" xfId="70" applyNumberFormat="1" applyFont="1" applyFill="1" applyBorder="1" applyAlignment="1" applyProtection="1">
      <alignment horizontal="center" vertical="center"/>
    </xf>
    <xf numFmtId="3" fontId="24" fillId="31" borderId="10" xfId="70" applyNumberFormat="1" applyFont="1" applyFill="1" applyBorder="1" applyAlignment="1" applyProtection="1">
      <alignment horizontal="center" vertical="center"/>
    </xf>
    <xf numFmtId="3" fontId="24" fillId="27" borderId="0" xfId="0" applyNumberFormat="1" applyFont="1" applyFill="1" applyAlignment="1" applyProtection="1">
      <alignment horizontal="right"/>
    </xf>
    <xf numFmtId="3" fontId="15" fillId="27" borderId="0" xfId="0" applyNumberFormat="1" applyFont="1" applyFill="1" applyAlignment="1" applyProtection="1"/>
    <xf numFmtId="3" fontId="15" fillId="27" borderId="0" xfId="0" applyNumberFormat="1" applyFont="1" applyFill="1" applyProtection="1"/>
    <xf numFmtId="3" fontId="68" fillId="27" borderId="0" xfId="0" applyNumberFormat="1" applyFont="1" applyFill="1" applyAlignment="1" applyProtection="1">
      <alignment vertical="center"/>
    </xf>
    <xf numFmtId="3" fontId="68" fillId="27" borderId="0" xfId="0" applyNumberFormat="1" applyFont="1" applyFill="1" applyAlignment="1" applyProtection="1">
      <alignment horizontal="right" vertical="center"/>
    </xf>
    <xf numFmtId="3" fontId="68" fillId="27" borderId="0" xfId="0" applyNumberFormat="1" applyFont="1" applyFill="1" applyAlignment="1" applyProtection="1">
      <alignment horizontal="left" vertical="center"/>
    </xf>
    <xf numFmtId="3" fontId="15" fillId="27" borderId="0" xfId="0" applyNumberFormat="1" applyFont="1" applyFill="1" applyAlignment="1" applyProtection="1">
      <alignment horizontal="right"/>
    </xf>
    <xf numFmtId="3" fontId="15" fillId="27" borderId="0" xfId="31" applyNumberFormat="1" applyFont="1" applyFill="1" applyProtection="1"/>
    <xf numFmtId="3" fontId="39" fillId="27" borderId="0" xfId="0" applyNumberFormat="1" applyFont="1" applyFill="1" applyAlignment="1" applyProtection="1">
      <alignment horizontal="center"/>
    </xf>
    <xf numFmtId="3" fontId="15" fillId="27" borderId="0" xfId="0" applyNumberFormat="1" applyFont="1" applyFill="1" applyAlignment="1" applyProtection="1">
      <alignment vertical="center"/>
    </xf>
    <xf numFmtId="3" fontId="90" fillId="27" borderId="0" xfId="0" applyNumberFormat="1" applyFont="1" applyFill="1" applyAlignment="1" applyProtection="1">
      <alignment horizontal="left" vertical="center"/>
    </xf>
    <xf numFmtId="3" fontId="68" fillId="27" borderId="0" xfId="49" applyNumberFormat="1" applyFont="1" applyFill="1" applyProtection="1"/>
    <xf numFmtId="3" fontId="24" fillId="27" borderId="0" xfId="0" applyNumberFormat="1" applyFont="1" applyFill="1" applyAlignment="1" applyProtection="1"/>
    <xf numFmtId="3" fontId="46" fillId="27" borderId="0" xfId="49" applyNumberFormat="1" applyFont="1" applyFill="1" applyAlignment="1" applyProtection="1">
      <alignment horizontal="left"/>
    </xf>
    <xf numFmtId="3" fontId="24" fillId="27" borderId="0" xfId="49" applyNumberFormat="1" applyFont="1" applyFill="1" applyAlignment="1" applyProtection="1">
      <alignment horizontal="left" indent="1"/>
    </xf>
    <xf numFmtId="3" fontId="46" fillId="27" borderId="0" xfId="31" applyNumberFormat="1" applyFont="1" applyFill="1" applyBorder="1" applyProtection="1"/>
    <xf numFmtId="3" fontId="46" fillId="27" borderId="0" xfId="49" applyNumberFormat="1" applyFont="1" applyFill="1" applyAlignment="1" applyProtection="1">
      <alignment horizontal="left" indent="1"/>
    </xf>
    <xf numFmtId="0" fontId="82" fillId="27" borderId="0" xfId="49" applyFont="1" applyFill="1" applyAlignment="1" applyProtection="1">
      <alignment vertical="center"/>
    </xf>
    <xf numFmtId="0" fontId="16" fillId="27" borderId="0" xfId="49" applyFont="1" applyFill="1" applyBorder="1" applyAlignment="1" applyProtection="1">
      <alignment vertical="center"/>
    </xf>
    <xf numFmtId="0" fontId="30" fillId="27" borderId="0" xfId="49" applyFont="1" applyFill="1" applyAlignment="1" applyProtection="1">
      <alignment vertical="center"/>
    </xf>
    <xf numFmtId="0" fontId="100" fillId="27" borderId="0" xfId="49" applyFont="1" applyFill="1" applyAlignment="1" applyProtection="1">
      <alignment vertical="center"/>
    </xf>
    <xf numFmtId="0" fontId="16" fillId="27" borderId="0" xfId="49" applyFont="1" applyFill="1" applyBorder="1" applyAlignment="1" applyProtection="1">
      <alignment horizontal="right" vertical="center"/>
    </xf>
    <xf numFmtId="0" fontId="23" fillId="27" borderId="0" xfId="49" applyFont="1" applyFill="1" applyBorder="1" applyAlignment="1" applyProtection="1">
      <alignment horizontal="center" vertical="center"/>
    </xf>
    <xf numFmtId="1" fontId="24" fillId="38" borderId="1" xfId="21" applyFont="1" applyFill="1" applyBorder="1" applyAlignment="1" applyProtection="1">
      <alignment horizontal="center" vertical="center" wrapText="1"/>
    </xf>
    <xf numFmtId="1" fontId="24" fillId="38" borderId="38" xfId="21" applyFont="1" applyFill="1" applyBorder="1" applyAlignment="1" applyProtection="1">
      <alignment horizontal="center" vertical="center" wrapText="1"/>
    </xf>
    <xf numFmtId="1" fontId="24" fillId="38" borderId="9" xfId="21" applyFont="1" applyFill="1" applyBorder="1" applyAlignment="1" applyProtection="1">
      <alignment horizontal="center" vertical="center" wrapText="1"/>
    </xf>
    <xf numFmtId="1" fontId="24" fillId="38" borderId="60" xfId="21" applyFont="1" applyFill="1" applyBorder="1" applyAlignment="1" applyProtection="1">
      <alignment horizontal="center" vertical="center" wrapText="1"/>
    </xf>
    <xf numFmtId="1" fontId="24" fillId="38" borderId="2" xfId="21" applyFont="1" applyFill="1" applyBorder="1" applyAlignment="1" applyProtection="1">
      <alignment horizontal="center" vertical="center" wrapText="1"/>
    </xf>
    <xf numFmtId="1" fontId="24" fillId="38" borderId="65" xfId="21" applyFont="1" applyFill="1" applyBorder="1" applyAlignment="1" applyProtection="1">
      <alignment horizontal="center" vertical="center" wrapText="1"/>
    </xf>
    <xf numFmtId="1" fontId="24" fillId="38" borderId="10" xfId="21" applyFont="1" applyFill="1" applyBorder="1" applyAlignment="1" applyProtection="1">
      <alignment horizontal="center" vertical="center" wrapText="1"/>
    </xf>
    <xf numFmtId="0" fontId="24" fillId="32" borderId="1" xfId="49" applyFont="1" applyFill="1" applyBorder="1" applyAlignment="1" applyProtection="1">
      <alignment horizontal="center" vertical="center"/>
    </xf>
    <xf numFmtId="0" fontId="24" fillId="32" borderId="2" xfId="49" applyFont="1" applyFill="1" applyBorder="1" applyAlignment="1" applyProtection="1">
      <alignment vertical="center" wrapText="1"/>
    </xf>
    <xf numFmtId="0" fontId="24" fillId="32" borderId="2" xfId="49" applyFont="1" applyFill="1" applyBorder="1" applyAlignment="1" applyProtection="1">
      <alignment horizontal="center" vertical="center" wrapText="1"/>
    </xf>
    <xf numFmtId="49" fontId="24" fillId="24" borderId="1" xfId="49" applyNumberFormat="1" applyFont="1" applyFill="1" applyBorder="1" applyAlignment="1" applyProtection="1">
      <alignment horizontal="center" vertical="center"/>
    </xf>
    <xf numFmtId="49" fontId="24" fillId="24" borderId="1" xfId="49" applyNumberFormat="1" applyFont="1" applyFill="1" applyBorder="1" applyAlignment="1" applyProtection="1">
      <alignment vertical="center"/>
    </xf>
    <xf numFmtId="3" fontId="24" fillId="31" borderId="65" xfId="49" applyNumberFormat="1" applyFont="1" applyFill="1" applyBorder="1" applyAlignment="1" applyProtection="1">
      <alignment horizontal="center" vertical="center" wrapText="1"/>
    </xf>
    <xf numFmtId="3" fontId="24" fillId="31" borderId="9" xfId="49" applyNumberFormat="1" applyFont="1" applyFill="1" applyBorder="1" applyAlignment="1" applyProtection="1">
      <alignment horizontal="center" vertical="center" wrapText="1"/>
    </xf>
    <xf numFmtId="3" fontId="24" fillId="31" borderId="60" xfId="49" applyNumberFormat="1" applyFont="1" applyFill="1" applyBorder="1" applyAlignment="1" applyProtection="1">
      <alignment horizontal="center" vertical="center" wrapText="1"/>
    </xf>
    <xf numFmtId="3" fontId="24" fillId="31" borderId="2" xfId="49" applyNumberFormat="1" applyFont="1" applyFill="1" applyBorder="1" applyAlignment="1" applyProtection="1">
      <alignment horizontal="center" vertical="center" wrapText="1"/>
    </xf>
    <xf numFmtId="3" fontId="24" fillId="31" borderId="10" xfId="49" applyNumberFormat="1" applyFont="1" applyFill="1" applyBorder="1" applyAlignment="1" applyProtection="1">
      <alignment horizontal="center" vertical="center" wrapText="1"/>
    </xf>
    <xf numFmtId="0" fontId="24" fillId="27" borderId="5" xfId="49" applyFont="1" applyFill="1" applyBorder="1" applyAlignment="1" applyProtection="1">
      <alignment horizontal="center" vertical="center"/>
    </xf>
    <xf numFmtId="9" fontId="24" fillId="27" borderId="5" xfId="49" applyNumberFormat="1" applyFont="1" applyFill="1" applyBorder="1" applyAlignment="1" applyProtection="1">
      <alignment horizontal="center" vertical="center"/>
    </xf>
    <xf numFmtId="0" fontId="24" fillId="27" borderId="25" xfId="49" applyFont="1" applyFill="1" applyBorder="1" applyAlignment="1" applyProtection="1">
      <alignment vertical="center" wrapText="1"/>
    </xf>
    <xf numFmtId="3" fontId="24" fillId="27" borderId="26" xfId="49" applyNumberFormat="1" applyFont="1" applyFill="1" applyBorder="1" applyAlignment="1" applyProtection="1">
      <alignment horizontal="center" vertical="center" wrapText="1"/>
    </xf>
    <xf numFmtId="3" fontId="24" fillId="27" borderId="80" xfId="49" applyNumberFormat="1" applyFont="1" applyFill="1" applyBorder="1" applyAlignment="1" applyProtection="1">
      <alignment horizontal="center" vertical="center" wrapText="1"/>
    </xf>
    <xf numFmtId="3" fontId="24" fillId="27" borderId="58" xfId="49" applyNumberFormat="1" applyFont="1" applyFill="1" applyBorder="1" applyAlignment="1" applyProtection="1">
      <alignment horizontal="center" vertical="center" wrapText="1"/>
    </xf>
    <xf numFmtId="3" fontId="24" fillId="27" borderId="59" xfId="49" applyNumberFormat="1" applyFont="1" applyFill="1" applyBorder="1" applyAlignment="1" applyProtection="1">
      <alignment horizontal="center" vertical="center" wrapText="1"/>
    </xf>
    <xf numFmtId="3" fontId="24" fillId="27" borderId="46" xfId="49" applyNumberFormat="1" applyFont="1" applyFill="1" applyBorder="1" applyAlignment="1" applyProtection="1">
      <alignment horizontal="center" vertical="center" wrapText="1"/>
    </xf>
    <xf numFmtId="0" fontId="15" fillId="27" borderId="5" xfId="49" applyFont="1" applyFill="1" applyBorder="1" applyAlignment="1" applyProtection="1">
      <alignment horizontal="center" vertical="center"/>
    </xf>
    <xf numFmtId="0" fontId="15" fillId="26" borderId="5" xfId="49" applyFont="1" applyFill="1" applyBorder="1" applyAlignment="1" applyProtection="1">
      <alignment horizontal="center" vertical="center"/>
    </xf>
    <xf numFmtId="9" fontId="15" fillId="26" borderId="5" xfId="49" applyNumberFormat="1" applyFont="1" applyFill="1" applyBorder="1" applyAlignment="1" applyProtection="1">
      <alignment horizontal="center" vertical="center"/>
    </xf>
    <xf numFmtId="0" fontId="15" fillId="26" borderId="25" xfId="49" applyFont="1" applyFill="1" applyBorder="1" applyAlignment="1" applyProtection="1">
      <alignment vertical="center" wrapText="1"/>
    </xf>
    <xf numFmtId="0" fontId="15" fillId="26" borderId="24" xfId="49" applyFont="1" applyFill="1" applyBorder="1" applyAlignment="1" applyProtection="1">
      <alignment vertical="center" wrapText="1"/>
    </xf>
    <xf numFmtId="0" fontId="24" fillId="27" borderId="17" xfId="49" applyFont="1" applyFill="1" applyBorder="1" applyAlignment="1" applyProtection="1">
      <alignment horizontal="center" vertical="center"/>
    </xf>
    <xf numFmtId="0" fontId="24" fillId="26" borderId="17" xfId="49" applyFont="1" applyFill="1" applyBorder="1" applyAlignment="1" applyProtection="1">
      <alignment horizontal="center" vertical="center"/>
    </xf>
    <xf numFmtId="9" fontId="24" fillId="26" borderId="17" xfId="49" applyNumberFormat="1" applyFont="1" applyFill="1" applyBorder="1" applyAlignment="1" applyProtection="1">
      <alignment horizontal="center" vertical="center"/>
    </xf>
    <xf numFmtId="0" fontId="24" fillId="26" borderId="24" xfId="49" applyFont="1" applyFill="1" applyBorder="1" applyAlignment="1" applyProtection="1">
      <alignment vertical="center" wrapText="1"/>
    </xf>
    <xf numFmtId="3" fontId="24" fillId="27" borderId="17" xfId="49" applyNumberFormat="1" applyFont="1" applyFill="1" applyBorder="1" applyAlignment="1" applyProtection="1">
      <alignment horizontal="center" vertical="center"/>
    </xf>
    <xf numFmtId="3" fontId="24" fillId="27" borderId="32" xfId="49" applyNumberFormat="1" applyFont="1" applyFill="1" applyBorder="1" applyAlignment="1" applyProtection="1">
      <alignment horizontal="center" vertical="center"/>
    </xf>
    <xf numFmtId="3" fontId="24" fillId="27" borderId="7" xfId="49" applyNumberFormat="1" applyFont="1" applyFill="1" applyBorder="1" applyAlignment="1" applyProtection="1">
      <alignment horizontal="center" vertical="center"/>
    </xf>
    <xf numFmtId="3" fontId="24" fillId="27" borderId="62" xfId="49" applyNumberFormat="1" applyFont="1" applyFill="1" applyBorder="1" applyAlignment="1" applyProtection="1">
      <alignment horizontal="center" vertical="center"/>
    </xf>
    <xf numFmtId="3" fontId="24" fillId="27" borderId="53" xfId="49" applyNumberFormat="1" applyFont="1" applyFill="1" applyBorder="1" applyAlignment="1" applyProtection="1">
      <alignment horizontal="center" vertical="center"/>
    </xf>
    <xf numFmtId="0" fontId="15" fillId="27" borderId="17" xfId="49" applyFont="1" applyFill="1" applyBorder="1" applyAlignment="1" applyProtection="1">
      <alignment horizontal="center" vertical="center"/>
    </xf>
    <xf numFmtId="9" fontId="15" fillId="26" borderId="17" xfId="49" applyNumberFormat="1" applyFont="1" applyFill="1" applyBorder="1" applyAlignment="1" applyProtection="1">
      <alignment horizontal="center" vertical="center"/>
    </xf>
    <xf numFmtId="9" fontId="15" fillId="26" borderId="24" xfId="49" applyNumberFormat="1" applyFont="1" applyFill="1" applyBorder="1" applyAlignment="1" applyProtection="1">
      <alignment horizontal="left" vertical="center"/>
    </xf>
    <xf numFmtId="49" fontId="24" fillId="26" borderId="24" xfId="49" applyNumberFormat="1" applyFont="1" applyFill="1" applyBorder="1" applyAlignment="1" applyProtection="1">
      <alignment vertical="center" wrapText="1"/>
    </xf>
    <xf numFmtId="49" fontId="15" fillId="26" borderId="24" xfId="49" applyNumberFormat="1" applyFont="1" applyFill="1" applyBorder="1" applyAlignment="1" applyProtection="1">
      <alignment horizontal="left" vertical="center" wrapText="1"/>
    </xf>
    <xf numFmtId="3" fontId="15" fillId="33" borderId="17" xfId="49" applyNumberFormat="1" applyFont="1" applyFill="1" applyBorder="1" applyAlignment="1" applyProtection="1">
      <alignment horizontal="center" vertical="center"/>
    </xf>
    <xf numFmtId="3" fontId="15" fillId="33" borderId="32" xfId="49" applyNumberFormat="1" applyFont="1" applyFill="1" applyBorder="1" applyAlignment="1" applyProtection="1">
      <alignment horizontal="center" vertical="center"/>
    </xf>
    <xf numFmtId="3" fontId="15" fillId="33" borderId="7" xfId="49" applyNumberFormat="1" applyFont="1" applyFill="1" applyBorder="1" applyAlignment="1" applyProtection="1">
      <alignment horizontal="center" vertical="center"/>
    </xf>
    <xf numFmtId="3" fontId="15" fillId="33" borderId="62" xfId="49" applyNumberFormat="1" applyFont="1" applyFill="1" applyBorder="1" applyAlignment="1" applyProtection="1">
      <alignment horizontal="center" vertical="center"/>
    </xf>
    <xf numFmtId="3" fontId="15" fillId="33" borderId="53" xfId="49" applyNumberFormat="1" applyFont="1" applyFill="1" applyBorder="1" applyAlignment="1" applyProtection="1">
      <alignment horizontal="center" vertical="center"/>
    </xf>
    <xf numFmtId="0" fontId="46" fillId="26" borderId="17" xfId="49" applyFont="1" applyFill="1" applyBorder="1" applyAlignment="1" applyProtection="1">
      <alignment horizontal="center" vertical="center"/>
    </xf>
    <xf numFmtId="9" fontId="46" fillId="26" borderId="17" xfId="70" applyFont="1" applyFill="1" applyBorder="1" applyAlignment="1" applyProtection="1">
      <alignment horizontal="center" vertical="center"/>
    </xf>
    <xf numFmtId="49" fontId="46" fillId="26" borderId="24" xfId="49" applyNumberFormat="1" applyFont="1" applyFill="1" applyBorder="1" applyAlignment="1" applyProtection="1">
      <alignment horizontal="right" vertical="center" wrapText="1"/>
    </xf>
    <xf numFmtId="9" fontId="15" fillId="26" borderId="17" xfId="70" applyFont="1" applyFill="1" applyBorder="1" applyAlignment="1" applyProtection="1">
      <alignment horizontal="center" vertical="center"/>
    </xf>
    <xf numFmtId="9" fontId="46" fillId="26" borderId="17" xfId="49" applyNumberFormat="1" applyFont="1" applyFill="1" applyBorder="1" applyAlignment="1" applyProtection="1">
      <alignment horizontal="center" vertical="center"/>
    </xf>
    <xf numFmtId="49" fontId="24" fillId="26" borderId="24" xfId="49" applyNumberFormat="1" applyFont="1" applyFill="1" applyBorder="1" applyAlignment="1" applyProtection="1">
      <alignment horizontal="left" vertical="center" wrapText="1"/>
    </xf>
    <xf numFmtId="0" fontId="46" fillId="26" borderId="24" xfId="49" applyFont="1" applyFill="1" applyBorder="1" applyAlignment="1" applyProtection="1">
      <alignment horizontal="right" vertical="center" wrapText="1"/>
    </xf>
    <xf numFmtId="49" fontId="15" fillId="26" borderId="17" xfId="49" applyNumberFormat="1" applyFont="1" applyFill="1" applyBorder="1" applyAlignment="1" applyProtection="1">
      <alignment horizontal="left" vertical="center" wrapText="1"/>
    </xf>
    <xf numFmtId="3" fontId="24" fillId="20" borderId="17" xfId="49" applyNumberFormat="1" applyFont="1" applyFill="1" applyBorder="1" applyAlignment="1" applyProtection="1">
      <alignment horizontal="center" vertical="center"/>
    </xf>
    <xf numFmtId="3" fontId="24" fillId="20" borderId="32" xfId="49" applyNumberFormat="1" applyFont="1" applyFill="1" applyBorder="1" applyAlignment="1" applyProtection="1">
      <alignment horizontal="center" vertical="center"/>
    </xf>
    <xf numFmtId="3" fontId="24" fillId="20" borderId="7" xfId="49" applyNumberFormat="1" applyFont="1" applyFill="1" applyBorder="1" applyAlignment="1" applyProtection="1">
      <alignment horizontal="center" vertical="center"/>
    </xf>
    <xf numFmtId="3" fontId="24" fillId="20" borderId="62" xfId="49" applyNumberFormat="1" applyFont="1" applyFill="1" applyBorder="1" applyAlignment="1" applyProtection="1">
      <alignment horizontal="center" vertical="center"/>
    </xf>
    <xf numFmtId="3" fontId="24" fillId="20" borderId="53" xfId="49" applyNumberFormat="1" applyFont="1" applyFill="1" applyBorder="1" applyAlignment="1" applyProtection="1">
      <alignment horizontal="center" vertical="center"/>
    </xf>
    <xf numFmtId="0" fontId="15" fillId="27" borderId="24" xfId="49" applyFont="1" applyFill="1" applyBorder="1" applyAlignment="1" applyProtection="1">
      <alignment horizontal="center" vertical="center"/>
    </xf>
    <xf numFmtId="0" fontId="15" fillId="26" borderId="24" xfId="49" applyFont="1" applyFill="1" applyBorder="1" applyAlignment="1" applyProtection="1">
      <alignment horizontal="center" vertical="center"/>
    </xf>
    <xf numFmtId="9" fontId="15" fillId="26" borderId="24" xfId="49" applyNumberFormat="1" applyFont="1" applyFill="1" applyBorder="1" applyAlignment="1" applyProtection="1">
      <alignment horizontal="center" vertical="center"/>
    </xf>
    <xf numFmtId="0" fontId="15" fillId="26" borderId="24" xfId="49" applyFont="1" applyFill="1" applyBorder="1" applyAlignment="1" applyProtection="1">
      <alignment horizontal="left" vertical="center" wrapText="1"/>
    </xf>
    <xf numFmtId="0" fontId="24" fillId="27" borderId="24" xfId="49" applyFont="1" applyFill="1" applyBorder="1" applyAlignment="1" applyProtection="1">
      <alignment horizontal="center" vertical="center"/>
    </xf>
    <xf numFmtId="0" fontId="24" fillId="26" borderId="24" xfId="49" applyFont="1" applyFill="1" applyBorder="1" applyAlignment="1" applyProtection="1">
      <alignment horizontal="center" vertical="center"/>
    </xf>
    <xf numFmtId="9" fontId="24" fillId="26" borderId="24" xfId="49" applyNumberFormat="1" applyFont="1" applyFill="1" applyBorder="1" applyAlignment="1" applyProtection="1">
      <alignment horizontal="center" vertical="center"/>
    </xf>
    <xf numFmtId="0" fontId="24" fillId="26" borderId="24" xfId="49" applyFont="1" applyFill="1" applyBorder="1" applyAlignment="1" applyProtection="1">
      <alignment horizontal="left" vertical="center" wrapText="1"/>
    </xf>
    <xf numFmtId="0" fontId="24" fillId="27" borderId="30" xfId="49" applyFont="1" applyFill="1" applyBorder="1" applyAlignment="1" applyProtection="1">
      <alignment horizontal="center" vertical="center"/>
    </xf>
    <xf numFmtId="9" fontId="24" fillId="27" borderId="30" xfId="49" applyNumberFormat="1" applyFont="1" applyFill="1" applyBorder="1" applyAlignment="1" applyProtection="1">
      <alignment horizontal="center" vertical="center"/>
    </xf>
    <xf numFmtId="49" fontId="24" fillId="27" borderId="30" xfId="49" applyNumberFormat="1" applyFont="1" applyFill="1" applyBorder="1" applyAlignment="1" applyProtection="1">
      <alignment vertical="center" wrapText="1"/>
    </xf>
    <xf numFmtId="0" fontId="22" fillId="24" borderId="1" xfId="49" applyFont="1" applyFill="1" applyBorder="1" applyAlignment="1" applyProtection="1">
      <alignment horizontal="center" vertical="center"/>
    </xf>
    <xf numFmtId="0" fontId="22" fillId="24" borderId="1" xfId="49" applyFont="1" applyFill="1" applyBorder="1" applyAlignment="1" applyProtection="1">
      <alignment horizontal="left" vertical="center"/>
    </xf>
    <xf numFmtId="49" fontId="22" fillId="24" borderId="1" xfId="49" applyNumberFormat="1" applyFont="1" applyFill="1" applyBorder="1" applyAlignment="1" applyProtection="1">
      <alignment vertical="center"/>
    </xf>
    <xf numFmtId="3" fontId="24" fillId="31" borderId="1" xfId="49" applyNumberFormat="1" applyFont="1" applyFill="1" applyBorder="1" applyAlignment="1" applyProtection="1">
      <alignment horizontal="center" vertical="center" wrapText="1"/>
    </xf>
    <xf numFmtId="3" fontId="24" fillId="31" borderId="38" xfId="49" applyNumberFormat="1" applyFont="1" applyFill="1" applyBorder="1" applyAlignment="1" applyProtection="1">
      <alignment horizontal="center" vertical="center" wrapText="1"/>
    </xf>
    <xf numFmtId="0" fontId="24" fillId="27" borderId="5" xfId="49" applyFont="1" applyFill="1" applyBorder="1" applyAlignment="1" applyProtection="1">
      <alignment vertical="center" wrapText="1"/>
    </xf>
    <xf numFmtId="3" fontId="24" fillId="27" borderId="29" xfId="49" applyNumberFormat="1" applyFont="1" applyFill="1" applyBorder="1" applyAlignment="1" applyProtection="1">
      <alignment horizontal="center" vertical="center" wrapText="1"/>
    </xf>
    <xf numFmtId="3" fontId="24" fillId="27" borderId="73" xfId="49" applyNumberFormat="1" applyFont="1" applyFill="1" applyBorder="1" applyAlignment="1" applyProtection="1">
      <alignment horizontal="center" vertical="center" wrapText="1"/>
    </xf>
    <xf numFmtId="3" fontId="24" fillId="27" borderId="74" xfId="49" applyNumberFormat="1" applyFont="1" applyFill="1" applyBorder="1" applyAlignment="1" applyProtection="1">
      <alignment horizontal="center" vertical="center" wrapText="1"/>
    </xf>
    <xf numFmtId="3" fontId="24" fillId="27" borderId="51" xfId="49" applyNumberFormat="1" applyFont="1" applyFill="1" applyBorder="1" applyAlignment="1" applyProtection="1">
      <alignment horizontal="center" vertical="center" wrapText="1"/>
    </xf>
    <xf numFmtId="3" fontId="24" fillId="27" borderId="75" xfId="49" applyNumberFormat="1" applyFont="1" applyFill="1" applyBorder="1" applyAlignment="1" applyProtection="1">
      <alignment horizontal="center" vertical="center" wrapText="1"/>
    </xf>
    <xf numFmtId="3" fontId="24" fillId="27" borderId="76" xfId="49" applyNumberFormat="1" applyFont="1" applyFill="1" applyBorder="1" applyAlignment="1" applyProtection="1">
      <alignment horizontal="center" vertical="center" wrapText="1"/>
    </xf>
    <xf numFmtId="9" fontId="15" fillId="27" borderId="5" xfId="49" applyNumberFormat="1" applyFont="1" applyFill="1" applyBorder="1" applyAlignment="1" applyProtection="1">
      <alignment horizontal="center" vertical="center"/>
    </xf>
    <xf numFmtId="0" fontId="15" fillId="27" borderId="5" xfId="49" applyFont="1" applyFill="1" applyBorder="1" applyAlignment="1" applyProtection="1">
      <alignment vertical="center" wrapText="1"/>
    </xf>
    <xf numFmtId="3" fontId="15" fillId="0" borderId="24" xfId="49" applyNumberFormat="1" applyFont="1" applyFill="1" applyBorder="1" applyAlignment="1" applyProtection="1">
      <alignment horizontal="center" vertical="center" wrapText="1"/>
    </xf>
    <xf numFmtId="3" fontId="15" fillId="0" borderId="7" xfId="49" applyNumberFormat="1" applyFont="1" applyFill="1" applyBorder="1" applyAlignment="1" applyProtection="1">
      <alignment horizontal="center" vertical="center" wrapText="1"/>
    </xf>
    <xf numFmtId="3" fontId="15" fillId="27" borderId="7" xfId="49" applyNumberFormat="1" applyFont="1" applyFill="1" applyBorder="1" applyAlignment="1" applyProtection="1">
      <alignment horizontal="center" vertical="center" wrapText="1"/>
    </xf>
    <xf numFmtId="3" fontId="15" fillId="27" borderId="62" xfId="49" applyNumberFormat="1" applyFont="1" applyFill="1" applyBorder="1" applyAlignment="1" applyProtection="1">
      <alignment horizontal="center" vertical="center" wrapText="1"/>
    </xf>
    <xf numFmtId="3" fontId="15" fillId="27" borderId="24" xfId="49" applyNumberFormat="1" applyFont="1" applyFill="1" applyBorder="1" applyAlignment="1" applyProtection="1">
      <alignment horizontal="center" vertical="center" wrapText="1"/>
    </xf>
    <xf numFmtId="3" fontId="15" fillId="27" borderId="53" xfId="49" applyNumberFormat="1" applyFont="1" applyFill="1" applyBorder="1" applyAlignment="1" applyProtection="1">
      <alignment horizontal="center" vertical="center" wrapText="1"/>
    </xf>
    <xf numFmtId="0" fontId="15" fillId="27" borderId="17" xfId="49" applyFont="1" applyFill="1" applyBorder="1" applyAlignment="1" applyProtection="1">
      <alignment vertical="center" wrapText="1"/>
    </xf>
    <xf numFmtId="9" fontId="24" fillId="27" borderId="17" xfId="49" applyNumberFormat="1" applyFont="1" applyFill="1" applyBorder="1" applyAlignment="1" applyProtection="1">
      <alignment horizontal="center" vertical="center"/>
    </xf>
    <xf numFmtId="0" fontId="24" fillId="27" borderId="17" xfId="49" applyFont="1" applyFill="1" applyBorder="1" applyAlignment="1" applyProtection="1">
      <alignment vertical="center" wrapText="1"/>
    </xf>
    <xf numFmtId="3" fontId="24" fillId="27" borderId="24" xfId="49" applyNumberFormat="1" applyFont="1" applyFill="1" applyBorder="1" applyAlignment="1" applyProtection="1">
      <alignment horizontal="center" vertical="center"/>
    </xf>
    <xf numFmtId="3" fontId="24" fillId="27" borderId="52" xfId="49" applyNumberFormat="1" applyFont="1" applyFill="1" applyBorder="1" applyAlignment="1" applyProtection="1">
      <alignment horizontal="center" vertical="center"/>
    </xf>
    <xf numFmtId="9" fontId="15" fillId="27" borderId="17" xfId="49" applyNumberFormat="1" applyFont="1" applyFill="1" applyBorder="1" applyAlignment="1" applyProtection="1">
      <alignment horizontal="center" vertical="center"/>
    </xf>
    <xf numFmtId="9" fontId="15" fillId="27" borderId="17" xfId="49" applyNumberFormat="1" applyFont="1" applyFill="1" applyBorder="1" applyAlignment="1" applyProtection="1">
      <alignment horizontal="left" vertical="center"/>
    </xf>
    <xf numFmtId="49" fontId="24" fillId="27" borderId="17" xfId="49" applyNumberFormat="1" applyFont="1" applyFill="1" applyBorder="1" applyAlignment="1" applyProtection="1">
      <alignment vertical="center" wrapText="1"/>
    </xf>
    <xf numFmtId="49" fontId="15" fillId="27" borderId="17" xfId="49" applyNumberFormat="1" applyFont="1" applyFill="1" applyBorder="1" applyAlignment="1" applyProtection="1">
      <alignment horizontal="left" vertical="center" wrapText="1"/>
    </xf>
    <xf numFmtId="9" fontId="15" fillId="27" borderId="17" xfId="70" applyFont="1" applyFill="1" applyBorder="1" applyAlignment="1" applyProtection="1">
      <alignment horizontal="center" vertical="center"/>
    </xf>
    <xf numFmtId="3" fontId="15" fillId="33" borderId="24" xfId="49" applyNumberFormat="1" applyFont="1" applyFill="1" applyBorder="1" applyAlignment="1" applyProtection="1">
      <alignment horizontal="center" vertical="center"/>
    </xf>
    <xf numFmtId="3" fontId="15" fillId="33" borderId="52" xfId="49" applyNumberFormat="1" applyFont="1" applyFill="1" applyBorder="1" applyAlignment="1" applyProtection="1">
      <alignment horizontal="center" vertical="center"/>
    </xf>
    <xf numFmtId="0" fontId="46" fillId="27" borderId="17" xfId="49" applyFont="1" applyFill="1" applyBorder="1" applyAlignment="1" applyProtection="1">
      <alignment horizontal="center" vertical="center"/>
    </xf>
    <xf numFmtId="9" fontId="46" fillId="27" borderId="17" xfId="70" applyFont="1" applyFill="1" applyBorder="1" applyAlignment="1" applyProtection="1">
      <alignment horizontal="center" vertical="center"/>
    </xf>
    <xf numFmtId="49" fontId="46" fillId="27" borderId="17" xfId="49" applyNumberFormat="1" applyFont="1" applyFill="1" applyBorder="1" applyAlignment="1" applyProtection="1">
      <alignment horizontal="right" vertical="center" wrapText="1"/>
    </xf>
    <xf numFmtId="9" fontId="46" fillId="27" borderId="17" xfId="49" applyNumberFormat="1" applyFont="1" applyFill="1" applyBorder="1" applyAlignment="1" applyProtection="1">
      <alignment horizontal="center" vertical="center"/>
    </xf>
    <xf numFmtId="49" fontId="46" fillId="26" borderId="17" xfId="49" applyNumberFormat="1" applyFont="1" applyFill="1" applyBorder="1" applyAlignment="1" applyProtection="1">
      <alignment horizontal="right" vertical="center" wrapText="1"/>
    </xf>
    <xf numFmtId="49" fontId="24" fillId="26" borderId="17" xfId="49" applyNumberFormat="1" applyFont="1" applyFill="1" applyBorder="1" applyAlignment="1" applyProtection="1">
      <alignment horizontal="left" vertical="center" wrapText="1"/>
    </xf>
    <xf numFmtId="0" fontId="15" fillId="26" borderId="17" xfId="49" applyFont="1" applyFill="1" applyBorder="1" applyAlignment="1" applyProtection="1">
      <alignment vertical="center" wrapText="1"/>
    </xf>
    <xf numFmtId="0" fontId="46" fillId="26" borderId="17" xfId="49" applyFont="1" applyFill="1" applyBorder="1" applyAlignment="1" applyProtection="1">
      <alignment horizontal="right" vertical="center" wrapText="1"/>
    </xf>
    <xf numFmtId="49" fontId="24" fillId="26" borderId="17" xfId="49" applyNumberFormat="1" applyFont="1" applyFill="1" applyBorder="1" applyAlignment="1" applyProtection="1">
      <alignment vertical="center" wrapText="1"/>
    </xf>
    <xf numFmtId="3" fontId="24" fillId="33" borderId="24" xfId="49" applyNumberFormat="1" applyFont="1" applyFill="1" applyBorder="1" applyAlignment="1" applyProtection="1">
      <alignment horizontal="center" vertical="center"/>
    </xf>
    <xf numFmtId="3" fontId="24" fillId="33" borderId="7" xfId="49" applyNumberFormat="1" applyFont="1" applyFill="1" applyBorder="1" applyAlignment="1" applyProtection="1">
      <alignment horizontal="center" vertical="center"/>
    </xf>
    <xf numFmtId="3" fontId="24" fillId="33" borderId="62" xfId="49" applyNumberFormat="1" applyFont="1" applyFill="1" applyBorder="1" applyAlignment="1" applyProtection="1">
      <alignment horizontal="center" vertical="center"/>
    </xf>
    <xf numFmtId="3" fontId="24" fillId="33" borderId="17" xfId="49" applyNumberFormat="1" applyFont="1" applyFill="1" applyBorder="1" applyAlignment="1" applyProtection="1">
      <alignment horizontal="center" vertical="center"/>
    </xf>
    <xf numFmtId="3" fontId="24" fillId="33" borderId="52" xfId="49" applyNumberFormat="1" applyFont="1" applyFill="1" applyBorder="1" applyAlignment="1" applyProtection="1">
      <alignment horizontal="center" vertical="center"/>
    </xf>
    <xf numFmtId="3" fontId="24" fillId="33" borderId="53" xfId="49" applyNumberFormat="1" applyFont="1" applyFill="1" applyBorder="1" applyAlignment="1" applyProtection="1">
      <alignment horizontal="center" vertical="center"/>
    </xf>
    <xf numFmtId="3" fontId="24" fillId="33" borderId="32" xfId="49" applyNumberFormat="1" applyFont="1" applyFill="1" applyBorder="1" applyAlignment="1" applyProtection="1">
      <alignment horizontal="center" vertical="center"/>
    </xf>
    <xf numFmtId="0" fontId="15" fillId="26" borderId="17" xfId="49" applyFont="1" applyFill="1" applyBorder="1" applyAlignment="1" applyProtection="1">
      <alignment horizontal="left" vertical="center" wrapText="1"/>
    </xf>
    <xf numFmtId="3" fontId="15" fillId="27" borderId="52" xfId="49" applyNumberFormat="1" applyFont="1" applyFill="1" applyBorder="1" applyAlignment="1" applyProtection="1">
      <alignment horizontal="center" vertical="center" wrapText="1"/>
    </xf>
    <xf numFmtId="3" fontId="24" fillId="27" borderId="24" xfId="49" applyNumberFormat="1" applyFont="1" applyFill="1" applyBorder="1" applyAlignment="1" applyProtection="1">
      <alignment horizontal="center" vertical="center" wrapText="1"/>
    </xf>
    <xf numFmtId="3" fontId="24" fillId="27" borderId="7" xfId="49" applyNumberFormat="1" applyFont="1" applyFill="1" applyBorder="1" applyAlignment="1" applyProtection="1">
      <alignment horizontal="center" vertical="center" wrapText="1"/>
    </xf>
    <xf numFmtId="3" fontId="24" fillId="27" borderId="62" xfId="49" applyNumberFormat="1" applyFont="1" applyFill="1" applyBorder="1" applyAlignment="1" applyProtection="1">
      <alignment horizontal="center" vertical="center" wrapText="1"/>
    </xf>
    <xf numFmtId="3" fontId="24" fillId="27" borderId="52" xfId="49" applyNumberFormat="1" applyFont="1" applyFill="1" applyBorder="1" applyAlignment="1" applyProtection="1">
      <alignment horizontal="center" vertical="center" wrapText="1"/>
    </xf>
    <xf numFmtId="3" fontId="24" fillId="27" borderId="53" xfId="49" applyNumberFormat="1" applyFont="1" applyFill="1" applyBorder="1" applyAlignment="1" applyProtection="1">
      <alignment horizontal="center" vertical="center" wrapText="1"/>
    </xf>
    <xf numFmtId="3" fontId="24" fillId="27" borderId="32" xfId="49" applyNumberFormat="1" applyFont="1" applyFill="1" applyBorder="1" applyAlignment="1" applyProtection="1">
      <alignment horizontal="center" vertical="center" wrapText="1"/>
    </xf>
    <xf numFmtId="0" fontId="24" fillId="26" borderId="17" xfId="49" applyFont="1" applyFill="1" applyBorder="1" applyAlignment="1" applyProtection="1">
      <alignment horizontal="left" vertical="center" wrapText="1"/>
    </xf>
    <xf numFmtId="0" fontId="24" fillId="27" borderId="36" xfId="49" applyFont="1" applyFill="1" applyBorder="1" applyAlignment="1" applyProtection="1">
      <alignment horizontal="center" vertical="center"/>
    </xf>
    <xf numFmtId="49" fontId="24" fillId="27" borderId="21" xfId="49" applyNumberFormat="1" applyFont="1" applyFill="1" applyBorder="1" applyAlignment="1" applyProtection="1">
      <alignment vertical="center" wrapText="1"/>
    </xf>
    <xf numFmtId="3" fontId="24" fillId="27" borderId="30" xfId="49" applyNumberFormat="1" applyFont="1" applyFill="1" applyBorder="1" applyAlignment="1" applyProtection="1">
      <alignment horizontal="center" vertical="center" wrapText="1"/>
    </xf>
    <xf numFmtId="3" fontId="24" fillId="27" borderId="77" xfId="49" applyNumberFormat="1" applyFont="1" applyFill="1" applyBorder="1" applyAlignment="1" applyProtection="1">
      <alignment horizontal="center" vertical="center" wrapText="1"/>
    </xf>
    <xf numFmtId="3" fontId="24" fillId="27" borderId="78" xfId="49" applyNumberFormat="1" applyFont="1" applyFill="1" applyBorder="1" applyAlignment="1" applyProtection="1">
      <alignment horizontal="center" vertical="center" wrapText="1"/>
    </xf>
    <xf numFmtId="3" fontId="24" fillId="27" borderId="56" xfId="49" applyNumberFormat="1" applyFont="1" applyFill="1" applyBorder="1" applyAlignment="1" applyProtection="1">
      <alignment horizontal="center" vertical="center" wrapText="1"/>
    </xf>
    <xf numFmtId="3" fontId="24" fillId="27" borderId="57" xfId="49" applyNumberFormat="1" applyFont="1" applyFill="1" applyBorder="1" applyAlignment="1" applyProtection="1">
      <alignment horizontal="center" vertical="center" wrapText="1"/>
    </xf>
    <xf numFmtId="3" fontId="24" fillId="27" borderId="79" xfId="49" applyNumberFormat="1" applyFont="1" applyFill="1" applyBorder="1" applyAlignment="1" applyProtection="1">
      <alignment horizontal="center" vertical="center" wrapText="1"/>
    </xf>
    <xf numFmtId="0" fontId="24" fillId="32" borderId="1" xfId="49" applyFont="1" applyFill="1" applyBorder="1" applyAlignment="1" applyProtection="1">
      <alignment vertical="center" wrapText="1"/>
    </xf>
    <xf numFmtId="0" fontId="44" fillId="27" borderId="17" xfId="49" applyFont="1" applyFill="1" applyBorder="1" applyAlignment="1" applyProtection="1">
      <alignment horizontal="center" vertical="center"/>
    </xf>
    <xf numFmtId="0" fontId="44" fillId="26" borderId="5" xfId="49" applyFont="1" applyFill="1" applyBorder="1" applyAlignment="1" applyProtection="1">
      <alignment horizontal="center" vertical="center"/>
    </xf>
    <xf numFmtId="9" fontId="44" fillId="26" borderId="24" xfId="49" applyNumberFormat="1" applyFont="1" applyFill="1" applyBorder="1" applyAlignment="1" applyProtection="1">
      <alignment horizontal="center" vertical="center"/>
    </xf>
    <xf numFmtId="0" fontId="44" fillId="26" borderId="17" xfId="49" applyFont="1" applyFill="1" applyBorder="1" applyAlignment="1" applyProtection="1">
      <alignment horizontal="center" vertical="center"/>
    </xf>
    <xf numFmtId="9" fontId="44" fillId="26" borderId="17" xfId="49" applyNumberFormat="1" applyFont="1" applyFill="1" applyBorder="1" applyAlignment="1" applyProtection="1">
      <alignment horizontal="left" vertical="center"/>
    </xf>
    <xf numFmtId="9" fontId="44" fillId="26" borderId="17" xfId="49" applyNumberFormat="1" applyFont="1" applyFill="1" applyBorder="1" applyAlignment="1" applyProtection="1">
      <alignment horizontal="center" vertical="center"/>
    </xf>
    <xf numFmtId="0" fontId="44" fillId="0" borderId="17" xfId="49" applyFont="1" applyFill="1" applyBorder="1" applyAlignment="1" applyProtection="1">
      <alignment horizontal="center" vertical="center"/>
    </xf>
    <xf numFmtId="9" fontId="44" fillId="26" borderId="17" xfId="70" applyFont="1" applyFill="1" applyBorder="1" applyAlignment="1" applyProtection="1">
      <alignment horizontal="center" vertical="center"/>
    </xf>
    <xf numFmtId="49" fontId="24" fillId="24" borderId="1" xfId="49" applyNumberFormat="1" applyFont="1" applyFill="1" applyBorder="1" applyAlignment="1" applyProtection="1">
      <alignment vertical="center" wrapText="1"/>
    </xf>
    <xf numFmtId="0" fontId="24" fillId="24" borderId="1" xfId="49" applyFont="1" applyFill="1" applyBorder="1" applyAlignment="1" applyProtection="1">
      <alignment horizontal="center" vertical="center"/>
    </xf>
    <xf numFmtId="0" fontId="24" fillId="24" borderId="1" xfId="49" applyFont="1" applyFill="1" applyBorder="1" applyAlignment="1" applyProtection="1">
      <alignment horizontal="left" vertical="center"/>
    </xf>
    <xf numFmtId="3" fontId="15" fillId="0" borderId="75" xfId="49" applyNumberFormat="1" applyFont="1" applyFill="1" applyBorder="1" applyAlignment="1" applyProtection="1">
      <alignment horizontal="center" vertical="center" wrapText="1"/>
    </xf>
    <xf numFmtId="3" fontId="15" fillId="0" borderId="73" xfId="49" applyNumberFormat="1" applyFont="1" applyFill="1" applyBorder="1" applyAlignment="1" applyProtection="1">
      <alignment horizontal="center" vertical="center" wrapText="1"/>
    </xf>
    <xf numFmtId="3" fontId="15" fillId="0" borderId="76" xfId="49" applyNumberFormat="1" applyFont="1" applyFill="1" applyBorder="1" applyAlignment="1" applyProtection="1">
      <alignment horizontal="center" vertical="center" wrapText="1"/>
    </xf>
    <xf numFmtId="3" fontId="15" fillId="0" borderId="52" xfId="49" applyNumberFormat="1" applyFont="1" applyFill="1" applyBorder="1" applyAlignment="1" applyProtection="1">
      <alignment horizontal="center" vertical="center" wrapText="1"/>
    </xf>
    <xf numFmtId="3" fontId="15" fillId="0" borderId="53" xfId="49" applyNumberFormat="1" applyFont="1" applyFill="1" applyBorder="1" applyAlignment="1" applyProtection="1">
      <alignment horizontal="center" vertical="center" wrapText="1"/>
    </xf>
    <xf numFmtId="0" fontId="44" fillId="0" borderId="21" xfId="49" applyFont="1" applyFill="1" applyBorder="1" applyAlignment="1" applyProtection="1">
      <alignment horizontal="center" vertical="center"/>
    </xf>
    <xf numFmtId="0" fontId="44" fillId="26" borderId="21" xfId="49" applyFont="1" applyFill="1" applyBorder="1" applyAlignment="1" applyProtection="1">
      <alignment horizontal="center" vertical="center"/>
    </xf>
    <xf numFmtId="9" fontId="24" fillId="26" borderId="30" xfId="49" applyNumberFormat="1" applyFont="1" applyFill="1" applyBorder="1" applyAlignment="1" applyProtection="1">
      <alignment horizontal="center" vertical="center"/>
    </xf>
    <xf numFmtId="49" fontId="44" fillId="26" borderId="21" xfId="49" applyNumberFormat="1" applyFont="1" applyFill="1" applyBorder="1" applyAlignment="1" applyProtection="1">
      <alignment horizontal="left" vertical="center" wrapText="1"/>
    </xf>
    <xf numFmtId="3" fontId="15" fillId="0" borderId="56" xfId="49" applyNumberFormat="1" applyFont="1" applyFill="1" applyBorder="1" applyAlignment="1" applyProtection="1">
      <alignment horizontal="center" vertical="center" wrapText="1"/>
    </xf>
    <xf numFmtId="3" fontId="15" fillId="0" borderId="77" xfId="49" applyNumberFormat="1" applyFont="1" applyFill="1" applyBorder="1" applyAlignment="1" applyProtection="1">
      <alignment horizontal="center" vertical="center" wrapText="1"/>
    </xf>
    <xf numFmtId="3" fontId="15" fillId="0" borderId="57" xfId="49" applyNumberFormat="1" applyFont="1" applyFill="1" applyBorder="1" applyAlignment="1" applyProtection="1">
      <alignment horizontal="center" vertical="center" wrapText="1"/>
    </xf>
    <xf numFmtId="49" fontId="24" fillId="27" borderId="0" xfId="49" applyNumberFormat="1" applyFont="1" applyFill="1" applyBorder="1" applyAlignment="1" applyProtection="1">
      <alignment horizontal="center" vertical="center"/>
    </xf>
    <xf numFmtId="49" fontId="24" fillId="27" borderId="0" xfId="49" applyNumberFormat="1" applyFont="1" applyFill="1" applyBorder="1" applyAlignment="1" applyProtection="1">
      <alignment vertical="center"/>
    </xf>
    <xf numFmtId="167" fontId="24" fillId="27" borderId="0" xfId="49" applyNumberFormat="1" applyFont="1" applyFill="1" applyBorder="1" applyAlignment="1" applyProtection="1">
      <alignment horizontal="right" vertical="center"/>
    </xf>
    <xf numFmtId="14" fontId="68" fillId="27" borderId="0" xfId="49" applyNumberFormat="1" applyFont="1" applyFill="1" applyAlignment="1" applyProtection="1">
      <alignment vertical="center"/>
    </xf>
    <xf numFmtId="0" fontId="15" fillId="27" borderId="0" xfId="0" applyFont="1" applyFill="1" applyAlignment="1" applyProtection="1">
      <alignment vertical="center"/>
    </xf>
    <xf numFmtId="0" fontId="15" fillId="27" borderId="0" xfId="0" applyNumberFormat="1" applyFont="1" applyFill="1" applyAlignment="1" applyProtection="1">
      <alignment vertical="center"/>
    </xf>
    <xf numFmtId="0" fontId="24" fillId="27" borderId="0" xfId="0" applyNumberFormat="1" applyFont="1" applyFill="1" applyAlignment="1" applyProtection="1">
      <alignment horizontal="center" vertical="center"/>
    </xf>
    <xf numFmtId="14" fontId="68" fillId="27" borderId="0" xfId="49" applyNumberFormat="1" applyFont="1" applyFill="1" applyAlignment="1" applyProtection="1">
      <alignment horizontal="right" vertical="center"/>
    </xf>
    <xf numFmtId="14" fontId="68" fillId="27" borderId="0" xfId="49" applyNumberFormat="1" applyFont="1" applyFill="1" applyAlignment="1" applyProtection="1">
      <alignment horizontal="left" vertical="center"/>
    </xf>
    <xf numFmtId="0" fontId="39" fillId="27" borderId="0" xfId="49" applyFont="1" applyFill="1" applyAlignment="1" applyProtection="1">
      <alignment horizontal="right" vertical="center"/>
    </xf>
    <xf numFmtId="0" fontId="24" fillId="27" borderId="0" xfId="0" applyNumberFormat="1" applyFont="1" applyFill="1" applyAlignment="1" applyProtection="1">
      <alignment horizontal="right" vertical="center"/>
    </xf>
    <xf numFmtId="0" fontId="68" fillId="27" borderId="0" xfId="0" applyFont="1" applyFill="1" applyAlignment="1" applyProtection="1">
      <alignment vertical="center"/>
    </xf>
    <xf numFmtId="14" fontId="90" fillId="27" borderId="0" xfId="49" applyNumberFormat="1" applyFont="1" applyFill="1" applyAlignment="1" applyProtection="1">
      <alignment horizontal="left" vertical="center"/>
    </xf>
    <xf numFmtId="49" fontId="15" fillId="27" borderId="0" xfId="0" applyNumberFormat="1" applyFont="1" applyFill="1" applyAlignment="1" applyProtection="1">
      <alignment horizontal="right" vertical="center"/>
    </xf>
    <xf numFmtId="0" fontId="46" fillId="27" borderId="0" xfId="0" applyNumberFormat="1" applyFont="1" applyFill="1" applyAlignment="1" applyProtection="1">
      <alignment vertical="center"/>
    </xf>
    <xf numFmtId="0" fontId="39" fillId="27" borderId="0" xfId="0" applyNumberFormat="1" applyFont="1" applyFill="1" applyAlignment="1" applyProtection="1">
      <alignment horizontal="right" vertical="center"/>
    </xf>
    <xf numFmtId="0" fontId="0" fillId="0" borderId="0" xfId="0" applyFill="1" applyAlignment="1" applyProtection="1">
      <alignment vertical="center"/>
    </xf>
    <xf numFmtId="3" fontId="45" fillId="26" borderId="90" xfId="49" applyNumberFormat="1" applyFont="1" applyFill="1" applyBorder="1" applyAlignment="1" applyProtection="1">
      <alignment horizontal="center" vertical="center" wrapText="1"/>
    </xf>
    <xf numFmtId="3" fontId="45" fillId="26" borderId="112" xfId="49" applyNumberFormat="1" applyFont="1" applyFill="1" applyBorder="1" applyAlignment="1" applyProtection="1">
      <alignment horizontal="center" vertical="center" wrapText="1"/>
    </xf>
    <xf numFmtId="3" fontId="45" fillId="26" borderId="91" xfId="49" applyNumberFormat="1" applyFont="1" applyFill="1" applyBorder="1" applyAlignment="1" applyProtection="1">
      <alignment horizontal="center" vertical="center" wrapText="1"/>
    </xf>
    <xf numFmtId="3" fontId="45" fillId="26" borderId="99" xfId="49" applyNumberFormat="1" applyFont="1" applyFill="1" applyBorder="1" applyAlignment="1" applyProtection="1">
      <alignment horizontal="center" vertical="center" wrapText="1"/>
    </xf>
    <xf numFmtId="3" fontId="45" fillId="26" borderId="113" xfId="49" applyNumberFormat="1" applyFont="1" applyFill="1" applyBorder="1" applyAlignment="1" applyProtection="1">
      <alignment horizontal="center" vertical="center" wrapText="1"/>
    </xf>
    <xf numFmtId="3" fontId="45" fillId="26" borderId="95" xfId="49" applyNumberFormat="1" applyFont="1" applyFill="1" applyBorder="1" applyAlignment="1" applyProtection="1">
      <alignment horizontal="center" vertical="center" wrapText="1"/>
    </xf>
    <xf numFmtId="3" fontId="45" fillId="26" borderId="93" xfId="49" applyNumberFormat="1" applyFont="1" applyFill="1" applyBorder="1" applyAlignment="1" applyProtection="1">
      <alignment horizontal="center" vertical="center" wrapText="1"/>
    </xf>
    <xf numFmtId="3" fontId="45" fillId="26" borderId="114" xfId="49" applyNumberFormat="1" applyFont="1" applyFill="1" applyBorder="1" applyAlignment="1" applyProtection="1">
      <alignment horizontal="center" vertical="center" wrapText="1"/>
    </xf>
    <xf numFmtId="3" fontId="45" fillId="26" borderId="94" xfId="49" applyNumberFormat="1" applyFont="1" applyFill="1" applyBorder="1" applyAlignment="1" applyProtection="1">
      <alignment horizontal="center" vertical="center" wrapText="1"/>
    </xf>
    <xf numFmtId="3" fontId="24" fillId="27" borderId="25" xfId="49" applyNumberFormat="1" applyFont="1" applyFill="1" applyBorder="1" applyAlignment="1" applyProtection="1">
      <alignment horizontal="center" vertical="center" wrapText="1"/>
    </xf>
    <xf numFmtId="3" fontId="24" fillId="32" borderId="1" xfId="49" applyNumberFormat="1" applyFont="1" applyFill="1" applyBorder="1" applyAlignment="1" applyProtection="1">
      <alignment vertical="center" wrapText="1"/>
    </xf>
    <xf numFmtId="3" fontId="24" fillId="32" borderId="8" xfId="49" applyNumberFormat="1" applyFont="1" applyFill="1" applyBorder="1" applyAlignment="1" applyProtection="1">
      <alignment vertical="center" wrapText="1"/>
    </xf>
    <xf numFmtId="3" fontId="24" fillId="32" borderId="3" xfId="49" applyNumberFormat="1" applyFont="1" applyFill="1" applyBorder="1" applyAlignment="1" applyProtection="1">
      <alignment vertical="center" wrapText="1"/>
    </xf>
    <xf numFmtId="3" fontId="45" fillId="26" borderId="96" xfId="49" applyNumberFormat="1" applyFont="1" applyFill="1" applyBorder="1" applyAlignment="1" applyProtection="1">
      <alignment horizontal="center" vertical="center" wrapText="1"/>
    </xf>
    <xf numFmtId="3" fontId="45" fillId="26" borderId="110" xfId="49" applyNumberFormat="1" applyFont="1" applyFill="1" applyBorder="1" applyAlignment="1" applyProtection="1">
      <alignment horizontal="center" vertical="center" wrapText="1"/>
    </xf>
    <xf numFmtId="3" fontId="45" fillId="26" borderId="107" xfId="49" applyNumberFormat="1" applyFont="1" applyFill="1" applyBorder="1" applyAlignment="1" applyProtection="1">
      <alignment horizontal="center" vertical="center" wrapText="1"/>
    </xf>
    <xf numFmtId="3" fontId="45" fillId="26" borderId="102" xfId="49" applyNumberFormat="1" applyFont="1" applyFill="1" applyBorder="1" applyAlignment="1" applyProtection="1">
      <alignment horizontal="center" vertical="center" wrapText="1"/>
    </xf>
    <xf numFmtId="3" fontId="45" fillId="26" borderId="103" xfId="49" applyNumberFormat="1" applyFont="1" applyFill="1" applyBorder="1" applyAlignment="1" applyProtection="1">
      <alignment horizontal="center" vertical="center" wrapText="1"/>
    </xf>
    <xf numFmtId="3" fontId="45" fillId="26" borderId="108" xfId="49" applyNumberFormat="1" applyFont="1" applyFill="1" applyBorder="1" applyAlignment="1" applyProtection="1">
      <alignment horizontal="center" vertical="center" wrapText="1"/>
    </xf>
    <xf numFmtId="3" fontId="45" fillId="26" borderId="104" xfId="49" applyNumberFormat="1" applyFont="1" applyFill="1" applyBorder="1" applyAlignment="1" applyProtection="1">
      <alignment horizontal="center" vertical="center" wrapText="1"/>
    </xf>
    <xf numFmtId="3" fontId="45" fillId="26" borderId="97" xfId="49" applyNumberFormat="1" applyFont="1" applyFill="1" applyBorder="1" applyAlignment="1" applyProtection="1">
      <alignment horizontal="center" vertical="center" wrapText="1"/>
    </xf>
    <xf numFmtId="3" fontId="45" fillId="26" borderId="111" xfId="49" applyNumberFormat="1" applyFont="1" applyFill="1" applyBorder="1" applyAlignment="1" applyProtection="1">
      <alignment horizontal="center" vertical="center" wrapText="1"/>
    </xf>
    <xf numFmtId="3" fontId="45" fillId="26" borderId="109" xfId="49" applyNumberFormat="1" applyFont="1" applyFill="1" applyBorder="1" applyAlignment="1" applyProtection="1">
      <alignment horizontal="center" vertical="center" wrapText="1"/>
    </xf>
    <xf numFmtId="3" fontId="45" fillId="26" borderId="105" xfId="49" applyNumberFormat="1" applyFont="1" applyFill="1" applyBorder="1" applyAlignment="1" applyProtection="1">
      <alignment horizontal="center" vertical="center" wrapText="1"/>
    </xf>
    <xf numFmtId="3" fontId="45" fillId="26" borderId="106" xfId="49" applyNumberFormat="1" applyFont="1" applyFill="1" applyBorder="1" applyAlignment="1" applyProtection="1">
      <alignment horizontal="center" vertical="center" wrapText="1"/>
    </xf>
    <xf numFmtId="0" fontId="55" fillId="27" borderId="0" xfId="49" applyFont="1" applyFill="1" applyAlignment="1" applyProtection="1">
      <alignment horizontal="center" vertical="center"/>
    </xf>
    <xf numFmtId="167" fontId="55" fillId="27" borderId="0" xfId="49" applyNumberFormat="1" applyFont="1" applyFill="1" applyAlignment="1" applyProtection="1">
      <alignment horizontal="center" vertical="center"/>
    </xf>
    <xf numFmtId="0" fontId="56" fillId="27" borderId="0" xfId="49" applyFont="1" applyFill="1" applyBorder="1" applyAlignment="1" applyProtection="1">
      <alignment vertical="center"/>
    </xf>
    <xf numFmtId="0" fontId="56" fillId="27" borderId="0" xfId="49" applyFont="1" applyFill="1" applyBorder="1" applyAlignment="1" applyProtection="1">
      <alignment horizontal="right" vertical="center"/>
    </xf>
    <xf numFmtId="0" fontId="23" fillId="27" borderId="0" xfId="49" applyFont="1" applyFill="1" applyBorder="1" applyAlignment="1" applyProtection="1">
      <alignment vertical="center"/>
    </xf>
    <xf numFmtId="167" fontId="23" fillId="27" borderId="0" xfId="49" applyNumberFormat="1" applyFont="1" applyFill="1" applyBorder="1" applyAlignment="1" applyProtection="1">
      <alignment vertical="center"/>
    </xf>
    <xf numFmtId="1" fontId="37" fillId="27" borderId="0" xfId="49" applyNumberFormat="1" applyFont="1" applyFill="1" applyBorder="1" applyAlignment="1" applyProtection="1">
      <alignment vertical="center"/>
    </xf>
    <xf numFmtId="167" fontId="23" fillId="27" borderId="0" xfId="49" applyNumberFormat="1" applyFont="1" applyFill="1" applyBorder="1" applyAlignment="1" applyProtection="1">
      <alignment horizontal="center" vertical="center"/>
    </xf>
    <xf numFmtId="1" fontId="37" fillId="27" borderId="0" xfId="49" applyNumberFormat="1" applyFont="1" applyFill="1" applyBorder="1" applyAlignment="1" applyProtection="1">
      <alignment horizontal="center" vertical="center"/>
    </xf>
    <xf numFmtId="167" fontId="22" fillId="27" borderId="0" xfId="49" applyNumberFormat="1" applyFont="1" applyFill="1" applyBorder="1" applyAlignment="1" applyProtection="1">
      <alignment horizontal="center" vertical="center"/>
    </xf>
    <xf numFmtId="0" fontId="22" fillId="27" borderId="0" xfId="49" applyFont="1" applyFill="1" applyBorder="1" applyAlignment="1" applyProtection="1">
      <alignment horizontal="center" vertical="center"/>
    </xf>
    <xf numFmtId="1" fontId="55" fillId="27" borderId="0" xfId="49" applyNumberFormat="1" applyFont="1" applyFill="1" applyBorder="1" applyAlignment="1" applyProtection="1">
      <alignment horizontal="center" vertical="center"/>
    </xf>
    <xf numFmtId="0" fontId="46" fillId="0" borderId="20" xfId="31" applyFont="1" applyBorder="1" applyAlignment="1" applyProtection="1">
      <alignment horizontal="right" vertical="center"/>
    </xf>
    <xf numFmtId="1" fontId="44" fillId="27" borderId="0" xfId="49" applyNumberFormat="1" applyFont="1" applyFill="1" applyAlignment="1" applyProtection="1">
      <alignment horizontal="center" vertical="center"/>
    </xf>
    <xf numFmtId="3" fontId="45" fillId="0" borderId="53" xfId="32" applyNumberFormat="1" applyFont="1" applyFill="1" applyBorder="1" applyAlignment="1" applyProtection="1">
      <alignment horizontal="left" vertical="center"/>
    </xf>
    <xf numFmtId="167" fontId="44" fillId="26" borderId="129" xfId="32" applyNumberFormat="1" applyFont="1" applyFill="1" applyBorder="1" applyAlignment="1" applyProtection="1">
      <alignment horizontal="center" vertical="center"/>
    </xf>
    <xf numFmtId="3" fontId="44" fillId="26" borderId="128" xfId="32" applyNumberFormat="1" applyFont="1" applyFill="1" applyBorder="1" applyAlignment="1" applyProtection="1">
      <alignment horizontal="center" vertical="center"/>
    </xf>
    <xf numFmtId="9" fontId="44" fillId="26" borderId="95" xfId="1" applyFont="1" applyFill="1" applyBorder="1" applyAlignment="1" applyProtection="1">
      <alignment horizontal="center" vertical="center"/>
    </xf>
    <xf numFmtId="9" fontId="44" fillId="26" borderId="113" xfId="1" applyFont="1" applyFill="1" applyBorder="1" applyAlignment="1" applyProtection="1">
      <alignment horizontal="center" vertical="center"/>
    </xf>
    <xf numFmtId="3" fontId="44" fillId="0" borderId="98" xfId="32" applyNumberFormat="1" applyFont="1" applyFill="1" applyBorder="1" applyAlignment="1" applyProtection="1">
      <alignment horizontal="center" vertical="center"/>
    </xf>
    <xf numFmtId="9" fontId="44" fillId="0" borderId="113" xfId="1" applyFont="1" applyFill="1" applyBorder="1" applyAlignment="1" applyProtection="1">
      <alignment horizontal="center" vertical="center"/>
    </xf>
    <xf numFmtId="3" fontId="44" fillId="26" borderId="98" xfId="32" applyNumberFormat="1" applyFont="1" applyFill="1" applyBorder="1" applyAlignment="1" applyProtection="1">
      <alignment horizontal="center" vertical="center"/>
    </xf>
    <xf numFmtId="9" fontId="44" fillId="0" borderId="95" xfId="1" applyFont="1" applyFill="1" applyBorder="1" applyAlignment="1" applyProtection="1">
      <alignment horizontal="center" vertical="center"/>
    </xf>
    <xf numFmtId="3" fontId="55" fillId="27" borderId="0" xfId="49" applyNumberFormat="1" applyFont="1" applyFill="1" applyAlignment="1" applyProtection="1">
      <alignment horizontal="center" vertical="center"/>
    </xf>
    <xf numFmtId="14" fontId="22" fillId="27" borderId="0" xfId="49" applyNumberFormat="1" applyFont="1" applyFill="1" applyAlignment="1" applyProtection="1">
      <alignment horizontal="left" vertical="center"/>
    </xf>
    <xf numFmtId="0" fontId="22" fillId="27" borderId="0" xfId="49" applyFont="1" applyFill="1" applyAlignment="1" applyProtection="1">
      <alignment horizontal="right" vertical="center"/>
    </xf>
    <xf numFmtId="0" fontId="55" fillId="27" borderId="0" xfId="49" applyFont="1" applyFill="1" applyAlignment="1" applyProtection="1">
      <alignment horizontal="left" vertical="center"/>
    </xf>
    <xf numFmtId="0" fontId="146" fillId="27" borderId="0" xfId="49" applyFont="1" applyFill="1" applyAlignment="1" applyProtection="1">
      <alignment horizontal="left" vertical="center"/>
    </xf>
    <xf numFmtId="49" fontId="55" fillId="27" borderId="0" xfId="49" applyNumberFormat="1" applyFont="1" applyFill="1" applyAlignment="1" applyProtection="1">
      <alignment horizontal="center" vertical="center"/>
    </xf>
    <xf numFmtId="3" fontId="44" fillId="28" borderId="17" xfId="49" applyNumberFormat="1" applyFont="1" applyFill="1" applyBorder="1" applyAlignment="1" applyProtection="1">
      <alignment horizontal="center" vertical="center" wrapText="1"/>
      <protection locked="0"/>
    </xf>
    <xf numFmtId="3" fontId="45" fillId="28" borderId="32" xfId="49" applyNumberFormat="1" applyFont="1" applyFill="1" applyBorder="1" applyAlignment="1" applyProtection="1">
      <alignment horizontal="center" vertical="center" wrapText="1"/>
      <protection locked="0"/>
    </xf>
    <xf numFmtId="3" fontId="45" fillId="28" borderId="23" xfId="49" applyNumberFormat="1" applyFont="1" applyFill="1" applyBorder="1" applyAlignment="1" applyProtection="1">
      <alignment horizontal="center" vertical="center" wrapText="1"/>
      <protection locked="0"/>
    </xf>
    <xf numFmtId="3" fontId="45" fillId="26" borderId="17" xfId="49" applyNumberFormat="1" applyFont="1" applyFill="1" applyBorder="1" applyAlignment="1" applyProtection="1">
      <alignment horizontal="center" vertical="center" wrapText="1"/>
    </xf>
    <xf numFmtId="3" fontId="45" fillId="26" borderId="7" xfId="49" applyNumberFormat="1" applyFont="1" applyFill="1" applyBorder="1" applyAlignment="1" applyProtection="1">
      <alignment horizontal="center" vertical="center" wrapText="1"/>
    </xf>
    <xf numFmtId="3" fontId="44" fillId="28" borderId="51" xfId="49" applyNumberFormat="1" applyFont="1" applyFill="1" applyBorder="1" applyAlignment="1" applyProtection="1">
      <alignment horizontal="center" vertical="center" wrapText="1"/>
      <protection locked="0"/>
    </xf>
    <xf numFmtId="3" fontId="45" fillId="28" borderId="72" xfId="49" applyNumberFormat="1" applyFont="1" applyFill="1" applyBorder="1" applyAlignment="1" applyProtection="1">
      <alignment horizontal="center" vertical="center" wrapText="1"/>
      <protection locked="0"/>
    </xf>
    <xf numFmtId="3" fontId="45" fillId="28" borderId="22" xfId="49" applyNumberFormat="1" applyFont="1" applyFill="1" applyBorder="1" applyAlignment="1" applyProtection="1">
      <alignment horizontal="center" vertical="center" wrapText="1"/>
      <protection locked="0"/>
    </xf>
    <xf numFmtId="3" fontId="44" fillId="26" borderId="81" xfId="32" applyNumberFormat="1" applyFont="1" applyFill="1" applyBorder="1" applyAlignment="1" applyProtection="1">
      <alignment horizontal="center" vertical="center"/>
    </xf>
    <xf numFmtId="3" fontId="44" fillId="26" borderId="123" xfId="32" applyNumberFormat="1" applyFont="1" applyFill="1" applyBorder="1" applyAlignment="1" applyProtection="1">
      <alignment horizontal="center" vertical="center"/>
    </xf>
    <xf numFmtId="3" fontId="44" fillId="33" borderId="61" xfId="49" applyNumberFormat="1" applyFont="1" applyFill="1" applyBorder="1" applyAlignment="1" applyProtection="1">
      <alignment horizontal="center" vertical="center" wrapText="1"/>
    </xf>
    <xf numFmtId="3" fontId="44" fillId="44" borderId="51" xfId="49" applyNumberFormat="1" applyFont="1" applyFill="1" applyBorder="1" applyAlignment="1" applyProtection="1">
      <alignment horizontal="center" vertical="center" wrapText="1"/>
    </xf>
    <xf numFmtId="3" fontId="44" fillId="44" borderId="72" xfId="49" applyNumberFormat="1" applyFont="1" applyFill="1" applyBorder="1" applyAlignment="1" applyProtection="1">
      <alignment horizontal="center" vertical="center" wrapText="1"/>
    </xf>
    <xf numFmtId="3" fontId="44" fillId="44" borderId="73" xfId="49" applyNumberFormat="1" applyFont="1" applyFill="1" applyBorder="1" applyAlignment="1" applyProtection="1">
      <alignment horizontal="center" vertical="center" wrapText="1"/>
    </xf>
    <xf numFmtId="3" fontId="44" fillId="44" borderId="74" xfId="49" applyNumberFormat="1" applyFont="1" applyFill="1" applyBorder="1" applyAlignment="1" applyProtection="1">
      <alignment horizontal="center" vertical="center" wrapText="1"/>
    </xf>
    <xf numFmtId="3" fontId="44" fillId="44" borderId="17" xfId="49" applyNumberFormat="1" applyFont="1" applyFill="1" applyBorder="1" applyAlignment="1" applyProtection="1">
      <alignment horizontal="center" vertical="center" wrapText="1"/>
    </xf>
    <xf numFmtId="3" fontId="44" fillId="44" borderId="32" xfId="49" applyNumberFormat="1" applyFont="1" applyFill="1" applyBorder="1" applyAlignment="1" applyProtection="1">
      <alignment horizontal="center" vertical="center" wrapText="1"/>
    </xf>
    <xf numFmtId="3" fontId="44" fillId="44" borderId="7" xfId="49" applyNumberFormat="1" applyFont="1" applyFill="1" applyBorder="1" applyAlignment="1" applyProtection="1">
      <alignment horizontal="center" vertical="center" wrapText="1"/>
    </xf>
    <xf numFmtId="3" fontId="44" fillId="44" borderId="62" xfId="49" applyNumberFormat="1" applyFont="1" applyFill="1" applyBorder="1" applyAlignment="1" applyProtection="1">
      <alignment horizontal="center" vertical="center" wrapText="1"/>
    </xf>
    <xf numFmtId="3" fontId="44" fillId="44" borderId="21" xfId="49" applyNumberFormat="1" applyFont="1" applyFill="1" applyBorder="1" applyAlignment="1" applyProtection="1">
      <alignment horizontal="center" vertical="center" wrapText="1"/>
    </xf>
    <xf numFmtId="3" fontId="44" fillId="44" borderId="79" xfId="49" applyNumberFormat="1" applyFont="1" applyFill="1" applyBorder="1" applyAlignment="1" applyProtection="1">
      <alignment horizontal="center" vertical="center" wrapText="1"/>
    </xf>
    <xf numFmtId="3" fontId="44" fillId="44" borderId="77" xfId="49" applyNumberFormat="1" applyFont="1" applyFill="1" applyBorder="1" applyAlignment="1" applyProtection="1">
      <alignment horizontal="center" vertical="center" wrapText="1"/>
    </xf>
    <xf numFmtId="3" fontId="44" fillId="44" borderId="78" xfId="49" applyNumberFormat="1" applyFont="1" applyFill="1" applyBorder="1" applyAlignment="1" applyProtection="1">
      <alignment horizontal="center" vertical="center" wrapText="1"/>
    </xf>
    <xf numFmtId="3" fontId="45" fillId="0" borderId="32" xfId="49" applyNumberFormat="1" applyFont="1" applyFill="1" applyBorder="1" applyAlignment="1" applyProtection="1">
      <alignment horizontal="center" vertical="center" wrapText="1"/>
    </xf>
    <xf numFmtId="3" fontId="45" fillId="0" borderId="23" xfId="49" applyNumberFormat="1" applyFont="1" applyFill="1" applyBorder="1" applyAlignment="1" applyProtection="1">
      <alignment horizontal="center" vertical="center" wrapText="1"/>
    </xf>
    <xf numFmtId="3" fontId="45" fillId="28" borderId="17" xfId="49" applyNumberFormat="1" applyFont="1" applyFill="1" applyBorder="1" applyAlignment="1" applyProtection="1">
      <alignment horizontal="center" vertical="center" wrapText="1"/>
      <protection locked="0"/>
    </xf>
    <xf numFmtId="3" fontId="43" fillId="0" borderId="65" xfId="31" applyNumberFormat="1" applyFont="1" applyFill="1" applyBorder="1" applyAlignment="1" applyProtection="1">
      <alignment horizontal="center" vertical="center" wrapText="1"/>
    </xf>
    <xf numFmtId="3" fontId="43" fillId="0" borderId="60" xfId="31" applyNumberFormat="1" applyFont="1" applyFill="1" applyBorder="1" applyAlignment="1" applyProtection="1">
      <alignment horizontal="center" vertical="center" wrapText="1"/>
    </xf>
    <xf numFmtId="3" fontId="43" fillId="0" borderId="2" xfId="49" applyNumberFormat="1" applyFont="1" applyFill="1" applyBorder="1" applyAlignment="1" applyProtection="1">
      <alignment horizontal="center" vertical="center" wrapText="1"/>
    </xf>
    <xf numFmtId="3" fontId="43" fillId="0" borderId="65" xfId="49" applyNumberFormat="1" applyFont="1" applyFill="1" applyBorder="1" applyAlignment="1" applyProtection="1">
      <alignment horizontal="center" vertical="center" wrapText="1"/>
    </xf>
    <xf numFmtId="3" fontId="43" fillId="0" borderId="60" xfId="49" applyNumberFormat="1" applyFont="1" applyFill="1" applyBorder="1" applyAlignment="1" applyProtection="1">
      <alignment horizontal="center" vertical="center" wrapText="1"/>
    </xf>
    <xf numFmtId="3" fontId="44" fillId="26" borderId="129" xfId="32" applyNumberFormat="1" applyFont="1" applyFill="1" applyBorder="1" applyAlignment="1" applyProtection="1">
      <alignment horizontal="center" vertical="center"/>
    </xf>
    <xf numFmtId="3" fontId="45" fillId="0" borderId="15" xfId="49" applyNumberFormat="1" applyFont="1" applyFill="1" applyBorder="1" applyAlignment="1" applyProtection="1">
      <alignment horizontal="center" vertical="center" wrapText="1"/>
    </xf>
    <xf numFmtId="3" fontId="45" fillId="28" borderId="15" xfId="49" applyNumberFormat="1" applyFont="1" applyFill="1" applyBorder="1" applyAlignment="1" applyProtection="1">
      <alignment horizontal="center" vertical="center" wrapText="1"/>
      <protection locked="0"/>
    </xf>
    <xf numFmtId="3" fontId="44" fillId="33" borderId="53" xfId="49" applyNumberFormat="1" applyFont="1" applyFill="1" applyBorder="1" applyAlignment="1" applyProtection="1">
      <alignment horizontal="center" vertical="center" wrapText="1"/>
    </xf>
    <xf numFmtId="3" fontId="44" fillId="26" borderId="82" xfId="32" applyNumberFormat="1" applyFont="1" applyFill="1" applyBorder="1" applyAlignment="1" applyProtection="1">
      <alignment horizontal="center" vertical="center"/>
    </xf>
    <xf numFmtId="3" fontId="44" fillId="44" borderId="76" xfId="49" applyNumberFormat="1" applyFont="1" applyFill="1" applyBorder="1" applyAlignment="1" applyProtection="1">
      <alignment horizontal="center" vertical="center" wrapText="1"/>
    </xf>
    <xf numFmtId="3" fontId="44" fillId="44" borderId="53" xfId="49" applyNumberFormat="1" applyFont="1" applyFill="1" applyBorder="1" applyAlignment="1" applyProtection="1">
      <alignment horizontal="center" vertical="center" wrapText="1"/>
    </xf>
    <xf numFmtId="3" fontId="44" fillId="44" borderId="57" xfId="49" applyNumberFormat="1" applyFont="1" applyFill="1" applyBorder="1" applyAlignment="1" applyProtection="1">
      <alignment horizontal="center" vertical="center" wrapText="1"/>
    </xf>
    <xf numFmtId="3" fontId="43" fillId="24" borderId="3" xfId="49" applyNumberFormat="1" applyFont="1" applyFill="1" applyBorder="1" applyAlignment="1" applyProtection="1">
      <alignment horizontal="center" vertical="center" wrapText="1"/>
    </xf>
    <xf numFmtId="3" fontId="44" fillId="0" borderId="15" xfId="49" applyNumberFormat="1" applyFont="1" applyFill="1" applyBorder="1" applyAlignment="1" applyProtection="1">
      <alignment horizontal="center" vertical="center" wrapText="1"/>
    </xf>
    <xf numFmtId="3" fontId="43" fillId="0" borderId="10" xfId="31" applyNumberFormat="1" applyFont="1" applyFill="1" applyBorder="1" applyAlignment="1" applyProtection="1">
      <alignment horizontal="center" vertical="center" wrapText="1"/>
    </xf>
    <xf numFmtId="3" fontId="43" fillId="0" borderId="10" xfId="49" applyNumberFormat="1" applyFont="1" applyFill="1" applyBorder="1" applyAlignment="1" applyProtection="1">
      <alignment horizontal="center" vertical="center" wrapText="1"/>
    </xf>
    <xf numFmtId="3" fontId="44" fillId="33" borderId="6" xfId="49" applyNumberFormat="1" applyFont="1" applyFill="1" applyBorder="1" applyAlignment="1" applyProtection="1">
      <alignment horizontal="center" vertical="center" wrapText="1"/>
    </xf>
    <xf numFmtId="3" fontId="15" fillId="0" borderId="17" xfId="32" applyNumberFormat="1" applyFont="1" applyFill="1" applyBorder="1" applyAlignment="1" applyProtection="1">
      <alignment horizontal="center" vertical="center"/>
    </xf>
    <xf numFmtId="3" fontId="15" fillId="0" borderId="32" xfId="32" applyNumberFormat="1" applyFont="1" applyFill="1" applyBorder="1" applyAlignment="1" applyProtection="1">
      <alignment horizontal="center" vertical="center"/>
    </xf>
    <xf numFmtId="3" fontId="15" fillId="0" borderId="7" xfId="32" applyNumberFormat="1" applyFont="1" applyFill="1" applyBorder="1" applyAlignment="1" applyProtection="1">
      <alignment horizontal="center" vertical="center"/>
    </xf>
    <xf numFmtId="3" fontId="15" fillId="0" borderId="62" xfId="32" applyNumberFormat="1" applyFont="1" applyFill="1" applyBorder="1" applyAlignment="1" applyProtection="1">
      <alignment horizontal="center" vertical="center"/>
    </xf>
    <xf numFmtId="3" fontId="15" fillId="0" borderId="53" xfId="32" applyNumberFormat="1" applyFont="1" applyFill="1" applyBorder="1" applyAlignment="1" applyProtection="1">
      <alignment horizontal="center" vertical="center"/>
    </xf>
    <xf numFmtId="3" fontId="44" fillId="26" borderId="15" xfId="49" applyNumberFormat="1" applyFont="1" applyFill="1" applyBorder="1" applyAlignment="1" applyProtection="1">
      <alignment horizontal="center" vertical="center" wrapText="1"/>
    </xf>
    <xf numFmtId="3" fontId="45" fillId="0" borderId="17" xfId="49" applyNumberFormat="1" applyFont="1" applyFill="1" applyBorder="1" applyAlignment="1" applyProtection="1">
      <alignment horizontal="center" vertical="center" wrapText="1"/>
    </xf>
    <xf numFmtId="3" fontId="45" fillId="0" borderId="7" xfId="49" applyNumberFormat="1" applyFont="1" applyFill="1" applyBorder="1" applyAlignment="1" applyProtection="1">
      <alignment horizontal="center" vertical="center" wrapText="1"/>
    </xf>
    <xf numFmtId="3" fontId="45" fillId="28" borderId="14" xfId="49" applyNumberFormat="1" applyFont="1" applyFill="1" applyBorder="1" applyAlignment="1" applyProtection="1">
      <alignment horizontal="center" vertical="center" wrapText="1"/>
      <protection locked="0"/>
    </xf>
    <xf numFmtId="3" fontId="44" fillId="33" borderId="50" xfId="49" applyNumberFormat="1" applyFont="1" applyFill="1" applyBorder="1" applyAlignment="1" applyProtection="1">
      <alignment horizontal="center" vertical="center" wrapText="1"/>
    </xf>
    <xf numFmtId="3" fontId="44" fillId="28" borderId="72" xfId="49" applyNumberFormat="1" applyFont="1" applyFill="1" applyBorder="1" applyAlignment="1" applyProtection="1">
      <alignment horizontal="center" vertical="center" wrapText="1"/>
      <protection locked="0"/>
    </xf>
    <xf numFmtId="3" fontId="44" fillId="28" borderId="73" xfId="49" applyNumberFormat="1" applyFont="1" applyFill="1" applyBorder="1" applyAlignment="1" applyProtection="1">
      <alignment horizontal="center" vertical="center" wrapText="1"/>
      <protection locked="0"/>
    </xf>
    <xf numFmtId="3" fontId="44" fillId="28" borderId="76" xfId="49" applyNumberFormat="1" applyFont="1" applyFill="1" applyBorder="1" applyAlignment="1" applyProtection="1">
      <alignment horizontal="center" vertical="center" wrapText="1"/>
      <protection locked="0"/>
    </xf>
    <xf numFmtId="3" fontId="44" fillId="28" borderId="32" xfId="49" applyNumberFormat="1" applyFont="1" applyFill="1" applyBorder="1" applyAlignment="1" applyProtection="1">
      <alignment horizontal="center" vertical="center" wrapText="1"/>
      <protection locked="0"/>
    </xf>
    <xf numFmtId="3" fontId="44" fillId="28" borderId="7" xfId="49" applyNumberFormat="1" applyFont="1" applyFill="1" applyBorder="1" applyAlignment="1" applyProtection="1">
      <alignment horizontal="center" vertical="center" wrapText="1"/>
      <protection locked="0"/>
    </xf>
    <xf numFmtId="3" fontId="44" fillId="28" borderId="53" xfId="49" applyNumberFormat="1" applyFont="1" applyFill="1" applyBorder="1" applyAlignment="1" applyProtection="1">
      <alignment horizontal="center" vertical="center" wrapText="1"/>
      <protection locked="0"/>
    </xf>
    <xf numFmtId="3" fontId="44" fillId="28" borderId="21" xfId="49" applyNumberFormat="1" applyFont="1" applyFill="1" applyBorder="1" applyAlignment="1" applyProtection="1">
      <alignment horizontal="center" vertical="center" wrapText="1"/>
      <protection locked="0"/>
    </xf>
    <xf numFmtId="3" fontId="44" fillId="28" borderId="79" xfId="49" applyNumberFormat="1" applyFont="1" applyFill="1" applyBorder="1" applyAlignment="1" applyProtection="1">
      <alignment horizontal="center" vertical="center" wrapText="1"/>
      <protection locked="0"/>
    </xf>
    <xf numFmtId="3" fontId="44" fillId="28" borderId="77" xfId="49" applyNumberFormat="1" applyFont="1" applyFill="1" applyBorder="1" applyAlignment="1" applyProtection="1">
      <alignment horizontal="center" vertical="center" wrapText="1"/>
      <protection locked="0"/>
    </xf>
    <xf numFmtId="3" fontId="44" fillId="28" borderId="57" xfId="49" applyNumberFormat="1" applyFont="1" applyFill="1" applyBorder="1" applyAlignment="1" applyProtection="1">
      <alignment horizontal="center" vertical="center" wrapText="1"/>
      <protection locked="0"/>
    </xf>
    <xf numFmtId="3" fontId="44" fillId="0" borderId="51" xfId="49" applyNumberFormat="1" applyFont="1" applyFill="1" applyBorder="1" applyAlignment="1" applyProtection="1">
      <alignment horizontal="center" vertical="center" wrapText="1"/>
    </xf>
    <xf numFmtId="3" fontId="44" fillId="0" borderId="14" xfId="49" applyNumberFormat="1" applyFont="1" applyFill="1" applyBorder="1" applyAlignment="1" applyProtection="1">
      <alignment horizontal="center" vertical="center" wrapText="1"/>
    </xf>
    <xf numFmtId="3" fontId="44" fillId="0" borderId="21" xfId="49" applyNumberFormat="1" applyFont="1" applyFill="1" applyBorder="1" applyAlignment="1" applyProtection="1">
      <alignment horizontal="center" vertical="center" wrapText="1"/>
    </xf>
    <xf numFmtId="167" fontId="56" fillId="27" borderId="0" xfId="49" applyNumberFormat="1" applyFont="1" applyFill="1" applyBorder="1" applyAlignment="1" applyProtection="1">
      <alignment horizontal="right" vertical="center"/>
    </xf>
    <xf numFmtId="167" fontId="16" fillId="27" borderId="0" xfId="49" applyNumberFormat="1" applyFont="1" applyFill="1" applyBorder="1" applyAlignment="1" applyProtection="1">
      <alignment horizontal="right" vertical="center"/>
    </xf>
    <xf numFmtId="174" fontId="55" fillId="27" borderId="0" xfId="49" applyNumberFormat="1" applyFont="1" applyFill="1" applyAlignment="1" applyProtection="1">
      <alignment horizontal="center" vertical="center"/>
    </xf>
    <xf numFmtId="174" fontId="23" fillId="27" borderId="0" xfId="49" applyNumberFormat="1" applyFont="1" applyFill="1" applyBorder="1" applyAlignment="1" applyProtection="1">
      <alignment vertical="center"/>
    </xf>
    <xf numFmtId="174" fontId="37" fillId="27" borderId="0" xfId="49" applyNumberFormat="1" applyFont="1" applyFill="1" applyBorder="1" applyAlignment="1" applyProtection="1">
      <alignment vertical="center"/>
    </xf>
    <xf numFmtId="174" fontId="23" fillId="27" borderId="0" xfId="49" applyNumberFormat="1" applyFont="1" applyFill="1" applyBorder="1" applyAlignment="1" applyProtection="1">
      <alignment horizontal="center" vertical="center"/>
    </xf>
    <xf numFmtId="174" fontId="37" fillId="27" borderId="0" xfId="49" applyNumberFormat="1" applyFont="1" applyFill="1" applyBorder="1" applyAlignment="1" applyProtection="1">
      <alignment horizontal="center" vertical="center"/>
    </xf>
    <xf numFmtId="174" fontId="44" fillId="27" borderId="0" xfId="49" applyNumberFormat="1" applyFont="1" applyFill="1" applyAlignment="1" applyProtection="1">
      <alignment horizontal="center" vertical="center"/>
    </xf>
    <xf numFmtId="3" fontId="39" fillId="0" borderId="53" xfId="32" applyNumberFormat="1" applyFont="1" applyFill="1" applyBorder="1" applyAlignment="1" applyProtection="1">
      <alignment horizontal="left" vertical="center"/>
    </xf>
    <xf numFmtId="3" fontId="39" fillId="0" borderId="17" xfId="32" applyNumberFormat="1" applyFont="1" applyFill="1" applyBorder="1" applyAlignment="1" applyProtection="1">
      <alignment horizontal="center" vertical="center"/>
    </xf>
    <xf numFmtId="3" fontId="44" fillId="0" borderId="53" xfId="32" applyNumberFormat="1" applyFont="1" applyFill="1" applyBorder="1" applyAlignment="1" applyProtection="1">
      <alignment horizontal="left" vertical="center"/>
    </xf>
    <xf numFmtId="3" fontId="44" fillId="0" borderId="17" xfId="32" applyNumberFormat="1" applyFont="1" applyFill="1" applyBorder="1" applyAlignment="1" applyProtection="1">
      <alignment horizontal="center" vertical="center"/>
    </xf>
    <xf numFmtId="3" fontId="44" fillId="0" borderId="39" xfId="32" applyNumberFormat="1" applyFont="1" applyFill="1" applyBorder="1" applyAlignment="1" applyProtection="1">
      <alignment horizontal="center" vertical="center"/>
    </xf>
    <xf numFmtId="9" fontId="44" fillId="26" borderId="129" xfId="1" applyFont="1" applyFill="1" applyBorder="1" applyAlignment="1" applyProtection="1">
      <alignment horizontal="center" vertical="center"/>
    </xf>
    <xf numFmtId="3" fontId="44" fillId="26" borderId="81" xfId="1" applyNumberFormat="1" applyFont="1" applyFill="1" applyBorder="1" applyAlignment="1" applyProtection="1">
      <alignment horizontal="center" vertical="center"/>
    </xf>
    <xf numFmtId="3" fontId="44" fillId="26" borderId="17" xfId="1" applyNumberFormat="1" applyFont="1" applyFill="1" applyBorder="1" applyAlignment="1" applyProtection="1">
      <alignment horizontal="center" vertical="center"/>
    </xf>
    <xf numFmtId="9" fontId="44" fillId="26" borderId="128" xfId="1" applyFont="1" applyFill="1" applyBorder="1" applyAlignment="1" applyProtection="1">
      <alignment horizontal="center" vertical="center"/>
    </xf>
    <xf numFmtId="9" fontId="44" fillId="26" borderId="82" xfId="1" applyFont="1" applyFill="1" applyBorder="1" applyAlignment="1" applyProtection="1">
      <alignment horizontal="center" vertical="center"/>
    </xf>
    <xf numFmtId="3" fontId="44" fillId="0" borderId="81" xfId="1" applyNumberFormat="1" applyFont="1" applyFill="1" applyBorder="1" applyAlignment="1" applyProtection="1">
      <alignment horizontal="center" vertical="center"/>
    </xf>
    <xf numFmtId="3" fontId="44" fillId="0" borderId="128" xfId="32" applyNumberFormat="1" applyFont="1" applyFill="1" applyBorder="1" applyAlignment="1" applyProtection="1">
      <alignment horizontal="center" vertical="center"/>
    </xf>
    <xf numFmtId="3" fontId="44" fillId="0" borderId="113" xfId="32" applyNumberFormat="1" applyFont="1" applyFill="1" applyBorder="1" applyAlignment="1" applyProtection="1">
      <alignment horizontal="center" vertical="center"/>
    </xf>
    <xf numFmtId="9" fontId="44" fillId="0" borderId="128" xfId="1" applyFont="1" applyFill="1" applyBorder="1" applyAlignment="1" applyProtection="1">
      <alignment horizontal="center" vertical="center"/>
    </xf>
    <xf numFmtId="9" fontId="44" fillId="0" borderId="82" xfId="1" applyFont="1" applyFill="1" applyBorder="1" applyAlignment="1" applyProtection="1">
      <alignment horizontal="center" vertical="center"/>
    </xf>
    <xf numFmtId="3" fontId="44" fillId="0" borderId="17" xfId="1" applyNumberFormat="1" applyFont="1" applyFill="1" applyBorder="1" applyAlignment="1" applyProtection="1">
      <alignment horizontal="center" vertical="center"/>
    </xf>
    <xf numFmtId="174" fontId="22" fillId="27" borderId="0" xfId="49" applyNumberFormat="1" applyFont="1" applyFill="1" applyAlignment="1" applyProtection="1">
      <alignment horizontal="center" vertical="center"/>
    </xf>
    <xf numFmtId="14" fontId="22" fillId="27" borderId="0" xfId="49" applyNumberFormat="1" applyFont="1" applyFill="1" applyAlignment="1" applyProtection="1">
      <alignment vertical="center"/>
    </xf>
    <xf numFmtId="174" fontId="24" fillId="27" borderId="0" xfId="49" applyNumberFormat="1" applyFont="1" applyFill="1" applyBorder="1" applyAlignment="1" applyProtection="1">
      <alignment horizontal="right" vertical="center"/>
    </xf>
    <xf numFmtId="0" fontId="68" fillId="27" borderId="0" xfId="0" applyFont="1" applyFill="1" applyAlignment="1" applyProtection="1">
      <alignment horizontal="right" vertical="center"/>
    </xf>
    <xf numFmtId="0" fontId="60" fillId="27" borderId="0" xfId="0" applyFont="1" applyFill="1" applyAlignment="1" applyProtection="1">
      <alignment horizontal="left" vertical="center"/>
    </xf>
    <xf numFmtId="174" fontId="15" fillId="27" borderId="0" xfId="49" applyNumberFormat="1" applyFont="1" applyFill="1" applyAlignment="1" applyProtection="1">
      <alignment vertical="center"/>
    </xf>
    <xf numFmtId="0" fontId="90" fillId="27" borderId="0" xfId="0" applyFont="1" applyFill="1" applyAlignment="1" applyProtection="1">
      <alignment horizontal="left" vertical="center"/>
    </xf>
    <xf numFmtId="0" fontId="15" fillId="27" borderId="0" xfId="31" applyFont="1" applyFill="1" applyAlignment="1" applyProtection="1">
      <alignment vertical="center"/>
    </xf>
    <xf numFmtId="49" fontId="24" fillId="27" borderId="0" xfId="0" applyNumberFormat="1" applyFont="1" applyFill="1" applyAlignment="1" applyProtection="1">
      <alignment horizontal="right" vertical="center"/>
    </xf>
    <xf numFmtId="0" fontId="22" fillId="27" borderId="0" xfId="49" applyFont="1" applyFill="1" applyAlignment="1" applyProtection="1">
      <alignment vertical="center"/>
    </xf>
    <xf numFmtId="0" fontId="15" fillId="26" borderId="0" xfId="0" applyFont="1" applyFill="1" applyProtection="1"/>
    <xf numFmtId="0" fontId="15" fillId="0" borderId="0" xfId="0" applyFont="1" applyProtection="1"/>
    <xf numFmtId="0" fontId="18" fillId="26" borderId="0" xfId="49" applyNumberFormat="1" applyFont="1" applyFill="1" applyBorder="1" applyAlignment="1" applyProtection="1"/>
    <xf numFmtId="0" fontId="41" fillId="26" borderId="23" xfId="0" applyFont="1" applyFill="1" applyBorder="1" applyAlignment="1" applyProtection="1">
      <alignment horizontal="left" vertical="center" wrapText="1"/>
    </xf>
    <xf numFmtId="0" fontId="41" fillId="26" borderId="23" xfId="0" applyFont="1" applyFill="1" applyBorder="1" applyAlignment="1" applyProtection="1">
      <alignment horizontal="left" vertical="center"/>
    </xf>
    <xf numFmtId="0" fontId="41" fillId="26" borderId="56" xfId="0" applyFont="1" applyFill="1" applyBorder="1" applyAlignment="1" applyProtection="1">
      <alignment horizontal="center" vertical="center" wrapText="1"/>
    </xf>
    <xf numFmtId="0" fontId="41" fillId="26" borderId="28" xfId="0" applyFont="1" applyFill="1" applyBorder="1" applyAlignment="1" applyProtection="1">
      <alignment horizontal="left" vertical="center" wrapText="1"/>
    </xf>
    <xf numFmtId="0" fontId="15" fillId="37" borderId="38" xfId="83" applyNumberFormat="1" applyFont="1" applyFill="1" applyBorder="1" applyAlignment="1" applyProtection="1">
      <alignment horizontal="center" vertical="center" wrapText="1"/>
    </xf>
    <xf numFmtId="0" fontId="15" fillId="37" borderId="9" xfId="83" applyNumberFormat="1" applyFont="1" applyFill="1" applyBorder="1" applyAlignment="1" applyProtection="1">
      <alignment horizontal="center" vertical="center" wrapText="1"/>
    </xf>
    <xf numFmtId="0" fontId="15" fillId="37" borderId="10" xfId="83" applyNumberFormat="1" applyFont="1" applyFill="1" applyBorder="1" applyAlignment="1" applyProtection="1">
      <alignment horizontal="center" vertical="center" wrapText="1"/>
    </xf>
    <xf numFmtId="3" fontId="15" fillId="28" borderId="75" xfId="0" applyNumberFormat="1" applyFont="1" applyFill="1" applyBorder="1" applyAlignment="1" applyProtection="1">
      <alignment horizontal="center" vertical="center"/>
      <protection locked="0"/>
    </xf>
    <xf numFmtId="3" fontId="15" fillId="28" borderId="73" xfId="0" applyNumberFormat="1" applyFont="1" applyFill="1" applyBorder="1" applyAlignment="1" applyProtection="1">
      <alignment horizontal="center" vertical="center"/>
      <protection locked="0"/>
    </xf>
    <xf numFmtId="3" fontId="15" fillId="0" borderId="76" xfId="0" applyNumberFormat="1" applyFont="1" applyFill="1" applyBorder="1" applyAlignment="1" applyProtection="1">
      <alignment horizontal="center" vertical="center"/>
    </xf>
    <xf numFmtId="3" fontId="15" fillId="28" borderId="52" xfId="0" applyNumberFormat="1" applyFont="1" applyFill="1" applyBorder="1" applyAlignment="1" applyProtection="1">
      <alignment horizontal="center" vertical="center"/>
      <protection locked="0"/>
    </xf>
    <xf numFmtId="3" fontId="15" fillId="28" borderId="7" xfId="0" applyNumberFormat="1" applyFont="1" applyFill="1" applyBorder="1" applyAlignment="1" applyProtection="1">
      <alignment horizontal="center" vertical="center"/>
      <protection locked="0"/>
    </xf>
    <xf numFmtId="3" fontId="15" fillId="0" borderId="53" xfId="0" applyNumberFormat="1" applyFont="1" applyFill="1" applyBorder="1" applyAlignment="1" applyProtection="1">
      <alignment horizontal="center" vertical="center"/>
    </xf>
    <xf numFmtId="3" fontId="15" fillId="28" borderId="54" xfId="0" applyNumberFormat="1" applyFont="1" applyFill="1" applyBorder="1" applyAlignment="1" applyProtection="1">
      <alignment horizontal="center" vertical="center"/>
      <protection locked="0"/>
    </xf>
    <xf numFmtId="3" fontId="15" fillId="28" borderId="63" xfId="0" applyNumberFormat="1" applyFont="1" applyFill="1" applyBorder="1" applyAlignment="1" applyProtection="1">
      <alignment horizontal="center" vertical="center"/>
      <protection locked="0"/>
    </xf>
    <xf numFmtId="3" fontId="15" fillId="0" borderId="55" xfId="0" applyNumberFormat="1" applyFont="1" applyFill="1" applyBorder="1" applyAlignment="1" applyProtection="1">
      <alignment horizontal="center" vertical="center"/>
    </xf>
    <xf numFmtId="3" fontId="15" fillId="28" borderId="56" xfId="0" applyNumberFormat="1" applyFont="1" applyFill="1" applyBorder="1" applyAlignment="1" applyProtection="1">
      <alignment horizontal="center" vertical="center"/>
      <protection locked="0"/>
    </xf>
    <xf numFmtId="3" fontId="15" fillId="28" borderId="77" xfId="0" applyNumberFormat="1" applyFont="1" applyFill="1" applyBorder="1" applyAlignment="1" applyProtection="1">
      <alignment horizontal="center" vertical="center"/>
      <protection locked="0"/>
    </xf>
    <xf numFmtId="3" fontId="15" fillId="0" borderId="57" xfId="0" applyNumberFormat="1" applyFont="1" applyFill="1" applyBorder="1" applyAlignment="1" applyProtection="1">
      <alignment horizontal="center" vertical="center"/>
    </xf>
    <xf numFmtId="3" fontId="24" fillId="0" borderId="49" xfId="0" applyNumberFormat="1" applyFont="1" applyFill="1" applyBorder="1" applyAlignment="1" applyProtection="1">
      <alignment horizontal="center" vertical="center"/>
    </xf>
    <xf numFmtId="3" fontId="24" fillId="0" borderId="31" xfId="0" applyNumberFormat="1" applyFont="1" applyFill="1" applyBorder="1" applyAlignment="1" applyProtection="1">
      <alignment horizontal="center" vertical="center"/>
    </xf>
    <xf numFmtId="3" fontId="24" fillId="0" borderId="50" xfId="0" applyNumberFormat="1" applyFont="1" applyFill="1" applyBorder="1" applyAlignment="1" applyProtection="1">
      <alignment horizontal="center" vertical="center"/>
    </xf>
    <xf numFmtId="3" fontId="15" fillId="37" borderId="38" xfId="83" applyNumberFormat="1" applyFont="1" applyFill="1" applyBorder="1" applyAlignment="1" applyProtection="1">
      <alignment horizontal="center" vertical="center" wrapText="1"/>
    </xf>
    <xf numFmtId="3" fontId="15" fillId="37" borderId="9" xfId="83" applyNumberFormat="1" applyFont="1" applyFill="1" applyBorder="1" applyAlignment="1" applyProtection="1">
      <alignment horizontal="center" vertical="center" wrapText="1"/>
    </xf>
    <xf numFmtId="3" fontId="15" fillId="37" borderId="10" xfId="83" applyNumberFormat="1" applyFont="1" applyFill="1" applyBorder="1" applyAlignment="1" applyProtection="1">
      <alignment horizontal="center" vertical="center" wrapText="1"/>
    </xf>
    <xf numFmtId="3" fontId="24" fillId="41" borderId="8" xfId="83" applyNumberFormat="1" applyFont="1" applyFill="1" applyBorder="1" applyAlignment="1" applyProtection="1">
      <alignment horizontal="center" vertical="center" wrapText="1"/>
    </xf>
    <xf numFmtId="3" fontId="24" fillId="41" borderId="3" xfId="83" applyNumberFormat="1" applyFont="1" applyFill="1" applyBorder="1" applyAlignment="1" applyProtection="1">
      <alignment horizontal="center" vertical="center" wrapText="1"/>
    </xf>
    <xf numFmtId="0" fontId="0" fillId="0" borderId="0" xfId="0" applyAlignment="1" applyProtection="1">
      <alignment vertical="center"/>
    </xf>
    <xf numFmtId="0" fontId="16" fillId="0" borderId="0" xfId="0" applyFont="1" applyBorder="1" applyAlignment="1" applyProtection="1">
      <alignment horizontal="center" vertical="center"/>
    </xf>
    <xf numFmtId="0" fontId="16" fillId="0" borderId="0" xfId="0" applyFont="1" applyBorder="1" applyAlignment="1" applyProtection="1">
      <alignment horizontal="right" vertical="center"/>
    </xf>
    <xf numFmtId="0" fontId="16" fillId="0" borderId="0" xfId="0" applyFont="1" applyFill="1" applyBorder="1" applyAlignment="1" applyProtection="1">
      <alignment horizontal="center" vertical="center"/>
    </xf>
    <xf numFmtId="0" fontId="18" fillId="0" borderId="0" xfId="0" applyFont="1" applyBorder="1" applyAlignment="1" applyProtection="1">
      <alignment vertical="center" wrapText="1"/>
    </xf>
    <xf numFmtId="0" fontId="23" fillId="0" borderId="0" xfId="0" applyFont="1" applyFill="1" applyBorder="1" applyAlignment="1" applyProtection="1">
      <alignment vertical="center"/>
    </xf>
    <xf numFmtId="0" fontId="37" fillId="0" borderId="20" xfId="0" applyFont="1" applyBorder="1" applyAlignment="1" applyProtection="1">
      <alignment vertical="center"/>
    </xf>
    <xf numFmtId="0" fontId="0" fillId="0" borderId="20" xfId="0" applyBorder="1" applyAlignment="1" applyProtection="1">
      <alignment vertical="center"/>
    </xf>
    <xf numFmtId="0" fontId="43" fillId="0" borderId="0" xfId="0" applyFont="1" applyFill="1" applyBorder="1" applyAlignment="1" applyProtection="1">
      <alignment horizontal="center" vertical="center"/>
    </xf>
    <xf numFmtId="0" fontId="43" fillId="37" borderId="35" xfId="0" applyFont="1" applyFill="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9" xfId="0" applyFont="1" applyBorder="1" applyAlignment="1" applyProtection="1">
      <alignment vertical="center"/>
    </xf>
    <xf numFmtId="0" fontId="44" fillId="0" borderId="29" xfId="0" applyFont="1" applyBorder="1" applyAlignment="1" applyProtection="1">
      <alignment horizontal="center" vertical="center"/>
    </xf>
    <xf numFmtId="0" fontId="44" fillId="0" borderId="0" xfId="0" applyFont="1" applyFill="1" applyBorder="1" applyAlignment="1" applyProtection="1">
      <alignment horizontal="right" vertical="center" wrapText="1"/>
    </xf>
    <xf numFmtId="0" fontId="44" fillId="0" borderId="24" xfId="0" applyFont="1" applyBorder="1" applyAlignment="1" applyProtection="1">
      <alignment vertical="center"/>
    </xf>
    <xf numFmtId="0" fontId="44" fillId="0" borderId="24" xfId="0" applyFont="1" applyBorder="1" applyAlignment="1" applyProtection="1">
      <alignment horizontal="center" vertical="center"/>
    </xf>
    <xf numFmtId="0" fontId="43" fillId="0" borderId="25" xfId="0" applyFont="1" applyBorder="1" applyAlignment="1" applyProtection="1">
      <alignment horizontal="right" vertical="center"/>
    </xf>
    <xf numFmtId="0" fontId="43" fillId="0" borderId="25" xfId="0" applyFont="1" applyBorder="1" applyAlignment="1" applyProtection="1">
      <alignment horizontal="center" vertical="center"/>
    </xf>
    <xf numFmtId="0" fontId="44" fillId="0" borderId="24" xfId="0" applyFont="1" applyBorder="1" applyAlignment="1" applyProtection="1">
      <alignment vertical="center" wrapText="1"/>
    </xf>
    <xf numFmtId="0" fontId="44" fillId="0" borderId="36" xfId="0" applyFont="1" applyBorder="1" applyAlignment="1" applyProtection="1">
      <alignment vertical="center" wrapText="1"/>
    </xf>
    <xf numFmtId="0" fontId="44" fillId="0" borderId="36" xfId="0" applyFont="1" applyBorder="1" applyAlignment="1" applyProtection="1">
      <alignment horizontal="center" vertical="center"/>
    </xf>
    <xf numFmtId="3" fontId="44" fillId="29" borderId="17" xfId="49" applyNumberFormat="1" applyFont="1" applyFill="1" applyBorder="1" applyAlignment="1" applyProtection="1">
      <alignment horizontal="center" vertical="center"/>
    </xf>
    <xf numFmtId="0" fontId="44" fillId="0" borderId="30" xfId="0" applyFont="1" applyBorder="1" applyAlignment="1" applyProtection="1">
      <alignment horizontal="center" vertical="center"/>
    </xf>
    <xf numFmtId="2" fontId="44" fillId="0" borderId="0" xfId="0" applyNumberFormat="1" applyFont="1" applyFill="1" applyBorder="1" applyAlignment="1" applyProtection="1">
      <alignment vertical="center"/>
    </xf>
    <xf numFmtId="0" fontId="43" fillId="21" borderId="1" xfId="0" applyFont="1" applyFill="1" applyBorder="1" applyAlignment="1" applyProtection="1">
      <alignment vertical="center" wrapText="1"/>
    </xf>
    <xf numFmtId="0" fontId="43" fillId="24" borderId="30" xfId="0" applyFont="1" applyFill="1" applyBorder="1" applyAlignment="1" applyProtection="1">
      <alignment horizontal="center" vertical="center"/>
    </xf>
    <xf numFmtId="0" fontId="0" fillId="0" borderId="0" xfId="0" applyAlignment="1" applyProtection="1">
      <alignment horizontal="center" vertical="center"/>
    </xf>
    <xf numFmtId="0" fontId="15" fillId="0" borderId="0" xfId="0" applyNumberFormat="1" applyFont="1" applyFill="1" applyBorder="1" applyAlignment="1" applyProtection="1">
      <alignment vertical="center"/>
    </xf>
    <xf numFmtId="0" fontId="43" fillId="24" borderId="1" xfId="0" applyFont="1" applyFill="1" applyBorder="1" applyAlignment="1" applyProtection="1">
      <alignment horizontal="center" vertical="center"/>
    </xf>
    <xf numFmtId="174" fontId="77" fillId="27" borderId="0" xfId="49" applyNumberFormat="1" applyFont="1" applyFill="1" applyAlignment="1" applyProtection="1">
      <alignment vertical="center"/>
    </xf>
    <xf numFmtId="14" fontId="43" fillId="0" borderId="0" xfId="0" applyNumberFormat="1" applyFont="1" applyAlignment="1" applyProtection="1">
      <alignment horizontal="left" vertical="center"/>
    </xf>
    <xf numFmtId="0" fontId="60" fillId="27" borderId="0" xfId="0" applyNumberFormat="1" applyFont="1" applyFill="1" applyAlignment="1" applyProtection="1">
      <alignment horizontal="left" vertical="center"/>
    </xf>
    <xf numFmtId="0" fontId="44" fillId="0" borderId="0" xfId="0" applyNumberFormat="1" applyFont="1" applyAlignment="1" applyProtection="1">
      <alignment vertical="center"/>
    </xf>
    <xf numFmtId="0" fontId="43" fillId="0" borderId="0" xfId="0" applyNumberFormat="1" applyFont="1" applyAlignment="1" applyProtection="1">
      <alignment horizontal="right" vertical="center"/>
    </xf>
    <xf numFmtId="0" fontId="90" fillId="27" borderId="0" xfId="0" applyNumberFormat="1" applyFont="1" applyFill="1" applyAlignment="1" applyProtection="1">
      <alignment horizontal="left" vertical="center"/>
    </xf>
    <xf numFmtId="49" fontId="44" fillId="0" borderId="0" xfId="0" applyNumberFormat="1" applyFont="1" applyAlignment="1" applyProtection="1">
      <alignment horizontal="right" vertical="center"/>
    </xf>
    <xf numFmtId="49" fontId="43" fillId="0" borderId="0" xfId="0" applyNumberFormat="1" applyFont="1" applyAlignment="1" applyProtection="1">
      <alignment horizontal="right" vertical="center"/>
    </xf>
    <xf numFmtId="0" fontId="46" fillId="0" borderId="0" xfId="31" applyFont="1" applyFill="1" applyBorder="1" applyAlignment="1" applyProtection="1">
      <alignment vertical="center"/>
    </xf>
    <xf numFmtId="0" fontId="15" fillId="27" borderId="0" xfId="32" applyFont="1" applyFill="1" applyProtection="1"/>
    <xf numFmtId="0" fontId="30" fillId="27" borderId="0" xfId="32" applyFont="1" applyFill="1" applyProtection="1"/>
    <xf numFmtId="0" fontId="24" fillId="27" borderId="0" xfId="32" applyFont="1" applyFill="1" applyAlignment="1" applyProtection="1">
      <alignment horizontal="center"/>
    </xf>
    <xf numFmtId="0" fontId="46" fillId="0" borderId="0" xfId="31" applyFont="1" applyAlignment="1" applyProtection="1">
      <alignment horizontal="right"/>
    </xf>
    <xf numFmtId="0" fontId="43" fillId="37" borderId="1" xfId="32" applyFont="1" applyFill="1" applyBorder="1" applyAlignment="1" applyProtection="1">
      <alignment vertical="center" wrapText="1"/>
    </xf>
    <xf numFmtId="0" fontId="43" fillId="30" borderId="25" xfId="32" applyFont="1" applyFill="1" applyBorder="1" applyAlignment="1" applyProtection="1"/>
    <xf numFmtId="3" fontId="43" fillId="30" borderId="5" xfId="32" applyNumberFormat="1" applyFont="1" applyFill="1" applyBorder="1" applyAlignment="1" applyProtection="1">
      <alignment horizontal="center"/>
    </xf>
    <xf numFmtId="3" fontId="43" fillId="30" borderId="44" xfId="32" applyNumberFormat="1" applyFont="1" applyFill="1" applyBorder="1" applyAlignment="1" applyProtection="1">
      <alignment horizontal="center"/>
    </xf>
    <xf numFmtId="3" fontId="43" fillId="30" borderId="31" xfId="32" applyNumberFormat="1" applyFont="1" applyFill="1" applyBorder="1" applyAlignment="1" applyProtection="1">
      <alignment horizontal="center"/>
    </xf>
    <xf numFmtId="3" fontId="43" fillId="30" borderId="50" xfId="32" applyNumberFormat="1" applyFont="1" applyFill="1" applyBorder="1" applyAlignment="1" applyProtection="1">
      <alignment horizontal="center"/>
    </xf>
    <xf numFmtId="0" fontId="43" fillId="31" borderId="24" xfId="32" applyFont="1" applyFill="1" applyBorder="1" applyAlignment="1" applyProtection="1"/>
    <xf numFmtId="3" fontId="43" fillId="31" borderId="17" xfId="32" applyNumberFormat="1" applyFont="1" applyFill="1" applyBorder="1" applyAlignment="1" applyProtection="1">
      <alignment horizontal="center"/>
    </xf>
    <xf numFmtId="3" fontId="43" fillId="31" borderId="32" xfId="32" applyNumberFormat="1" applyFont="1" applyFill="1" applyBorder="1" applyAlignment="1" applyProtection="1">
      <alignment horizontal="center"/>
    </xf>
    <xf numFmtId="3" fontId="43" fillId="31" borderId="7" xfId="32" applyNumberFormat="1" applyFont="1" applyFill="1" applyBorder="1" applyAlignment="1" applyProtection="1">
      <alignment horizontal="center"/>
    </xf>
    <xf numFmtId="3" fontId="43" fillId="31" borderId="53" xfId="32" applyNumberFormat="1" applyFont="1" applyFill="1" applyBorder="1" applyAlignment="1" applyProtection="1">
      <alignment horizontal="center"/>
    </xf>
    <xf numFmtId="0" fontId="44" fillId="27" borderId="24" xfId="47" applyFont="1" applyFill="1" applyBorder="1" applyAlignment="1" applyProtection="1">
      <alignment horizontal="left" vertical="center" wrapText="1"/>
    </xf>
    <xf numFmtId="3" fontId="44" fillId="27" borderId="32" xfId="32" applyNumberFormat="1" applyFont="1" applyFill="1" applyBorder="1" applyAlignment="1" applyProtection="1">
      <alignment horizontal="center"/>
    </xf>
    <xf numFmtId="3" fontId="44" fillId="27" borderId="7" xfId="32" applyNumberFormat="1" applyFont="1" applyFill="1" applyBorder="1" applyAlignment="1" applyProtection="1">
      <alignment horizontal="center"/>
    </xf>
    <xf numFmtId="3" fontId="44" fillId="27" borderId="53" xfId="32" applyNumberFormat="1" applyFont="1" applyFill="1" applyBorder="1" applyAlignment="1" applyProtection="1">
      <alignment horizontal="center"/>
    </xf>
    <xf numFmtId="0" fontId="44" fillId="20" borderId="24" xfId="47" applyFont="1" applyFill="1" applyBorder="1" applyAlignment="1" applyProtection="1">
      <alignment horizontal="left" vertical="center" wrapText="1"/>
    </xf>
    <xf numFmtId="0" fontId="115" fillId="27" borderId="24" xfId="47" applyFont="1" applyFill="1" applyBorder="1" applyAlignment="1" applyProtection="1">
      <alignment horizontal="left" vertical="center" wrapText="1"/>
    </xf>
    <xf numFmtId="3" fontId="44" fillId="26" borderId="32" xfId="32" applyNumberFormat="1" applyFont="1" applyFill="1" applyBorder="1" applyAlignment="1" applyProtection="1">
      <alignment horizontal="center"/>
    </xf>
    <xf numFmtId="3" fontId="44" fillId="26" borderId="7" xfId="32" applyNumberFormat="1" applyFont="1" applyFill="1" applyBorder="1" applyAlignment="1" applyProtection="1">
      <alignment horizontal="center"/>
    </xf>
    <xf numFmtId="3" fontId="44" fillId="26" borderId="53" xfId="32" applyNumberFormat="1" applyFont="1" applyFill="1" applyBorder="1" applyAlignment="1" applyProtection="1">
      <alignment horizontal="center"/>
    </xf>
    <xf numFmtId="0" fontId="44" fillId="26" borderId="24" xfId="47" applyFont="1" applyFill="1" applyBorder="1" applyAlignment="1" applyProtection="1">
      <alignment horizontal="left" vertical="center" wrapText="1"/>
    </xf>
    <xf numFmtId="0" fontId="43" fillId="31" borderId="24" xfId="47" applyFont="1" applyFill="1" applyBorder="1" applyAlignment="1" applyProtection="1">
      <alignment horizontal="left" vertical="center" wrapText="1"/>
    </xf>
    <xf numFmtId="0" fontId="43" fillId="30" borderId="24" xfId="32" applyFont="1" applyFill="1" applyBorder="1" applyProtection="1"/>
    <xf numFmtId="3" fontId="43" fillId="30" borderId="17" xfId="32" applyNumberFormat="1" applyFont="1" applyFill="1" applyBorder="1" applyAlignment="1" applyProtection="1">
      <alignment horizontal="center"/>
    </xf>
    <xf numFmtId="3" fontId="43" fillId="30" borderId="32" xfId="32" applyNumberFormat="1" applyFont="1" applyFill="1" applyBorder="1" applyAlignment="1" applyProtection="1">
      <alignment horizontal="center"/>
    </xf>
    <xf numFmtId="3" fontId="43" fillId="30" borderId="7" xfId="32" applyNumberFormat="1" applyFont="1" applyFill="1" applyBorder="1" applyAlignment="1" applyProtection="1">
      <alignment horizontal="center"/>
    </xf>
    <xf numFmtId="3" fontId="43" fillId="30" borderId="53" xfId="32" applyNumberFormat="1" applyFont="1" applyFill="1" applyBorder="1" applyAlignment="1" applyProtection="1">
      <alignment horizontal="center"/>
    </xf>
    <xf numFmtId="3" fontId="44" fillId="27" borderId="17" xfId="32" applyNumberFormat="1" applyFont="1" applyFill="1" applyBorder="1" applyAlignment="1" applyProtection="1">
      <alignment horizontal="center"/>
    </xf>
    <xf numFmtId="0" fontId="44" fillId="26" borderId="24" xfId="32" applyFont="1" applyFill="1" applyBorder="1" applyProtection="1"/>
    <xf numFmtId="0" fontId="43" fillId="31" borderId="24" xfId="47" applyFont="1" applyFill="1" applyBorder="1" applyAlignment="1" applyProtection="1">
      <alignment horizontal="left" vertical="top" wrapText="1"/>
    </xf>
    <xf numFmtId="3" fontId="43" fillId="31" borderId="23" xfId="32" applyNumberFormat="1" applyFont="1" applyFill="1" applyBorder="1" applyAlignment="1" applyProtection="1">
      <alignment horizontal="center"/>
    </xf>
    <xf numFmtId="3" fontId="43" fillId="31" borderId="15" xfId="32" applyNumberFormat="1" applyFont="1" applyFill="1" applyBorder="1" applyAlignment="1" applyProtection="1">
      <alignment horizontal="center"/>
    </xf>
    <xf numFmtId="3" fontId="44" fillId="26" borderId="17" xfId="32" applyNumberFormat="1" applyFont="1" applyFill="1" applyBorder="1" applyAlignment="1" applyProtection="1">
      <alignment horizontal="center"/>
    </xf>
    <xf numFmtId="3" fontId="44" fillId="26" borderId="24" xfId="32" applyNumberFormat="1" applyFont="1" applyFill="1" applyBorder="1" applyAlignment="1" applyProtection="1">
      <alignment horizontal="center"/>
    </xf>
    <xf numFmtId="3" fontId="44" fillId="26" borderId="15" xfId="32" applyNumberFormat="1" applyFont="1" applyFill="1" applyBorder="1" applyAlignment="1" applyProtection="1">
      <alignment horizontal="center"/>
    </xf>
    <xf numFmtId="0" fontId="44" fillId="27" borderId="24" xfId="32" applyFont="1" applyFill="1" applyBorder="1" applyProtection="1"/>
    <xf numFmtId="0" fontId="43" fillId="34" borderId="24" xfId="47" applyFont="1" applyFill="1" applyBorder="1" applyAlignment="1" applyProtection="1">
      <alignment horizontal="left" vertical="center" wrapText="1"/>
    </xf>
    <xf numFmtId="3" fontId="43" fillId="34" borderId="17" xfId="32" applyNumberFormat="1" applyFont="1" applyFill="1" applyBorder="1" applyAlignment="1" applyProtection="1">
      <alignment horizontal="center"/>
    </xf>
    <xf numFmtId="3" fontId="43" fillId="34" borderId="32" xfId="32" applyNumberFormat="1" applyFont="1" applyFill="1" applyBorder="1" applyAlignment="1" applyProtection="1">
      <alignment horizontal="center"/>
    </xf>
    <xf numFmtId="3" fontId="43" fillId="34" borderId="7" xfId="32" applyNumberFormat="1" applyFont="1" applyFill="1" applyBorder="1" applyAlignment="1" applyProtection="1">
      <alignment horizontal="center"/>
    </xf>
    <xf numFmtId="3" fontId="43" fillId="34" borderId="53" xfId="32" applyNumberFormat="1" applyFont="1" applyFill="1" applyBorder="1" applyAlignment="1" applyProtection="1">
      <alignment horizontal="center"/>
    </xf>
    <xf numFmtId="0" fontId="43" fillId="27" borderId="24" xfId="32" applyFont="1" applyFill="1" applyBorder="1" applyProtection="1"/>
    <xf numFmtId="0" fontId="43" fillId="27" borderId="24" xfId="47" applyFont="1" applyFill="1" applyBorder="1" applyAlignment="1" applyProtection="1">
      <alignment horizontal="left" vertical="center" wrapText="1"/>
    </xf>
    <xf numFmtId="0" fontId="43" fillId="34" borderId="30" xfId="47" applyFont="1" applyFill="1" applyBorder="1" applyAlignment="1" applyProtection="1">
      <alignment horizontal="left" vertical="center" wrapText="1"/>
    </xf>
    <xf numFmtId="3" fontId="43" fillId="34" borderId="21" xfId="32" applyNumberFormat="1" applyFont="1" applyFill="1" applyBorder="1" applyAlignment="1" applyProtection="1">
      <alignment horizontal="center"/>
    </xf>
    <xf numFmtId="3" fontId="43" fillId="34" borderId="79" xfId="32" applyNumberFormat="1" applyFont="1" applyFill="1" applyBorder="1" applyAlignment="1" applyProtection="1">
      <alignment horizontal="center"/>
    </xf>
    <xf numFmtId="3" fontId="43" fillId="34" borderId="77" xfId="32" applyNumberFormat="1" applyFont="1" applyFill="1" applyBorder="1" applyAlignment="1" applyProtection="1">
      <alignment horizontal="center"/>
    </xf>
    <xf numFmtId="3" fontId="43" fillId="34" borderId="57" xfId="32" applyNumberFormat="1" applyFont="1" applyFill="1" applyBorder="1" applyAlignment="1" applyProtection="1">
      <alignment horizontal="center"/>
    </xf>
    <xf numFmtId="0" fontId="0" fillId="27" borderId="0" xfId="0" applyFill="1" applyProtection="1"/>
    <xf numFmtId="0" fontId="24" fillId="27" borderId="0" xfId="0" applyNumberFormat="1" applyFont="1" applyFill="1" applyAlignment="1" applyProtection="1"/>
    <xf numFmtId="14" fontId="43" fillId="27" borderId="0" xfId="0" applyNumberFormat="1" applyFont="1" applyFill="1" applyAlignment="1" applyProtection="1">
      <alignment horizontal="right" vertical="center" indent="1"/>
    </xf>
    <xf numFmtId="14" fontId="48" fillId="27" borderId="0" xfId="0" applyNumberFormat="1" applyFont="1" applyFill="1" applyAlignment="1" applyProtection="1">
      <alignment horizontal="left" vertical="center" indent="1"/>
    </xf>
    <xf numFmtId="0" fontId="39" fillId="27" borderId="0" xfId="0" applyNumberFormat="1" applyFont="1" applyFill="1" applyAlignment="1" applyProtection="1">
      <alignment horizontal="center"/>
    </xf>
    <xf numFmtId="0" fontId="44" fillId="27" borderId="0" xfId="0" applyNumberFormat="1" applyFont="1" applyFill="1" applyAlignment="1" applyProtection="1"/>
    <xf numFmtId="14" fontId="139" fillId="27" borderId="0" xfId="0" applyNumberFormat="1" applyFont="1" applyFill="1" applyAlignment="1" applyProtection="1">
      <alignment horizontal="left" vertical="center" indent="1"/>
    </xf>
    <xf numFmtId="0" fontId="55" fillId="27" borderId="0" xfId="49" applyFont="1" applyFill="1" applyProtection="1"/>
    <xf numFmtId="0" fontId="46" fillId="27" borderId="0" xfId="31" applyFont="1" applyFill="1" applyBorder="1" applyProtection="1"/>
    <xf numFmtId="0" fontId="90" fillId="27" borderId="0" xfId="31" applyFont="1" applyFill="1" applyBorder="1" applyAlignment="1" applyProtection="1">
      <alignment horizontal="left"/>
    </xf>
    <xf numFmtId="3" fontId="44" fillId="0" borderId="23" xfId="32" applyNumberFormat="1" applyFont="1" applyFill="1" applyBorder="1" applyAlignment="1" applyProtection="1">
      <alignment horizontal="center" vertical="center"/>
    </xf>
    <xf numFmtId="3" fontId="44" fillId="0" borderId="7" xfId="32" applyNumberFormat="1" applyFont="1" applyFill="1" applyBorder="1" applyAlignment="1" applyProtection="1">
      <alignment horizontal="center" vertical="center"/>
    </xf>
    <xf numFmtId="3" fontId="44" fillId="0" borderId="15" xfId="32" applyNumberFormat="1" applyFont="1" applyFill="1" applyBorder="1" applyAlignment="1" applyProtection="1">
      <alignment horizontal="center" vertical="center"/>
    </xf>
    <xf numFmtId="3" fontId="44" fillId="0" borderId="24" xfId="32" applyNumberFormat="1" applyFont="1" applyFill="1" applyBorder="1" applyAlignment="1" applyProtection="1">
      <alignment horizontal="center" vertical="center"/>
    </xf>
    <xf numFmtId="0" fontId="16" fillId="0" borderId="0" xfId="0" applyFont="1" applyBorder="1" applyAlignment="1" applyProtection="1">
      <alignment vertical="center"/>
    </xf>
    <xf numFmtId="3" fontId="43" fillId="30" borderId="51" xfId="32" applyNumberFormat="1" applyFont="1" applyFill="1" applyBorder="1" applyAlignment="1" applyProtection="1">
      <alignment horizontal="center"/>
    </xf>
    <xf numFmtId="3" fontId="43" fillId="31" borderId="52" xfId="32" applyNumberFormat="1" applyFont="1" applyFill="1" applyBorder="1" applyAlignment="1" applyProtection="1">
      <alignment horizontal="center"/>
    </xf>
    <xf numFmtId="3" fontId="44" fillId="26" borderId="52" xfId="32" applyNumberFormat="1" applyFont="1" applyFill="1" applyBorder="1" applyAlignment="1" applyProtection="1">
      <alignment horizontal="center"/>
    </xf>
    <xf numFmtId="0" fontId="44" fillId="0" borderId="24" xfId="47" applyFont="1" applyFill="1" applyBorder="1" applyAlignment="1" applyProtection="1">
      <alignment horizontal="left" vertical="center" wrapText="1"/>
    </xf>
    <xf numFmtId="3" fontId="43" fillId="31" borderId="39" xfId="32" applyNumberFormat="1" applyFont="1" applyFill="1" applyBorder="1" applyAlignment="1" applyProtection="1">
      <alignment horizontal="center"/>
    </xf>
    <xf numFmtId="3" fontId="44" fillId="0" borderId="32" xfId="32" applyNumberFormat="1" applyFont="1" applyFill="1" applyBorder="1" applyAlignment="1" applyProtection="1">
      <alignment horizontal="center"/>
    </xf>
    <xf numFmtId="3" fontId="44" fillId="0" borderId="7" xfId="32" applyNumberFormat="1" applyFont="1" applyFill="1" applyBorder="1" applyAlignment="1" applyProtection="1">
      <alignment horizontal="center"/>
    </xf>
    <xf numFmtId="3" fontId="44" fillId="0" borderId="53" xfId="32" applyNumberFormat="1" applyFont="1" applyFill="1" applyBorder="1" applyAlignment="1" applyProtection="1">
      <alignment horizontal="center"/>
    </xf>
    <xf numFmtId="3" fontId="43" fillId="31" borderId="5" xfId="32" applyNumberFormat="1" applyFont="1" applyFill="1" applyBorder="1" applyAlignment="1" applyProtection="1">
      <alignment horizontal="center"/>
    </xf>
    <xf numFmtId="3" fontId="44" fillId="0" borderId="17" xfId="32" applyNumberFormat="1" applyFont="1" applyFill="1" applyBorder="1" applyAlignment="1" applyProtection="1">
      <alignment horizontal="center"/>
    </xf>
    <xf numFmtId="0" fontId="44" fillId="0" borderId="24" xfId="32" applyFont="1" applyFill="1" applyBorder="1" applyProtection="1"/>
    <xf numFmtId="0" fontId="43" fillId="30" borderId="24" xfId="47" applyFont="1" applyFill="1" applyBorder="1" applyAlignment="1" applyProtection="1">
      <alignment horizontal="left" vertical="center" wrapText="1"/>
    </xf>
    <xf numFmtId="0" fontId="43" fillId="35" borderId="24" xfId="47" applyFont="1" applyFill="1" applyBorder="1" applyAlignment="1" applyProtection="1">
      <alignment horizontal="left" vertical="center" wrapText="1"/>
    </xf>
    <xf numFmtId="3" fontId="43" fillId="35" borderId="7" xfId="32" applyNumberFormat="1" applyFont="1" applyFill="1" applyBorder="1" applyAlignment="1" applyProtection="1">
      <alignment horizontal="center"/>
    </xf>
    <xf numFmtId="3" fontId="43" fillId="35" borderId="53" xfId="32" applyNumberFormat="1" applyFont="1" applyFill="1" applyBorder="1" applyAlignment="1" applyProtection="1">
      <alignment horizontal="center"/>
    </xf>
    <xf numFmtId="0" fontId="43" fillId="35" borderId="30" xfId="47" applyFont="1" applyFill="1" applyBorder="1" applyAlignment="1" applyProtection="1">
      <alignment horizontal="left" vertical="center" wrapText="1"/>
    </xf>
    <xf numFmtId="3" fontId="43" fillId="35" borderId="21" xfId="32" applyNumberFormat="1" applyFont="1" applyFill="1" applyBorder="1" applyAlignment="1" applyProtection="1">
      <alignment horizontal="center"/>
    </xf>
    <xf numFmtId="3" fontId="43" fillId="35" borderId="79" xfId="32" applyNumberFormat="1" applyFont="1" applyFill="1" applyBorder="1" applyAlignment="1" applyProtection="1">
      <alignment horizontal="center"/>
    </xf>
    <xf numFmtId="3" fontId="43" fillId="35" borderId="77" xfId="32" applyNumberFormat="1" applyFont="1" applyFill="1" applyBorder="1" applyAlignment="1" applyProtection="1">
      <alignment horizontal="center"/>
    </xf>
    <xf numFmtId="3" fontId="43" fillId="35" borderId="57" xfId="32" applyNumberFormat="1" applyFont="1" applyFill="1" applyBorder="1" applyAlignment="1" applyProtection="1">
      <alignment horizontal="center"/>
    </xf>
    <xf numFmtId="0" fontId="15" fillId="27" borderId="0" xfId="56" applyFont="1" applyFill="1" applyProtection="1"/>
    <xf numFmtId="0" fontId="15" fillId="27" borderId="0" xfId="56" applyNumberFormat="1" applyFont="1" applyFill="1" applyAlignment="1" applyProtection="1"/>
    <xf numFmtId="3" fontId="83" fillId="27" borderId="0" xfId="32" applyNumberFormat="1" applyFont="1" applyFill="1" applyProtection="1"/>
    <xf numFmtId="14" fontId="43" fillId="27" borderId="0" xfId="0" applyNumberFormat="1" applyFont="1" applyFill="1" applyAlignment="1" applyProtection="1">
      <alignment horizontal="left" vertical="center"/>
    </xf>
    <xf numFmtId="0" fontId="24" fillId="27" borderId="0" xfId="0" applyNumberFormat="1" applyFont="1" applyFill="1" applyAlignment="1" applyProtection="1">
      <alignment horizontal="right"/>
    </xf>
    <xf numFmtId="14" fontId="43" fillId="27" borderId="0" xfId="0" applyNumberFormat="1" applyFont="1" applyFill="1" applyAlignment="1" applyProtection="1">
      <alignment horizontal="right" vertical="center"/>
    </xf>
    <xf numFmtId="14" fontId="48" fillId="27" borderId="0" xfId="0" applyNumberFormat="1" applyFont="1" applyFill="1" applyAlignment="1" applyProtection="1">
      <alignment horizontal="left" vertical="center"/>
    </xf>
    <xf numFmtId="14" fontId="139" fillId="27" borderId="0" xfId="0" applyNumberFormat="1" applyFont="1" applyFill="1" applyAlignment="1" applyProtection="1">
      <alignment horizontal="left" vertical="center"/>
    </xf>
    <xf numFmtId="49" fontId="24" fillId="27" borderId="0" xfId="0" applyNumberFormat="1" applyFont="1" applyFill="1" applyAlignment="1" applyProtection="1">
      <alignment horizontal="right"/>
    </xf>
    <xf numFmtId="0" fontId="0" fillId="0" borderId="0" xfId="0" applyProtection="1"/>
    <xf numFmtId="0" fontId="0" fillId="0" borderId="0" xfId="0" applyAlignment="1" applyProtection="1">
      <alignment horizontal="center"/>
    </xf>
    <xf numFmtId="0" fontId="22" fillId="0" borderId="20" xfId="42" applyNumberFormat="1" applyFont="1" applyBorder="1" applyAlignment="1" applyProtection="1">
      <alignment horizontal="center"/>
    </xf>
    <xf numFmtId="0" fontId="22" fillId="0" borderId="0" xfId="42" applyNumberFormat="1" applyFont="1" applyBorder="1" applyAlignment="1" applyProtection="1">
      <alignment horizontal="center"/>
    </xf>
    <xf numFmtId="0" fontId="50" fillId="0" borderId="75" xfId="0" applyFont="1" applyBorder="1" applyAlignment="1" applyProtection="1">
      <alignment horizontal="center" vertical="center"/>
    </xf>
    <xf numFmtId="0" fontId="50" fillId="0" borderId="76" xfId="0" applyFont="1" applyBorder="1" applyAlignment="1" applyProtection="1">
      <alignment horizontal="left" vertical="center"/>
    </xf>
    <xf numFmtId="0" fontId="48" fillId="0" borderId="51" xfId="0" applyFont="1" applyBorder="1" applyAlignment="1" applyProtection="1">
      <alignment horizontal="center"/>
    </xf>
    <xf numFmtId="3" fontId="48" fillId="0" borderId="72" xfId="0" applyNumberFormat="1" applyFont="1" applyBorder="1" applyAlignment="1" applyProtection="1">
      <alignment horizontal="center" vertical="center"/>
    </xf>
    <xf numFmtId="3" fontId="48" fillId="0" borderId="73" xfId="0" applyNumberFormat="1" applyFont="1" applyBorder="1" applyAlignment="1" applyProtection="1">
      <alignment horizontal="center" vertical="center"/>
    </xf>
    <xf numFmtId="3" fontId="48" fillId="0" borderId="76" xfId="0" applyNumberFormat="1" applyFont="1" applyBorder="1" applyAlignment="1" applyProtection="1">
      <alignment horizontal="center" vertical="center"/>
    </xf>
    <xf numFmtId="0" fontId="50" fillId="0" borderId="52" xfId="0" applyFont="1" applyBorder="1" applyAlignment="1" applyProtection="1">
      <alignment horizontal="center" vertical="center"/>
    </xf>
    <xf numFmtId="0" fontId="50" fillId="0" borderId="53" xfId="0" applyFont="1" applyBorder="1" applyAlignment="1" applyProtection="1">
      <alignment horizontal="left" vertical="center"/>
    </xf>
    <xf numFmtId="0" fontId="48" fillId="0" borderId="17" xfId="0" applyFont="1" applyBorder="1" applyAlignment="1" applyProtection="1">
      <alignment horizontal="center"/>
    </xf>
    <xf numFmtId="3" fontId="48" fillId="0" borderId="32" xfId="0" applyNumberFormat="1" applyFont="1" applyBorder="1" applyAlignment="1" applyProtection="1">
      <alignment horizontal="center" vertical="center"/>
    </xf>
    <xf numFmtId="3" fontId="48" fillId="0" borderId="7" xfId="0" applyNumberFormat="1" applyFont="1" applyBorder="1" applyAlignment="1" applyProtection="1">
      <alignment horizontal="center" vertical="center"/>
    </xf>
    <xf numFmtId="3" fontId="48" fillId="0" borderId="53" xfId="0" applyNumberFormat="1" applyFont="1" applyBorder="1" applyAlignment="1" applyProtection="1">
      <alignment horizontal="center" vertical="center"/>
    </xf>
    <xf numFmtId="3" fontId="44" fillId="0" borderId="32" xfId="0" applyNumberFormat="1" applyFont="1" applyBorder="1" applyAlignment="1" applyProtection="1">
      <alignment horizontal="center" vertical="center"/>
    </xf>
    <xf numFmtId="3" fontId="44" fillId="0" borderId="7" xfId="0" applyNumberFormat="1" applyFont="1" applyBorder="1" applyAlignment="1" applyProtection="1">
      <alignment horizontal="center" vertical="center"/>
    </xf>
    <xf numFmtId="3" fontId="44" fillId="0" borderId="53" xfId="0" applyNumberFormat="1" applyFont="1" applyBorder="1" applyAlignment="1" applyProtection="1">
      <alignment horizontal="center" vertical="center"/>
    </xf>
    <xf numFmtId="0" fontId="48" fillId="20" borderId="21" xfId="0" applyFont="1" applyFill="1" applyBorder="1" applyAlignment="1" applyProtection="1">
      <alignment horizontal="center" vertical="center" wrapText="1"/>
    </xf>
    <xf numFmtId="3" fontId="48" fillId="0" borderId="31" xfId="0" applyNumberFormat="1" applyFont="1" applyBorder="1" applyAlignment="1" applyProtection="1">
      <alignment horizontal="center" vertical="center"/>
    </xf>
    <xf numFmtId="3" fontId="48" fillId="0" borderId="50" xfId="0" applyNumberFormat="1" applyFont="1" applyBorder="1" applyAlignment="1" applyProtection="1">
      <alignment horizontal="center" vertical="center"/>
    </xf>
    <xf numFmtId="0" fontId="50" fillId="0" borderId="53" xfId="0" applyFont="1" applyFill="1" applyBorder="1" applyAlignment="1" applyProtection="1">
      <alignment horizontal="left" vertical="center"/>
    </xf>
    <xf numFmtId="0" fontId="48" fillId="20" borderId="17" xfId="0" applyFont="1" applyFill="1" applyBorder="1" applyAlignment="1" applyProtection="1">
      <alignment horizontal="center" vertical="center" wrapText="1"/>
    </xf>
    <xf numFmtId="3" fontId="44" fillId="0" borderId="32" xfId="0" applyNumberFormat="1" applyFont="1" applyFill="1" applyBorder="1" applyAlignment="1" applyProtection="1">
      <alignment horizontal="center"/>
    </xf>
    <xf numFmtId="3" fontId="44" fillId="0" borderId="7" xfId="0" applyNumberFormat="1" applyFont="1" applyFill="1" applyBorder="1" applyAlignment="1" applyProtection="1">
      <alignment horizontal="center"/>
    </xf>
    <xf numFmtId="3" fontId="44" fillId="0" borderId="53" xfId="0" applyNumberFormat="1" applyFont="1" applyFill="1" applyBorder="1" applyAlignment="1" applyProtection="1">
      <alignment horizontal="center"/>
    </xf>
    <xf numFmtId="0" fontId="48" fillId="0" borderId="53" xfId="0" applyFont="1" applyBorder="1" applyAlignment="1" applyProtection="1">
      <alignment horizontal="left" vertical="center"/>
    </xf>
    <xf numFmtId="0" fontId="48" fillId="0" borderId="53" xfId="0" applyFont="1" applyBorder="1" applyAlignment="1" applyProtection="1">
      <alignment horizontal="left" vertical="center" wrapText="1"/>
    </xf>
    <xf numFmtId="3" fontId="44" fillId="0" borderId="69" xfId="0" applyNumberFormat="1" applyFont="1" applyFill="1" applyBorder="1" applyAlignment="1" applyProtection="1">
      <alignment horizontal="center" vertical="center"/>
    </xf>
    <xf numFmtId="3" fontId="44" fillId="0" borderId="63" xfId="0" applyNumberFormat="1" applyFont="1" applyFill="1" applyBorder="1" applyAlignment="1" applyProtection="1">
      <alignment horizontal="center" vertical="center"/>
    </xf>
    <xf numFmtId="3" fontId="44" fillId="0" borderId="55" xfId="0" applyNumberFormat="1" applyFont="1" applyFill="1" applyBorder="1" applyAlignment="1" applyProtection="1">
      <alignment horizontal="center" vertical="center"/>
    </xf>
    <xf numFmtId="0" fontId="48" fillId="0" borderId="53" xfId="0" applyFont="1" applyFill="1" applyBorder="1" applyAlignment="1" applyProtection="1">
      <alignment horizontal="right"/>
    </xf>
    <xf numFmtId="3" fontId="45" fillId="0" borderId="7" xfId="0" applyNumberFormat="1" applyFont="1" applyFill="1" applyBorder="1" applyAlignment="1" applyProtection="1">
      <alignment horizontal="center"/>
    </xf>
    <xf numFmtId="3" fontId="45" fillId="0" borderId="53" xfId="0" applyNumberFormat="1" applyFont="1" applyFill="1" applyBorder="1" applyAlignment="1" applyProtection="1">
      <alignment horizontal="center"/>
    </xf>
    <xf numFmtId="0" fontId="48" fillId="0" borderId="57" xfId="0" applyFont="1" applyFill="1" applyBorder="1" applyAlignment="1" applyProtection="1">
      <alignment horizontal="right"/>
    </xf>
    <xf numFmtId="3" fontId="45" fillId="0" borderId="77" xfId="0" applyNumberFormat="1" applyFont="1" applyFill="1" applyBorder="1" applyAlignment="1" applyProtection="1">
      <alignment horizontal="center"/>
    </xf>
    <xf numFmtId="3" fontId="45" fillId="0" borderId="57" xfId="0" applyNumberFormat="1" applyFont="1" applyFill="1" applyBorder="1" applyAlignment="1" applyProtection="1">
      <alignment horizontal="center"/>
    </xf>
    <xf numFmtId="3" fontId="48" fillId="26" borderId="32" xfId="0" applyNumberFormat="1" applyFont="1" applyFill="1" applyBorder="1" applyAlignment="1" applyProtection="1">
      <alignment horizontal="center" vertical="center"/>
    </xf>
    <xf numFmtId="3" fontId="48" fillId="26" borderId="7" xfId="0" applyNumberFormat="1" applyFont="1" applyFill="1" applyBorder="1" applyAlignment="1" applyProtection="1">
      <alignment horizontal="center" vertical="center"/>
    </xf>
    <xf numFmtId="3" fontId="48" fillId="26" borderId="53" xfId="0" applyNumberFormat="1" applyFont="1" applyFill="1" applyBorder="1" applyAlignment="1" applyProtection="1">
      <alignment horizontal="center" vertical="center"/>
    </xf>
    <xf numFmtId="3" fontId="44" fillId="26" borderId="53" xfId="0" applyNumberFormat="1" applyFont="1" applyFill="1" applyBorder="1" applyAlignment="1" applyProtection="1">
      <alignment horizontal="center" vertical="center"/>
    </xf>
    <xf numFmtId="3" fontId="48" fillId="0" borderId="14" xfId="0" applyNumberFormat="1" applyFont="1" applyBorder="1" applyAlignment="1" applyProtection="1">
      <alignment horizontal="center" vertical="center"/>
    </xf>
    <xf numFmtId="0" fontId="50" fillId="0" borderId="57" xfId="0" applyFont="1" applyBorder="1" applyAlignment="1" applyProtection="1">
      <alignment horizontal="left" vertical="center"/>
    </xf>
    <xf numFmtId="3" fontId="44" fillId="26" borderId="77" xfId="0" applyNumberFormat="1" applyFont="1" applyFill="1" applyBorder="1" applyAlignment="1" applyProtection="1">
      <alignment horizontal="center" vertical="center"/>
    </xf>
    <xf numFmtId="3" fontId="44" fillId="26" borderId="57" xfId="0" applyNumberFormat="1" applyFont="1" applyFill="1" applyBorder="1" applyAlignment="1" applyProtection="1">
      <alignment horizontal="center" vertical="center"/>
    </xf>
    <xf numFmtId="0" fontId="62" fillId="0" borderId="0" xfId="0" applyFont="1" applyFill="1" applyBorder="1" applyAlignment="1" applyProtection="1">
      <alignment horizontal="right"/>
    </xf>
    <xf numFmtId="0" fontId="60" fillId="20" borderId="0" xfId="0" applyFont="1" applyFill="1" applyBorder="1" applyAlignment="1" applyProtection="1">
      <alignment horizontal="center" vertical="center" wrapText="1"/>
    </xf>
    <xf numFmtId="3" fontId="15" fillId="0" borderId="0" xfId="0" applyNumberFormat="1" applyFont="1" applyFill="1" applyBorder="1" applyAlignment="1" applyProtection="1">
      <alignment horizontal="center"/>
    </xf>
    <xf numFmtId="0" fontId="59" fillId="0" borderId="0" xfId="0" applyFont="1" applyAlignment="1" applyProtection="1">
      <alignment horizontal="center"/>
    </xf>
    <xf numFmtId="2" fontId="42" fillId="0" borderId="0" xfId="0" applyNumberFormat="1" applyFont="1" applyAlignment="1" applyProtection="1">
      <alignment horizontal="center"/>
    </xf>
    <xf numFmtId="1" fontId="42" fillId="0" borderId="0" xfId="0" applyNumberFormat="1" applyFont="1" applyFill="1" applyAlignment="1" applyProtection="1">
      <alignment horizontal="center"/>
    </xf>
    <xf numFmtId="0" fontId="24" fillId="0" borderId="35" xfId="0" applyFont="1" applyBorder="1" applyProtection="1"/>
    <xf numFmtId="0" fontId="0" fillId="0" borderId="11" xfId="0" applyBorder="1" applyAlignment="1" applyProtection="1">
      <alignment horizontal="center"/>
    </xf>
    <xf numFmtId="0" fontId="15" fillId="0" borderId="11" xfId="0" applyFont="1" applyBorder="1" applyAlignment="1" applyProtection="1">
      <alignment horizontal="center"/>
    </xf>
    <xf numFmtId="0" fontId="15" fillId="0" borderId="41" xfId="0" applyFont="1" applyBorder="1" applyAlignment="1" applyProtection="1">
      <alignment horizontal="center"/>
    </xf>
    <xf numFmtId="0" fontId="15" fillId="0" borderId="74" xfId="0" applyFont="1" applyBorder="1" applyAlignment="1" applyProtection="1">
      <alignment horizontal="left" indent="1"/>
    </xf>
    <xf numFmtId="0" fontId="15" fillId="0" borderId="62" xfId="0" applyFont="1" applyBorder="1" applyAlignment="1" applyProtection="1">
      <alignment horizontal="left" indent="1"/>
    </xf>
    <xf numFmtId="0" fontId="15" fillId="0" borderId="78" xfId="0" applyFont="1" applyBorder="1" applyAlignment="1" applyProtection="1">
      <alignment horizontal="left" indent="1"/>
    </xf>
    <xf numFmtId="14" fontId="24" fillId="20" borderId="0" xfId="0" applyNumberFormat="1" applyFont="1" applyFill="1" applyBorder="1" applyAlignment="1" applyProtection="1">
      <alignment horizontal="left" vertical="center" wrapText="1"/>
    </xf>
    <xf numFmtId="0" fontId="30" fillId="0" borderId="0" xfId="0" applyFont="1" applyAlignment="1" applyProtection="1">
      <alignment horizontal="center"/>
    </xf>
    <xf numFmtId="0" fontId="30" fillId="0" borderId="0" xfId="0" applyFont="1" applyProtection="1"/>
    <xf numFmtId="14" fontId="24" fillId="20" borderId="0" xfId="0" applyNumberFormat="1" applyFont="1" applyFill="1" applyBorder="1" applyAlignment="1" applyProtection="1">
      <alignment horizontal="right" vertical="center"/>
    </xf>
    <xf numFmtId="14" fontId="15" fillId="20" borderId="0" xfId="0" applyNumberFormat="1" applyFont="1" applyFill="1" applyBorder="1" applyAlignment="1" applyProtection="1">
      <alignment horizontal="left" vertical="center"/>
    </xf>
    <xf numFmtId="0" fontId="15" fillId="27" borderId="0" xfId="0" applyNumberFormat="1" applyFont="1" applyFill="1" applyAlignment="1" applyProtection="1">
      <alignment horizontal="center"/>
    </xf>
    <xf numFmtId="14" fontId="90" fillId="20" borderId="0" xfId="0" applyNumberFormat="1" applyFont="1" applyFill="1" applyBorder="1" applyAlignment="1" applyProtection="1">
      <alignment horizontal="left" vertical="center"/>
    </xf>
    <xf numFmtId="0" fontId="46" fillId="27" borderId="0" xfId="0" applyNumberFormat="1" applyFont="1" applyFill="1" applyAlignment="1" applyProtection="1">
      <alignment horizontal="center"/>
    </xf>
    <xf numFmtId="14" fontId="24" fillId="20" borderId="0" xfId="0" applyNumberFormat="1" applyFont="1" applyFill="1" applyBorder="1" applyAlignment="1" applyProtection="1">
      <alignment horizontal="left" vertical="center"/>
    </xf>
    <xf numFmtId="0" fontId="24" fillId="20" borderId="0" xfId="0" applyFont="1" applyFill="1" applyBorder="1" applyAlignment="1" applyProtection="1">
      <alignment horizontal="center" vertical="center"/>
    </xf>
    <xf numFmtId="0" fontId="24" fillId="27" borderId="0" xfId="0" applyFont="1" applyFill="1" applyAlignment="1" applyProtection="1">
      <alignment horizontal="center"/>
    </xf>
    <xf numFmtId="0" fontId="24" fillId="20" borderId="0" xfId="0" applyFont="1" applyFill="1" applyBorder="1" applyAlignment="1" applyProtection="1">
      <alignment horizontal="right" vertical="center"/>
    </xf>
    <xf numFmtId="0" fontId="57" fillId="0" borderId="0" xfId="0" applyFont="1" applyAlignment="1" applyProtection="1">
      <alignment vertical="center"/>
    </xf>
    <xf numFmtId="3" fontId="43" fillId="26" borderId="73" xfId="32" applyNumberFormat="1" applyFont="1" applyFill="1" applyBorder="1" applyAlignment="1" applyProtection="1">
      <alignment horizontal="center" vertical="center"/>
    </xf>
    <xf numFmtId="3" fontId="43" fillId="26" borderId="76" xfId="32" applyNumberFormat="1" applyFont="1" applyFill="1" applyBorder="1" applyAlignment="1" applyProtection="1">
      <alignment horizontal="center" vertical="center"/>
    </xf>
    <xf numFmtId="14" fontId="24" fillId="0" borderId="0" xfId="0" applyNumberFormat="1" applyFont="1" applyAlignment="1" applyProtection="1">
      <alignment horizontal="right" vertical="center"/>
    </xf>
    <xf numFmtId="0" fontId="79" fillId="26" borderId="63" xfId="0" applyFont="1" applyFill="1" applyBorder="1" applyAlignment="1" applyProtection="1">
      <alignment horizontal="center" vertical="center" wrapText="1"/>
    </xf>
    <xf numFmtId="0" fontId="79" fillId="26" borderId="7" xfId="0" applyFont="1" applyFill="1" applyBorder="1" applyAlignment="1" applyProtection="1">
      <alignment horizontal="center" vertical="center" wrapText="1"/>
    </xf>
    <xf numFmtId="0" fontId="44" fillId="27" borderId="52" xfId="0" applyFont="1" applyFill="1" applyBorder="1" applyAlignment="1" applyProtection="1">
      <alignment horizontal="center" vertical="center" wrapText="1"/>
    </xf>
    <xf numFmtId="0" fontId="17" fillId="0" borderId="0" xfId="0" applyFont="1" applyAlignment="1" applyProtection="1">
      <alignment vertical="center"/>
    </xf>
    <xf numFmtId="0" fontId="30" fillId="0" borderId="0" xfId="0" applyFont="1" applyAlignment="1" applyProtection="1">
      <alignment vertical="center"/>
    </xf>
    <xf numFmtId="0" fontId="24" fillId="27" borderId="0" xfId="0" applyNumberFormat="1" applyFont="1" applyFill="1" applyAlignment="1" applyProtection="1">
      <alignment horizontal="left" vertical="center"/>
    </xf>
    <xf numFmtId="0" fontId="24" fillId="27" borderId="75" xfId="0" applyFont="1" applyFill="1" applyBorder="1" applyAlignment="1" applyProtection="1">
      <alignment horizontal="center" vertical="center"/>
    </xf>
    <xf numFmtId="0" fontId="15" fillId="27" borderId="52" xfId="0" applyFont="1" applyFill="1" applyBorder="1" applyAlignment="1" applyProtection="1">
      <alignment horizontal="center" vertical="center" wrapText="1"/>
    </xf>
    <xf numFmtId="0" fontId="22" fillId="0" borderId="0" xfId="0" applyNumberFormat="1" applyFont="1" applyAlignment="1" applyProtection="1">
      <alignment horizontal="center" vertical="center"/>
    </xf>
    <xf numFmtId="0" fontId="43" fillId="40" borderId="51" xfId="0" applyFont="1" applyFill="1" applyBorder="1" applyAlignment="1" applyProtection="1">
      <alignment horizontal="center" vertical="center"/>
    </xf>
    <xf numFmtId="0" fontId="43" fillId="40" borderId="29" xfId="0" applyFont="1" applyFill="1" applyBorder="1" applyAlignment="1" applyProtection="1">
      <alignment vertical="center"/>
    </xf>
    <xf numFmtId="0" fontId="43" fillId="40" borderId="22" xfId="0" applyFont="1" applyFill="1" applyBorder="1" applyAlignment="1" applyProtection="1">
      <alignment vertical="center"/>
    </xf>
    <xf numFmtId="0" fontId="43" fillId="40" borderId="14" xfId="0" applyFont="1" applyFill="1" applyBorder="1" applyAlignment="1" applyProtection="1">
      <alignment vertical="center"/>
    </xf>
    <xf numFmtId="0" fontId="43" fillId="0" borderId="34" xfId="0" applyFont="1" applyBorder="1" applyAlignment="1" applyProtection="1">
      <alignment horizontal="center" vertical="center"/>
    </xf>
    <xf numFmtId="0" fontId="43" fillId="0" borderId="34" xfId="0" applyFont="1" applyFill="1" applyBorder="1" applyAlignment="1" applyProtection="1">
      <alignment horizontal="left" vertical="center" wrapText="1"/>
    </xf>
    <xf numFmtId="2" fontId="44" fillId="37" borderId="34" xfId="0" applyNumberFormat="1" applyFont="1" applyFill="1" applyBorder="1" applyAlignment="1" applyProtection="1">
      <alignment horizontal="center" vertical="center"/>
    </xf>
    <xf numFmtId="171" fontId="43" fillId="25" borderId="47" xfId="0" applyNumberFormat="1" applyFont="1" applyFill="1" applyBorder="1" applyAlignment="1" applyProtection="1">
      <alignment horizontal="center" vertical="center"/>
    </xf>
    <xf numFmtId="171" fontId="43" fillId="25" borderId="71" xfId="0" applyNumberFormat="1" applyFont="1" applyFill="1" applyBorder="1" applyAlignment="1" applyProtection="1">
      <alignment horizontal="center" vertical="center"/>
    </xf>
    <xf numFmtId="171" fontId="43" fillId="25" borderId="48" xfId="0" applyNumberFormat="1" applyFont="1" applyFill="1" applyBorder="1" applyAlignment="1" applyProtection="1">
      <alignment horizontal="center" vertical="center"/>
    </xf>
    <xf numFmtId="0" fontId="43" fillId="0" borderId="21" xfId="0" applyFont="1" applyBorder="1" applyAlignment="1" applyProtection="1">
      <alignment horizontal="center" vertical="center"/>
    </xf>
    <xf numFmtId="0" fontId="43" fillId="0" borderId="21" xfId="0" applyFont="1" applyFill="1" applyBorder="1" applyAlignment="1" applyProtection="1">
      <alignment horizontal="left" vertical="center" wrapText="1"/>
    </xf>
    <xf numFmtId="2" fontId="44" fillId="37" borderId="21" xfId="0" applyNumberFormat="1" applyFont="1" applyFill="1" applyBorder="1" applyAlignment="1" applyProtection="1">
      <alignment horizontal="center" vertical="center"/>
    </xf>
    <xf numFmtId="171" fontId="43" fillId="25" borderId="56" xfId="0" applyNumberFormat="1" applyFont="1" applyFill="1" applyBorder="1" applyAlignment="1" applyProtection="1">
      <alignment horizontal="center" vertical="center"/>
    </xf>
    <xf numFmtId="171" fontId="43" fillId="25" borderId="77" xfId="0" applyNumberFormat="1" applyFont="1" applyFill="1" applyBorder="1" applyAlignment="1" applyProtection="1">
      <alignment horizontal="center" vertical="center"/>
    </xf>
    <xf numFmtId="171" fontId="43" fillId="25" borderId="57" xfId="0" applyNumberFormat="1" applyFont="1" applyFill="1" applyBorder="1" applyAlignment="1" applyProtection="1">
      <alignment horizontal="center" vertical="center"/>
    </xf>
    <xf numFmtId="0" fontId="43" fillId="40" borderId="35" xfId="0" applyFont="1" applyFill="1" applyBorder="1" applyAlignment="1" applyProtection="1">
      <alignment horizontal="center" vertical="center"/>
    </xf>
    <xf numFmtId="0" fontId="43" fillId="40" borderId="40" xfId="0" applyFont="1" applyFill="1" applyBorder="1" applyAlignment="1" applyProtection="1">
      <alignment vertical="center"/>
    </xf>
    <xf numFmtId="0" fontId="43" fillId="40" borderId="11" xfId="0" applyFont="1" applyFill="1" applyBorder="1" applyAlignment="1" applyProtection="1">
      <alignment vertical="center"/>
    </xf>
    <xf numFmtId="0" fontId="43" fillId="40" borderId="41" xfId="0" applyFont="1" applyFill="1" applyBorder="1" applyAlignment="1" applyProtection="1">
      <alignment vertical="center"/>
    </xf>
    <xf numFmtId="0" fontId="43" fillId="0" borderId="17" xfId="0" applyFont="1" applyBorder="1" applyAlignment="1" applyProtection="1">
      <alignment horizontal="center" vertical="center"/>
    </xf>
    <xf numFmtId="0" fontId="43" fillId="0" borderId="17" xfId="0" applyFont="1" applyFill="1" applyBorder="1" applyAlignment="1" applyProtection="1">
      <alignment horizontal="left" vertical="center" wrapText="1"/>
    </xf>
    <xf numFmtId="2" fontId="44" fillId="37" borderId="17" xfId="0" applyNumberFormat="1" applyFont="1" applyFill="1" applyBorder="1" applyAlignment="1" applyProtection="1">
      <alignment horizontal="center" vertical="center"/>
    </xf>
    <xf numFmtId="171" fontId="43" fillId="25" borderId="52" xfId="0" applyNumberFormat="1" applyFont="1" applyFill="1" applyBorder="1" applyAlignment="1" applyProtection="1">
      <alignment horizontal="center" vertical="center"/>
    </xf>
    <xf numFmtId="171" fontId="43" fillId="25" borderId="7" xfId="0" applyNumberFormat="1" applyFont="1" applyFill="1" applyBorder="1" applyAlignment="1" applyProtection="1">
      <alignment horizontal="center" vertical="center"/>
    </xf>
    <xf numFmtId="171" fontId="43" fillId="25" borderId="53" xfId="0" applyNumberFormat="1" applyFont="1" applyFill="1" applyBorder="1" applyAlignment="1" applyProtection="1">
      <alignment horizontal="center" vertical="center"/>
    </xf>
    <xf numFmtId="2" fontId="44" fillId="2" borderId="17" xfId="0" applyNumberFormat="1" applyFont="1" applyFill="1" applyBorder="1" applyAlignment="1" applyProtection="1">
      <alignment vertical="center"/>
    </xf>
    <xf numFmtId="2" fontId="44" fillId="2" borderId="24" xfId="0" applyNumberFormat="1" applyFont="1" applyFill="1" applyBorder="1" applyAlignment="1" applyProtection="1">
      <alignment vertical="center"/>
    </xf>
    <xf numFmtId="2" fontId="44" fillId="2" borderId="23" xfId="0" applyNumberFormat="1" applyFont="1" applyFill="1" applyBorder="1" applyAlignment="1" applyProtection="1">
      <alignment vertical="center"/>
    </xf>
    <xf numFmtId="2" fontId="44" fillId="2" borderId="15" xfId="0" applyNumberFormat="1" applyFont="1" applyFill="1" applyBorder="1" applyAlignment="1" applyProtection="1">
      <alignment vertical="center"/>
    </xf>
    <xf numFmtId="0" fontId="43" fillId="0" borderId="5" xfId="0" applyFont="1" applyBorder="1" applyAlignment="1" applyProtection="1">
      <alignment horizontal="center" vertical="center"/>
    </xf>
    <xf numFmtId="0" fontId="44" fillId="0" borderId="25" xfId="0" applyFont="1" applyFill="1" applyBorder="1" applyAlignment="1" applyProtection="1">
      <alignment horizontal="right" vertical="center"/>
    </xf>
    <xf numFmtId="2" fontId="44" fillId="37" borderId="5" xfId="0" applyNumberFormat="1" applyFont="1" applyFill="1" applyBorder="1" applyAlignment="1" applyProtection="1">
      <alignment horizontal="center" vertical="center"/>
    </xf>
    <xf numFmtId="176" fontId="43" fillId="2" borderId="49" xfId="0" applyNumberFormat="1" applyFont="1" applyFill="1" applyBorder="1" applyAlignment="1" applyProtection="1">
      <alignment horizontal="center" vertical="center"/>
    </xf>
    <xf numFmtId="176" fontId="43" fillId="2" borderId="31" xfId="0" applyNumberFormat="1" applyFont="1" applyFill="1" applyBorder="1" applyAlignment="1" applyProtection="1">
      <alignment horizontal="center" vertical="center"/>
    </xf>
    <xf numFmtId="176" fontId="43" fillId="2" borderId="50" xfId="0" applyNumberFormat="1" applyFont="1" applyFill="1" applyBorder="1" applyAlignment="1" applyProtection="1">
      <alignment horizontal="center" vertical="center"/>
    </xf>
    <xf numFmtId="14" fontId="43" fillId="0" borderId="17" xfId="0" applyNumberFormat="1" applyFont="1" applyBorder="1" applyAlignment="1" applyProtection="1">
      <alignment horizontal="center" vertical="center"/>
    </xf>
    <xf numFmtId="0" fontId="44" fillId="0" borderId="24" xfId="0" applyFont="1" applyFill="1" applyBorder="1" applyAlignment="1" applyProtection="1">
      <alignment horizontal="right" vertical="center"/>
    </xf>
    <xf numFmtId="176" fontId="43" fillId="2" borderId="52" xfId="0" applyNumberFormat="1" applyFont="1" applyFill="1" applyBorder="1" applyAlignment="1" applyProtection="1">
      <alignment horizontal="center" vertical="center"/>
    </xf>
    <xf numFmtId="176" fontId="43" fillId="2" borderId="7" xfId="0" applyNumberFormat="1" applyFont="1" applyFill="1" applyBorder="1" applyAlignment="1" applyProtection="1">
      <alignment horizontal="center" vertical="center"/>
    </xf>
    <xf numFmtId="176" fontId="43" fillId="2" borderId="53" xfId="0" applyNumberFormat="1" applyFont="1" applyFill="1" applyBorder="1" applyAlignment="1" applyProtection="1">
      <alignment horizontal="center" vertical="center"/>
    </xf>
    <xf numFmtId="0" fontId="44" fillId="0" borderId="30" xfId="0" applyFont="1" applyFill="1" applyBorder="1" applyAlignment="1" applyProtection="1">
      <alignment horizontal="right" vertical="center"/>
    </xf>
    <xf numFmtId="176" fontId="43" fillId="2" borderId="56" xfId="0" applyNumberFormat="1" applyFont="1" applyFill="1" applyBorder="1" applyAlignment="1" applyProtection="1">
      <alignment horizontal="center" vertical="center"/>
    </xf>
    <xf numFmtId="176" fontId="43" fillId="2" borderId="77" xfId="0" applyNumberFormat="1" applyFont="1" applyFill="1" applyBorder="1" applyAlignment="1" applyProtection="1">
      <alignment horizontal="center" vertical="center"/>
    </xf>
    <xf numFmtId="176" fontId="43" fillId="2" borderId="57" xfId="0" applyNumberFormat="1" applyFont="1" applyFill="1" applyBorder="1" applyAlignment="1" applyProtection="1">
      <alignment horizontal="center" vertical="center"/>
    </xf>
    <xf numFmtId="0" fontId="43" fillId="40" borderId="26" xfId="0" applyFont="1" applyFill="1" applyBorder="1" applyAlignment="1" applyProtection="1">
      <alignment horizontal="center" vertical="center"/>
    </xf>
    <xf numFmtId="0" fontId="43" fillId="40" borderId="34" xfId="0" applyFont="1" applyFill="1" applyBorder="1" applyAlignment="1" applyProtection="1">
      <alignment horizontal="left" vertical="center" wrapText="1"/>
    </xf>
    <xf numFmtId="2" fontId="44" fillId="37" borderId="26" xfId="0" applyNumberFormat="1" applyFont="1" applyFill="1" applyBorder="1" applyAlignment="1" applyProtection="1">
      <alignment horizontal="center" vertical="center"/>
    </xf>
    <xf numFmtId="176" fontId="43" fillId="25" borderId="1" xfId="0" applyNumberFormat="1" applyFont="1" applyFill="1" applyBorder="1" applyAlignment="1" applyProtection="1">
      <alignment horizontal="center" vertical="center"/>
    </xf>
    <xf numFmtId="176" fontId="43" fillId="25" borderId="9" xfId="0" applyNumberFormat="1" applyFont="1" applyFill="1" applyBorder="1" applyAlignment="1" applyProtection="1">
      <alignment horizontal="center" vertical="center"/>
    </xf>
    <xf numFmtId="176" fontId="43" fillId="25" borderId="3" xfId="0" applyNumberFormat="1" applyFont="1" applyFill="1" applyBorder="1" applyAlignment="1" applyProtection="1">
      <alignment horizontal="center" vertical="center"/>
    </xf>
    <xf numFmtId="0" fontId="43" fillId="40" borderId="2" xfId="0" applyFont="1" applyFill="1" applyBorder="1" applyAlignment="1" applyProtection="1">
      <alignment horizontal="center" vertical="center"/>
    </xf>
    <xf numFmtId="0" fontId="43" fillId="40" borderId="2" xfId="0" applyFont="1" applyFill="1" applyBorder="1" applyAlignment="1" applyProtection="1">
      <alignment horizontal="left" vertical="center" wrapText="1"/>
    </xf>
    <xf numFmtId="2" fontId="44" fillId="37" borderId="2" xfId="0" applyNumberFormat="1" applyFont="1" applyFill="1" applyBorder="1" applyAlignment="1" applyProtection="1">
      <alignment horizontal="center" vertical="center"/>
    </xf>
    <xf numFmtId="0" fontId="15" fillId="20" borderId="0" xfId="0" applyFont="1" applyFill="1" applyBorder="1" applyAlignment="1" applyProtection="1">
      <alignment horizontal="center" vertical="center" wrapText="1"/>
    </xf>
    <xf numFmtId="14" fontId="43" fillId="0" borderId="0" xfId="0" applyNumberFormat="1" applyFont="1" applyFill="1" applyBorder="1" applyAlignment="1" applyProtection="1">
      <alignment horizontal="left" vertical="center"/>
    </xf>
    <xf numFmtId="0" fontId="43" fillId="27" borderId="0" xfId="0" applyNumberFormat="1" applyFont="1" applyFill="1" applyAlignment="1" applyProtection="1">
      <alignment vertical="center"/>
    </xf>
    <xf numFmtId="14" fontId="43" fillId="0" borderId="0" xfId="0" applyNumberFormat="1" applyFont="1" applyFill="1" applyBorder="1" applyAlignment="1" applyProtection="1">
      <alignment horizontal="right" vertical="center"/>
    </xf>
    <xf numFmtId="14" fontId="44" fillId="0" borderId="0" xfId="0" applyNumberFormat="1" applyFont="1" applyFill="1" applyBorder="1" applyAlignment="1" applyProtection="1">
      <alignment horizontal="left" vertical="center"/>
    </xf>
    <xf numFmtId="14" fontId="45" fillId="0" borderId="0" xfId="0" applyNumberFormat="1" applyFont="1" applyFill="1" applyBorder="1" applyAlignment="1" applyProtection="1">
      <alignment horizontal="left" vertical="center"/>
    </xf>
    <xf numFmtId="0" fontId="44" fillId="27" borderId="0" xfId="31" applyFont="1" applyFill="1" applyAlignment="1" applyProtection="1">
      <alignment vertical="center"/>
    </xf>
    <xf numFmtId="3" fontId="43" fillId="35" borderId="32" xfId="32" applyNumberFormat="1" applyFont="1" applyFill="1" applyBorder="1" applyAlignment="1" applyProtection="1">
      <alignment horizontal="center"/>
    </xf>
    <xf numFmtId="0" fontId="44" fillId="26" borderId="17" xfId="49" applyFont="1" applyFill="1" applyBorder="1" applyAlignment="1" applyProtection="1">
      <alignment vertical="center"/>
    </xf>
    <xf numFmtId="0" fontId="44" fillId="26" borderId="21" xfId="49" applyFont="1" applyFill="1" applyBorder="1" applyAlignment="1" applyProtection="1">
      <alignment vertical="center"/>
    </xf>
    <xf numFmtId="10" fontId="43" fillId="26" borderId="7" xfId="32" applyNumberFormat="1" applyFont="1" applyFill="1" applyBorder="1" applyAlignment="1" applyProtection="1">
      <alignment horizontal="center" vertical="center"/>
    </xf>
    <xf numFmtId="10" fontId="43" fillId="26" borderId="53" xfId="32" applyNumberFormat="1" applyFont="1" applyFill="1" applyBorder="1" applyAlignment="1" applyProtection="1">
      <alignment horizontal="center" vertical="center"/>
    </xf>
    <xf numFmtId="3" fontId="44" fillId="0" borderId="52" xfId="31" applyNumberFormat="1" applyFont="1" applyBorder="1" applyAlignment="1" applyProtection="1">
      <alignment horizontal="center" vertical="center"/>
    </xf>
    <xf numFmtId="3" fontId="44" fillId="0" borderId="7" xfId="31" applyNumberFormat="1" applyFont="1" applyBorder="1" applyAlignment="1" applyProtection="1">
      <alignment horizontal="center" vertical="center"/>
    </xf>
    <xf numFmtId="3" fontId="44" fillId="0" borderId="53" xfId="31" applyNumberFormat="1" applyFont="1" applyBorder="1" applyAlignment="1" applyProtection="1">
      <alignment horizontal="center" vertical="center"/>
    </xf>
    <xf numFmtId="3" fontId="44" fillId="0" borderId="79" xfId="31" applyNumberFormat="1" applyFont="1" applyBorder="1" applyAlignment="1" applyProtection="1">
      <alignment horizontal="center" vertical="center"/>
    </xf>
    <xf numFmtId="3" fontId="44" fillId="0" borderId="77" xfId="31" applyNumberFormat="1" applyFont="1" applyBorder="1" applyAlignment="1" applyProtection="1">
      <alignment horizontal="center" vertical="center"/>
    </xf>
    <xf numFmtId="3" fontId="44" fillId="0" borderId="78" xfId="31" applyNumberFormat="1" applyFont="1" applyBorder="1" applyAlignment="1" applyProtection="1">
      <alignment horizontal="center" vertical="center"/>
    </xf>
    <xf numFmtId="3" fontId="44" fillId="0" borderId="56" xfId="31" applyNumberFormat="1" applyFont="1" applyBorder="1" applyAlignment="1" applyProtection="1">
      <alignment horizontal="center" vertical="center"/>
    </xf>
    <xf numFmtId="3" fontId="44" fillId="0" borderId="57" xfId="31" applyNumberFormat="1" applyFont="1" applyBorder="1" applyAlignment="1" applyProtection="1">
      <alignment horizontal="center" vertical="center"/>
    </xf>
    <xf numFmtId="3" fontId="43" fillId="31" borderId="75" xfId="37" applyNumberFormat="1" applyFont="1" applyFill="1" applyBorder="1" applyAlignment="1" applyProtection="1">
      <alignment horizontal="center" vertical="center" wrapText="1"/>
    </xf>
    <xf numFmtId="3" fontId="43" fillId="31" borderId="73" xfId="37" applyNumberFormat="1" applyFont="1" applyFill="1" applyBorder="1" applyAlignment="1" applyProtection="1">
      <alignment horizontal="center" vertical="center" wrapText="1"/>
    </xf>
    <xf numFmtId="3" fontId="43" fillId="31" borderId="76" xfId="37" applyNumberFormat="1" applyFont="1" applyFill="1" applyBorder="1" applyAlignment="1" applyProtection="1">
      <alignment horizontal="center" vertical="center" wrapText="1"/>
    </xf>
    <xf numFmtId="3" fontId="43" fillId="31" borderId="72" xfId="37" applyNumberFormat="1" applyFont="1" applyFill="1" applyBorder="1" applyAlignment="1" applyProtection="1">
      <alignment horizontal="center" vertical="center" wrapText="1"/>
    </xf>
    <xf numFmtId="3" fontId="43" fillId="31" borderId="74" xfId="37" applyNumberFormat="1" applyFont="1" applyFill="1" applyBorder="1" applyAlignment="1" applyProtection="1">
      <alignment horizontal="center" vertical="center" wrapText="1"/>
    </xf>
    <xf numFmtId="3" fontId="45" fillId="0" borderId="52" xfId="37" applyNumberFormat="1" applyFont="1" applyFill="1" applyBorder="1" applyAlignment="1" applyProtection="1">
      <alignment horizontal="center" vertical="center" wrapText="1"/>
    </xf>
    <xf numFmtId="3" fontId="45" fillId="0" borderId="7" xfId="37" applyNumberFormat="1" applyFont="1" applyFill="1" applyBorder="1" applyAlignment="1" applyProtection="1">
      <alignment horizontal="center" vertical="center" wrapText="1"/>
    </xf>
    <xf numFmtId="3" fontId="45" fillId="0" borderId="53" xfId="37" applyNumberFormat="1" applyFont="1" applyFill="1" applyBorder="1" applyAlignment="1" applyProtection="1">
      <alignment horizontal="center" vertical="center" wrapText="1"/>
    </xf>
    <xf numFmtId="3" fontId="45" fillId="0" borderId="32" xfId="37" applyNumberFormat="1" applyFont="1" applyFill="1" applyBorder="1" applyAlignment="1" applyProtection="1">
      <alignment horizontal="center" vertical="center" wrapText="1"/>
    </xf>
    <xf numFmtId="3" fontId="45" fillId="0" borderId="62" xfId="37" applyNumberFormat="1" applyFont="1" applyFill="1" applyBorder="1" applyAlignment="1" applyProtection="1">
      <alignment horizontal="center" vertical="center" wrapText="1"/>
    </xf>
    <xf numFmtId="3" fontId="45" fillId="0" borderId="56" xfId="37" applyNumberFormat="1" applyFont="1" applyFill="1" applyBorder="1" applyAlignment="1" applyProtection="1">
      <alignment horizontal="center" vertical="center" wrapText="1"/>
    </xf>
    <xf numFmtId="3" fontId="45" fillId="0" borderId="77" xfId="37" applyNumberFormat="1" applyFont="1" applyFill="1" applyBorder="1" applyAlignment="1" applyProtection="1">
      <alignment horizontal="center" vertical="center" wrapText="1"/>
    </xf>
    <xf numFmtId="3" fontId="45" fillId="0" borderId="57" xfId="37" applyNumberFormat="1" applyFont="1" applyFill="1" applyBorder="1" applyAlignment="1" applyProtection="1">
      <alignment horizontal="center" vertical="center" wrapText="1"/>
    </xf>
    <xf numFmtId="3" fontId="44" fillId="0" borderId="0" xfId="31" applyNumberFormat="1" applyFont="1" applyFill="1" applyAlignment="1" applyProtection="1">
      <alignment vertical="center"/>
    </xf>
    <xf numFmtId="3" fontId="15" fillId="0" borderId="0" xfId="31" applyNumberFormat="1" applyFont="1" applyFill="1" applyAlignment="1" applyProtection="1">
      <alignment vertical="center"/>
    </xf>
    <xf numFmtId="3" fontId="15" fillId="0" borderId="0" xfId="0" applyNumberFormat="1" applyFont="1" applyFill="1" applyAlignment="1" applyProtection="1">
      <alignment vertical="center"/>
    </xf>
    <xf numFmtId="3" fontId="43" fillId="0" borderId="52" xfId="37" applyNumberFormat="1" applyFont="1" applyFill="1" applyBorder="1" applyAlignment="1" applyProtection="1">
      <alignment horizontal="center" vertical="center" wrapText="1"/>
    </xf>
    <xf numFmtId="3" fontId="43" fillId="0" borderId="7" xfId="37" applyNumberFormat="1" applyFont="1" applyFill="1" applyBorder="1" applyAlignment="1" applyProtection="1">
      <alignment horizontal="center" vertical="center" wrapText="1"/>
    </xf>
    <xf numFmtId="3" fontId="43" fillId="0" borderId="53" xfId="37" applyNumberFormat="1" applyFont="1" applyFill="1" applyBorder="1" applyAlignment="1" applyProtection="1">
      <alignment horizontal="center" vertical="center" wrapText="1"/>
    </xf>
    <xf numFmtId="3" fontId="43" fillId="0" borderId="32" xfId="37" applyNumberFormat="1" applyFont="1" applyFill="1" applyBorder="1" applyAlignment="1" applyProtection="1">
      <alignment horizontal="center" vertical="center" wrapText="1"/>
    </xf>
    <xf numFmtId="3" fontId="43" fillId="0" borderId="62" xfId="37" applyNumberFormat="1" applyFont="1" applyFill="1" applyBorder="1" applyAlignment="1" applyProtection="1">
      <alignment horizontal="center" vertical="center" wrapText="1"/>
    </xf>
    <xf numFmtId="3" fontId="45" fillId="44" borderId="52" xfId="37" applyNumberFormat="1" applyFont="1" applyFill="1" applyBorder="1" applyAlignment="1" applyProtection="1">
      <alignment horizontal="center" vertical="center" wrapText="1"/>
    </xf>
    <xf numFmtId="3" fontId="45" fillId="44" borderId="7" xfId="37" applyNumberFormat="1" applyFont="1" applyFill="1" applyBorder="1" applyAlignment="1" applyProtection="1">
      <alignment horizontal="center" vertical="center" wrapText="1"/>
    </xf>
    <xf numFmtId="3" fontId="45" fillId="44" borderId="53" xfId="37" applyNumberFormat="1" applyFont="1" applyFill="1" applyBorder="1" applyAlignment="1" applyProtection="1">
      <alignment horizontal="center" vertical="center" wrapText="1"/>
    </xf>
    <xf numFmtId="3" fontId="45" fillId="44" borderId="32" xfId="37" applyNumberFormat="1" applyFont="1" applyFill="1" applyBorder="1" applyAlignment="1" applyProtection="1">
      <alignment horizontal="center" vertical="center" wrapText="1"/>
    </xf>
    <xf numFmtId="3" fontId="45" fillId="44" borderId="62" xfId="37" applyNumberFormat="1" applyFont="1" applyFill="1" applyBorder="1" applyAlignment="1" applyProtection="1">
      <alignment horizontal="center" vertical="center" wrapText="1"/>
    </xf>
    <xf numFmtId="3" fontId="44" fillId="0" borderId="0" xfId="37" applyNumberFormat="1" applyFont="1" applyFill="1" applyBorder="1" applyAlignment="1" applyProtection="1">
      <alignment horizontal="right" vertical="center" wrapText="1"/>
    </xf>
    <xf numFmtId="3" fontId="69" fillId="0" borderId="0" xfId="2" quotePrefix="1" applyNumberFormat="1" applyFont="1" applyAlignment="1" applyProtection="1">
      <alignment vertical="center"/>
    </xf>
    <xf numFmtId="3" fontId="44" fillId="0" borderId="0" xfId="0" applyNumberFormat="1" applyFont="1" applyAlignment="1" applyProtection="1">
      <alignment vertical="center"/>
    </xf>
    <xf numFmtId="3" fontId="15" fillId="0" borderId="0" xfId="0" applyNumberFormat="1" applyFont="1" applyAlignment="1" applyProtection="1">
      <alignment vertical="center"/>
    </xf>
    <xf numFmtId="3" fontId="103" fillId="0" borderId="45" xfId="37" applyNumberFormat="1" applyFont="1" applyFill="1" applyBorder="1" applyAlignment="1" applyProtection="1">
      <alignment horizontal="center" vertical="center" wrapText="1"/>
    </xf>
    <xf numFmtId="3" fontId="103" fillId="0" borderId="58" xfId="37" applyNumberFormat="1" applyFont="1" applyFill="1" applyBorder="1" applyAlignment="1" applyProtection="1">
      <alignment horizontal="center" vertical="center" wrapText="1"/>
    </xf>
    <xf numFmtId="3" fontId="103" fillId="0" borderId="46" xfId="37" applyNumberFormat="1" applyFont="1" applyFill="1" applyBorder="1" applyAlignment="1" applyProtection="1">
      <alignment horizontal="center" vertical="center" wrapText="1"/>
    </xf>
    <xf numFmtId="3" fontId="103" fillId="0" borderId="80" xfId="37" applyNumberFormat="1" applyFont="1" applyFill="1" applyBorder="1" applyAlignment="1" applyProtection="1">
      <alignment horizontal="center" vertical="center" wrapText="1"/>
    </xf>
    <xf numFmtId="3" fontId="103" fillId="0" borderId="59" xfId="37" applyNumberFormat="1" applyFont="1" applyFill="1" applyBorder="1" applyAlignment="1" applyProtection="1">
      <alignment horizontal="center" vertical="center" wrapText="1"/>
    </xf>
    <xf numFmtId="3" fontId="103" fillId="0" borderId="1" xfId="37" applyNumberFormat="1" applyFont="1" applyFill="1" applyBorder="1" applyAlignment="1" applyProtection="1">
      <alignment horizontal="center" vertical="center" wrapText="1"/>
    </xf>
    <xf numFmtId="3" fontId="103" fillId="0" borderId="9" xfId="37" applyNumberFormat="1" applyFont="1" applyFill="1" applyBorder="1" applyAlignment="1" applyProtection="1">
      <alignment horizontal="center" vertical="center" wrapText="1"/>
    </xf>
    <xf numFmtId="3" fontId="103" fillId="0" borderId="60" xfId="37" applyNumberFormat="1" applyFont="1" applyFill="1" applyBorder="1" applyAlignment="1" applyProtection="1">
      <alignment horizontal="center" vertical="center" wrapText="1"/>
    </xf>
    <xf numFmtId="3" fontId="103" fillId="0" borderId="10" xfId="37" applyNumberFormat="1" applyFont="1" applyFill="1" applyBorder="1" applyAlignment="1" applyProtection="1">
      <alignment horizontal="center" vertical="center" wrapText="1"/>
    </xf>
    <xf numFmtId="3" fontId="103" fillId="0" borderId="0" xfId="37" applyNumberFormat="1" applyFont="1" applyFill="1" applyBorder="1" applyAlignment="1" applyProtection="1">
      <alignment horizontal="center" vertical="center" wrapText="1"/>
    </xf>
    <xf numFmtId="3" fontId="44" fillId="0" borderId="0" xfId="21" applyNumberFormat="1" applyFont="1" applyFill="1" applyBorder="1" applyAlignment="1" applyProtection="1">
      <alignment horizontal="center" vertical="center" wrapText="1"/>
    </xf>
    <xf numFmtId="3" fontId="15" fillId="0" borderId="0" xfId="0" applyNumberFormat="1" applyFont="1" applyFill="1" applyBorder="1" applyAlignment="1" applyProtection="1">
      <alignment vertical="center"/>
    </xf>
    <xf numFmtId="3" fontId="69" fillId="0" borderId="0" xfId="2" quotePrefix="1" applyNumberFormat="1" applyFont="1" applyFill="1" applyBorder="1" applyAlignment="1" applyProtection="1">
      <alignment vertical="center"/>
    </xf>
    <xf numFmtId="3" fontId="44" fillId="0" borderId="0" xfId="0" applyNumberFormat="1" applyFont="1" applyFill="1" applyBorder="1" applyAlignment="1" applyProtection="1">
      <alignment vertical="center"/>
    </xf>
    <xf numFmtId="3" fontId="43" fillId="0" borderId="75" xfId="21" applyNumberFormat="1" applyFont="1" applyFill="1" applyBorder="1" applyAlignment="1" applyProtection="1">
      <alignment horizontal="center" vertical="center" wrapText="1"/>
    </xf>
    <xf numFmtId="3" fontId="43" fillId="0" borderId="73" xfId="21" applyNumberFormat="1" applyFont="1" applyFill="1" applyBorder="1" applyAlignment="1" applyProtection="1">
      <alignment horizontal="center" vertical="center" wrapText="1"/>
    </xf>
    <xf numFmtId="3" fontId="43" fillId="0" borderId="76" xfId="21" applyNumberFormat="1" applyFont="1" applyFill="1" applyBorder="1" applyAlignment="1" applyProtection="1">
      <alignment horizontal="center" vertical="center" wrapText="1"/>
    </xf>
    <xf numFmtId="3" fontId="43" fillId="0" borderId="72" xfId="21" applyNumberFormat="1" applyFont="1" applyFill="1" applyBorder="1" applyAlignment="1" applyProtection="1">
      <alignment horizontal="center" vertical="center" wrapText="1"/>
    </xf>
    <xf numFmtId="3" fontId="43" fillId="0" borderId="74" xfId="21" applyNumberFormat="1" applyFont="1" applyFill="1" applyBorder="1" applyAlignment="1" applyProtection="1">
      <alignment horizontal="center" vertical="center" wrapText="1"/>
    </xf>
    <xf numFmtId="3" fontId="43" fillId="0" borderId="52" xfId="21" applyNumberFormat="1" applyFont="1" applyFill="1" applyBorder="1" applyAlignment="1" applyProtection="1">
      <alignment horizontal="center" vertical="center" wrapText="1"/>
    </xf>
    <xf numFmtId="3" fontId="43" fillId="0" borderId="7" xfId="21" applyNumberFormat="1" applyFont="1" applyFill="1" applyBorder="1" applyAlignment="1" applyProtection="1">
      <alignment horizontal="center" vertical="center" wrapText="1"/>
    </xf>
    <xf numFmtId="3" fontId="43" fillId="0" borderId="53" xfId="21" applyNumberFormat="1" applyFont="1" applyFill="1" applyBorder="1" applyAlignment="1" applyProtection="1">
      <alignment horizontal="center" vertical="center" wrapText="1"/>
    </xf>
    <xf numFmtId="3" fontId="43" fillId="0" borderId="32" xfId="21" applyNumberFormat="1" applyFont="1" applyFill="1" applyBorder="1" applyAlignment="1" applyProtection="1">
      <alignment horizontal="center" vertical="center" wrapText="1"/>
    </xf>
    <xf numFmtId="3" fontId="43" fillId="0" borderId="62" xfId="21" applyNumberFormat="1" applyFont="1" applyFill="1" applyBorder="1" applyAlignment="1" applyProtection="1">
      <alignment horizontal="center" vertical="center" wrapText="1"/>
    </xf>
    <xf numFmtId="3" fontId="43" fillId="0" borderId="54" xfId="21" applyNumberFormat="1" applyFont="1" applyFill="1" applyBorder="1" applyAlignment="1" applyProtection="1">
      <alignment horizontal="center" vertical="center" wrapText="1"/>
    </xf>
    <xf numFmtId="3" fontId="43" fillId="0" borderId="63" xfId="21" applyNumberFormat="1" applyFont="1" applyFill="1" applyBorder="1" applyAlignment="1" applyProtection="1">
      <alignment horizontal="center" vertical="center" wrapText="1"/>
    </xf>
    <xf numFmtId="3" fontId="43" fillId="0" borderId="55" xfId="21" applyNumberFormat="1" applyFont="1" applyFill="1" applyBorder="1" applyAlignment="1" applyProtection="1">
      <alignment horizontal="center" vertical="center" wrapText="1"/>
    </xf>
    <xf numFmtId="3" fontId="43" fillId="0" borderId="69" xfId="21" applyNumberFormat="1" applyFont="1" applyFill="1" applyBorder="1" applyAlignment="1" applyProtection="1">
      <alignment horizontal="center" vertical="center" wrapText="1"/>
    </xf>
    <xf numFmtId="3" fontId="43" fillId="0" borderId="64" xfId="21" applyNumberFormat="1" applyFont="1" applyFill="1" applyBorder="1" applyAlignment="1" applyProtection="1">
      <alignment horizontal="center" vertical="center" wrapText="1"/>
    </xf>
    <xf numFmtId="0" fontId="24" fillId="26" borderId="0" xfId="32" applyNumberFormat="1" applyFont="1" applyFill="1" applyBorder="1" applyAlignment="1" applyProtection="1">
      <alignment vertical="center"/>
    </xf>
    <xf numFmtId="0" fontId="15" fillId="26" borderId="0" xfId="32" applyNumberFormat="1" applyFont="1" applyFill="1" applyBorder="1" applyAlignment="1" applyProtection="1">
      <alignment vertical="center"/>
    </xf>
    <xf numFmtId="3" fontId="44" fillId="0" borderId="26" xfId="49" applyNumberFormat="1" applyFont="1" applyFill="1" applyBorder="1" applyAlignment="1" applyProtection="1">
      <alignment horizontal="center" vertical="center" wrapText="1"/>
    </xf>
    <xf numFmtId="3" fontId="45" fillId="0" borderId="13" xfId="49" applyNumberFormat="1" applyFont="1" applyFill="1" applyBorder="1" applyAlignment="1" applyProtection="1">
      <alignment horizontal="center" vertical="center" wrapText="1"/>
    </xf>
    <xf numFmtId="3" fontId="45" fillId="0" borderId="16" xfId="49" applyNumberFormat="1" applyFont="1" applyFill="1" applyBorder="1" applyAlignment="1" applyProtection="1">
      <alignment horizontal="center" vertical="center" wrapText="1"/>
    </xf>
    <xf numFmtId="0" fontId="43" fillId="0" borderId="6" xfId="31" applyFont="1" applyFill="1" applyBorder="1" applyAlignment="1" applyProtection="1">
      <alignment horizontal="center" vertical="center" wrapText="1"/>
    </xf>
    <xf numFmtId="0" fontId="43" fillId="0" borderId="24" xfId="31" applyFont="1" applyFill="1" applyBorder="1" applyAlignment="1" applyProtection="1">
      <alignment horizontal="center" vertical="center" wrapText="1"/>
    </xf>
    <xf numFmtId="3" fontId="43" fillId="0" borderId="17" xfId="31" applyNumberFormat="1" applyFont="1" applyFill="1" applyBorder="1" applyAlignment="1" applyProtection="1">
      <alignment horizontal="center" vertical="center" wrapText="1"/>
    </xf>
    <xf numFmtId="0" fontId="43" fillId="0" borderId="15" xfId="31" applyFont="1" applyFill="1" applyBorder="1" applyAlignment="1" applyProtection="1">
      <alignment horizontal="center" vertical="center" wrapText="1"/>
    </xf>
    <xf numFmtId="176" fontId="15" fillId="0" borderId="62" xfId="0" applyNumberFormat="1" applyFont="1" applyFill="1" applyBorder="1" applyAlignment="1" applyProtection="1">
      <alignment horizontal="center" vertical="center"/>
    </xf>
    <xf numFmtId="0" fontId="15" fillId="26" borderId="72" xfId="0" applyFont="1" applyFill="1" applyBorder="1" applyAlignment="1" applyProtection="1">
      <alignment vertical="center" wrapText="1"/>
    </xf>
    <xf numFmtId="0" fontId="15" fillId="26" borderId="32" xfId="0" applyFont="1" applyFill="1" applyBorder="1" applyAlignment="1" applyProtection="1">
      <alignment vertical="center" wrapText="1"/>
    </xf>
    <xf numFmtId="0" fontId="15" fillId="26" borderId="79" xfId="0" applyFont="1" applyFill="1" applyBorder="1" applyAlignment="1" applyProtection="1">
      <alignment vertical="center" wrapText="1"/>
    </xf>
    <xf numFmtId="0" fontId="15" fillId="26" borderId="52" xfId="0" applyFont="1" applyFill="1" applyBorder="1" applyAlignment="1" applyProtection="1">
      <alignment vertical="center" wrapText="1"/>
    </xf>
    <xf numFmtId="0" fontId="15" fillId="26" borderId="44" xfId="0" applyFont="1" applyFill="1" applyBorder="1" applyAlignment="1" applyProtection="1">
      <alignment vertical="center" wrapText="1"/>
    </xf>
    <xf numFmtId="0" fontId="158" fillId="37" borderId="63" xfId="56" applyFont="1" applyFill="1" applyBorder="1" applyAlignment="1" applyProtection="1">
      <alignment horizontal="center" vertical="center" wrapText="1"/>
    </xf>
    <xf numFmtId="0" fontId="58" fillId="0" borderId="32" xfId="2" applyFont="1" applyBorder="1" applyAlignment="1" applyProtection="1">
      <alignment horizontal="center" vertical="center"/>
    </xf>
    <xf numFmtId="0" fontId="58" fillId="0" borderId="32" xfId="2" applyFont="1" applyFill="1" applyBorder="1" applyAlignment="1" applyProtection="1">
      <alignment horizontal="center" vertical="center"/>
    </xf>
    <xf numFmtId="0" fontId="158" fillId="0" borderId="32" xfId="2" applyFont="1" applyFill="1" applyBorder="1" applyAlignment="1" applyProtection="1">
      <alignment horizontal="center" vertical="center"/>
    </xf>
    <xf numFmtId="0" fontId="158" fillId="0" borderId="32" xfId="2" applyFont="1" applyBorder="1" applyAlignment="1" applyProtection="1">
      <alignment horizontal="center" vertical="center"/>
    </xf>
    <xf numFmtId="0" fontId="58" fillId="0" borderId="62" xfId="2" applyFont="1" applyBorder="1" applyAlignment="1" applyProtection="1">
      <alignment horizontal="center" vertical="center"/>
    </xf>
    <xf numFmtId="0" fontId="58" fillId="0" borderId="62" xfId="2" applyFont="1" applyFill="1" applyBorder="1" applyAlignment="1" applyProtection="1">
      <alignment horizontal="center" vertical="center"/>
    </xf>
    <xf numFmtId="0" fontId="158" fillId="37" borderId="7" xfId="54" applyFont="1" applyFill="1" applyBorder="1" applyAlignment="1" applyProtection="1">
      <alignment horizontal="center" vertical="center" wrapText="1"/>
    </xf>
    <xf numFmtId="0" fontId="58" fillId="20" borderId="7" xfId="52" applyFont="1" applyFill="1" applyBorder="1" applyAlignment="1" applyProtection="1">
      <alignment horizontal="center" vertical="center" wrapText="1"/>
    </xf>
    <xf numFmtId="3" fontId="158" fillId="27" borderId="7" xfId="52" applyNumberFormat="1" applyFont="1" applyFill="1" applyBorder="1" applyAlignment="1" applyProtection="1">
      <alignment horizontal="center" vertical="center"/>
    </xf>
    <xf numFmtId="172" fontId="158" fillId="27" borderId="7" xfId="52" applyNumberFormat="1" applyFont="1" applyFill="1" applyBorder="1" applyAlignment="1" applyProtection="1">
      <alignment horizontal="center" vertical="center"/>
    </xf>
    <xf numFmtId="0" fontId="58" fillId="27" borderId="7" xfId="52" applyFont="1" applyFill="1" applyBorder="1" applyAlignment="1" applyProtection="1">
      <alignment horizontal="left" vertical="center" wrapText="1" indent="1"/>
    </xf>
    <xf numFmtId="3" fontId="58" fillId="27" borderId="7" xfId="52" applyNumberFormat="1" applyFont="1" applyFill="1" applyBorder="1" applyAlignment="1" applyProtection="1">
      <alignment horizontal="center" vertical="center"/>
    </xf>
    <xf numFmtId="0" fontId="58" fillId="27" borderId="7" xfId="52" applyFont="1" applyFill="1" applyBorder="1" applyAlignment="1" applyProtection="1">
      <alignment horizontal="right"/>
    </xf>
    <xf numFmtId="3" fontId="58" fillId="26" borderId="7" xfId="52" applyNumberFormat="1" applyFont="1" applyFill="1" applyBorder="1" applyAlignment="1" applyProtection="1">
      <alignment horizontal="center" vertical="center"/>
    </xf>
    <xf numFmtId="172" fontId="58" fillId="26" borderId="7" xfId="1" applyNumberFormat="1" applyFont="1" applyFill="1" applyBorder="1" applyAlignment="1" applyProtection="1">
      <alignment horizontal="center" vertical="center"/>
    </xf>
    <xf numFmtId="172" fontId="58" fillId="27" borderId="7" xfId="1" applyNumberFormat="1" applyFont="1" applyFill="1" applyBorder="1" applyAlignment="1" applyProtection="1">
      <alignment horizontal="center" vertical="center"/>
    </xf>
    <xf numFmtId="49" fontId="158" fillId="27" borderId="7" xfId="0" applyNumberFormat="1" applyFont="1" applyFill="1" applyBorder="1" applyAlignment="1" applyProtection="1">
      <alignment vertical="center" wrapText="1"/>
    </xf>
    <xf numFmtId="0" fontId="158" fillId="27" borderId="7" xfId="32" applyFont="1" applyFill="1" applyBorder="1" applyAlignment="1" applyProtection="1">
      <alignment horizontal="left" vertical="center" wrapText="1"/>
    </xf>
    <xf numFmtId="0" fontId="162" fillId="37" borderId="7" xfId="54" applyFont="1" applyFill="1" applyBorder="1" applyAlignment="1" applyProtection="1">
      <alignment horizontal="center" vertical="center" wrapText="1"/>
    </xf>
    <xf numFmtId="0" fontId="161" fillId="0" borderId="0" xfId="0" applyFont="1" applyAlignment="1">
      <alignment wrapText="1"/>
    </xf>
    <xf numFmtId="0" fontId="0" fillId="0" borderId="0" xfId="0" applyAlignment="1">
      <alignment vertical="center" wrapText="1"/>
    </xf>
    <xf numFmtId="0" fontId="58" fillId="26" borderId="7" xfId="32" applyFont="1" applyFill="1" applyBorder="1" applyAlignment="1" applyProtection="1">
      <alignment vertical="center" wrapText="1"/>
    </xf>
    <xf numFmtId="49" fontId="58" fillId="27" borderId="7" xfId="32" applyNumberFormat="1" applyFont="1" applyFill="1" applyBorder="1" applyAlignment="1" applyProtection="1">
      <alignment horizontal="left" vertical="center" wrapText="1"/>
    </xf>
    <xf numFmtId="0" fontId="39" fillId="27" borderId="7" xfId="32" applyFont="1" applyFill="1" applyBorder="1" applyAlignment="1" applyProtection="1">
      <alignment horizontal="right" vertical="center" wrapText="1"/>
    </xf>
    <xf numFmtId="49" fontId="39" fillId="27" borderId="7" xfId="0" applyNumberFormat="1" applyFont="1" applyFill="1" applyBorder="1" applyAlignment="1" applyProtection="1">
      <alignment horizontal="right" vertical="center" wrapText="1"/>
    </xf>
    <xf numFmtId="0" fontId="58" fillId="0" borderId="7" xfId="0" applyFont="1" applyBorder="1" applyAlignment="1">
      <alignment horizontal="center" vertical="center" wrapText="1"/>
    </xf>
    <xf numFmtId="3" fontId="159" fillId="0" borderId="7" xfId="0" applyNumberFormat="1" applyFont="1" applyBorder="1" applyAlignment="1">
      <alignment horizontal="center" vertical="center"/>
    </xf>
    <xf numFmtId="3" fontId="160" fillId="0" borderId="7" xfId="0" applyNumberFormat="1" applyFont="1" applyBorder="1" applyAlignment="1">
      <alignment horizontal="center" vertical="center"/>
    </xf>
    <xf numFmtId="0" fontId="159" fillId="0" borderId="0" xfId="0" applyFont="1"/>
    <xf numFmtId="0" fontId="159" fillId="0" borderId="7" xfId="0" applyFont="1" applyBorder="1" applyAlignment="1">
      <alignment vertical="center"/>
    </xf>
    <xf numFmtId="0" fontId="159" fillId="0" borderId="7" xfId="0" applyFont="1" applyBorder="1" applyAlignment="1">
      <alignment vertical="center" wrapText="1"/>
    </xf>
    <xf numFmtId="172" fontId="160" fillId="0" borderId="7" xfId="0" applyNumberFormat="1" applyFont="1" applyBorder="1" applyAlignment="1">
      <alignment horizontal="center" vertical="center"/>
    </xf>
    <xf numFmtId="3" fontId="159" fillId="0" borderId="0" xfId="0" applyNumberFormat="1" applyFont="1" applyBorder="1" applyAlignment="1">
      <alignment horizontal="center" vertical="center"/>
    </xf>
    <xf numFmtId="172" fontId="160" fillId="0" borderId="0" xfId="0" applyNumberFormat="1" applyFont="1" applyBorder="1" applyAlignment="1">
      <alignment horizontal="center" vertical="center"/>
    </xf>
    <xf numFmtId="0" fontId="158" fillId="47" borderId="7" xfId="0" applyFont="1" applyFill="1" applyBorder="1" applyAlignment="1">
      <alignment horizontal="center" vertical="center"/>
    </xf>
    <xf numFmtId="10" fontId="158" fillId="47" borderId="7" xfId="0" applyNumberFormat="1" applyFont="1" applyFill="1" applyBorder="1" applyAlignment="1">
      <alignment horizontal="center" vertical="center" wrapText="1"/>
    </xf>
    <xf numFmtId="0" fontId="58" fillId="20" borderId="7" xfId="32" applyFont="1" applyFill="1" applyBorder="1" applyAlignment="1" applyProtection="1">
      <alignment horizontal="center" vertical="center" wrapText="1"/>
    </xf>
    <xf numFmtId="0" fontId="158" fillId="37" borderId="63" xfId="52" applyFont="1" applyFill="1" applyBorder="1" applyAlignment="1" applyProtection="1">
      <alignment horizontal="center" vertical="center"/>
    </xf>
    <xf numFmtId="0" fontId="158" fillId="37" borderId="63" xfId="52" applyFont="1" applyFill="1" applyBorder="1" applyAlignment="1" applyProtection="1">
      <alignment horizontal="center" vertical="center" wrapText="1"/>
    </xf>
    <xf numFmtId="0" fontId="158" fillId="37" borderId="7" xfId="32" applyFont="1" applyFill="1" applyBorder="1" applyAlignment="1" applyProtection="1">
      <alignment horizontal="center" vertical="center" wrapText="1"/>
    </xf>
    <xf numFmtId="0" fontId="159" fillId="0" borderId="0" xfId="0" applyFont="1" applyAlignment="1">
      <alignment vertical="center"/>
    </xf>
    <xf numFmtId="0" fontId="165" fillId="37" borderId="7" xfId="0" applyFont="1" applyFill="1" applyBorder="1" applyAlignment="1">
      <alignment horizontal="left" vertical="center" wrapText="1"/>
    </xf>
    <xf numFmtId="0" fontId="165" fillId="37" borderId="7" xfId="0" applyFont="1" applyFill="1" applyBorder="1" applyAlignment="1">
      <alignment horizontal="center" vertical="center" wrapText="1"/>
    </xf>
    <xf numFmtId="0" fontId="160" fillId="37" borderId="7" xfId="0" applyFont="1" applyFill="1" applyBorder="1" applyAlignment="1">
      <alignment horizontal="center" vertical="center" wrapText="1"/>
    </xf>
    <xf numFmtId="0" fontId="172" fillId="0" borderId="7" xfId="0" applyFont="1" applyBorder="1" applyAlignment="1">
      <alignment vertical="center"/>
    </xf>
    <xf numFmtId="3" fontId="175" fillId="0" borderId="7" xfId="0" applyNumberFormat="1" applyFont="1" applyBorder="1" applyAlignment="1">
      <alignment horizontal="center" vertical="center"/>
    </xf>
    <xf numFmtId="3" fontId="160" fillId="22" borderId="7" xfId="0" applyNumberFormat="1" applyFont="1" applyFill="1" applyBorder="1" applyAlignment="1">
      <alignment horizontal="center" vertical="center"/>
    </xf>
    <xf numFmtId="0" fontId="160" fillId="22" borderId="7" xfId="0" applyFont="1" applyFill="1" applyBorder="1" applyAlignment="1">
      <alignment vertical="center"/>
    </xf>
    <xf numFmtId="0" fontId="160" fillId="0" borderId="7" xfId="0" applyFont="1" applyBorder="1" applyAlignment="1">
      <alignment vertical="center"/>
    </xf>
    <xf numFmtId="0" fontId="58" fillId="0" borderId="7" xfId="0" applyFont="1" applyBorder="1" applyAlignment="1">
      <alignment vertical="center" wrapText="1"/>
    </xf>
    <xf numFmtId="0" fontId="172" fillId="26" borderId="7" xfId="0" applyFont="1" applyFill="1" applyBorder="1" applyAlignment="1">
      <alignment vertical="center"/>
    </xf>
    <xf numFmtId="0" fontId="172" fillId="0" borderId="0" xfId="0" applyFont="1" applyBorder="1" applyAlignment="1">
      <alignment vertical="center"/>
    </xf>
    <xf numFmtId="3" fontId="175" fillId="0" borderId="0" xfId="0" applyNumberFormat="1" applyFont="1" applyBorder="1" applyAlignment="1">
      <alignment vertical="center"/>
    </xf>
    <xf numFmtId="0" fontId="159" fillId="26" borderId="7" xfId="0" applyFont="1" applyFill="1" applyBorder="1" applyAlignment="1">
      <alignment vertical="center" wrapText="1"/>
    </xf>
    <xf numFmtId="0" fontId="160" fillId="22" borderId="7" xfId="0" applyFont="1" applyFill="1" applyBorder="1" applyAlignment="1">
      <alignment vertical="center" wrapText="1"/>
    </xf>
    <xf numFmtId="0" fontId="172" fillId="0" borderId="7" xfId="0" applyFont="1" applyBorder="1" applyAlignment="1">
      <alignment vertical="center" wrapText="1"/>
    </xf>
    <xf numFmtId="3" fontId="172" fillId="0" borderId="7" xfId="0" applyNumberFormat="1" applyFont="1" applyBorder="1" applyAlignment="1">
      <alignment horizontal="center" vertical="center"/>
    </xf>
    <xf numFmtId="0" fontId="155" fillId="0" borderId="0" xfId="0" applyFont="1" applyAlignment="1">
      <alignment horizontal="right"/>
    </xf>
    <xf numFmtId="172" fontId="160" fillId="22" borderId="7" xfId="0" applyNumberFormat="1" applyFont="1" applyFill="1" applyBorder="1" applyAlignment="1">
      <alignment horizontal="center" vertical="center"/>
    </xf>
    <xf numFmtId="3" fontId="159" fillId="0" borderId="7" xfId="0" applyNumberFormat="1" applyFont="1" applyBorder="1" applyAlignment="1">
      <alignment horizontal="right" vertical="center"/>
    </xf>
    <xf numFmtId="0" fontId="172" fillId="0" borderId="7" xfId="0" applyFont="1" applyBorder="1" applyAlignment="1">
      <alignment horizontal="right" vertical="center"/>
    </xf>
    <xf numFmtId="3" fontId="172" fillId="0" borderId="7" xfId="0" applyNumberFormat="1" applyFont="1" applyBorder="1" applyAlignment="1">
      <alignment horizontal="right" vertical="center"/>
    </xf>
    <xf numFmtId="0" fontId="177" fillId="0" borderId="0" xfId="0" applyFont="1" applyAlignment="1">
      <alignment vertical="center"/>
    </xf>
    <xf numFmtId="3" fontId="172" fillId="26" borderId="7" xfId="0" applyNumberFormat="1" applyFont="1" applyFill="1" applyBorder="1" applyAlignment="1">
      <alignment horizontal="center" vertical="center"/>
    </xf>
    <xf numFmtId="0" fontId="171" fillId="0" borderId="7" xfId="0" applyFont="1" applyBorder="1" applyAlignment="1">
      <alignment vertical="center" wrapText="1"/>
    </xf>
    <xf numFmtId="0" fontId="158" fillId="0" borderId="7" xfId="0" applyFont="1" applyBorder="1" applyAlignment="1">
      <alignment vertical="center" wrapText="1"/>
    </xf>
    <xf numFmtId="3" fontId="158" fillId="47" borderId="7" xfId="0" applyNumberFormat="1" applyFont="1" applyFill="1" applyBorder="1" applyAlignment="1">
      <alignment horizontal="center" vertical="center"/>
    </xf>
    <xf numFmtId="0" fontId="58" fillId="47" borderId="7" xfId="0" applyFont="1" applyFill="1" applyBorder="1" applyAlignment="1">
      <alignment horizontal="center" vertical="center"/>
    </xf>
    <xf numFmtId="3" fontId="58" fillId="47" borderId="7" xfId="0" applyNumberFormat="1" applyFont="1" applyFill="1" applyBorder="1" applyAlignment="1">
      <alignment horizontal="center" vertical="center"/>
    </xf>
    <xf numFmtId="3" fontId="58" fillId="0" borderId="7" xfId="0" applyNumberFormat="1" applyFont="1" applyBorder="1" applyAlignment="1">
      <alignment horizontal="center" vertical="center" wrapText="1"/>
    </xf>
    <xf numFmtId="0" fontId="158" fillId="48" borderId="63" xfId="0" applyFont="1" applyFill="1" applyBorder="1" applyAlignment="1">
      <alignment horizontal="center" vertical="center" wrapText="1"/>
    </xf>
    <xf numFmtId="0" fontId="158" fillId="22" borderId="7" xfId="0" applyFont="1" applyFill="1" applyBorder="1" applyAlignment="1">
      <alignment vertical="center" wrapText="1"/>
    </xf>
    <xf numFmtId="3" fontId="158" fillId="38" borderId="7" xfId="21" applyNumberFormat="1" applyFont="1" applyFill="1" applyBorder="1" applyAlignment="1">
      <alignment horizontal="center" vertical="center" wrapText="1"/>
    </xf>
    <xf numFmtId="3" fontId="159" fillId="0" borderId="0" xfId="0" applyNumberFormat="1" applyFont="1" applyAlignment="1">
      <alignment horizontal="center" vertical="center"/>
    </xf>
    <xf numFmtId="3" fontId="159" fillId="0" borderId="113" xfId="0" applyNumberFormat="1" applyFont="1" applyBorder="1" applyAlignment="1">
      <alignment horizontal="center" vertical="center"/>
    </xf>
    <xf numFmtId="3" fontId="158" fillId="37" borderId="7" xfId="49" applyNumberFormat="1" applyFont="1" applyFill="1" applyBorder="1" applyAlignment="1" applyProtection="1">
      <alignment horizontal="center" vertical="center" wrapText="1"/>
    </xf>
    <xf numFmtId="3" fontId="159" fillId="0" borderId="7" xfId="0" applyNumberFormat="1" applyFont="1" applyBorder="1" applyAlignment="1">
      <alignment horizontal="left" vertical="center"/>
    </xf>
    <xf numFmtId="3" fontId="172" fillId="0" borderId="7" xfId="0" applyNumberFormat="1" applyFont="1" applyBorder="1" applyAlignment="1">
      <alignment horizontal="right" vertical="center" wrapText="1"/>
    </xf>
    <xf numFmtId="3" fontId="160" fillId="22" borderId="7" xfId="0" applyNumberFormat="1" applyFont="1" applyFill="1" applyBorder="1" applyAlignment="1">
      <alignment horizontal="left" vertical="center"/>
    </xf>
    <xf numFmtId="3" fontId="159" fillId="0" borderId="0" xfId="0" applyNumberFormat="1" applyFont="1" applyBorder="1" applyAlignment="1">
      <alignment horizontal="left" vertical="center"/>
    </xf>
    <xf numFmtId="3" fontId="159" fillId="0" borderId="7" xfId="0" applyNumberFormat="1" applyFont="1" applyBorder="1" applyAlignment="1">
      <alignment horizontal="left" vertical="center" wrapText="1"/>
    </xf>
    <xf numFmtId="0" fontId="24" fillId="0" borderId="0" xfId="0" applyFont="1" applyAlignment="1">
      <alignment horizontal="center"/>
    </xf>
    <xf numFmtId="0" fontId="158" fillId="26" borderId="7" xfId="47" applyFont="1" applyFill="1" applyBorder="1" applyAlignment="1" applyProtection="1">
      <alignment vertical="center" wrapText="1"/>
      <protection hidden="1"/>
    </xf>
    <xf numFmtId="0" fontId="158" fillId="26" borderId="7" xfId="47" applyFont="1" applyFill="1" applyBorder="1" applyAlignment="1" applyProtection="1">
      <alignment vertical="top" wrapText="1"/>
      <protection hidden="1"/>
    </xf>
    <xf numFmtId="0" fontId="158" fillId="26" borderId="0" xfId="47" applyFont="1" applyFill="1" applyBorder="1" applyAlignment="1" applyProtection="1">
      <alignment vertical="center" wrapText="1"/>
      <protection hidden="1"/>
    </xf>
    <xf numFmtId="170" fontId="158" fillId="37" borderId="7" xfId="32" applyNumberFormat="1" applyFont="1" applyFill="1" applyBorder="1" applyAlignment="1" applyProtection="1">
      <alignment horizontal="center" wrapText="1"/>
    </xf>
    <xf numFmtId="0" fontId="158" fillId="26" borderId="0" xfId="47" applyFont="1" applyFill="1" applyBorder="1" applyAlignment="1" applyProtection="1">
      <alignment horizontal="center" vertical="center" wrapText="1"/>
      <protection hidden="1"/>
    </xf>
    <xf numFmtId="3" fontId="158" fillId="26" borderId="7" xfId="47" applyNumberFormat="1" applyFont="1" applyFill="1" applyBorder="1" applyAlignment="1" applyProtection="1">
      <alignment horizontal="center" vertical="center" wrapText="1"/>
      <protection hidden="1"/>
    </xf>
    <xf numFmtId="0" fontId="108" fillId="0" borderId="7" xfId="32" applyFont="1" applyFill="1" applyBorder="1" applyAlignment="1" applyProtection="1">
      <alignment vertical="center" wrapText="1"/>
    </xf>
    <xf numFmtId="170" fontId="178" fillId="37" borderId="7" xfId="32" applyNumberFormat="1" applyFont="1" applyFill="1" applyBorder="1" applyAlignment="1" applyProtection="1">
      <alignment horizontal="center" vertical="center" wrapText="1"/>
    </xf>
    <xf numFmtId="0" fontId="178" fillId="22" borderId="7" xfId="32" applyFont="1" applyFill="1" applyBorder="1" applyAlignment="1" applyProtection="1">
      <alignment vertical="center" wrapText="1"/>
    </xf>
    <xf numFmtId="167" fontId="178" fillId="22" borderId="7" xfId="48" applyNumberFormat="1" applyFont="1" applyFill="1" applyBorder="1" applyAlignment="1" applyProtection="1">
      <alignment horizontal="center" vertical="center"/>
    </xf>
    <xf numFmtId="170" fontId="50" fillId="37" borderId="7" xfId="0" applyNumberFormat="1" applyFont="1" applyFill="1" applyBorder="1" applyAlignment="1" applyProtection="1">
      <alignment horizontal="center" vertical="center" wrapText="1"/>
    </xf>
    <xf numFmtId="0" fontId="15" fillId="0" borderId="0" xfId="0" applyFont="1" applyBorder="1" applyAlignment="1" applyProtection="1">
      <alignment horizontal="left" indent="1"/>
    </xf>
    <xf numFmtId="170" fontId="50" fillId="37" borderId="77" xfId="0" applyNumberFormat="1" applyFont="1" applyFill="1" applyBorder="1" applyAlignment="1" applyProtection="1">
      <alignment horizontal="center" vertical="center" wrapText="1"/>
    </xf>
    <xf numFmtId="4" fontId="15" fillId="26" borderId="73" xfId="32" applyNumberFormat="1" applyFont="1" applyFill="1" applyBorder="1" applyAlignment="1" applyProtection="1">
      <alignment horizontal="center" vertical="center"/>
    </xf>
    <xf numFmtId="4" fontId="15" fillId="26" borderId="7" xfId="32" applyNumberFormat="1" applyFont="1" applyFill="1" applyBorder="1" applyAlignment="1" applyProtection="1">
      <alignment horizontal="center" vertical="center"/>
    </xf>
    <xf numFmtId="4" fontId="15" fillId="26" borderId="77" xfId="32" applyNumberFormat="1" applyFont="1" applyFill="1" applyBorder="1" applyAlignment="1" applyProtection="1">
      <alignment horizontal="center" vertical="center"/>
    </xf>
    <xf numFmtId="0" fontId="23" fillId="0" borderId="8" xfId="0" applyFont="1" applyBorder="1" applyAlignment="1" applyProtection="1"/>
    <xf numFmtId="0" fontId="24" fillId="0" borderId="8" xfId="0" applyFont="1" applyBorder="1" applyAlignment="1" applyProtection="1"/>
    <xf numFmtId="170" fontId="50" fillId="37" borderId="57" xfId="0" applyNumberFormat="1" applyFont="1" applyFill="1" applyBorder="1" applyAlignment="1" applyProtection="1">
      <alignment horizontal="center" vertical="center" wrapText="1"/>
    </xf>
    <xf numFmtId="0" fontId="158" fillId="22" borderId="7" xfId="52" applyFont="1" applyFill="1" applyBorder="1" applyAlignment="1" applyProtection="1">
      <alignment horizontal="left" vertical="center" wrapText="1"/>
    </xf>
    <xf numFmtId="0" fontId="58" fillId="22" borderId="7" xfId="52" applyFont="1" applyFill="1" applyBorder="1" applyAlignment="1" applyProtection="1">
      <alignment horizontal="center" vertical="center" wrapText="1"/>
    </xf>
    <xf numFmtId="3" fontId="158" fillId="22" borderId="7" xfId="52" applyNumberFormat="1" applyFont="1" applyFill="1" applyBorder="1" applyAlignment="1" applyProtection="1">
      <alignment horizontal="center" vertical="center"/>
    </xf>
    <xf numFmtId="3" fontId="58" fillId="22" borderId="7" xfId="52" applyNumberFormat="1" applyFont="1" applyFill="1" applyBorder="1" applyAlignment="1" applyProtection="1">
      <alignment horizontal="center" vertical="center"/>
    </xf>
    <xf numFmtId="172" fontId="58" fillId="22" borderId="7" xfId="52" applyNumberFormat="1" applyFont="1" applyFill="1" applyBorder="1" applyAlignment="1" applyProtection="1">
      <alignment horizontal="center" vertical="center"/>
    </xf>
    <xf numFmtId="172" fontId="58" fillId="22" borderId="7" xfId="1" applyNumberFormat="1" applyFont="1" applyFill="1" applyBorder="1" applyAlignment="1" applyProtection="1">
      <alignment horizontal="center" vertical="center"/>
    </xf>
    <xf numFmtId="175" fontId="58" fillId="22" borderId="7" xfId="52" applyNumberFormat="1" applyFont="1" applyFill="1" applyBorder="1" applyAlignment="1" applyProtection="1">
      <alignment horizontal="center" vertical="center"/>
    </xf>
    <xf numFmtId="10" fontId="158" fillId="22" borderId="7" xfId="1" applyNumberFormat="1" applyFont="1" applyFill="1" applyBorder="1" applyAlignment="1" applyProtection="1">
      <alignment horizontal="center" vertical="center"/>
    </xf>
    <xf numFmtId="4" fontId="158" fillId="22" borderId="7" xfId="52" applyNumberFormat="1" applyFont="1" applyFill="1" applyBorder="1" applyAlignment="1" applyProtection="1">
      <alignment horizontal="center" vertical="center"/>
    </xf>
    <xf numFmtId="172" fontId="158" fillId="22" borderId="7" xfId="52" applyNumberFormat="1" applyFont="1" applyFill="1" applyBorder="1" applyAlignment="1" applyProtection="1">
      <alignment horizontal="center" vertical="center"/>
    </xf>
    <xf numFmtId="3" fontId="158" fillId="22" borderId="7" xfId="52" applyNumberFormat="1" applyFont="1" applyFill="1" applyBorder="1" applyAlignment="1" applyProtection="1">
      <alignment horizontal="center" vertical="center" wrapText="1"/>
    </xf>
    <xf numFmtId="172" fontId="158" fillId="22" borderId="7" xfId="52" applyNumberFormat="1" applyFont="1" applyFill="1" applyBorder="1" applyAlignment="1" applyProtection="1">
      <alignment horizontal="center" vertical="center" wrapText="1"/>
    </xf>
    <xf numFmtId="14" fontId="68" fillId="0" borderId="0" xfId="0" applyNumberFormat="1" applyFont="1" applyFill="1" applyBorder="1" applyAlignment="1" applyProtection="1">
      <alignment horizontal="left" vertical="center"/>
    </xf>
    <xf numFmtId="14" fontId="15" fillId="0" borderId="0" xfId="0" applyNumberFormat="1" applyFont="1" applyAlignment="1" applyProtection="1">
      <alignment vertical="center"/>
    </xf>
    <xf numFmtId="14" fontId="24" fillId="0" borderId="0" xfId="0" applyNumberFormat="1" applyFont="1" applyFill="1" applyBorder="1" applyAlignment="1" applyProtection="1">
      <alignment horizontal="left" vertical="center"/>
    </xf>
    <xf numFmtId="0" fontId="157" fillId="0" borderId="0" xfId="0" applyFont="1" applyProtection="1"/>
    <xf numFmtId="0" fontId="158" fillId="48" borderId="7" xfId="0" applyFont="1" applyFill="1" applyBorder="1" applyAlignment="1" applyProtection="1">
      <alignment horizontal="center" vertical="center"/>
    </xf>
    <xf numFmtId="0" fontId="162" fillId="48" borderId="7" xfId="0" applyFont="1" applyFill="1" applyBorder="1" applyAlignment="1" applyProtection="1">
      <alignment horizontal="center" vertical="center" wrapText="1"/>
    </xf>
    <xf numFmtId="0" fontId="158" fillId="48" borderId="7" xfId="0" applyFont="1" applyFill="1" applyBorder="1" applyAlignment="1" applyProtection="1">
      <alignment horizontal="center" vertical="center" wrapText="1"/>
    </xf>
    <xf numFmtId="0" fontId="159" fillId="0" borderId="7" xfId="56" applyFont="1" applyBorder="1" applyAlignment="1" applyProtection="1">
      <alignment vertical="center" wrapText="1"/>
    </xf>
    <xf numFmtId="3" fontId="58" fillId="26" borderId="7" xfId="56" applyNumberFormat="1" applyFont="1" applyFill="1" applyBorder="1" applyAlignment="1" applyProtection="1">
      <alignment horizontal="center" vertical="center"/>
    </xf>
    <xf numFmtId="0" fontId="158" fillId="47" borderId="7" xfId="0" applyFont="1" applyFill="1" applyBorder="1" applyAlignment="1" applyProtection="1">
      <alignment vertical="center"/>
    </xf>
    <xf numFmtId="0" fontId="58" fillId="47" borderId="7" xfId="0" applyFont="1" applyFill="1" applyBorder="1" applyAlignment="1" applyProtection="1">
      <alignment vertical="center" wrapText="1"/>
    </xf>
    <xf numFmtId="0" fontId="163" fillId="47" borderId="7" xfId="0" applyFont="1" applyFill="1" applyBorder="1" applyAlignment="1" applyProtection="1">
      <alignment horizontal="center" vertical="center" wrapText="1"/>
    </xf>
    <xf numFmtId="10" fontId="58" fillId="47" borderId="7" xfId="0" applyNumberFormat="1" applyFont="1" applyFill="1" applyBorder="1" applyAlignment="1" applyProtection="1">
      <alignment horizontal="center" vertical="center"/>
    </xf>
    <xf numFmtId="10" fontId="158" fillId="47" borderId="7" xfId="0" applyNumberFormat="1" applyFont="1" applyFill="1" applyBorder="1" applyAlignment="1" applyProtection="1">
      <alignment horizontal="center" vertical="center" wrapText="1"/>
    </xf>
    <xf numFmtId="9" fontId="158" fillId="47" borderId="7" xfId="0" applyNumberFormat="1" applyFont="1" applyFill="1" applyBorder="1" applyAlignment="1" applyProtection="1">
      <alignment horizontal="center" vertical="center"/>
    </xf>
    <xf numFmtId="0" fontId="165" fillId="0" borderId="7" xfId="0" applyFont="1" applyBorder="1" applyAlignment="1" applyProtection="1">
      <alignment horizontal="center" vertical="center" wrapText="1"/>
    </xf>
    <xf numFmtId="3" fontId="165" fillId="0" borderId="7" xfId="0" applyNumberFormat="1" applyFont="1" applyBorder="1" applyAlignment="1" applyProtection="1">
      <alignment horizontal="center" vertical="center"/>
    </xf>
    <xf numFmtId="0" fontId="166" fillId="0" borderId="7" xfId="0" applyFont="1" applyBorder="1" applyAlignment="1" applyProtection="1">
      <alignment horizontal="right" vertical="center"/>
    </xf>
    <xf numFmtId="3" fontId="166" fillId="0" borderId="7" xfId="0" applyNumberFormat="1" applyFont="1" applyBorder="1" applyAlignment="1" applyProtection="1">
      <alignment horizontal="center" vertical="center"/>
    </xf>
    <xf numFmtId="0" fontId="43" fillId="49" borderId="7" xfId="0" applyFont="1" applyFill="1" applyBorder="1" applyAlignment="1" applyProtection="1">
      <alignment horizontal="center" vertical="center"/>
    </xf>
    <xf numFmtId="3" fontId="166" fillId="0" borderId="7" xfId="0" applyNumberFormat="1" applyFont="1" applyBorder="1" applyAlignment="1" applyProtection="1">
      <alignment horizontal="right" vertical="center"/>
    </xf>
    <xf numFmtId="0" fontId="160" fillId="0" borderId="7" xfId="56" applyFont="1" applyBorder="1" applyAlignment="1" applyProtection="1">
      <alignment vertical="center" wrapText="1"/>
    </xf>
    <xf numFmtId="3" fontId="158" fillId="26" borderId="7" xfId="56" applyNumberFormat="1" applyFont="1" applyFill="1" applyBorder="1" applyAlignment="1" applyProtection="1">
      <alignment horizontal="center" vertical="center"/>
    </xf>
    <xf numFmtId="0" fontId="167" fillId="0" borderId="7" xfId="0" applyFont="1" applyBorder="1" applyAlignment="1" applyProtection="1">
      <alignment horizontal="center" vertical="center" wrapText="1"/>
    </xf>
    <xf numFmtId="0" fontId="167" fillId="0" borderId="7" xfId="0" applyFont="1" applyBorder="1" applyAlignment="1" applyProtection="1">
      <alignment horizontal="center" vertical="center"/>
    </xf>
    <xf numFmtId="176" fontId="167" fillId="0" borderId="7" xfId="0" applyNumberFormat="1" applyFont="1" applyBorder="1" applyAlignment="1" applyProtection="1">
      <alignment horizontal="center" vertical="center"/>
    </xf>
    <xf numFmtId="0" fontId="165" fillId="0" borderId="7" xfId="0" applyFont="1" applyBorder="1" applyAlignment="1" applyProtection="1">
      <alignment horizontal="center" vertical="center"/>
    </xf>
    <xf numFmtId="176" fontId="58" fillId="47" borderId="7" xfId="0" applyNumberFormat="1" applyFont="1" applyFill="1" applyBorder="1" applyAlignment="1" applyProtection="1">
      <alignment horizontal="center" vertical="center"/>
    </xf>
    <xf numFmtId="176" fontId="158" fillId="47" borderId="7" xfId="0" applyNumberFormat="1" applyFont="1" applyFill="1" applyBorder="1" applyAlignment="1" applyProtection="1">
      <alignment horizontal="center" vertical="center" wrapText="1"/>
    </xf>
    <xf numFmtId="0" fontId="158" fillId="47" borderId="7" xfId="0" applyFont="1" applyFill="1" applyBorder="1" applyAlignment="1" applyProtection="1">
      <alignment horizontal="center" vertical="center"/>
    </xf>
    <xf numFmtId="2" fontId="58" fillId="47" borderId="7" xfId="0" applyNumberFormat="1" applyFont="1" applyFill="1" applyBorder="1" applyAlignment="1" applyProtection="1">
      <alignment horizontal="center" vertical="center"/>
    </xf>
    <xf numFmtId="2" fontId="158" fillId="47" borderId="7" xfId="0" applyNumberFormat="1" applyFont="1" applyFill="1" applyBorder="1" applyAlignment="1" applyProtection="1">
      <alignment horizontal="center" vertical="center" wrapText="1"/>
    </xf>
    <xf numFmtId="3" fontId="171" fillId="0" borderId="7" xfId="0" applyNumberFormat="1" applyFont="1" applyBorder="1" applyAlignment="1" applyProtection="1">
      <alignment horizontal="center" vertical="center"/>
    </xf>
    <xf numFmtId="176" fontId="168" fillId="47" borderId="7" xfId="0" applyNumberFormat="1" applyFont="1" applyFill="1" applyBorder="1" applyAlignment="1" applyProtection="1">
      <alignment horizontal="center" vertical="center"/>
    </xf>
    <xf numFmtId="0" fontId="158" fillId="0" borderId="7" xfId="0" applyFont="1" applyBorder="1" applyAlignment="1" applyProtection="1">
      <alignment horizontal="center" vertical="center" wrapText="1"/>
    </xf>
    <xf numFmtId="0" fontId="58" fillId="0" borderId="7" xfId="56" applyFont="1" applyFill="1" applyBorder="1" applyAlignment="1" applyProtection="1">
      <alignment vertical="center" wrapText="1"/>
    </xf>
    <xf numFmtId="0" fontId="58" fillId="0" borderId="7" xfId="0" applyFont="1" applyBorder="1" applyAlignment="1" applyProtection="1">
      <alignment horizontal="center" vertical="center" wrapText="1"/>
    </xf>
    <xf numFmtId="0" fontId="166" fillId="0" borderId="7" xfId="0" applyFont="1" applyBorder="1" applyAlignment="1" applyProtection="1">
      <alignment horizontal="center" vertical="center" wrapText="1"/>
    </xf>
    <xf numFmtId="0" fontId="58" fillId="0" borderId="7" xfId="56" applyFont="1" applyBorder="1" applyAlignment="1" applyProtection="1">
      <alignment vertical="center" wrapText="1"/>
    </xf>
    <xf numFmtId="0" fontId="58" fillId="0" borderId="7" xfId="56" applyFont="1" applyBorder="1" applyAlignment="1" applyProtection="1">
      <alignment horizontal="justify" vertical="center"/>
    </xf>
    <xf numFmtId="3" fontId="58" fillId="26" borderId="7" xfId="56" applyNumberFormat="1" applyFont="1" applyFill="1" applyBorder="1" applyAlignment="1" applyProtection="1">
      <alignment horizontal="center" vertical="center" wrapText="1"/>
    </xf>
    <xf numFmtId="0" fontId="170" fillId="0" borderId="7" xfId="0" applyFont="1" applyBorder="1" applyAlignment="1" applyProtection="1">
      <alignment horizontal="right" vertical="center" wrapText="1"/>
    </xf>
    <xf numFmtId="172" fontId="170" fillId="0" borderId="7" xfId="1" applyNumberFormat="1" applyFont="1" applyBorder="1" applyAlignment="1" applyProtection="1">
      <alignment horizontal="right" vertical="center"/>
    </xf>
    <xf numFmtId="0" fontId="43" fillId="49" borderId="7" xfId="0" applyFont="1" applyFill="1" applyBorder="1" applyAlignment="1" applyProtection="1">
      <alignment horizontal="right" vertical="center"/>
    </xf>
    <xf numFmtId="172" fontId="170" fillId="0" borderId="7" xfId="0" applyNumberFormat="1" applyFont="1" applyBorder="1" applyAlignment="1" applyProtection="1">
      <alignment horizontal="right" vertical="center"/>
    </xf>
    <xf numFmtId="172" fontId="43" fillId="49" borderId="7" xfId="0" applyNumberFormat="1" applyFont="1" applyFill="1" applyBorder="1" applyAlignment="1" applyProtection="1">
      <alignment horizontal="right" vertical="center"/>
    </xf>
    <xf numFmtId="10" fontId="158" fillId="47" borderId="7" xfId="0" applyNumberFormat="1" applyFont="1" applyFill="1" applyBorder="1" applyAlignment="1" applyProtection="1">
      <alignment horizontal="center" vertical="center"/>
    </xf>
    <xf numFmtId="0" fontId="44" fillId="0" borderId="7" xfId="0" applyFont="1" applyBorder="1" applyAlignment="1" applyProtection="1">
      <alignment horizontal="center" vertical="center" wrapText="1"/>
    </xf>
    <xf numFmtId="0" fontId="158" fillId="47" borderId="62" xfId="0" applyFont="1" applyFill="1" applyBorder="1" applyAlignment="1" applyProtection="1">
      <alignment vertical="center"/>
    </xf>
    <xf numFmtId="0" fontId="58" fillId="47" borderId="23" xfId="0" applyFont="1" applyFill="1" applyBorder="1" applyAlignment="1" applyProtection="1">
      <alignment vertical="center" wrapText="1"/>
    </xf>
    <xf numFmtId="0" fontId="163" fillId="47" borderId="23" xfId="0" applyFont="1" applyFill="1" applyBorder="1" applyAlignment="1" applyProtection="1">
      <alignment horizontal="center" vertical="center"/>
    </xf>
    <xf numFmtId="2" fontId="58" fillId="47" borderId="23" xfId="0" applyNumberFormat="1" applyFont="1" applyFill="1" applyBorder="1" applyAlignment="1" applyProtection="1">
      <alignment horizontal="center" vertical="center"/>
    </xf>
    <xf numFmtId="2" fontId="158" fillId="47" borderId="23" xfId="0" applyNumberFormat="1" applyFont="1" applyFill="1" applyBorder="1" applyAlignment="1" applyProtection="1">
      <alignment horizontal="center" vertical="center" wrapText="1"/>
    </xf>
    <xf numFmtId="0" fontId="158" fillId="47" borderId="32" xfId="0" applyFont="1" applyFill="1" applyBorder="1" applyAlignment="1" applyProtection="1">
      <alignment horizontal="center" vertical="center"/>
    </xf>
    <xf numFmtId="0" fontId="58" fillId="37" borderId="7" xfId="0" applyFont="1" applyFill="1" applyBorder="1" applyAlignment="1" applyProtection="1">
      <alignment horizontal="center" vertical="center"/>
    </xf>
    <xf numFmtId="0" fontId="58" fillId="37" borderId="7" xfId="0" applyFont="1" applyFill="1" applyBorder="1" applyAlignment="1" applyProtection="1">
      <alignment horizontal="center" vertical="center" wrapText="1"/>
    </xf>
    <xf numFmtId="10" fontId="58" fillId="47" borderId="7" xfId="1" applyNumberFormat="1" applyFont="1" applyFill="1" applyBorder="1" applyAlignment="1" applyProtection="1">
      <alignment horizontal="center" vertical="center"/>
    </xf>
    <xf numFmtId="0" fontId="159" fillId="0" borderId="7" xfId="0" applyFont="1" applyBorder="1" applyAlignment="1" applyProtection="1">
      <alignment horizontal="center" vertical="center"/>
    </xf>
    <xf numFmtId="3" fontId="159" fillId="0" borderId="7" xfId="0" applyNumberFormat="1" applyFont="1" applyBorder="1" applyAlignment="1" applyProtection="1">
      <alignment horizontal="center" vertical="center"/>
    </xf>
    <xf numFmtId="0" fontId="159" fillId="0" borderId="7" xfId="0" applyFont="1" applyBorder="1" applyAlignment="1" applyProtection="1">
      <alignment horizontal="center" vertical="center" wrapText="1"/>
    </xf>
    <xf numFmtId="0" fontId="160" fillId="0" borderId="7" xfId="0" applyFont="1" applyBorder="1" applyAlignment="1" applyProtection="1">
      <alignment horizontal="center" vertical="center"/>
    </xf>
    <xf numFmtId="0" fontId="158" fillId="20" borderId="7" xfId="32" applyFont="1" applyFill="1" applyBorder="1" applyAlignment="1" applyProtection="1">
      <alignment horizontal="center" vertical="center" wrapText="1"/>
    </xf>
    <xf numFmtId="3" fontId="160" fillId="0" borderId="7" xfId="0" applyNumberFormat="1" applyFont="1" applyBorder="1" applyAlignment="1" applyProtection="1">
      <alignment horizontal="center" vertical="center"/>
    </xf>
    <xf numFmtId="0" fontId="172" fillId="0" borderId="7" xfId="0" applyFont="1" applyBorder="1" applyAlignment="1" applyProtection="1">
      <alignment horizontal="center" vertical="center" wrapText="1"/>
    </xf>
    <xf numFmtId="175" fontId="172" fillId="0" borderId="7" xfId="0" applyNumberFormat="1" applyFont="1" applyBorder="1" applyAlignment="1" applyProtection="1">
      <alignment horizontal="center" vertical="center"/>
    </xf>
    <xf numFmtId="0" fontId="159" fillId="0" borderId="0" xfId="0" applyFont="1" applyProtection="1"/>
    <xf numFmtId="0" fontId="0" fillId="0" borderId="0" xfId="0" applyAlignment="1" applyProtection="1">
      <alignment vertical="center" wrapText="1"/>
    </xf>
    <xf numFmtId="0" fontId="161" fillId="0" borderId="0" xfId="0" applyFont="1" applyAlignment="1" applyProtection="1">
      <alignment wrapText="1"/>
    </xf>
    <xf numFmtId="0" fontId="157" fillId="0" borderId="0" xfId="0" applyFont="1" applyAlignment="1" applyProtection="1">
      <alignment vertical="center"/>
    </xf>
    <xf numFmtId="0" fontId="160" fillId="37" borderId="7" xfId="32" applyFont="1" applyFill="1" applyBorder="1" applyAlignment="1" applyProtection="1">
      <alignment horizontal="center" vertical="center" wrapText="1"/>
    </xf>
    <xf numFmtId="3" fontId="163" fillId="26" borderId="7" xfId="0" applyNumberFormat="1" applyFont="1" applyFill="1" applyBorder="1" applyAlignment="1" applyProtection="1">
      <alignment horizontal="center" vertical="center" wrapText="1"/>
    </xf>
    <xf numFmtId="3" fontId="58" fillId="26" borderId="7" xfId="0" applyNumberFormat="1" applyFont="1" applyFill="1" applyBorder="1" applyAlignment="1" applyProtection="1">
      <alignment horizontal="center" vertical="center"/>
    </xf>
    <xf numFmtId="0" fontId="159" fillId="0" borderId="7" xfId="0" applyFont="1" applyBorder="1" applyAlignment="1" applyProtection="1">
      <alignment vertical="center"/>
    </xf>
    <xf numFmtId="172" fontId="160" fillId="0" borderId="62" xfId="0" applyNumberFormat="1" applyFont="1" applyBorder="1" applyAlignment="1" applyProtection="1">
      <alignment horizontal="center" vertical="center"/>
    </xf>
    <xf numFmtId="172" fontId="160" fillId="0" borderId="7" xfId="0" applyNumberFormat="1" applyFont="1" applyBorder="1" applyAlignment="1" applyProtection="1">
      <alignment horizontal="center" vertical="center"/>
    </xf>
    <xf numFmtId="0" fontId="50" fillId="0" borderId="7" xfId="0" applyFont="1" applyBorder="1" applyAlignment="1" applyProtection="1">
      <alignment vertical="center"/>
    </xf>
    <xf numFmtId="3" fontId="50" fillId="0" borderId="7" xfId="0" applyNumberFormat="1" applyFont="1" applyBorder="1" applyAlignment="1" applyProtection="1">
      <alignment horizontal="center" vertical="center"/>
    </xf>
    <xf numFmtId="3" fontId="162" fillId="26" borderId="7" xfId="0" applyNumberFormat="1" applyFont="1" applyFill="1" applyBorder="1" applyAlignment="1" applyProtection="1">
      <alignment horizontal="center" vertical="center" wrapText="1"/>
    </xf>
    <xf numFmtId="3" fontId="158" fillId="26" borderId="7" xfId="0" applyNumberFormat="1" applyFont="1" applyFill="1" applyBorder="1" applyAlignment="1" applyProtection="1">
      <alignment horizontal="center" vertical="center"/>
    </xf>
    <xf numFmtId="171" fontId="24" fillId="26" borderId="7" xfId="0" applyNumberFormat="1" applyFont="1" applyFill="1" applyBorder="1" applyAlignment="1" applyProtection="1">
      <alignment horizontal="center" vertical="center"/>
    </xf>
    <xf numFmtId="3" fontId="164" fillId="26" borderId="7" xfId="0" applyNumberFormat="1" applyFont="1" applyFill="1" applyBorder="1" applyAlignment="1" applyProtection="1">
      <alignment horizontal="center" vertical="center" wrapText="1"/>
    </xf>
    <xf numFmtId="3" fontId="39" fillId="26" borderId="113" xfId="0" applyNumberFormat="1" applyFont="1" applyFill="1" applyBorder="1" applyAlignment="1" applyProtection="1">
      <alignment horizontal="center" vertical="center"/>
    </xf>
    <xf numFmtId="172" fontId="39" fillId="26" borderId="7" xfId="0" applyNumberFormat="1" applyFont="1" applyFill="1" applyBorder="1" applyAlignment="1" applyProtection="1">
      <alignment horizontal="center" vertical="center"/>
    </xf>
    <xf numFmtId="172" fontId="39" fillId="26" borderId="7" xfId="0" applyNumberFormat="1" applyFont="1" applyFill="1" applyBorder="1" applyAlignment="1" applyProtection="1">
      <alignment horizontal="center" vertical="center" wrapText="1"/>
    </xf>
    <xf numFmtId="0" fontId="159" fillId="0" borderId="7" xfId="0" applyFont="1" applyBorder="1" applyAlignment="1" applyProtection="1">
      <alignment vertical="center" wrapText="1"/>
    </xf>
    <xf numFmtId="0" fontId="50" fillId="0" borderId="7" xfId="0" applyFont="1" applyFill="1" applyBorder="1" applyAlignment="1" applyProtection="1">
      <alignment vertical="center"/>
    </xf>
    <xf numFmtId="3" fontId="50" fillId="0" borderId="7" xfId="0" applyNumberFormat="1" applyFont="1" applyFill="1" applyBorder="1" applyAlignment="1" applyProtection="1">
      <alignment horizontal="center" vertical="center"/>
    </xf>
    <xf numFmtId="4" fontId="162" fillId="26" borderId="7" xfId="0" applyNumberFormat="1" applyFont="1" applyFill="1" applyBorder="1" applyAlignment="1" applyProtection="1">
      <alignment horizontal="center" vertical="center" wrapText="1"/>
    </xf>
    <xf numFmtId="4" fontId="158" fillId="26" borderId="7" xfId="0" applyNumberFormat="1" applyFont="1" applyFill="1" applyBorder="1" applyAlignment="1" applyProtection="1">
      <alignment horizontal="center" vertical="center"/>
    </xf>
    <xf numFmtId="0" fontId="48" fillId="0" borderId="7" xfId="0" applyFont="1" applyBorder="1" applyAlignment="1" applyProtection="1">
      <alignment horizontal="left" vertical="center"/>
    </xf>
    <xf numFmtId="0" fontId="48" fillId="0" borderId="7" xfId="0" applyFont="1" applyBorder="1" applyAlignment="1" applyProtection="1">
      <alignment horizontal="left" vertical="center" wrapText="1"/>
    </xf>
    <xf numFmtId="172" fontId="160" fillId="0" borderId="7" xfId="1" applyNumberFormat="1" applyFont="1" applyBorder="1" applyAlignment="1" applyProtection="1">
      <alignment horizontal="center" vertical="center"/>
    </xf>
    <xf numFmtId="2" fontId="15" fillId="26" borderId="7" xfId="0" applyNumberFormat="1" applyFont="1" applyFill="1" applyBorder="1" applyAlignment="1" applyProtection="1">
      <alignment horizontal="center" vertical="center"/>
    </xf>
    <xf numFmtId="4" fontId="163" fillId="26" borderId="7" xfId="0" applyNumberFormat="1" applyFont="1" applyFill="1" applyBorder="1" applyAlignment="1" applyProtection="1">
      <alignment horizontal="center" vertical="center" wrapText="1"/>
    </xf>
    <xf numFmtId="0" fontId="44" fillId="0" borderId="7" xfId="0" applyFont="1" applyFill="1" applyBorder="1" applyAlignment="1" applyProtection="1">
      <alignment horizontal="right" vertical="center"/>
    </xf>
    <xf numFmtId="176" fontId="15" fillId="26" borderId="7" xfId="0" applyNumberFormat="1" applyFont="1" applyFill="1" applyBorder="1" applyAlignment="1" applyProtection="1">
      <alignment horizontal="center" vertical="center"/>
    </xf>
    <xf numFmtId="0" fontId="159" fillId="0" borderId="0" xfId="0" applyFont="1" applyBorder="1" applyAlignment="1" applyProtection="1">
      <alignment vertical="center" wrapText="1"/>
    </xf>
    <xf numFmtId="3" fontId="159" fillId="0" borderId="0" xfId="0" applyNumberFormat="1" applyFont="1" applyBorder="1" applyAlignment="1" applyProtection="1">
      <alignment horizontal="center" vertical="center"/>
    </xf>
    <xf numFmtId="172" fontId="160" fillId="0" borderId="0" xfId="1" applyNumberFormat="1" applyFont="1" applyBorder="1" applyAlignment="1" applyProtection="1">
      <alignment horizontal="center" vertical="center"/>
    </xf>
    <xf numFmtId="172" fontId="160" fillId="0" borderId="0" xfId="0" applyNumberFormat="1" applyFont="1" applyBorder="1" applyAlignment="1" applyProtection="1">
      <alignment horizontal="center" vertical="center"/>
    </xf>
    <xf numFmtId="0" fontId="48" fillId="0" borderId="7" xfId="0" applyFont="1" applyFill="1" applyBorder="1" applyAlignment="1" applyProtection="1">
      <alignment horizontal="right" vertical="center"/>
    </xf>
    <xf numFmtId="0" fontId="159" fillId="22" borderId="7" xfId="0" applyFont="1" applyFill="1" applyBorder="1" applyAlignment="1" applyProtection="1">
      <alignment vertical="center" wrapText="1"/>
    </xf>
    <xf numFmtId="0" fontId="159" fillId="22" borderId="7" xfId="32" applyFont="1" applyFill="1" applyBorder="1" applyAlignment="1" applyProtection="1">
      <alignment horizontal="center" vertical="center" wrapText="1"/>
    </xf>
    <xf numFmtId="3" fontId="159" fillId="0" borderId="7" xfId="0" applyNumberFormat="1" applyFont="1" applyBorder="1" applyAlignment="1" applyProtection="1">
      <alignment vertical="center"/>
    </xf>
    <xf numFmtId="172" fontId="159" fillId="0" borderId="7" xfId="1" applyNumberFormat="1" applyFont="1" applyBorder="1" applyAlignment="1" applyProtection="1">
      <alignment horizontal="center" vertical="center"/>
    </xf>
    <xf numFmtId="172" fontId="158" fillId="0" borderId="7" xfId="1" applyNumberFormat="1" applyFont="1" applyBorder="1" applyAlignment="1" applyProtection="1">
      <alignment horizontal="center" vertical="center"/>
    </xf>
    <xf numFmtId="172" fontId="39" fillId="26" borderId="7" xfId="1" applyNumberFormat="1" applyFont="1" applyFill="1" applyBorder="1" applyAlignment="1" applyProtection="1">
      <alignment horizontal="center" vertical="center"/>
    </xf>
    <xf numFmtId="3" fontId="159" fillId="0" borderId="7" xfId="0" applyNumberFormat="1" applyFont="1" applyBorder="1" applyAlignment="1" applyProtection="1">
      <alignment vertical="center" wrapText="1"/>
    </xf>
    <xf numFmtId="0" fontId="15" fillId="0" borderId="0" xfId="0" applyFont="1" applyBorder="1" applyAlignment="1" applyProtection="1">
      <alignment horizontal="left" vertical="center"/>
    </xf>
    <xf numFmtId="3" fontId="15" fillId="26" borderId="0" xfId="32" applyNumberFormat="1" applyFont="1" applyFill="1" applyBorder="1" applyAlignment="1" applyProtection="1">
      <alignment horizontal="center" vertical="center"/>
    </xf>
    <xf numFmtId="0" fontId="15" fillId="0" borderId="7" xfId="0" applyFont="1" applyBorder="1" applyAlignment="1" applyProtection="1">
      <alignment horizontal="left" vertical="center"/>
    </xf>
    <xf numFmtId="0" fontId="24" fillId="0" borderId="0" xfId="0" applyFont="1" applyBorder="1" applyAlignment="1" applyProtection="1">
      <alignment horizontal="left" vertical="center"/>
    </xf>
    <xf numFmtId="0" fontId="165" fillId="37" borderId="7" xfId="0" applyFont="1" applyFill="1" applyBorder="1" applyAlignment="1" applyProtection="1">
      <alignment horizontal="center" vertical="center" wrapText="1"/>
    </xf>
    <xf numFmtId="0" fontId="166" fillId="0" borderId="7" xfId="0" applyFont="1" applyBorder="1" applyAlignment="1" applyProtection="1">
      <alignment vertical="center"/>
    </xf>
    <xf numFmtId="0" fontId="157" fillId="0" borderId="0" xfId="0" applyFont="1" applyAlignment="1" applyProtection="1">
      <alignment horizontal="center" vertical="center"/>
    </xf>
    <xf numFmtId="0" fontId="24" fillId="0" borderId="0" xfId="0" applyFont="1" applyProtection="1"/>
    <xf numFmtId="0" fontId="155" fillId="0" borderId="0" xfId="0" applyFont="1" applyAlignment="1" applyProtection="1">
      <alignment horizontal="right"/>
    </xf>
    <xf numFmtId="0" fontId="177" fillId="0" borderId="0" xfId="0" applyFont="1" applyAlignment="1" applyProtection="1">
      <alignment vertical="center"/>
    </xf>
    <xf numFmtId="0" fontId="165" fillId="37" borderId="7" xfId="0" applyFont="1" applyFill="1" applyBorder="1" applyAlignment="1" applyProtection="1">
      <alignment horizontal="left" vertical="center" wrapText="1"/>
    </xf>
    <xf numFmtId="0" fontId="160" fillId="37" borderId="7" xfId="0" applyFont="1" applyFill="1" applyBorder="1" applyAlignment="1" applyProtection="1">
      <alignment horizontal="center" vertical="center"/>
    </xf>
    <xf numFmtId="0" fontId="158" fillId="37" borderId="7" xfId="32" applyFont="1" applyFill="1" applyBorder="1" applyAlignment="1" applyProtection="1">
      <alignment vertical="center" wrapText="1"/>
    </xf>
    <xf numFmtId="0" fontId="159" fillId="47" borderId="7" xfId="0" applyFont="1" applyFill="1" applyBorder="1" applyAlignment="1" applyProtection="1">
      <alignment horizontal="left" vertical="center" wrapText="1"/>
    </xf>
    <xf numFmtId="3" fontId="159" fillId="47" borderId="7" xfId="0" applyNumberFormat="1" applyFont="1" applyFill="1" applyBorder="1" applyAlignment="1" applyProtection="1">
      <alignment horizontal="center" vertical="center" wrapText="1"/>
    </xf>
    <xf numFmtId="0" fontId="158" fillId="26" borderId="7" xfId="32" applyFont="1" applyFill="1" applyBorder="1" applyAlignment="1" applyProtection="1"/>
    <xf numFmtId="3" fontId="158" fillId="26" borderId="7" xfId="32" applyNumberFormat="1" applyFont="1" applyFill="1" applyBorder="1" applyAlignment="1" applyProtection="1">
      <alignment horizontal="center" vertical="center"/>
    </xf>
    <xf numFmtId="3" fontId="159" fillId="0" borderId="31" xfId="0" applyNumberFormat="1" applyFont="1" applyBorder="1" applyAlignment="1" applyProtection="1">
      <alignment horizontal="left" vertical="center"/>
    </xf>
    <xf numFmtId="3" fontId="159" fillId="0" borderId="31" xfId="0" applyNumberFormat="1" applyFont="1" applyBorder="1" applyAlignment="1" applyProtection="1">
      <alignment horizontal="center" vertical="center"/>
    </xf>
    <xf numFmtId="167" fontId="108" fillId="20" borderId="7" xfId="32" applyNumberFormat="1" applyFont="1" applyFill="1" applyBorder="1" applyAlignment="1" applyProtection="1">
      <alignment horizontal="center" vertical="center"/>
    </xf>
    <xf numFmtId="0" fontId="44" fillId="0" borderId="7" xfId="0" applyFont="1" applyBorder="1" applyAlignment="1" applyProtection="1">
      <alignment vertical="center"/>
    </xf>
    <xf numFmtId="0" fontId="160" fillId="0" borderId="7" xfId="0" applyFont="1" applyBorder="1" applyAlignment="1" applyProtection="1">
      <alignment vertical="center"/>
    </xf>
    <xf numFmtId="3" fontId="159" fillId="0" borderId="7" xfId="0" applyNumberFormat="1" applyFont="1" applyBorder="1" applyAlignment="1" applyProtection="1">
      <alignment horizontal="left" vertical="center"/>
    </xf>
    <xf numFmtId="0" fontId="158" fillId="22" borderId="7" xfId="32" applyFont="1" applyFill="1" applyBorder="1" applyAlignment="1" applyProtection="1"/>
    <xf numFmtId="3" fontId="158" fillId="22" borderId="7" xfId="32" applyNumberFormat="1" applyFont="1" applyFill="1" applyBorder="1" applyAlignment="1" applyProtection="1">
      <alignment horizontal="center" vertical="center"/>
    </xf>
    <xf numFmtId="167" fontId="108" fillId="0" borderId="7" xfId="32" applyNumberFormat="1" applyFont="1" applyFill="1" applyBorder="1" applyAlignment="1" applyProtection="1">
      <alignment horizontal="center" vertical="center"/>
    </xf>
    <xf numFmtId="0" fontId="172" fillId="0" borderId="7" xfId="0" applyFont="1" applyBorder="1" applyAlignment="1" applyProtection="1">
      <alignment vertical="center"/>
    </xf>
    <xf numFmtId="3" fontId="172" fillId="0" borderId="7" xfId="0" applyNumberFormat="1" applyFont="1" applyBorder="1" applyAlignment="1" applyProtection="1">
      <alignment horizontal="center" vertical="center"/>
    </xf>
    <xf numFmtId="0" fontId="165" fillId="47" borderId="7" xfId="0" applyFont="1" applyFill="1" applyBorder="1" applyAlignment="1" applyProtection="1">
      <alignment horizontal="left" vertical="center" wrapText="1"/>
    </xf>
    <xf numFmtId="3" fontId="165" fillId="47" borderId="7" xfId="0" applyNumberFormat="1" applyFont="1" applyFill="1" applyBorder="1" applyAlignment="1" applyProtection="1">
      <alignment horizontal="center" vertical="center" wrapText="1"/>
    </xf>
    <xf numFmtId="0" fontId="159" fillId="0" borderId="0" xfId="0" applyFont="1" applyAlignment="1" applyProtection="1">
      <alignment vertical="center"/>
    </xf>
    <xf numFmtId="3" fontId="172" fillId="0" borderId="7" xfId="0" applyNumberFormat="1" applyFont="1" applyBorder="1" applyAlignment="1" applyProtection="1">
      <alignment horizontal="right" vertical="center" wrapText="1"/>
    </xf>
    <xf numFmtId="0" fontId="159" fillId="0" borderId="0" xfId="0" applyFont="1" applyAlignment="1" applyProtection="1">
      <alignment horizontal="center" vertical="center"/>
    </xf>
    <xf numFmtId="0" fontId="165" fillId="37" borderId="63" xfId="0" applyFont="1" applyFill="1" applyBorder="1" applyAlignment="1" applyProtection="1">
      <alignment horizontal="center" vertical="center" wrapText="1"/>
    </xf>
    <xf numFmtId="0" fontId="160" fillId="37" borderId="7" xfId="0" applyFont="1" applyFill="1" applyBorder="1" applyAlignment="1" applyProtection="1">
      <alignment horizontal="center" vertical="center" wrapText="1"/>
    </xf>
    <xf numFmtId="0" fontId="43" fillId="27" borderId="7" xfId="32" applyFont="1" applyFill="1" applyBorder="1" applyAlignment="1" applyProtection="1">
      <alignment vertical="center" wrapText="1"/>
    </xf>
    <xf numFmtId="0" fontId="172" fillId="0" borderId="7" xfId="0" applyFont="1" applyBorder="1" applyAlignment="1" applyProtection="1">
      <alignment horizontal="right" vertical="center"/>
    </xf>
    <xf numFmtId="3" fontId="172" fillId="0" borderId="7" xfId="0" applyNumberFormat="1" applyFont="1" applyBorder="1" applyAlignment="1" applyProtection="1">
      <alignment horizontal="right" vertical="center"/>
    </xf>
    <xf numFmtId="172" fontId="172" fillId="0" borderId="7" xfId="1" applyNumberFormat="1" applyFont="1" applyBorder="1" applyAlignment="1" applyProtection="1">
      <alignment horizontal="center" vertical="center"/>
    </xf>
    <xf numFmtId="3" fontId="158" fillId="26" borderId="0" xfId="32" applyNumberFormat="1" applyFont="1" applyFill="1" applyBorder="1" applyAlignment="1" applyProtection="1">
      <alignment horizontal="center"/>
    </xf>
    <xf numFmtId="0" fontId="160" fillId="0" borderId="7" xfId="0" applyFont="1" applyBorder="1" applyProtection="1"/>
    <xf numFmtId="10" fontId="160" fillId="0" borderId="7" xfId="0" applyNumberFormat="1" applyFont="1" applyBorder="1" applyAlignment="1" applyProtection="1">
      <alignment horizontal="center" vertical="center"/>
    </xf>
    <xf numFmtId="3" fontId="160" fillId="22" borderId="7" xfId="0" applyNumberFormat="1" applyFont="1" applyFill="1" applyBorder="1" applyAlignment="1" applyProtection="1">
      <alignment horizontal="left" vertical="center"/>
    </xf>
    <xf numFmtId="3" fontId="160" fillId="22" borderId="7" xfId="0" applyNumberFormat="1" applyFont="1" applyFill="1" applyBorder="1" applyAlignment="1" applyProtection="1">
      <alignment horizontal="center" vertical="center"/>
    </xf>
    <xf numFmtId="172" fontId="160" fillId="22" borderId="7" xfId="0" applyNumberFormat="1" applyFont="1" applyFill="1" applyBorder="1" applyAlignment="1" applyProtection="1">
      <alignment horizontal="center" vertical="center"/>
    </xf>
    <xf numFmtId="0" fontId="70" fillId="0" borderId="0" xfId="0" applyFont="1" applyBorder="1" applyProtection="1"/>
    <xf numFmtId="0" fontId="160" fillId="0" borderId="0" xfId="0" applyFont="1" applyBorder="1" applyAlignment="1" applyProtection="1">
      <alignment horizontal="center"/>
    </xf>
    <xf numFmtId="10" fontId="160" fillId="0" borderId="0" xfId="0" applyNumberFormat="1" applyFont="1" applyBorder="1" applyProtection="1"/>
    <xf numFmtId="3" fontId="159" fillId="0" borderId="7" xfId="0" applyNumberFormat="1" applyFont="1" applyBorder="1" applyAlignment="1" applyProtection="1">
      <alignment horizontal="right" vertical="center"/>
    </xf>
    <xf numFmtId="3" fontId="159" fillId="0" borderId="113" xfId="0" applyNumberFormat="1" applyFont="1" applyBorder="1" applyAlignment="1" applyProtection="1">
      <alignment horizontal="center" vertical="center"/>
    </xf>
    <xf numFmtId="0" fontId="159" fillId="26" borderId="7" xfId="0" applyFont="1" applyFill="1" applyBorder="1" applyAlignment="1" applyProtection="1">
      <alignment vertical="center"/>
    </xf>
    <xf numFmtId="3" fontId="159" fillId="26" borderId="7" xfId="0" applyNumberFormat="1" applyFont="1" applyFill="1" applyBorder="1" applyAlignment="1" applyProtection="1">
      <alignment horizontal="center" vertical="center"/>
    </xf>
    <xf numFmtId="3" fontId="108" fillId="0" borderId="7" xfId="32" applyNumberFormat="1" applyFont="1" applyFill="1" applyBorder="1" applyAlignment="1" applyProtection="1">
      <alignment horizontal="center" vertical="center" wrapText="1"/>
    </xf>
    <xf numFmtId="3" fontId="170" fillId="47" borderId="7" xfId="0" applyNumberFormat="1" applyFont="1" applyFill="1" applyBorder="1" applyAlignment="1" applyProtection="1">
      <alignment horizontal="right" vertical="center" wrapText="1"/>
    </xf>
    <xf numFmtId="172" fontId="175" fillId="0" borderId="7" xfId="1" applyNumberFormat="1" applyFont="1" applyBorder="1" applyAlignment="1" applyProtection="1">
      <alignment horizontal="center" vertical="center"/>
    </xf>
    <xf numFmtId="0" fontId="176" fillId="0" borderId="0" xfId="0" applyFont="1" applyAlignment="1" applyProtection="1">
      <alignment horizontal="right" vertical="center"/>
    </xf>
    <xf numFmtId="0" fontId="159" fillId="0" borderId="0" xfId="0" applyFont="1" applyAlignment="1" applyProtection="1">
      <alignment vertical="center" wrapText="1"/>
    </xf>
    <xf numFmtId="172" fontId="159" fillId="0" borderId="7" xfId="0" applyNumberFormat="1" applyFont="1" applyBorder="1" applyAlignment="1" applyProtection="1">
      <alignment horizontal="center" vertical="center"/>
    </xf>
    <xf numFmtId="3" fontId="158" fillId="38" borderId="7" xfId="21" applyNumberFormat="1" applyFont="1" applyFill="1" applyBorder="1" applyAlignment="1" applyProtection="1">
      <alignment horizontal="center" vertical="center" wrapText="1"/>
    </xf>
    <xf numFmtId="172" fontId="172" fillId="0" borderId="7" xfId="0" applyNumberFormat="1" applyFont="1" applyBorder="1" applyAlignment="1" applyProtection="1">
      <alignment horizontal="center" vertical="center"/>
    </xf>
    <xf numFmtId="0" fontId="43" fillId="22" borderId="7" xfId="32" applyFont="1" applyFill="1" applyBorder="1" applyAlignment="1" applyProtection="1">
      <alignment vertical="center" wrapText="1"/>
    </xf>
    <xf numFmtId="0" fontId="158" fillId="0" borderId="7" xfId="0" applyFont="1" applyBorder="1" applyAlignment="1" applyProtection="1">
      <alignment vertical="center" wrapText="1"/>
    </xf>
    <xf numFmtId="3" fontId="175" fillId="0" borderId="7" xfId="0" applyNumberFormat="1" applyFont="1" applyBorder="1" applyAlignment="1" applyProtection="1">
      <alignment horizontal="center" vertical="center"/>
    </xf>
    <xf numFmtId="10" fontId="158" fillId="0" borderId="7" xfId="0" applyNumberFormat="1" applyFont="1" applyBorder="1" applyAlignment="1" applyProtection="1">
      <alignment horizontal="center" vertical="center"/>
    </xf>
    <xf numFmtId="0" fontId="158" fillId="22" borderId="7" xfId="0" applyFont="1" applyFill="1" applyBorder="1" applyAlignment="1" applyProtection="1">
      <alignment vertical="center" wrapText="1"/>
    </xf>
    <xf numFmtId="0" fontId="158" fillId="22" borderId="7" xfId="0" applyFont="1" applyFill="1" applyBorder="1" applyAlignment="1" applyProtection="1">
      <alignment horizontal="center" vertical="center" wrapText="1"/>
    </xf>
    <xf numFmtId="10" fontId="158" fillId="22" borderId="7" xfId="0" applyNumberFormat="1" applyFont="1" applyFill="1" applyBorder="1" applyAlignment="1" applyProtection="1">
      <alignment horizontal="center" vertical="center"/>
    </xf>
    <xf numFmtId="3" fontId="160" fillId="0" borderId="7" xfId="0" applyNumberFormat="1" applyFont="1" applyBorder="1" applyAlignment="1" applyProtection="1">
      <alignment horizontal="center"/>
    </xf>
    <xf numFmtId="0" fontId="58" fillId="0" borderId="7" xfId="0" applyFont="1" applyBorder="1" applyAlignment="1" applyProtection="1">
      <alignment vertical="center" wrapText="1"/>
    </xf>
    <xf numFmtId="3" fontId="58" fillId="0" borderId="7" xfId="0" applyNumberFormat="1" applyFont="1" applyBorder="1" applyAlignment="1" applyProtection="1">
      <alignment horizontal="center" vertical="center"/>
    </xf>
    <xf numFmtId="0" fontId="160" fillId="22" borderId="7" xfId="0" applyFont="1" applyFill="1" applyBorder="1" applyAlignment="1" applyProtection="1">
      <alignment vertical="center"/>
    </xf>
    <xf numFmtId="0" fontId="160" fillId="22" borderId="7" xfId="0" applyFont="1" applyFill="1" applyBorder="1" applyAlignment="1" applyProtection="1">
      <alignment horizontal="center" vertical="center"/>
    </xf>
    <xf numFmtId="0" fontId="159" fillId="26" borderId="7" xfId="0" applyFont="1" applyFill="1" applyBorder="1" applyAlignment="1" applyProtection="1">
      <alignment vertical="center" wrapText="1"/>
    </xf>
    <xf numFmtId="3" fontId="160" fillId="26" borderId="7" xfId="0" applyNumberFormat="1" applyFont="1" applyFill="1" applyBorder="1" applyAlignment="1" applyProtection="1">
      <alignment horizontal="center" vertical="center"/>
    </xf>
    <xf numFmtId="172" fontId="160" fillId="26" borderId="7" xfId="0" applyNumberFormat="1" applyFont="1" applyFill="1" applyBorder="1" applyAlignment="1" applyProtection="1">
      <alignment horizontal="center" vertical="center"/>
    </xf>
    <xf numFmtId="0" fontId="160" fillId="37" borderId="7" xfId="0" applyFont="1" applyFill="1" applyBorder="1" applyAlignment="1" applyProtection="1">
      <alignment vertical="center"/>
    </xf>
    <xf numFmtId="3" fontId="160" fillId="37" borderId="7" xfId="0" applyNumberFormat="1" applyFont="1" applyFill="1" applyBorder="1" applyAlignment="1" applyProtection="1">
      <alignment horizontal="center" vertical="center"/>
    </xf>
    <xf numFmtId="172" fontId="160" fillId="37" borderId="7" xfId="0" applyNumberFormat="1" applyFont="1" applyFill="1" applyBorder="1" applyAlignment="1" applyProtection="1">
      <alignment horizontal="center" vertical="center"/>
    </xf>
    <xf numFmtId="177" fontId="159" fillId="0" borderId="7" xfId="0" applyNumberFormat="1" applyFont="1" applyBorder="1" applyAlignment="1" applyProtection="1">
      <alignment horizontal="center" vertical="center"/>
    </xf>
    <xf numFmtId="0" fontId="46" fillId="27" borderId="7" xfId="0" applyFont="1" applyFill="1" applyBorder="1" applyAlignment="1" applyProtection="1">
      <alignment horizontal="center" vertical="center"/>
    </xf>
    <xf numFmtId="2" fontId="46" fillId="27" borderId="7" xfId="0" applyNumberFormat="1" applyFont="1" applyFill="1" applyBorder="1" applyAlignment="1" applyProtection="1">
      <alignment horizontal="center" vertical="center"/>
    </xf>
    <xf numFmtId="0" fontId="46" fillId="27" borderId="62" xfId="0" applyFont="1" applyFill="1" applyBorder="1" applyAlignment="1" applyProtection="1">
      <alignment horizontal="right"/>
    </xf>
    <xf numFmtId="0" fontId="45" fillId="27" borderId="7" xfId="0" applyFont="1" applyFill="1" applyBorder="1" applyAlignment="1" applyProtection="1">
      <alignment horizontal="center" vertical="center" wrapText="1"/>
    </xf>
    <xf numFmtId="0" fontId="45" fillId="27" borderId="7" xfId="0" applyFont="1" applyFill="1" applyBorder="1" applyAlignment="1" applyProtection="1">
      <alignment horizontal="left" vertical="center" wrapText="1" indent="1"/>
    </xf>
    <xf numFmtId="3" fontId="15" fillId="3" borderId="73" xfId="32" applyNumberFormat="1" applyFont="1" applyFill="1" applyBorder="1" applyAlignment="1" applyProtection="1">
      <alignment horizontal="center" vertical="center"/>
      <protection locked="0"/>
    </xf>
    <xf numFmtId="3" fontId="15" fillId="3" borderId="77" xfId="32" applyNumberFormat="1" applyFont="1" applyFill="1" applyBorder="1" applyAlignment="1" applyProtection="1">
      <alignment horizontal="center" vertical="center"/>
      <protection locked="0"/>
    </xf>
    <xf numFmtId="4" fontId="15" fillId="26" borderId="72" xfId="32" applyNumberFormat="1" applyFont="1" applyFill="1" applyBorder="1" applyAlignment="1" applyProtection="1">
      <alignment horizontal="center" vertical="center"/>
    </xf>
    <xf numFmtId="4" fontId="15" fillId="26" borderId="32" xfId="32" applyNumberFormat="1" applyFont="1" applyFill="1" applyBorder="1" applyAlignment="1" applyProtection="1">
      <alignment horizontal="center" vertical="center"/>
    </xf>
    <xf numFmtId="4" fontId="15" fillId="26" borderId="79" xfId="32" applyNumberFormat="1" applyFont="1" applyFill="1" applyBorder="1" applyAlignment="1" applyProtection="1">
      <alignment horizontal="center" vertical="center"/>
    </xf>
    <xf numFmtId="0" fontId="44" fillId="0" borderId="51" xfId="0" applyFont="1" applyBorder="1" applyAlignment="1" applyProtection="1">
      <alignment horizontal="center"/>
    </xf>
    <xf numFmtId="0" fontId="44" fillId="0" borderId="17" xfId="0" applyFont="1" applyBorder="1" applyAlignment="1" applyProtection="1">
      <alignment horizontal="center"/>
    </xf>
    <xf numFmtId="0" fontId="44" fillId="0" borderId="21" xfId="0" applyFont="1" applyBorder="1" applyAlignment="1" applyProtection="1">
      <alignment horizontal="center"/>
    </xf>
    <xf numFmtId="170" fontId="50" fillId="37" borderId="79" xfId="0" applyNumberFormat="1" applyFont="1" applyFill="1" applyBorder="1" applyAlignment="1" applyProtection="1">
      <alignment horizontal="center" vertical="center" wrapText="1"/>
    </xf>
    <xf numFmtId="3" fontId="15" fillId="3" borderId="72" xfId="32" applyNumberFormat="1" applyFont="1" applyFill="1" applyBorder="1" applyAlignment="1" applyProtection="1">
      <alignment horizontal="center" vertical="center"/>
      <protection locked="0"/>
    </xf>
    <xf numFmtId="3" fontId="15" fillId="3" borderId="79" xfId="32" applyNumberFormat="1" applyFont="1" applyFill="1" applyBorder="1" applyAlignment="1" applyProtection="1">
      <alignment horizontal="center" vertical="center"/>
      <protection locked="0"/>
    </xf>
    <xf numFmtId="0" fontId="160" fillId="37" borderId="7" xfId="32" applyFont="1" applyFill="1" applyBorder="1" applyAlignment="1" applyProtection="1">
      <alignment horizontal="center" vertical="center" wrapText="1"/>
    </xf>
    <xf numFmtId="0" fontId="50" fillId="0" borderId="52" xfId="0" applyNumberFormat="1" applyFont="1" applyBorder="1" applyAlignment="1" applyProtection="1">
      <alignment horizontal="center" vertical="center" wrapText="1"/>
    </xf>
    <xf numFmtId="0" fontId="50" fillId="0" borderId="56" xfId="0" applyNumberFormat="1" applyFont="1" applyBorder="1" applyAlignment="1" applyProtection="1">
      <alignment horizontal="center" vertical="center" wrapText="1"/>
    </xf>
    <xf numFmtId="0" fontId="165" fillId="0" borderId="7" xfId="0" applyFont="1" applyBorder="1" applyAlignment="1" applyProtection="1">
      <alignment horizontal="right" vertical="center"/>
    </xf>
    <xf numFmtId="9" fontId="43" fillId="27" borderId="51" xfId="1" applyFont="1" applyFill="1" applyBorder="1" applyAlignment="1" applyProtection="1">
      <alignment horizontal="center" vertical="center"/>
    </xf>
    <xf numFmtId="9" fontId="44" fillId="27" borderId="5" xfId="1" applyFont="1" applyFill="1" applyBorder="1" applyAlignment="1" applyProtection="1">
      <alignment horizontal="center" vertical="center"/>
    </xf>
    <xf numFmtId="9" fontId="44" fillId="26" borderId="5" xfId="1" applyFont="1" applyFill="1" applyBorder="1" applyAlignment="1" applyProtection="1">
      <alignment horizontal="center" vertical="center"/>
    </xf>
    <xf numFmtId="9" fontId="43" fillId="26" borderId="17" xfId="1" applyFont="1" applyFill="1" applyBorder="1" applyAlignment="1" applyProtection="1">
      <alignment horizontal="center" vertical="center"/>
    </xf>
    <xf numFmtId="9" fontId="44" fillId="26" borderId="17" xfId="1" applyFont="1" applyFill="1" applyBorder="1" applyAlignment="1" applyProtection="1">
      <alignment horizontal="center" vertical="center"/>
    </xf>
    <xf numFmtId="9" fontId="45" fillId="26" borderId="17" xfId="1" applyFont="1" applyFill="1" applyBorder="1" applyAlignment="1" applyProtection="1">
      <alignment horizontal="center" vertical="center"/>
    </xf>
    <xf numFmtId="9" fontId="15" fillId="26" borderId="17" xfId="1" applyFont="1" applyFill="1" applyBorder="1" applyAlignment="1" applyProtection="1">
      <alignment horizontal="center" vertical="center"/>
    </xf>
    <xf numFmtId="9" fontId="44" fillId="26" borderId="24" xfId="1" applyFont="1" applyFill="1" applyBorder="1" applyAlignment="1" applyProtection="1">
      <alignment horizontal="center" vertical="center"/>
    </xf>
    <xf numFmtId="9" fontId="43" fillId="26" borderId="24" xfId="1" applyFont="1" applyFill="1" applyBorder="1" applyAlignment="1" applyProtection="1">
      <alignment horizontal="center" vertical="center"/>
    </xf>
    <xf numFmtId="9" fontId="15" fillId="26" borderId="24" xfId="1" applyFont="1" applyFill="1" applyBorder="1" applyAlignment="1" applyProtection="1">
      <alignment horizontal="center" vertical="center"/>
    </xf>
    <xf numFmtId="9" fontId="43" fillId="27" borderId="30" xfId="1" applyFont="1" applyFill="1" applyBorder="1" applyAlignment="1" applyProtection="1">
      <alignment horizontal="center" vertical="center"/>
    </xf>
    <xf numFmtId="9" fontId="43" fillId="24" borderId="1" xfId="1" applyFont="1" applyFill="1" applyBorder="1" applyAlignment="1" applyProtection="1">
      <alignment horizontal="left" vertical="center"/>
    </xf>
    <xf numFmtId="9" fontId="43" fillId="27" borderId="5" xfId="1" applyFont="1" applyFill="1" applyBorder="1" applyAlignment="1" applyProtection="1">
      <alignment horizontal="center" vertical="center"/>
    </xf>
    <xf numFmtId="9" fontId="43" fillId="27" borderId="17" xfId="1" applyFont="1" applyFill="1" applyBorder="1" applyAlignment="1" applyProtection="1">
      <alignment horizontal="center" vertical="center"/>
    </xf>
    <xf numFmtId="9" fontId="44" fillId="27" borderId="17" xfId="1" applyFont="1" applyFill="1" applyBorder="1" applyAlignment="1" applyProtection="1">
      <alignment horizontal="center" vertical="center"/>
    </xf>
    <xf numFmtId="9" fontId="45" fillId="27" borderId="17" xfId="1" applyFont="1" applyFill="1" applyBorder="1" applyAlignment="1" applyProtection="1">
      <alignment horizontal="center" vertical="center"/>
    </xf>
    <xf numFmtId="9" fontId="43" fillId="26" borderId="30" xfId="1" applyFont="1" applyFill="1" applyBorder="1" applyAlignment="1" applyProtection="1">
      <alignment horizontal="center" vertical="center"/>
    </xf>
    <xf numFmtId="1" fontId="43" fillId="27" borderId="51" xfId="49" applyNumberFormat="1" applyFont="1" applyFill="1" applyBorder="1" applyAlignment="1" applyProtection="1">
      <alignment horizontal="center" vertical="center"/>
    </xf>
    <xf numFmtId="1" fontId="44" fillId="27" borderId="5" xfId="49" applyNumberFormat="1" applyFont="1" applyFill="1" applyBorder="1" applyAlignment="1" applyProtection="1">
      <alignment horizontal="center" vertical="center"/>
    </xf>
    <xf numFmtId="1" fontId="44" fillId="26" borderId="5" xfId="49" applyNumberFormat="1" applyFont="1" applyFill="1" applyBorder="1" applyAlignment="1" applyProtection="1">
      <alignment horizontal="center" vertical="center"/>
    </xf>
    <xf numFmtId="1" fontId="43" fillId="26" borderId="17" xfId="49" applyNumberFormat="1" applyFont="1" applyFill="1" applyBorder="1" applyAlignment="1" applyProtection="1">
      <alignment horizontal="center" vertical="center"/>
    </xf>
    <xf numFmtId="1" fontId="44" fillId="26" borderId="17" xfId="49" applyNumberFormat="1" applyFont="1" applyFill="1" applyBorder="1" applyAlignment="1" applyProtection="1">
      <alignment horizontal="center" vertical="center"/>
    </xf>
    <xf numFmtId="1" fontId="45" fillId="26" borderId="17" xfId="49" applyNumberFormat="1" applyFont="1" applyFill="1" applyBorder="1" applyAlignment="1" applyProtection="1">
      <alignment horizontal="center" vertical="center"/>
    </xf>
    <xf numFmtId="1" fontId="15" fillId="26" borderId="17" xfId="49" applyNumberFormat="1" applyFont="1" applyFill="1" applyBorder="1" applyAlignment="1" applyProtection="1">
      <alignment horizontal="center" vertical="center"/>
    </xf>
    <xf numFmtId="1" fontId="44" fillId="26" borderId="24" xfId="49" applyNumberFormat="1" applyFont="1" applyFill="1" applyBorder="1" applyAlignment="1" applyProtection="1">
      <alignment horizontal="center" vertical="center"/>
    </xf>
    <xf numFmtId="1" fontId="43" fillId="26" borderId="24" xfId="49" applyNumberFormat="1" applyFont="1" applyFill="1" applyBorder="1" applyAlignment="1" applyProtection="1">
      <alignment horizontal="center" vertical="center"/>
    </xf>
    <xf numFmtId="1" fontId="15" fillId="26" borderId="24" xfId="49" applyNumberFormat="1" applyFont="1" applyFill="1" applyBorder="1" applyAlignment="1" applyProtection="1">
      <alignment horizontal="center" vertical="center"/>
    </xf>
    <xf numFmtId="1" fontId="43" fillId="27" borderId="30" xfId="49" applyNumberFormat="1" applyFont="1" applyFill="1" applyBorder="1" applyAlignment="1" applyProtection="1">
      <alignment horizontal="center" vertical="center"/>
    </xf>
    <xf numFmtId="1" fontId="43" fillId="24" borderId="1" xfId="49" applyNumberFormat="1" applyFont="1" applyFill="1" applyBorder="1" applyAlignment="1" applyProtection="1">
      <alignment horizontal="left" vertical="center"/>
    </xf>
    <xf numFmtId="1" fontId="43" fillId="27" borderId="5" xfId="49" applyNumberFormat="1" applyFont="1" applyFill="1" applyBorder="1" applyAlignment="1" applyProtection="1">
      <alignment horizontal="center" vertical="center"/>
    </xf>
    <xf numFmtId="1" fontId="43" fillId="27" borderId="17" xfId="49" applyNumberFormat="1" applyFont="1" applyFill="1" applyBorder="1" applyAlignment="1" applyProtection="1">
      <alignment horizontal="center" vertical="center"/>
    </xf>
    <xf numFmtId="1" fontId="44" fillId="27" borderId="17" xfId="49" applyNumberFormat="1" applyFont="1" applyFill="1" applyBorder="1" applyAlignment="1" applyProtection="1">
      <alignment horizontal="center" vertical="center"/>
    </xf>
    <xf numFmtId="1" fontId="45" fillId="27" borderId="17" xfId="49" applyNumberFormat="1" applyFont="1" applyFill="1" applyBorder="1" applyAlignment="1" applyProtection="1">
      <alignment horizontal="center" vertical="center"/>
    </xf>
    <xf numFmtId="1" fontId="44" fillId="27" borderId="24" xfId="49" applyNumberFormat="1" applyFont="1" applyFill="1" applyBorder="1" applyAlignment="1" applyProtection="1">
      <alignment horizontal="center" vertical="center"/>
    </xf>
    <xf numFmtId="1" fontId="43" fillId="27" borderId="24" xfId="49" applyNumberFormat="1" applyFont="1" applyFill="1" applyBorder="1" applyAlignment="1" applyProtection="1">
      <alignment horizontal="center" vertical="center"/>
    </xf>
    <xf numFmtId="1" fontId="43" fillId="0" borderId="24" xfId="49" applyNumberFormat="1" applyFont="1" applyFill="1" applyBorder="1" applyAlignment="1" applyProtection="1">
      <alignment horizontal="center" vertical="center"/>
    </xf>
    <xf numFmtId="3" fontId="172" fillId="0" borderId="0" xfId="0" applyNumberFormat="1" applyFont="1" applyFill="1" applyAlignment="1" applyProtection="1">
      <alignment vertical="center"/>
    </xf>
    <xf numFmtId="3" fontId="159" fillId="0" borderId="0" xfId="0" applyNumberFormat="1" applyFont="1" applyFill="1" applyAlignment="1" applyProtection="1">
      <alignment vertical="center"/>
    </xf>
    <xf numFmtId="3" fontId="45" fillId="0" borderId="17" xfId="49" applyNumberFormat="1" applyFont="1" applyFill="1" applyBorder="1" applyAlignment="1" applyProtection="1">
      <alignment horizontal="center" vertical="center"/>
    </xf>
    <xf numFmtId="1" fontId="45" fillId="0" borderId="17" xfId="49" applyNumberFormat="1" applyFont="1" applyFill="1" applyBorder="1" applyAlignment="1" applyProtection="1">
      <alignment horizontal="center" vertical="center"/>
    </xf>
    <xf numFmtId="9" fontId="45" fillId="0" borderId="17" xfId="1" applyFont="1" applyFill="1" applyBorder="1" applyAlignment="1" applyProtection="1">
      <alignment horizontal="center" vertical="center"/>
    </xf>
    <xf numFmtId="3" fontId="45" fillId="0" borderId="17" xfId="49" applyNumberFormat="1" applyFont="1" applyFill="1" applyBorder="1" applyAlignment="1" applyProtection="1">
      <alignment horizontal="right" wrapText="1"/>
    </xf>
    <xf numFmtId="3" fontId="45" fillId="0" borderId="62" xfId="49" applyNumberFormat="1" applyFont="1" applyFill="1" applyBorder="1" applyAlignment="1" applyProtection="1">
      <alignment horizontal="center" vertical="center" wrapText="1"/>
    </xf>
    <xf numFmtId="3" fontId="45" fillId="0" borderId="53" xfId="49" applyNumberFormat="1" applyFont="1" applyFill="1" applyBorder="1" applyAlignment="1" applyProtection="1">
      <alignment horizontal="center" vertical="center" wrapText="1"/>
    </xf>
    <xf numFmtId="3" fontId="40" fillId="0" borderId="0" xfId="49" applyNumberFormat="1" applyFont="1" applyFill="1" applyProtection="1"/>
    <xf numFmtId="0" fontId="107" fillId="0" borderId="0" xfId="49" applyFont="1" applyFill="1"/>
    <xf numFmtId="0" fontId="79" fillId="37" borderId="54" xfId="32" applyFont="1" applyFill="1" applyBorder="1" applyAlignment="1" applyProtection="1">
      <alignment horizontal="center" vertical="center" wrapText="1"/>
    </xf>
    <xf numFmtId="0" fontId="79" fillId="37" borderId="63" xfId="32" applyFont="1" applyFill="1" applyBorder="1" applyAlignment="1" applyProtection="1">
      <alignment horizontal="center" vertical="center" wrapText="1"/>
    </xf>
    <xf numFmtId="0" fontId="79" fillId="37" borderId="55" xfId="32" applyFont="1" applyFill="1" applyBorder="1" applyAlignment="1" applyProtection="1">
      <alignment horizontal="center" vertical="center" wrapText="1"/>
    </xf>
    <xf numFmtId="0" fontId="43" fillId="37" borderId="69" xfId="32" applyFont="1" applyFill="1" applyBorder="1" applyAlignment="1" applyProtection="1">
      <alignment horizontal="center" vertical="center"/>
    </xf>
    <xf numFmtId="0" fontId="43" fillId="37" borderId="63" xfId="32" applyFont="1" applyFill="1" applyBorder="1" applyAlignment="1" applyProtection="1">
      <alignment horizontal="center" vertical="center"/>
    </xf>
    <xf numFmtId="0" fontId="43" fillId="37" borderId="55" xfId="32" applyFont="1" applyFill="1" applyBorder="1" applyAlignment="1" applyProtection="1">
      <alignment horizontal="center" vertical="center"/>
    </xf>
    <xf numFmtId="0" fontId="43" fillId="40" borderId="60" xfId="32" applyFont="1" applyFill="1" applyBorder="1" applyAlignment="1" applyProtection="1">
      <alignment vertical="center" wrapText="1"/>
    </xf>
    <xf numFmtId="3" fontId="44" fillId="28" borderId="40" xfId="32" applyNumberFormat="1" applyFont="1" applyFill="1" applyBorder="1" applyAlignment="1" applyProtection="1">
      <alignment horizontal="center" vertical="center"/>
      <protection locked="0"/>
    </xf>
    <xf numFmtId="3" fontId="44" fillId="28" borderId="73" xfId="32" applyNumberFormat="1" applyFont="1" applyFill="1" applyBorder="1" applyAlignment="1" applyProtection="1">
      <alignment horizontal="center" vertical="center"/>
      <protection locked="0"/>
    </xf>
    <xf numFmtId="3" fontId="44" fillId="28" borderId="76" xfId="32" applyNumberFormat="1" applyFont="1" applyFill="1" applyBorder="1" applyAlignment="1" applyProtection="1">
      <alignment horizontal="center" vertical="center"/>
      <protection locked="0"/>
    </xf>
    <xf numFmtId="3" fontId="44" fillId="3" borderId="75" xfId="32" applyNumberFormat="1" applyFont="1" applyFill="1" applyBorder="1" applyAlignment="1" applyProtection="1">
      <alignment horizontal="center" vertical="center"/>
      <protection locked="0"/>
    </xf>
    <xf numFmtId="3" fontId="44" fillId="3" borderId="56" xfId="32" applyNumberFormat="1" applyFont="1" applyFill="1" applyBorder="1" applyAlignment="1" applyProtection="1">
      <alignment horizontal="center" vertical="center"/>
      <protection locked="0"/>
    </xf>
    <xf numFmtId="0" fontId="44" fillId="31" borderId="45" xfId="32" applyFont="1" applyFill="1" applyBorder="1" applyAlignment="1" applyProtection="1">
      <alignment horizontal="center" vertical="center"/>
    </xf>
    <xf numFmtId="3" fontId="43" fillId="31" borderId="59" xfId="32" applyNumberFormat="1" applyFont="1" applyFill="1" applyBorder="1" applyAlignment="1" applyProtection="1">
      <alignment horizontal="left" vertical="center" wrapText="1"/>
    </xf>
    <xf numFmtId="3" fontId="43" fillId="31" borderId="40" xfId="32" applyNumberFormat="1" applyFont="1" applyFill="1" applyBorder="1" applyAlignment="1" applyProtection="1">
      <alignment horizontal="center" vertical="center"/>
    </xf>
    <xf numFmtId="3" fontId="43" fillId="31" borderId="41" xfId="32" applyNumberFormat="1" applyFont="1" applyFill="1" applyBorder="1" applyAlignment="1" applyProtection="1">
      <alignment horizontal="center" vertical="center"/>
    </xf>
    <xf numFmtId="3" fontId="44" fillId="31" borderId="134" xfId="32" applyNumberFormat="1" applyFont="1" applyFill="1" applyBorder="1" applyAlignment="1" applyProtection="1">
      <alignment horizontal="center" vertical="center"/>
    </xf>
    <xf numFmtId="3" fontId="44" fillId="31" borderId="138" xfId="32" applyNumberFormat="1" applyFont="1" applyFill="1" applyBorder="1" applyAlignment="1" applyProtection="1">
      <alignment horizontal="center" vertical="center"/>
    </xf>
    <xf numFmtId="3" fontId="44" fillId="31" borderId="139" xfId="32" applyNumberFormat="1" applyFont="1" applyFill="1" applyBorder="1" applyAlignment="1" applyProtection="1">
      <alignment horizontal="center" vertical="center"/>
    </xf>
    <xf numFmtId="0" fontId="44" fillId="26" borderId="1" xfId="32" applyFont="1" applyFill="1" applyBorder="1" applyAlignment="1" applyProtection="1">
      <alignment horizontal="center" vertical="center"/>
    </xf>
    <xf numFmtId="0" fontId="104" fillId="20" borderId="10" xfId="88" applyFont="1" applyFill="1" applyBorder="1" applyAlignment="1" applyProtection="1">
      <alignment horizontal="right" vertical="center" wrapText="1"/>
    </xf>
    <xf numFmtId="3" fontId="43" fillId="26" borderId="38" xfId="32" applyNumberFormat="1" applyFont="1" applyFill="1" applyBorder="1" applyAlignment="1" applyProtection="1">
      <alignment horizontal="center" vertical="center"/>
    </xf>
    <xf numFmtId="10" fontId="104" fillId="26" borderId="9" xfId="70" applyNumberFormat="1" applyFont="1" applyFill="1" applyBorder="1" applyAlignment="1" applyProtection="1">
      <alignment horizontal="center" vertical="center" wrapText="1"/>
    </xf>
    <xf numFmtId="10" fontId="104" fillId="26" borderId="10" xfId="70" applyNumberFormat="1" applyFont="1" applyFill="1" applyBorder="1" applyAlignment="1" applyProtection="1">
      <alignment horizontal="center" vertical="center" wrapText="1"/>
    </xf>
    <xf numFmtId="3" fontId="43" fillId="26" borderId="8" xfId="32" applyNumberFormat="1" applyFont="1" applyFill="1" applyBorder="1" applyAlignment="1" applyProtection="1">
      <alignment horizontal="center" vertical="center"/>
    </xf>
    <xf numFmtId="3" fontId="44" fillId="26" borderId="144" xfId="32" applyNumberFormat="1" applyFont="1" applyFill="1" applyBorder="1" applyAlignment="1" applyProtection="1">
      <alignment horizontal="center" vertical="center"/>
    </xf>
    <xf numFmtId="3" fontId="44" fillId="26" borderId="145" xfId="32" applyNumberFormat="1" applyFont="1" applyFill="1" applyBorder="1" applyAlignment="1" applyProtection="1">
      <alignment horizontal="center" vertical="center"/>
    </xf>
    <xf numFmtId="3" fontId="44" fillId="26" borderId="143" xfId="32" applyNumberFormat="1" applyFont="1" applyFill="1" applyBorder="1" applyAlignment="1" applyProtection="1">
      <alignment horizontal="center" vertical="center"/>
    </xf>
    <xf numFmtId="3" fontId="43" fillId="31" borderId="42" xfId="32" applyNumberFormat="1" applyFont="1" applyFill="1" applyBorder="1" applyAlignment="1" applyProtection="1">
      <alignment vertical="center"/>
    </xf>
    <xf numFmtId="3" fontId="43" fillId="31" borderId="0" xfId="32" applyNumberFormat="1" applyFont="1" applyFill="1" applyBorder="1" applyAlignment="1" applyProtection="1">
      <alignment vertical="center"/>
    </xf>
    <xf numFmtId="3" fontId="43" fillId="31" borderId="16" xfId="32" applyNumberFormat="1" applyFont="1" applyFill="1" applyBorder="1" applyAlignment="1" applyProtection="1">
      <alignment vertical="center"/>
    </xf>
    <xf numFmtId="3" fontId="44" fillId="26" borderId="146" xfId="32" applyNumberFormat="1" applyFont="1" applyFill="1" applyBorder="1" applyAlignment="1" applyProtection="1">
      <alignment horizontal="center" vertical="center"/>
    </xf>
    <xf numFmtId="0" fontId="104" fillId="20" borderId="67" xfId="88" applyFont="1" applyFill="1" applyBorder="1" applyAlignment="1" applyProtection="1">
      <alignment horizontal="right" vertical="center" wrapText="1"/>
    </xf>
    <xf numFmtId="10" fontId="104" fillId="26" borderId="7" xfId="70" applyNumberFormat="1" applyFont="1" applyFill="1" applyBorder="1" applyAlignment="1" applyProtection="1">
      <alignment horizontal="center" vertical="center" wrapText="1"/>
    </xf>
    <xf numFmtId="10" fontId="104" fillId="26" borderId="53" xfId="70" applyNumberFormat="1" applyFont="1" applyFill="1" applyBorder="1" applyAlignment="1" applyProtection="1">
      <alignment horizontal="center" vertical="center" wrapText="1"/>
    </xf>
    <xf numFmtId="3" fontId="45" fillId="26" borderId="18" xfId="32" applyNumberFormat="1" applyFont="1" applyFill="1" applyBorder="1" applyAlignment="1" applyProtection="1">
      <alignment horizontal="center" vertical="center"/>
    </xf>
    <xf numFmtId="0" fontId="45" fillId="27" borderId="7" xfId="32" applyFont="1" applyFill="1" applyBorder="1" applyAlignment="1" applyProtection="1">
      <alignment horizontal="center" vertical="center"/>
    </xf>
    <xf numFmtId="0" fontId="104" fillId="20" borderId="62" xfId="88" applyFont="1" applyFill="1" applyBorder="1" applyAlignment="1" applyProtection="1">
      <alignment horizontal="right" vertical="center" wrapText="1"/>
    </xf>
    <xf numFmtId="3" fontId="45" fillId="26" borderId="52" xfId="32" applyNumberFormat="1" applyFont="1" applyFill="1" applyBorder="1" applyAlignment="1" applyProtection="1">
      <alignment horizontal="center" vertical="center"/>
    </xf>
    <xf numFmtId="3" fontId="104" fillId="0" borderId="20" xfId="32" applyNumberFormat="1" applyFont="1" applyFill="1" applyBorder="1" applyAlignment="1" applyProtection="1">
      <alignment horizontal="right" vertical="center" wrapText="1"/>
    </xf>
    <xf numFmtId="3" fontId="44" fillId="26" borderId="147" xfId="32" applyNumberFormat="1" applyFont="1" applyFill="1" applyBorder="1" applyAlignment="1" applyProtection="1">
      <alignment horizontal="center" vertical="center"/>
    </xf>
    <xf numFmtId="3" fontId="44" fillId="3" borderId="45" xfId="32" applyNumberFormat="1" applyFont="1" applyFill="1" applyBorder="1" applyAlignment="1" applyProtection="1">
      <alignment horizontal="center" vertical="center"/>
      <protection locked="0"/>
    </xf>
    <xf numFmtId="3" fontId="44" fillId="3" borderId="46" xfId="32" applyNumberFormat="1" applyFont="1" applyFill="1" applyBorder="1" applyAlignment="1" applyProtection="1">
      <alignment horizontal="center" vertical="center"/>
      <protection locked="0"/>
    </xf>
    <xf numFmtId="3" fontId="44" fillId="28" borderId="56" xfId="32" applyNumberFormat="1" applyFont="1" applyFill="1" applyBorder="1" applyAlignment="1" applyProtection="1">
      <alignment horizontal="center" vertical="center"/>
      <protection locked="0"/>
    </xf>
    <xf numFmtId="3" fontId="44" fillId="31" borderId="93" xfId="32" applyNumberFormat="1" applyFont="1" applyFill="1" applyBorder="1" applyAlignment="1" applyProtection="1">
      <alignment horizontal="center" vertical="center"/>
    </xf>
    <xf numFmtId="3" fontId="44" fillId="31" borderId="114" xfId="32" applyNumberFormat="1" applyFont="1" applyFill="1" applyBorder="1" applyAlignment="1" applyProtection="1">
      <alignment horizontal="center" vertical="center"/>
    </xf>
    <xf numFmtId="3" fontId="44" fillId="31" borderId="94" xfId="32" applyNumberFormat="1" applyFont="1" applyFill="1" applyBorder="1" applyAlignment="1" applyProtection="1">
      <alignment horizontal="center" vertical="center"/>
    </xf>
    <xf numFmtId="3" fontId="43" fillId="31" borderId="1" xfId="32" applyNumberFormat="1" applyFont="1" applyFill="1" applyBorder="1" applyAlignment="1" applyProtection="1">
      <alignment vertical="center"/>
    </xf>
    <xf numFmtId="3" fontId="43" fillId="31" borderId="11" xfId="32" applyNumberFormat="1" applyFont="1" applyFill="1" applyBorder="1" applyAlignment="1" applyProtection="1">
      <alignment vertical="center"/>
    </xf>
    <xf numFmtId="3" fontId="43" fillId="31" borderId="41" xfId="32" applyNumberFormat="1" applyFont="1" applyFill="1" applyBorder="1" applyAlignment="1" applyProtection="1">
      <alignment vertical="center"/>
    </xf>
    <xf numFmtId="3" fontId="44" fillId="26" borderId="148" xfId="32" applyNumberFormat="1" applyFont="1" applyFill="1" applyBorder="1" applyAlignment="1" applyProtection="1">
      <alignment horizontal="center" vertical="center"/>
    </xf>
    <xf numFmtId="3" fontId="44" fillId="26" borderId="149" xfId="32" applyNumberFormat="1" applyFont="1" applyFill="1" applyBorder="1" applyAlignment="1" applyProtection="1">
      <alignment horizontal="center" vertical="center"/>
    </xf>
    <xf numFmtId="3" fontId="43" fillId="40" borderId="60" xfId="32" applyNumberFormat="1" applyFont="1" applyFill="1" applyBorder="1" applyAlignment="1" applyProtection="1">
      <alignment vertical="center" wrapText="1"/>
    </xf>
    <xf numFmtId="3" fontId="44" fillId="3" borderId="68" xfId="32" applyNumberFormat="1" applyFont="1" applyFill="1" applyBorder="1" applyAlignment="1" applyProtection="1">
      <alignment horizontal="center" vertical="center"/>
      <protection locked="0"/>
    </xf>
    <xf numFmtId="3" fontId="45" fillId="26" borderId="7" xfId="32" applyNumberFormat="1" applyFont="1" applyFill="1" applyBorder="1" applyAlignment="1" applyProtection="1">
      <alignment horizontal="center" vertical="center"/>
    </xf>
    <xf numFmtId="3" fontId="44" fillId="26" borderId="150" xfId="32" applyNumberFormat="1" applyFont="1" applyFill="1" applyBorder="1" applyAlignment="1" applyProtection="1">
      <alignment horizontal="center" vertical="center"/>
    </xf>
    <xf numFmtId="3" fontId="44" fillId="26" borderId="151" xfId="32" applyNumberFormat="1" applyFont="1" applyFill="1" applyBorder="1" applyAlignment="1" applyProtection="1">
      <alignment horizontal="center" vertical="center"/>
    </xf>
    <xf numFmtId="0" fontId="45" fillId="27" borderId="24" xfId="32" applyFont="1" applyFill="1" applyBorder="1" applyAlignment="1" applyProtection="1">
      <alignment horizontal="center" vertical="center"/>
    </xf>
    <xf numFmtId="3" fontId="104" fillId="0" borderId="78" xfId="32" applyNumberFormat="1" applyFont="1" applyFill="1" applyBorder="1" applyAlignment="1" applyProtection="1">
      <alignment horizontal="right" vertical="center" wrapText="1"/>
    </xf>
    <xf numFmtId="3" fontId="43" fillId="40" borderId="101" xfId="32" applyNumberFormat="1" applyFont="1" applyFill="1" applyBorder="1" applyAlignment="1" applyProtection="1">
      <alignment vertical="center" wrapText="1"/>
    </xf>
    <xf numFmtId="0" fontId="45" fillId="27" borderId="66" xfId="32" applyFont="1" applyFill="1" applyBorder="1" applyAlignment="1" applyProtection="1">
      <alignment horizontal="center" vertical="center"/>
    </xf>
    <xf numFmtId="3" fontId="45" fillId="0" borderId="33" xfId="32" applyNumberFormat="1" applyFont="1" applyFill="1" applyBorder="1" applyAlignment="1" applyProtection="1">
      <alignment horizontal="left" vertical="center" wrapText="1"/>
    </xf>
    <xf numFmtId="3" fontId="45" fillId="0" borderId="23" xfId="32" applyNumberFormat="1" applyFont="1" applyFill="1" applyBorder="1" applyAlignment="1" applyProtection="1">
      <alignment horizontal="left" vertical="center" wrapText="1"/>
    </xf>
    <xf numFmtId="0" fontId="45" fillId="27" borderId="25" xfId="32" applyFont="1" applyFill="1" applyBorder="1" applyAlignment="1" applyProtection="1">
      <alignment horizontal="center" vertical="center"/>
    </xf>
    <xf numFmtId="3" fontId="45" fillId="26" borderId="32" xfId="49" applyNumberFormat="1" applyFont="1" applyFill="1" applyBorder="1" applyAlignment="1" applyProtection="1">
      <alignment horizontal="center" vertical="center" wrapText="1"/>
    </xf>
    <xf numFmtId="3" fontId="45" fillId="26" borderId="15" xfId="49" applyNumberFormat="1" applyFont="1" applyFill="1" applyBorder="1" applyAlignment="1" applyProtection="1">
      <alignment horizontal="center" vertical="center" wrapText="1"/>
    </xf>
    <xf numFmtId="3" fontId="44" fillId="0" borderId="63" xfId="49" applyNumberFormat="1" applyFont="1" applyFill="1" applyBorder="1" applyAlignment="1" applyProtection="1">
      <alignment horizontal="center" vertical="center" wrapText="1"/>
    </xf>
    <xf numFmtId="0" fontId="104" fillId="20" borderId="26" xfId="88" applyFont="1" applyFill="1" applyBorder="1" applyAlignment="1" applyProtection="1">
      <alignment horizontal="center" vertical="center" wrapText="1"/>
    </xf>
    <xf numFmtId="0" fontId="104" fillId="20" borderId="16" xfId="88" applyFont="1" applyFill="1" applyBorder="1" applyAlignment="1" applyProtection="1">
      <alignment horizontal="center" vertical="center" wrapText="1"/>
    </xf>
    <xf numFmtId="3" fontId="45" fillId="26" borderId="15" xfId="32" applyNumberFormat="1" applyFont="1" applyFill="1" applyBorder="1" applyAlignment="1" applyProtection="1">
      <alignment horizontal="center" vertical="center"/>
    </xf>
    <xf numFmtId="0" fontId="104" fillId="20" borderId="68" xfId="88" applyFont="1" applyFill="1" applyBorder="1" applyAlignment="1" applyProtection="1">
      <alignment horizontal="right" vertical="center" wrapText="1"/>
    </xf>
    <xf numFmtId="0" fontId="104" fillId="20" borderId="53" xfId="88" applyFont="1" applyFill="1" applyBorder="1" applyAlignment="1" applyProtection="1">
      <alignment horizontal="right" vertical="center" wrapText="1"/>
    </xf>
    <xf numFmtId="3" fontId="104" fillId="0" borderId="57" xfId="32" applyNumberFormat="1" applyFont="1" applyFill="1" applyBorder="1" applyAlignment="1" applyProtection="1">
      <alignment horizontal="right" vertical="center" wrapText="1"/>
    </xf>
    <xf numFmtId="0" fontId="104" fillId="20" borderId="17" xfId="88" applyFont="1" applyFill="1" applyBorder="1" applyAlignment="1" applyProtection="1">
      <alignment horizontal="center" vertical="center" wrapText="1"/>
    </xf>
    <xf numFmtId="0" fontId="104" fillId="20" borderId="2" xfId="88" applyFont="1" applyFill="1" applyBorder="1" applyAlignment="1" applyProtection="1">
      <alignment horizontal="center" vertical="center" wrapText="1"/>
    </xf>
    <xf numFmtId="3" fontId="43" fillId="49" borderId="7" xfId="0" applyNumberFormat="1" applyFont="1" applyFill="1" applyBorder="1" applyAlignment="1" applyProtection="1">
      <alignment horizontal="center" vertical="center"/>
    </xf>
    <xf numFmtId="3" fontId="158" fillId="0" borderId="7" xfId="0" applyNumberFormat="1" applyFont="1" applyBorder="1" applyAlignment="1" applyProtection="1">
      <alignment horizontal="center" vertical="center"/>
    </xf>
    <xf numFmtId="9" fontId="44" fillId="26" borderId="99" xfId="1" applyFont="1" applyFill="1" applyBorder="1" applyAlignment="1" applyProtection="1">
      <alignment horizontal="center" vertical="center"/>
    </xf>
    <xf numFmtId="0" fontId="165" fillId="37" borderId="7" xfId="0" applyFont="1" applyFill="1" applyBorder="1" applyAlignment="1" applyProtection="1">
      <alignment horizontal="center" vertical="center" wrapText="1"/>
    </xf>
    <xf numFmtId="0" fontId="165" fillId="48" borderId="7" xfId="0" applyFont="1" applyFill="1" applyBorder="1" applyAlignment="1">
      <alignment horizontal="center" vertical="center" wrapText="1"/>
    </xf>
    <xf numFmtId="3" fontId="44" fillId="31" borderId="144" xfId="32" applyNumberFormat="1" applyFont="1" applyFill="1" applyBorder="1" applyAlignment="1" applyProtection="1">
      <alignment horizontal="center" vertical="center"/>
    </xf>
    <xf numFmtId="3" fontId="44" fillId="31" borderId="145" xfId="32" applyNumberFormat="1" applyFont="1" applyFill="1" applyBorder="1" applyAlignment="1" applyProtection="1">
      <alignment horizontal="center" vertical="center"/>
    </xf>
    <xf numFmtId="3" fontId="44" fillId="31" borderId="143" xfId="32" applyNumberFormat="1" applyFont="1" applyFill="1" applyBorder="1" applyAlignment="1" applyProtection="1">
      <alignment horizontal="center" vertical="center"/>
    </xf>
    <xf numFmtId="3" fontId="104" fillId="26" borderId="42" xfId="32" applyNumberFormat="1" applyFont="1" applyFill="1" applyBorder="1" applyAlignment="1" applyProtection="1">
      <alignment horizontal="center" vertical="center"/>
    </xf>
    <xf numFmtId="3" fontId="104" fillId="26" borderId="77" xfId="32" applyNumberFormat="1" applyFont="1" applyFill="1" applyBorder="1" applyAlignment="1" applyProtection="1">
      <alignment horizontal="center" vertical="center"/>
    </xf>
    <xf numFmtId="3" fontId="45" fillId="26" borderId="36" xfId="32" applyNumberFormat="1" applyFont="1" applyFill="1" applyBorder="1" applyAlignment="1" applyProtection="1">
      <alignment horizontal="center" vertical="center"/>
    </xf>
    <xf numFmtId="3" fontId="45" fillId="26" borderId="24" xfId="32" applyNumberFormat="1" applyFont="1" applyFill="1" applyBorder="1" applyAlignment="1" applyProtection="1">
      <alignment horizontal="center" vertical="center"/>
    </xf>
    <xf numFmtId="10" fontId="104" fillId="26" borderId="15" xfId="70" applyNumberFormat="1" applyFont="1" applyFill="1" applyBorder="1" applyAlignment="1" applyProtection="1">
      <alignment horizontal="center" vertical="center" wrapText="1"/>
    </xf>
    <xf numFmtId="3" fontId="45" fillId="26" borderId="22" xfId="32" applyNumberFormat="1" applyFont="1" applyFill="1" applyBorder="1" applyAlignment="1" applyProtection="1">
      <alignment horizontal="center" vertical="center"/>
    </xf>
    <xf numFmtId="0" fontId="104" fillId="20" borderId="0" xfId="88" applyFont="1" applyFill="1" applyBorder="1" applyAlignment="1" applyProtection="1">
      <alignment horizontal="center" vertical="center" wrapText="1"/>
    </xf>
    <xf numFmtId="3" fontId="45" fillId="26" borderId="23" xfId="32" applyNumberFormat="1" applyFont="1" applyFill="1" applyBorder="1" applyAlignment="1" applyProtection="1">
      <alignment horizontal="center" vertical="center"/>
    </xf>
    <xf numFmtId="0" fontId="104" fillId="20" borderId="23" xfId="88" applyFont="1" applyFill="1" applyBorder="1" applyAlignment="1" applyProtection="1">
      <alignment horizontal="center" vertical="center" wrapText="1"/>
    </xf>
    <xf numFmtId="3" fontId="45" fillId="26" borderId="37" xfId="32" applyNumberFormat="1" applyFont="1" applyFill="1" applyBorder="1" applyAlignment="1" applyProtection="1">
      <alignment horizontal="center" vertical="center"/>
    </xf>
    <xf numFmtId="0" fontId="172" fillId="26" borderId="0" xfId="0" applyFont="1" applyFill="1" applyBorder="1" applyAlignment="1">
      <alignment vertical="center"/>
    </xf>
    <xf numFmtId="3" fontId="172" fillId="26" borderId="0" xfId="0" applyNumberFormat="1" applyFont="1" applyFill="1" applyBorder="1" applyAlignment="1">
      <alignment horizontal="center" vertical="center"/>
    </xf>
    <xf numFmtId="0" fontId="166" fillId="0" borderId="7" xfId="0" applyFont="1" applyBorder="1" applyAlignment="1">
      <alignment vertical="center" wrapText="1"/>
    </xf>
    <xf numFmtId="0" fontId="166" fillId="0" borderId="7" xfId="0" applyFont="1" applyBorder="1" applyAlignment="1">
      <alignment horizontal="center" vertical="center" wrapText="1"/>
    </xf>
    <xf numFmtId="0" fontId="166" fillId="0" borderId="7" xfId="0" applyFont="1" applyBorder="1" applyAlignment="1">
      <alignment horizontal="center" vertical="center"/>
    </xf>
    <xf numFmtId="10" fontId="166" fillId="0" borderId="7" xfId="0" applyNumberFormat="1" applyFont="1" applyBorder="1" applyAlignment="1">
      <alignment horizontal="center" vertical="center"/>
    </xf>
    <xf numFmtId="0" fontId="165" fillId="0" borderId="7" xfId="0" applyFont="1" applyBorder="1" applyAlignment="1">
      <alignment vertical="center" wrapText="1"/>
    </xf>
    <xf numFmtId="0" fontId="165" fillId="0" borderId="7" xfId="0" applyFont="1" applyBorder="1" applyAlignment="1">
      <alignment horizontal="center" vertical="center"/>
    </xf>
    <xf numFmtId="4" fontId="166" fillId="0" borderId="7" xfId="0" applyNumberFormat="1" applyFont="1" applyBorder="1" applyAlignment="1">
      <alignment horizontal="center" vertical="center"/>
    </xf>
    <xf numFmtId="3" fontId="166" fillId="0" borderId="7" xfId="0" applyNumberFormat="1" applyFont="1" applyBorder="1" applyAlignment="1">
      <alignment horizontal="center" vertical="center"/>
    </xf>
    <xf numFmtId="3" fontId="44" fillId="0" borderId="17" xfId="0" applyNumberFormat="1" applyFont="1" applyFill="1" applyBorder="1" applyAlignment="1" applyProtection="1">
      <alignment horizontal="center" vertical="center"/>
    </xf>
    <xf numFmtId="3" fontId="44" fillId="0" borderId="52" xfId="0" applyNumberFormat="1" applyFont="1" applyFill="1" applyBorder="1" applyAlignment="1" applyProtection="1">
      <alignment horizontal="center" vertical="center"/>
    </xf>
    <xf numFmtId="3" fontId="44" fillId="0" borderId="32" xfId="0" applyNumberFormat="1" applyFont="1" applyFill="1" applyBorder="1" applyAlignment="1" applyProtection="1">
      <alignment horizontal="center" vertical="center"/>
    </xf>
    <xf numFmtId="3" fontId="166" fillId="50" borderId="7" xfId="0" applyNumberFormat="1" applyFont="1" applyFill="1" applyBorder="1" applyAlignment="1">
      <alignment horizontal="center" vertical="center"/>
    </xf>
    <xf numFmtId="4" fontId="165" fillId="0" borderId="7" xfId="0" applyNumberFormat="1" applyFont="1" applyBorder="1" applyAlignment="1">
      <alignment horizontal="center" vertical="center"/>
    </xf>
    <xf numFmtId="10" fontId="165" fillId="0" borderId="7" xfId="0" applyNumberFormat="1" applyFont="1" applyBorder="1" applyAlignment="1">
      <alignment horizontal="center" vertical="center"/>
    </xf>
    <xf numFmtId="176" fontId="165" fillId="0" borderId="7" xfId="0" applyNumberFormat="1" applyFont="1" applyBorder="1" applyAlignment="1">
      <alignment horizontal="center" vertical="center" wrapText="1"/>
    </xf>
    <xf numFmtId="3" fontId="165" fillId="37" borderId="7" xfId="0" applyNumberFormat="1" applyFont="1" applyFill="1" applyBorder="1" applyAlignment="1">
      <alignment horizontal="center" vertical="center" wrapText="1"/>
    </xf>
    <xf numFmtId="172" fontId="172" fillId="0" borderId="0" xfId="1" applyNumberFormat="1" applyFont="1" applyBorder="1" applyAlignment="1" applyProtection="1">
      <alignment horizontal="center" vertical="center"/>
    </xf>
    <xf numFmtId="172" fontId="175" fillId="0" borderId="0" xfId="1" applyNumberFormat="1" applyFont="1" applyBorder="1" applyAlignment="1" applyProtection="1">
      <alignment horizontal="center" vertical="center"/>
    </xf>
    <xf numFmtId="172" fontId="159" fillId="0" borderId="0" xfId="0" applyNumberFormat="1" applyFont="1" applyBorder="1" applyAlignment="1" applyProtection="1">
      <alignment horizontal="center" vertical="center"/>
    </xf>
    <xf numFmtId="172" fontId="172" fillId="0" borderId="0" xfId="0" applyNumberFormat="1" applyFont="1" applyBorder="1" applyAlignment="1" applyProtection="1">
      <alignment horizontal="center" vertical="center"/>
    </xf>
    <xf numFmtId="3" fontId="181" fillId="0" borderId="7" xfId="0" applyNumberFormat="1" applyFont="1" applyFill="1" applyBorder="1" applyAlignment="1" applyProtection="1">
      <alignment horizontal="center" vertical="center"/>
    </xf>
    <xf numFmtId="3" fontId="182" fillId="0" borderId="7" xfId="0" applyNumberFormat="1" applyFont="1" applyFill="1" applyBorder="1" applyAlignment="1" applyProtection="1">
      <alignment horizontal="center" vertical="center"/>
    </xf>
    <xf numFmtId="49" fontId="37" fillId="0" borderId="39" xfId="31" applyNumberFormat="1" applyFont="1" applyFill="1" applyBorder="1" applyAlignment="1" applyProtection="1">
      <alignment horizontal="center" vertical="center"/>
    </xf>
    <xf numFmtId="0" fontId="15" fillId="27" borderId="39" xfId="31" applyFont="1" applyFill="1" applyBorder="1" applyAlignment="1" applyProtection="1">
      <alignment horizontal="right" vertical="center"/>
    </xf>
    <xf numFmtId="0" fontId="92" fillId="0" borderId="15" xfId="2" applyNumberFormat="1" applyFont="1" applyFill="1" applyBorder="1" applyAlignment="1" applyProtection="1">
      <alignment horizontal="left" vertical="center" wrapText="1"/>
    </xf>
    <xf numFmtId="49" fontId="72" fillId="20" borderId="39" xfId="32" applyNumberFormat="1" applyFont="1" applyFill="1" applyBorder="1" applyAlignment="1" applyProtection="1">
      <alignment horizontal="center" vertical="center"/>
    </xf>
    <xf numFmtId="0" fontId="73" fillId="20" borderId="39" xfId="32" applyFont="1" applyFill="1" applyBorder="1" applyAlignment="1" applyProtection="1">
      <alignment horizontal="right" vertical="center"/>
    </xf>
    <xf numFmtId="0" fontId="73" fillId="20" borderId="26" xfId="32" applyFont="1" applyFill="1" applyBorder="1" applyAlignment="1" applyProtection="1">
      <alignment horizontal="right" vertical="center"/>
    </xf>
    <xf numFmtId="49" fontId="72" fillId="20" borderId="26" xfId="32" applyNumberFormat="1" applyFont="1" applyFill="1" applyBorder="1" applyAlignment="1" applyProtection="1">
      <alignment horizontal="left" vertical="center"/>
    </xf>
    <xf numFmtId="49" fontId="72" fillId="20" borderId="35" xfId="32" applyNumberFormat="1" applyFont="1" applyFill="1" applyBorder="1" applyAlignment="1" applyProtection="1">
      <alignment horizontal="left" vertical="center"/>
    </xf>
    <xf numFmtId="49" fontId="37" fillId="3" borderId="24" xfId="0" applyNumberFormat="1" applyFont="1" applyFill="1" applyBorder="1" applyAlignment="1" applyProtection="1">
      <alignment horizontal="left" vertical="center"/>
      <protection locked="0"/>
    </xf>
    <xf numFmtId="49" fontId="37" fillId="3" borderId="15" xfId="0" applyNumberFormat="1" applyFont="1" applyFill="1" applyBorder="1" applyAlignment="1" applyProtection="1">
      <alignment horizontal="left" vertical="center"/>
      <protection locked="0"/>
    </xf>
    <xf numFmtId="0" fontId="15" fillId="0" borderId="21" xfId="0" applyFont="1" applyBorder="1" applyAlignment="1" applyProtection="1">
      <alignment horizontal="center" vertical="center" wrapText="1"/>
    </xf>
    <xf numFmtId="0" fontId="23" fillId="0" borderId="0" xfId="0" applyFont="1" applyFill="1" applyAlignment="1" applyProtection="1">
      <alignment horizontal="center" vertical="center" wrapText="1"/>
    </xf>
    <xf numFmtId="0" fontId="15" fillId="0" borderId="35" xfId="31" applyFont="1" applyBorder="1" applyAlignment="1" applyProtection="1">
      <alignment horizontal="center" vertical="center" wrapText="1"/>
    </xf>
    <xf numFmtId="0" fontId="24" fillId="37" borderId="40" xfId="0" applyFont="1" applyFill="1" applyBorder="1" applyAlignment="1" applyProtection="1">
      <alignment horizontal="center" vertical="center" wrapText="1"/>
    </xf>
    <xf numFmtId="0" fontId="24" fillId="37" borderId="38" xfId="0" applyFont="1" applyFill="1" applyBorder="1" applyAlignment="1" applyProtection="1">
      <alignment horizontal="center" vertical="center" wrapText="1"/>
    </xf>
    <xf numFmtId="0" fontId="24" fillId="37" borderId="10" xfId="0" applyFont="1" applyFill="1" applyBorder="1" applyAlignment="1" applyProtection="1">
      <alignment horizontal="center" vertical="center" wrapText="1"/>
    </xf>
    <xf numFmtId="0" fontId="16" fillId="0" borderId="0" xfId="0" applyFont="1" applyAlignment="1" applyProtection="1">
      <alignment horizontal="right" vertical="center"/>
    </xf>
    <xf numFmtId="0" fontId="23" fillId="27" borderId="0" xfId="32" applyFont="1" applyFill="1" applyBorder="1" applyAlignment="1" applyProtection="1">
      <alignment horizontal="center" vertical="center" wrapText="1"/>
    </xf>
    <xf numFmtId="0" fontId="46" fillId="26" borderId="0" xfId="0" applyFont="1" applyFill="1" applyAlignment="1" applyProtection="1">
      <alignment vertical="center"/>
    </xf>
    <xf numFmtId="0" fontId="24" fillId="0" borderId="0" xfId="0" applyFont="1" applyAlignment="1" applyProtection="1">
      <alignment horizontal="left" vertical="center"/>
    </xf>
    <xf numFmtId="0" fontId="46" fillId="27" borderId="0" xfId="0" applyFont="1" applyFill="1" applyAlignment="1" applyProtection="1"/>
    <xf numFmtId="0" fontId="46" fillId="27" borderId="0" xfId="0" applyFont="1" applyFill="1" applyAlignment="1" applyProtection="1">
      <alignment vertical="center"/>
    </xf>
    <xf numFmtId="0" fontId="90" fillId="26" borderId="0" xfId="0" applyFont="1" applyFill="1" applyAlignment="1" applyProtection="1">
      <alignment horizontal="left" vertical="center" wrapText="1"/>
    </xf>
    <xf numFmtId="0" fontId="18" fillId="27" borderId="0" xfId="32" applyFont="1" applyFill="1" applyAlignment="1" applyProtection="1">
      <alignment horizontal="center" vertical="center" wrapText="1"/>
    </xf>
    <xf numFmtId="0" fontId="23" fillId="27" borderId="0" xfId="32" applyFont="1" applyFill="1" applyAlignment="1" applyProtection="1">
      <alignment horizontal="center" vertical="center" wrapText="1"/>
    </xf>
    <xf numFmtId="0" fontId="46" fillId="27" borderId="0" xfId="32" applyFont="1" applyFill="1" applyAlignment="1" applyProtection="1">
      <alignment vertical="center" wrapText="1"/>
    </xf>
    <xf numFmtId="0" fontId="46" fillId="27" borderId="0" xfId="32" applyFont="1" applyFill="1" applyAlignment="1" applyProtection="1">
      <alignment vertical="center"/>
    </xf>
    <xf numFmtId="0" fontId="81" fillId="27" borderId="0" xfId="32" applyFont="1" applyFill="1" applyAlignment="1" applyProtection="1">
      <alignment horizontal="center" vertical="center" wrapText="1"/>
    </xf>
    <xf numFmtId="0" fontId="85" fillId="27" borderId="0" xfId="32" applyFont="1" applyFill="1" applyBorder="1" applyAlignment="1" applyProtection="1">
      <alignment horizontal="center" vertical="center"/>
    </xf>
    <xf numFmtId="0" fontId="72" fillId="27" borderId="0" xfId="32" applyFont="1" applyFill="1" applyBorder="1" applyAlignment="1" applyProtection="1">
      <alignment horizontal="center" vertical="center"/>
    </xf>
    <xf numFmtId="0" fontId="16" fillId="27" borderId="0" xfId="32" applyFont="1" applyFill="1" applyBorder="1" applyAlignment="1" applyProtection="1">
      <alignment horizontal="right" vertical="center"/>
    </xf>
    <xf numFmtId="0" fontId="43" fillId="37" borderId="78" xfId="31" applyFont="1" applyFill="1" applyBorder="1" applyAlignment="1" applyProtection="1">
      <alignment horizontal="center" vertical="center"/>
    </xf>
    <xf numFmtId="0" fontId="18" fillId="0" borderId="0" xfId="31" applyFont="1" applyAlignment="1" applyProtection="1">
      <alignment horizontal="center" vertical="center" wrapText="1"/>
    </xf>
    <xf numFmtId="0" fontId="23" fillId="0" borderId="0" xfId="0" applyFont="1" applyFill="1" applyAlignment="1" applyProtection="1">
      <alignment horizontal="center" vertical="center"/>
    </xf>
    <xf numFmtId="49" fontId="15" fillId="0" borderId="75" xfId="31" applyNumberFormat="1" applyFont="1" applyFill="1" applyBorder="1" applyAlignment="1" applyProtection="1">
      <alignment horizontal="center" vertical="center"/>
    </xf>
    <xf numFmtId="0" fontId="46" fillId="26" borderId="0" xfId="0" applyFont="1" applyFill="1" applyAlignment="1" applyProtection="1">
      <alignment vertical="center"/>
    </xf>
    <xf numFmtId="0" fontId="46" fillId="0" borderId="0" xfId="0" applyFont="1" applyFill="1" applyAlignment="1" applyProtection="1">
      <alignment vertical="center" wrapText="1"/>
    </xf>
    <xf numFmtId="0" fontId="23" fillId="27" borderId="0" xfId="49" applyFont="1" applyFill="1" applyBorder="1" applyAlignment="1" applyProtection="1">
      <alignment horizontal="center" vertical="center" wrapText="1"/>
    </xf>
    <xf numFmtId="0" fontId="18" fillId="27" borderId="0" xfId="49" applyFont="1" applyFill="1" applyAlignment="1" applyProtection="1">
      <alignment horizontal="center" vertical="center" wrapText="1"/>
    </xf>
    <xf numFmtId="0" fontId="43" fillId="24" borderId="1" xfId="49" applyFont="1" applyFill="1" applyBorder="1" applyAlignment="1" applyProtection="1">
      <alignment horizontal="center" vertical="center" wrapText="1"/>
    </xf>
    <xf numFmtId="0" fontId="46" fillId="27" borderId="0" xfId="49" applyFont="1" applyFill="1" applyAlignment="1" applyProtection="1">
      <alignment vertical="center" wrapText="1"/>
    </xf>
    <xf numFmtId="49" fontId="72" fillId="0" borderId="0" xfId="32" applyNumberFormat="1" applyFont="1" applyBorder="1" applyAlignment="1" applyProtection="1">
      <alignment vertical="center"/>
    </xf>
    <xf numFmtId="0" fontId="72" fillId="0" borderId="0" xfId="32" applyNumberFormat="1" applyFont="1" applyBorder="1" applyAlignment="1" applyProtection="1">
      <alignment vertical="center"/>
    </xf>
    <xf numFmtId="0" fontId="75" fillId="0" borderId="0" xfId="32" applyFont="1" applyProtection="1"/>
    <xf numFmtId="0" fontId="43" fillId="0" borderId="0" xfId="0" applyFont="1" applyProtection="1"/>
    <xf numFmtId="0" fontId="45" fillId="0" borderId="0" xfId="0" applyFont="1" applyAlignment="1" applyProtection="1"/>
    <xf numFmtId="3" fontId="43" fillId="0" borderId="0" xfId="0" applyNumberFormat="1" applyFont="1" applyProtection="1"/>
    <xf numFmtId="49" fontId="73" fillId="27" borderId="25" xfId="0" applyNumberFormat="1" applyFont="1" applyFill="1" applyBorder="1" applyAlignment="1" applyProtection="1">
      <alignment horizontal="left" vertical="center"/>
    </xf>
    <xf numFmtId="0" fontId="15" fillId="27" borderId="0" xfId="31" applyFont="1" applyFill="1" applyProtection="1"/>
    <xf numFmtId="0" fontId="35" fillId="27" borderId="27" xfId="31" applyFont="1" applyFill="1" applyBorder="1" applyAlignment="1" applyProtection="1">
      <alignment horizontal="center" vertical="center"/>
    </xf>
    <xf numFmtId="0" fontId="15" fillId="27" borderId="16" xfId="31" applyFont="1" applyFill="1" applyBorder="1" applyProtection="1"/>
    <xf numFmtId="0" fontId="15" fillId="27" borderId="0" xfId="0" applyFont="1" applyFill="1" applyAlignment="1" applyProtection="1"/>
    <xf numFmtId="0" fontId="15" fillId="27" borderId="0" xfId="0" applyNumberFormat="1" applyFont="1" applyFill="1" applyAlignment="1" applyProtection="1">
      <alignment horizontal="left"/>
    </xf>
    <xf numFmtId="0" fontId="19" fillId="0" borderId="0" xfId="0" applyFont="1" applyAlignment="1" applyProtection="1">
      <alignment vertical="center"/>
    </xf>
    <xf numFmtId="0" fontId="22" fillId="0" borderId="0" xfId="0" applyFont="1" applyFill="1" applyAlignment="1" applyProtection="1">
      <alignment vertical="center"/>
    </xf>
    <xf numFmtId="3" fontId="15" fillId="0" borderId="51" xfId="70" applyNumberFormat="1" applyFont="1" applyFill="1" applyBorder="1" applyAlignment="1" applyProtection="1">
      <alignment horizontal="center" vertical="center" wrapText="1"/>
    </xf>
    <xf numFmtId="3" fontId="15" fillId="0" borderId="73" xfId="70" applyNumberFormat="1" applyFont="1" applyFill="1" applyBorder="1" applyAlignment="1" applyProtection="1">
      <alignment horizontal="center" vertical="center" wrapText="1"/>
    </xf>
    <xf numFmtId="3" fontId="15" fillId="0" borderId="76" xfId="70" applyNumberFormat="1" applyFont="1" applyFill="1" applyBorder="1" applyAlignment="1" applyProtection="1">
      <alignment horizontal="center" vertical="center" wrapText="1"/>
    </xf>
    <xf numFmtId="3" fontId="15" fillId="0" borderId="17" xfId="70" applyNumberFormat="1" applyFont="1" applyFill="1" applyBorder="1" applyAlignment="1" applyProtection="1">
      <alignment horizontal="center" vertical="center" wrapText="1"/>
    </xf>
    <xf numFmtId="3" fontId="15" fillId="0" borderId="7" xfId="70" applyNumberFormat="1" applyFont="1" applyFill="1" applyBorder="1" applyAlignment="1" applyProtection="1">
      <alignment horizontal="center" vertical="center" wrapText="1"/>
    </xf>
    <xf numFmtId="3" fontId="15" fillId="0" borderId="53" xfId="70" applyNumberFormat="1" applyFont="1" applyFill="1" applyBorder="1" applyAlignment="1" applyProtection="1">
      <alignment horizontal="center" vertical="center" wrapText="1"/>
    </xf>
    <xf numFmtId="0" fontId="37" fillId="0" borderId="0" xfId="31" applyFont="1" applyAlignment="1" applyProtection="1">
      <alignment vertical="center"/>
    </xf>
    <xf numFmtId="0" fontId="73" fillId="27" borderId="0" xfId="32" applyFont="1" applyFill="1" applyAlignment="1" applyProtection="1">
      <alignment vertical="center"/>
    </xf>
    <xf numFmtId="0" fontId="37" fillId="27" borderId="0" xfId="32" applyFont="1" applyFill="1" applyAlignment="1" applyProtection="1">
      <alignment horizontal="center" vertical="center"/>
    </xf>
    <xf numFmtId="0" fontId="73" fillId="27" borderId="0" xfId="32" applyFont="1" applyFill="1" applyAlignment="1" applyProtection="1">
      <alignment horizontal="center" vertical="center"/>
    </xf>
    <xf numFmtId="0" fontId="73" fillId="27" borderId="0" xfId="32" applyNumberFormat="1" applyFont="1" applyFill="1" applyAlignment="1" applyProtection="1">
      <alignment horizontal="center" vertical="center"/>
    </xf>
    <xf numFmtId="49" fontId="73" fillId="27" borderId="0" xfId="32" applyNumberFormat="1" applyFont="1" applyFill="1" applyAlignment="1" applyProtection="1">
      <alignment horizontal="center" vertical="center"/>
    </xf>
    <xf numFmtId="0" fontId="75" fillId="27" borderId="0" xfId="32" applyNumberFormat="1" applyFont="1" applyFill="1" applyAlignment="1" applyProtection="1">
      <alignment horizontal="center" vertical="center"/>
    </xf>
    <xf numFmtId="0" fontId="51" fillId="27" borderId="0" xfId="0" applyFont="1" applyFill="1" applyAlignment="1" applyProtection="1">
      <alignment vertical="center"/>
    </xf>
    <xf numFmtId="0" fontId="51" fillId="27" borderId="0" xfId="0" applyFont="1" applyFill="1" applyAlignment="1" applyProtection="1">
      <alignment horizontal="center" vertical="center"/>
    </xf>
    <xf numFmtId="0" fontId="16" fillId="0" borderId="0" xfId="0" applyFont="1" applyAlignment="1" applyProtection="1">
      <alignment vertical="center"/>
    </xf>
    <xf numFmtId="10" fontId="15" fillId="21" borderId="16" xfId="70" applyNumberFormat="1" applyFont="1" applyFill="1" applyBorder="1" applyAlignment="1" applyProtection="1">
      <alignment horizontal="center" vertical="center"/>
    </xf>
    <xf numFmtId="10" fontId="15" fillId="21" borderId="12" xfId="70" applyNumberFormat="1" applyFont="1" applyFill="1" applyBorder="1" applyAlignment="1" applyProtection="1">
      <alignment horizontal="center" vertical="center"/>
    </xf>
    <xf numFmtId="10" fontId="15" fillId="0" borderId="0" xfId="0" applyNumberFormat="1" applyFont="1" applyAlignment="1" applyProtection="1">
      <alignment vertical="center"/>
    </xf>
    <xf numFmtId="176" fontId="15" fillId="21" borderId="83" xfId="70" applyNumberFormat="1" applyFont="1" applyFill="1" applyBorder="1" applyAlignment="1" applyProtection="1">
      <alignment horizontal="center" vertical="center"/>
    </xf>
    <xf numFmtId="2" fontId="15" fillId="26" borderId="15" xfId="70" applyNumberFormat="1" applyFont="1" applyFill="1" applyBorder="1" applyAlignment="1" applyProtection="1">
      <alignment horizontal="center" vertical="center"/>
    </xf>
    <xf numFmtId="10" fontId="15" fillId="21" borderId="100" xfId="70" applyNumberFormat="1" applyFont="1" applyFill="1" applyBorder="1" applyAlignment="1" applyProtection="1">
      <alignment horizontal="center" vertical="center"/>
    </xf>
    <xf numFmtId="4" fontId="15" fillId="21" borderId="83" xfId="70" applyNumberFormat="1" applyFont="1" applyFill="1" applyBorder="1" applyAlignment="1" applyProtection="1">
      <alignment horizontal="center" vertical="center"/>
    </xf>
    <xf numFmtId="171" fontId="15" fillId="21" borderId="83" xfId="70" applyNumberFormat="1" applyFont="1" applyFill="1" applyBorder="1" applyAlignment="1" applyProtection="1">
      <alignment horizontal="center" vertical="center"/>
    </xf>
    <xf numFmtId="171" fontId="15" fillId="21" borderId="12" xfId="70" applyNumberFormat="1" applyFont="1" applyFill="1" applyBorder="1" applyAlignment="1" applyProtection="1">
      <alignment horizontal="center" vertical="center"/>
    </xf>
    <xf numFmtId="176" fontId="15" fillId="21" borderId="12" xfId="70" applyNumberFormat="1" applyFont="1" applyFill="1" applyBorder="1" applyAlignment="1" applyProtection="1">
      <alignment horizontal="center" vertical="center"/>
    </xf>
    <xf numFmtId="2" fontId="15" fillId="21" borderId="12" xfId="70" applyNumberFormat="1" applyFont="1" applyFill="1" applyBorder="1" applyAlignment="1" applyProtection="1">
      <alignment horizontal="center" vertical="center"/>
    </xf>
    <xf numFmtId="2" fontId="15" fillId="21" borderId="84" xfId="70" applyNumberFormat="1" applyFont="1" applyFill="1" applyBorder="1" applyAlignment="1" applyProtection="1">
      <alignment horizontal="center" vertical="center"/>
    </xf>
    <xf numFmtId="0" fontId="43" fillId="37" borderId="46" xfId="0" applyFont="1" applyFill="1" applyBorder="1" applyAlignment="1" applyProtection="1">
      <alignment horizontal="center" vertical="center" wrapText="1"/>
    </xf>
    <xf numFmtId="0" fontId="60" fillId="27" borderId="0" xfId="52" applyFont="1" applyFill="1" applyBorder="1" applyAlignment="1" applyProtection="1">
      <alignment vertical="center"/>
    </xf>
    <xf numFmtId="0" fontId="68" fillId="27" borderId="0" xfId="32" applyFont="1" applyFill="1" applyBorder="1" applyAlignment="1" applyProtection="1">
      <alignment horizontal="center" vertical="center"/>
    </xf>
    <xf numFmtId="0" fontId="68" fillId="27" borderId="0" xfId="32" applyFont="1" applyFill="1" applyAlignment="1" applyProtection="1">
      <alignment horizontal="center" vertical="center"/>
    </xf>
    <xf numFmtId="0" fontId="60" fillId="20" borderId="0" xfId="52" applyFont="1" applyFill="1" applyBorder="1" applyAlignment="1" applyProtection="1">
      <alignment vertical="center"/>
    </xf>
    <xf numFmtId="3" fontId="60" fillId="0" borderId="15" xfId="52" applyNumberFormat="1" applyFont="1" applyFill="1" applyBorder="1" applyAlignment="1" applyProtection="1">
      <alignment horizontal="center" vertical="center"/>
    </xf>
    <xf numFmtId="3" fontId="60" fillId="26" borderId="0" xfId="52" applyNumberFormat="1" applyFont="1" applyFill="1" applyAlignment="1" applyProtection="1">
      <alignment vertical="center"/>
    </xf>
    <xf numFmtId="0" fontId="60" fillId="26" borderId="0" xfId="52" applyFont="1" applyFill="1" applyAlignment="1" applyProtection="1">
      <alignment vertical="center"/>
    </xf>
    <xf numFmtId="3" fontId="60" fillId="27" borderId="0" xfId="52" applyNumberFormat="1" applyFont="1" applyFill="1" applyBorder="1" applyAlignment="1" applyProtection="1">
      <alignment vertical="center"/>
    </xf>
    <xf numFmtId="10" fontId="60" fillId="27" borderId="0" xfId="52" applyNumberFormat="1" applyFont="1" applyFill="1" applyAlignment="1" applyProtection="1">
      <alignment vertical="center"/>
    </xf>
    <xf numFmtId="0" fontId="90" fillId="27" borderId="17" xfId="52" applyFont="1" applyFill="1" applyBorder="1" applyAlignment="1" applyProtection="1">
      <alignment horizontal="left" vertical="center" wrapText="1"/>
    </xf>
    <xf numFmtId="0" fontId="44" fillId="27" borderId="0" xfId="57" applyFont="1" applyFill="1" applyAlignment="1" applyProtection="1">
      <alignment vertical="center"/>
    </xf>
    <xf numFmtId="0" fontId="60" fillId="27" borderId="0" xfId="57" applyFont="1" applyFill="1" applyAlignment="1" applyProtection="1">
      <alignment vertical="center"/>
    </xf>
    <xf numFmtId="0" fontId="60" fillId="27" borderId="21" xfId="52" applyFont="1" applyFill="1" applyBorder="1" applyAlignment="1" applyProtection="1">
      <alignment horizontal="left" vertical="center" wrapText="1"/>
    </xf>
    <xf numFmtId="0" fontId="44" fillId="26" borderId="0" xfId="57" applyFont="1" applyFill="1" applyAlignment="1" applyProtection="1">
      <alignment vertical="center"/>
    </xf>
    <xf numFmtId="4" fontId="68" fillId="31" borderId="15" xfId="57" applyNumberFormat="1" applyFont="1" applyFill="1" applyBorder="1" applyAlignment="1" applyProtection="1">
      <alignment horizontal="center" vertical="center"/>
    </xf>
    <xf numFmtId="0" fontId="68" fillId="23" borderId="9" xfId="57" applyFont="1" applyFill="1" applyBorder="1" applyAlignment="1" applyProtection="1">
      <alignment horizontal="left" vertical="center"/>
    </xf>
    <xf numFmtId="0" fontId="15" fillId="27" borderId="0" xfId="57" applyFont="1" applyFill="1" applyAlignment="1" applyProtection="1">
      <alignment vertical="center"/>
    </xf>
    <xf numFmtId="3" fontId="68" fillId="27" borderId="52" xfId="57" applyNumberFormat="1" applyFont="1" applyFill="1" applyBorder="1" applyAlignment="1" applyProtection="1">
      <alignment horizontal="center" vertical="center"/>
    </xf>
    <xf numFmtId="3" fontId="68" fillId="27" borderId="7" xfId="57" applyNumberFormat="1" applyFont="1" applyFill="1" applyBorder="1" applyAlignment="1" applyProtection="1">
      <alignment horizontal="center" vertical="center"/>
    </xf>
    <xf numFmtId="3" fontId="68" fillId="27" borderId="53" xfId="57" applyNumberFormat="1" applyFont="1" applyFill="1" applyBorder="1" applyAlignment="1" applyProtection="1">
      <alignment horizontal="center" vertical="center"/>
    </xf>
    <xf numFmtId="0" fontId="126" fillId="20" borderId="20" xfId="88" applyFont="1" applyFill="1" applyBorder="1" applyAlignment="1" applyProtection="1">
      <alignment vertical="center"/>
    </xf>
    <xf numFmtId="0" fontId="126" fillId="20" borderId="0" xfId="88" applyFont="1" applyFill="1" applyAlignment="1" applyProtection="1">
      <alignment vertical="center"/>
    </xf>
    <xf numFmtId="0" fontId="19" fillId="27" borderId="0" xfId="32" applyFont="1" applyFill="1" applyAlignment="1" applyProtection="1">
      <alignment vertical="center"/>
    </xf>
    <xf numFmtId="0" fontId="15" fillId="27" borderId="0" xfId="32" applyFont="1" applyFill="1" applyAlignment="1" applyProtection="1">
      <alignment vertical="center"/>
    </xf>
    <xf numFmtId="0" fontId="19" fillId="27" borderId="0" xfId="52" applyFont="1" applyFill="1" applyAlignment="1" applyProtection="1">
      <alignment vertical="center"/>
    </xf>
    <xf numFmtId="0" fontId="60" fillId="27" borderId="0" xfId="80" applyFont="1" applyFill="1" applyBorder="1" applyAlignment="1" applyProtection="1">
      <alignment vertical="center"/>
    </xf>
    <xf numFmtId="0" fontId="60" fillId="27" borderId="0" xfId="80" applyFont="1" applyFill="1" applyAlignment="1" applyProtection="1">
      <alignment vertical="center"/>
    </xf>
    <xf numFmtId="0" fontId="60" fillId="20" borderId="18" xfId="52" applyFont="1" applyFill="1" applyBorder="1" applyAlignment="1" applyProtection="1">
      <alignment horizontal="left" vertical="center" wrapText="1"/>
    </xf>
    <xf numFmtId="10" fontId="68" fillId="31" borderId="52" xfId="70" applyNumberFormat="1" applyFont="1" applyFill="1" applyBorder="1" applyAlignment="1" applyProtection="1">
      <alignment horizontal="center" vertical="center"/>
    </xf>
    <xf numFmtId="10" fontId="68" fillId="31" borderId="7" xfId="70" applyNumberFormat="1" applyFont="1" applyFill="1" applyBorder="1" applyAlignment="1" applyProtection="1">
      <alignment horizontal="center" vertical="center"/>
    </xf>
    <xf numFmtId="10" fontId="68" fillId="31" borderId="53" xfId="70" applyNumberFormat="1" applyFont="1" applyFill="1" applyBorder="1" applyAlignment="1" applyProtection="1">
      <alignment horizontal="center" vertical="center"/>
    </xf>
    <xf numFmtId="0" fontId="24" fillId="28" borderId="1" xfId="49" applyFont="1" applyFill="1" applyBorder="1" applyAlignment="1" applyProtection="1">
      <alignment horizontal="left" vertical="center"/>
      <protection locked="0"/>
    </xf>
    <xf numFmtId="0" fontId="43" fillId="28" borderId="8" xfId="49" applyFont="1" applyFill="1" applyBorder="1" applyAlignment="1" applyProtection="1">
      <alignment horizontal="center" vertical="center" wrapText="1"/>
      <protection locked="0"/>
    </xf>
    <xf numFmtId="0" fontId="43" fillId="28" borderId="3" xfId="49" applyFont="1" applyFill="1" applyBorder="1" applyAlignment="1" applyProtection="1">
      <alignment horizontal="center" vertical="center" wrapText="1"/>
      <protection locked="0"/>
    </xf>
    <xf numFmtId="0" fontId="24" fillId="27" borderId="0" xfId="0" applyFont="1" applyFill="1" applyAlignment="1" applyProtection="1">
      <alignment horizontal="left" vertical="center"/>
    </xf>
    <xf numFmtId="3" fontId="46" fillId="27" borderId="0" xfId="49" applyNumberFormat="1" applyFont="1" applyFill="1" applyAlignment="1" applyProtection="1">
      <alignment vertical="center" wrapText="1"/>
    </xf>
    <xf numFmtId="0" fontId="55" fillId="27" borderId="0" xfId="49" applyFont="1" applyFill="1" applyBorder="1" applyAlignment="1" applyProtection="1">
      <alignment horizontal="left" vertical="center" wrapText="1"/>
    </xf>
    <xf numFmtId="170" fontId="43" fillId="37" borderId="70" xfId="49" applyNumberFormat="1" applyFont="1" applyFill="1" applyBorder="1" applyAlignment="1" applyProtection="1">
      <alignment horizontal="center" vertical="center" wrapText="1"/>
    </xf>
    <xf numFmtId="0" fontId="41" fillId="26" borderId="52" xfId="0" applyFont="1" applyFill="1" applyBorder="1" applyAlignment="1" applyProtection="1">
      <alignment horizontal="center" vertical="center" wrapText="1"/>
    </xf>
    <xf numFmtId="0" fontId="46" fillId="0" borderId="0" xfId="0" applyFont="1" applyAlignment="1" applyProtection="1">
      <alignment horizontal="left" vertical="center"/>
    </xf>
    <xf numFmtId="0" fontId="46" fillId="27" borderId="0" xfId="49" applyFont="1" applyFill="1" applyAlignment="1" applyProtection="1">
      <alignment vertical="center" wrapText="1"/>
    </xf>
    <xf numFmtId="0" fontId="24" fillId="27" borderId="0" xfId="32" applyFont="1" applyFill="1" applyAlignment="1" applyProtection="1">
      <alignment vertical="center"/>
    </xf>
    <xf numFmtId="3" fontId="44" fillId="26" borderId="31" xfId="0" applyNumberFormat="1" applyFont="1" applyFill="1" applyBorder="1" applyAlignment="1" applyProtection="1">
      <alignment horizontal="center" vertical="center"/>
    </xf>
    <xf numFmtId="3" fontId="43" fillId="24" borderId="52" xfId="0" applyNumberFormat="1" applyFont="1" applyFill="1" applyBorder="1" applyAlignment="1" applyProtection="1">
      <alignment horizontal="center" vertical="center"/>
    </xf>
    <xf numFmtId="0" fontId="17" fillId="26" borderId="52" xfId="0" applyFont="1" applyFill="1" applyBorder="1" applyAlignment="1" applyProtection="1">
      <alignment horizontal="center" vertical="center"/>
    </xf>
    <xf numFmtId="3" fontId="44" fillId="29" borderId="53" xfId="49" applyNumberFormat="1" applyFont="1" applyFill="1" applyBorder="1" applyAlignment="1" applyProtection="1">
      <alignment horizontal="right" vertical="center"/>
    </xf>
    <xf numFmtId="0" fontId="44" fillId="26" borderId="52" xfId="0" applyFont="1" applyFill="1" applyBorder="1" applyAlignment="1" applyProtection="1">
      <alignment horizontal="center" vertical="center"/>
    </xf>
    <xf numFmtId="0" fontId="44" fillId="26" borderId="56" xfId="0" applyFont="1" applyFill="1" applyBorder="1" applyAlignment="1" applyProtection="1">
      <alignment horizontal="center" vertical="center"/>
    </xf>
    <xf numFmtId="0" fontId="111" fillId="0" borderId="77" xfId="0" applyFont="1" applyFill="1" applyBorder="1" applyAlignment="1" applyProtection="1">
      <alignment horizontal="left" vertical="center" wrapText="1"/>
    </xf>
    <xf numFmtId="171" fontId="112" fillId="26" borderId="77" xfId="49" applyNumberFormat="1" applyFont="1" applyFill="1" applyBorder="1" applyAlignment="1" applyProtection="1">
      <alignment horizontal="center" vertical="center"/>
    </xf>
    <xf numFmtId="171" fontId="44" fillId="28" borderId="53" xfId="0" applyNumberFormat="1" applyFont="1" applyFill="1" applyBorder="1" applyAlignment="1" applyProtection="1">
      <alignment horizontal="center" vertical="center" wrapText="1"/>
      <protection locked="0"/>
    </xf>
    <xf numFmtId="171" fontId="44" fillId="28" borderId="53" xfId="0" applyNumberFormat="1" applyFont="1" applyFill="1" applyBorder="1" applyAlignment="1" applyProtection="1">
      <alignment horizontal="center" vertical="center"/>
      <protection locked="0"/>
    </xf>
    <xf numFmtId="0" fontId="17" fillId="26" borderId="56" xfId="0" applyFont="1" applyFill="1" applyBorder="1" applyAlignment="1" applyProtection="1">
      <alignment horizontal="center" vertical="center"/>
    </xf>
    <xf numFmtId="0" fontId="44" fillId="26" borderId="52" xfId="0" applyFont="1" applyFill="1" applyBorder="1" applyAlignment="1" applyProtection="1">
      <alignment horizontal="center" vertical="center" wrapText="1"/>
    </xf>
    <xf numFmtId="3" fontId="43" fillId="24" borderId="56" xfId="0" applyNumberFormat="1" applyFont="1" applyFill="1" applyBorder="1" applyAlignment="1" applyProtection="1">
      <alignment horizontal="center" vertical="center"/>
    </xf>
    <xf numFmtId="3" fontId="43" fillId="24" borderId="77" xfId="0" applyNumberFormat="1" applyFont="1" applyFill="1" applyBorder="1" applyAlignment="1" applyProtection="1">
      <alignment horizontal="left" vertical="center" wrapText="1"/>
    </xf>
    <xf numFmtId="167" fontId="43" fillId="24" borderId="77" xfId="0" applyNumberFormat="1" applyFont="1" applyFill="1" applyBorder="1" applyAlignment="1" applyProtection="1">
      <alignment horizontal="center" vertical="center"/>
    </xf>
    <xf numFmtId="171" fontId="43" fillId="24" borderId="77" xfId="0" applyNumberFormat="1" applyFont="1" applyFill="1" applyBorder="1" applyAlignment="1" applyProtection="1">
      <alignment horizontal="center" vertical="center"/>
    </xf>
    <xf numFmtId="0" fontId="44" fillId="27" borderId="54" xfId="0" applyFont="1" applyFill="1" applyBorder="1" applyAlignment="1" applyProtection="1">
      <alignment horizontal="center" vertical="center" wrapText="1"/>
    </xf>
    <xf numFmtId="0" fontId="44" fillId="27" borderId="56" xfId="0" applyFont="1" applyFill="1" applyBorder="1" applyAlignment="1" applyProtection="1">
      <alignment horizontal="center" vertical="center" wrapText="1"/>
    </xf>
    <xf numFmtId="3" fontId="44" fillId="20" borderId="52" xfId="0" applyNumberFormat="1" applyFont="1" applyFill="1" applyBorder="1" applyAlignment="1" applyProtection="1">
      <alignment horizontal="center" vertical="center"/>
    </xf>
    <xf numFmtId="4" fontId="44" fillId="26" borderId="53" xfId="0" applyNumberFormat="1" applyFont="1" applyFill="1" applyBorder="1" applyAlignment="1" applyProtection="1">
      <alignment horizontal="center" vertical="center"/>
    </xf>
    <xf numFmtId="3" fontId="44" fillId="20" borderId="56" xfId="0" applyNumberFormat="1" applyFont="1" applyFill="1" applyBorder="1" applyAlignment="1" applyProtection="1">
      <alignment horizontal="center" vertical="center"/>
    </xf>
    <xf numFmtId="4" fontId="44" fillId="3" borderId="77" xfId="0" applyNumberFormat="1" applyFont="1" applyFill="1" applyBorder="1" applyAlignment="1" applyProtection="1">
      <alignment horizontal="center" vertical="center"/>
      <protection locked="0"/>
    </xf>
    <xf numFmtId="4" fontId="44" fillId="26" borderId="77" xfId="0" applyNumberFormat="1" applyFont="1" applyFill="1" applyBorder="1" applyAlignment="1" applyProtection="1">
      <alignment horizontal="center" vertical="center"/>
    </xf>
    <xf numFmtId="4" fontId="44" fillId="26" borderId="57" xfId="0" applyNumberFormat="1" applyFont="1" applyFill="1" applyBorder="1" applyAlignment="1" applyProtection="1">
      <alignment horizontal="center" vertical="center"/>
    </xf>
    <xf numFmtId="3" fontId="43" fillId="39" borderId="29" xfId="0" applyNumberFormat="1" applyFont="1" applyFill="1" applyBorder="1" applyAlignment="1" applyProtection="1">
      <alignment vertical="center"/>
    </xf>
    <xf numFmtId="3" fontId="44" fillId="20" borderId="31" xfId="0" applyNumberFormat="1" applyFont="1" applyFill="1" applyBorder="1" applyAlignment="1" applyProtection="1">
      <alignment horizontal="left" vertical="center" wrapText="1"/>
    </xf>
    <xf numFmtId="4" fontId="44" fillId="3" borderId="31" xfId="0" applyNumberFormat="1" applyFont="1" applyFill="1" applyBorder="1" applyAlignment="1" applyProtection="1">
      <alignment horizontal="center" vertical="center"/>
      <protection locked="0"/>
    </xf>
    <xf numFmtId="4" fontId="44" fillId="26" borderId="31" xfId="0" applyNumberFormat="1" applyFont="1" applyFill="1" applyBorder="1" applyAlignment="1" applyProtection="1">
      <alignment horizontal="center" vertical="center"/>
    </xf>
    <xf numFmtId="175" fontId="44" fillId="26" borderId="31" xfId="0" applyNumberFormat="1" applyFont="1" applyFill="1" applyBorder="1" applyAlignment="1" applyProtection="1">
      <alignment horizontal="center" vertical="center"/>
    </xf>
    <xf numFmtId="4" fontId="44" fillId="26" borderId="50" xfId="0" applyNumberFormat="1" applyFont="1" applyFill="1" applyBorder="1" applyAlignment="1" applyProtection="1">
      <alignment horizontal="center" vertical="center"/>
    </xf>
    <xf numFmtId="3" fontId="43" fillId="39" borderId="38" xfId="0" applyNumberFormat="1" applyFont="1" applyFill="1" applyBorder="1" applyAlignment="1" applyProtection="1">
      <alignment vertical="center" wrapText="1"/>
    </xf>
    <xf numFmtId="0" fontId="44" fillId="27" borderId="49" xfId="0" applyFont="1" applyFill="1" applyBorder="1" applyAlignment="1" applyProtection="1">
      <alignment horizontal="center" vertical="center" wrapText="1"/>
    </xf>
    <xf numFmtId="0" fontId="44" fillId="27" borderId="31" xfId="0" applyFont="1" applyFill="1" applyBorder="1" applyAlignment="1" applyProtection="1">
      <alignment horizontal="left" vertical="center" wrapText="1"/>
    </xf>
    <xf numFmtId="167" fontId="44" fillId="27" borderId="31" xfId="0" applyNumberFormat="1" applyFont="1" applyFill="1" applyBorder="1" applyAlignment="1" applyProtection="1">
      <alignment horizontal="center" vertical="center"/>
    </xf>
    <xf numFmtId="171" fontId="44" fillId="27" borderId="31" xfId="0" applyNumberFormat="1" applyFont="1" applyFill="1" applyBorder="1" applyAlignment="1" applyProtection="1">
      <alignment horizontal="center" vertical="center"/>
    </xf>
    <xf numFmtId="171" fontId="44" fillId="27" borderId="61" xfId="0" applyNumberFormat="1" applyFont="1" applyFill="1" applyBorder="1" applyAlignment="1" applyProtection="1">
      <alignment horizontal="center" vertical="center"/>
    </xf>
    <xf numFmtId="3" fontId="44" fillId="26" borderId="137" xfId="32" applyNumberFormat="1" applyFont="1" applyFill="1" applyBorder="1" applyAlignment="1" applyProtection="1">
      <alignment horizontal="center" vertical="center"/>
    </xf>
    <xf numFmtId="167" fontId="44" fillId="3" borderId="31" xfId="0" applyNumberFormat="1" applyFont="1" applyFill="1" applyBorder="1" applyAlignment="1" applyProtection="1">
      <alignment horizontal="center" vertical="center"/>
      <protection locked="0"/>
    </xf>
    <xf numFmtId="167" fontId="44" fillId="3" borderId="31" xfId="0" applyNumberFormat="1" applyFont="1" applyFill="1" applyBorder="1" applyAlignment="1" applyProtection="1">
      <alignment horizontal="center" vertical="center" wrapText="1"/>
      <protection locked="0"/>
    </xf>
    <xf numFmtId="167" fontId="44" fillId="26" borderId="31" xfId="0" applyNumberFormat="1" applyFont="1" applyFill="1" applyBorder="1" applyAlignment="1" applyProtection="1">
      <alignment horizontal="center" vertical="center" wrapText="1"/>
    </xf>
    <xf numFmtId="3" fontId="44" fillId="28" borderId="50" xfId="0" applyNumberFormat="1" applyFont="1" applyFill="1" applyBorder="1" applyAlignment="1" applyProtection="1">
      <alignment horizontal="center" vertical="center" wrapText="1"/>
      <protection locked="0"/>
    </xf>
    <xf numFmtId="0" fontId="44" fillId="0" borderId="31" xfId="0" applyFont="1" applyFill="1" applyBorder="1" applyAlignment="1" applyProtection="1">
      <alignment horizontal="left" vertical="center" wrapText="1"/>
    </xf>
    <xf numFmtId="3" fontId="44" fillId="29" borderId="31" xfId="49" applyNumberFormat="1" applyFont="1" applyFill="1" applyBorder="1" applyAlignment="1" applyProtection="1">
      <alignment horizontal="right" vertical="center"/>
    </xf>
    <xf numFmtId="3" fontId="44" fillId="29" borderId="50" xfId="49" applyNumberFormat="1" applyFont="1" applyFill="1" applyBorder="1" applyAlignment="1" applyProtection="1">
      <alignment horizontal="right" vertical="center"/>
    </xf>
    <xf numFmtId="0" fontId="44" fillId="27" borderId="47" xfId="0" applyFont="1" applyFill="1" applyBorder="1" applyAlignment="1" applyProtection="1">
      <alignment horizontal="center" vertical="center" wrapText="1"/>
    </xf>
    <xf numFmtId="0" fontId="44" fillId="26" borderId="71" xfId="0" applyFont="1" applyFill="1" applyBorder="1" applyAlignment="1" applyProtection="1">
      <alignment horizontal="left" vertical="center" wrapText="1"/>
    </xf>
    <xf numFmtId="0" fontId="19" fillId="0" borderId="0" xfId="32" applyFont="1" applyFill="1" applyAlignment="1" applyProtection="1">
      <alignment vertical="center"/>
    </xf>
    <xf numFmtId="166" fontId="44" fillId="20" borderId="0" xfId="32" applyNumberFormat="1" applyFont="1" applyFill="1" applyBorder="1" applyAlignment="1" applyProtection="1">
      <alignment vertical="center"/>
    </xf>
    <xf numFmtId="0" fontId="44" fillId="20" borderId="0" xfId="32" applyFont="1" applyFill="1" applyBorder="1" applyAlignment="1" applyProtection="1">
      <alignment vertical="center"/>
    </xf>
    <xf numFmtId="0" fontId="44" fillId="0" borderId="0" xfId="78" applyFont="1" applyAlignment="1" applyProtection="1">
      <alignment vertical="center"/>
    </xf>
    <xf numFmtId="166" fontId="44" fillId="0" borderId="0" xfId="32" applyNumberFormat="1" applyFont="1" applyFill="1" applyBorder="1" applyAlignment="1" applyProtection="1">
      <alignment vertical="center"/>
    </xf>
    <xf numFmtId="3" fontId="43" fillId="0" borderId="0" xfId="32" applyNumberFormat="1" applyFont="1" applyAlignment="1" applyProtection="1">
      <alignment vertical="center"/>
    </xf>
    <xf numFmtId="0" fontId="15" fillId="0" borderId="0" xfId="32" applyFont="1" applyAlignment="1" applyProtection="1">
      <alignment horizontal="center" vertical="center"/>
    </xf>
    <xf numFmtId="3" fontId="44" fillId="27" borderId="75" xfId="32" applyNumberFormat="1" applyFont="1" applyFill="1" applyBorder="1" applyAlignment="1" applyProtection="1">
      <alignment horizontal="center" vertical="center"/>
    </xf>
    <xf numFmtId="0" fontId="44" fillId="27" borderId="73" xfId="32" applyFont="1" applyFill="1" applyBorder="1" applyAlignment="1" applyProtection="1">
      <alignment horizontal="center" vertical="center"/>
    </xf>
    <xf numFmtId="0" fontId="44" fillId="27" borderId="76" xfId="32" applyFont="1" applyFill="1" applyBorder="1" applyAlignment="1" applyProtection="1">
      <alignment horizontal="center" vertical="center"/>
    </xf>
    <xf numFmtId="3" fontId="44" fillId="27" borderId="52" xfId="32" applyNumberFormat="1" applyFont="1" applyFill="1" applyBorder="1" applyAlignment="1" applyProtection="1">
      <alignment horizontal="center" vertical="center"/>
    </xf>
    <xf numFmtId="0" fontId="44" fillId="27" borderId="7" xfId="32" applyFont="1" applyFill="1" applyBorder="1" applyAlignment="1" applyProtection="1">
      <alignment horizontal="center" vertical="center"/>
    </xf>
    <xf numFmtId="0" fontId="44" fillId="27" borderId="53" xfId="32" applyFont="1" applyFill="1" applyBorder="1" applyAlignment="1" applyProtection="1">
      <alignment horizontal="center" vertical="center"/>
    </xf>
    <xf numFmtId="0" fontId="44" fillId="26" borderId="0" xfId="32" applyFont="1" applyFill="1" applyAlignment="1" applyProtection="1">
      <alignment vertical="center"/>
    </xf>
    <xf numFmtId="0" fontId="45" fillId="27" borderId="77" xfId="32" applyFont="1" applyFill="1" applyBorder="1" applyAlignment="1" applyProtection="1">
      <alignment horizontal="center" vertical="center"/>
    </xf>
    <xf numFmtId="3" fontId="104" fillId="0" borderId="28" xfId="32" applyNumberFormat="1" applyFont="1" applyFill="1" applyBorder="1" applyAlignment="1" applyProtection="1">
      <alignment horizontal="right" vertical="center" wrapText="1"/>
    </xf>
    <xf numFmtId="3" fontId="104" fillId="26" borderId="30" xfId="32" applyNumberFormat="1" applyFont="1" applyFill="1" applyBorder="1" applyAlignment="1" applyProtection="1">
      <alignment horizontal="center" vertical="center"/>
    </xf>
    <xf numFmtId="3" fontId="104" fillId="26" borderId="19" xfId="32" applyNumberFormat="1" applyFont="1" applyFill="1" applyBorder="1" applyAlignment="1" applyProtection="1">
      <alignment horizontal="center" vertical="center"/>
    </xf>
    <xf numFmtId="3" fontId="44" fillId="27" borderId="49" xfId="32" applyNumberFormat="1" applyFont="1" applyFill="1" applyBorder="1" applyAlignment="1" applyProtection="1">
      <alignment horizontal="center" vertical="center"/>
    </xf>
    <xf numFmtId="0" fontId="44" fillId="27" borderId="31" xfId="32" applyFont="1" applyFill="1" applyBorder="1" applyAlignment="1" applyProtection="1">
      <alignment horizontal="center" vertical="center"/>
    </xf>
    <xf numFmtId="0" fontId="44" fillId="27" borderId="50" xfId="32" applyFont="1" applyFill="1" applyBorder="1" applyAlignment="1" applyProtection="1">
      <alignment horizontal="center" vertical="center"/>
    </xf>
    <xf numFmtId="0" fontId="44" fillId="26" borderId="0" xfId="0" applyFont="1" applyFill="1" applyAlignment="1" applyProtection="1">
      <alignment vertical="center" wrapText="1"/>
    </xf>
    <xf numFmtId="0" fontId="50" fillId="22" borderId="21" xfId="32" applyFont="1" applyFill="1" applyBorder="1" applyAlignment="1" applyProtection="1">
      <alignment horizontal="center" vertical="center"/>
    </xf>
    <xf numFmtId="0" fontId="48" fillId="0" borderId="21" xfId="0" applyFont="1" applyFill="1" applyBorder="1" applyAlignment="1" applyProtection="1">
      <alignment horizontal="center" vertical="center"/>
    </xf>
    <xf numFmtId="9" fontId="48" fillId="27" borderId="21" xfId="70" applyFont="1" applyFill="1" applyBorder="1" applyAlignment="1" applyProtection="1">
      <alignment horizontal="center" vertical="center"/>
    </xf>
    <xf numFmtId="3" fontId="48" fillId="27" borderId="30" xfId="32" applyNumberFormat="1" applyFont="1" applyFill="1" applyBorder="1" applyAlignment="1" applyProtection="1">
      <alignment horizontal="left" vertical="center" wrapText="1"/>
    </xf>
    <xf numFmtId="3" fontId="60" fillId="0" borderId="30" xfId="55" applyNumberFormat="1" applyFont="1" applyFill="1" applyBorder="1" applyAlignment="1" applyProtection="1">
      <alignment horizontal="center" vertical="center"/>
    </xf>
    <xf numFmtId="3" fontId="60" fillId="0" borderId="57" xfId="55" applyNumberFormat="1" applyFont="1" applyFill="1" applyBorder="1" applyAlignment="1" applyProtection="1">
      <alignment horizontal="center" vertical="center"/>
    </xf>
    <xf numFmtId="3" fontId="60" fillId="0" borderId="56" xfId="55" applyNumberFormat="1" applyFont="1" applyFill="1" applyBorder="1" applyAlignment="1" applyProtection="1">
      <alignment horizontal="center" vertical="center"/>
    </xf>
    <xf numFmtId="3" fontId="60" fillId="0" borderId="77" xfId="55" applyNumberFormat="1" applyFont="1" applyFill="1" applyBorder="1" applyAlignment="1" applyProtection="1">
      <alignment horizontal="center" vertical="center"/>
    </xf>
    <xf numFmtId="3" fontId="60" fillId="0" borderId="78" xfId="55" applyNumberFormat="1" applyFont="1" applyFill="1" applyBorder="1" applyAlignment="1" applyProtection="1">
      <alignment horizontal="center" vertical="center"/>
    </xf>
    <xf numFmtId="3" fontId="60" fillId="3" borderId="77" xfId="32" applyNumberFormat="1" applyFont="1" applyFill="1" applyBorder="1" applyAlignment="1" applyProtection="1">
      <alignment horizontal="center" vertical="center"/>
      <protection locked="0"/>
    </xf>
    <xf numFmtId="3" fontId="60" fillId="3" borderId="78" xfId="32" applyNumberFormat="1" applyFont="1" applyFill="1" applyBorder="1" applyAlignment="1" applyProtection="1">
      <alignment horizontal="center" vertical="center"/>
      <protection locked="0"/>
    </xf>
    <xf numFmtId="3" fontId="60" fillId="3" borderId="21" xfId="32" applyNumberFormat="1" applyFont="1" applyFill="1" applyBorder="1" applyAlignment="1" applyProtection="1">
      <alignment horizontal="center" vertical="center" wrapText="1"/>
      <protection locked="0"/>
    </xf>
    <xf numFmtId="3" fontId="139" fillId="0" borderId="21" xfId="32" applyNumberFormat="1" applyFont="1" applyFill="1" applyBorder="1" applyAlignment="1" applyProtection="1">
      <alignment horizontal="left" vertical="center" wrapText="1"/>
    </xf>
    <xf numFmtId="0" fontId="90" fillId="27" borderId="0" xfId="0" applyFont="1" applyFill="1" applyAlignment="1" applyProtection="1">
      <alignment horizontal="left" vertical="center"/>
    </xf>
    <xf numFmtId="14" fontId="43" fillId="27" borderId="0" xfId="32" applyNumberFormat="1" applyFont="1" applyFill="1" applyBorder="1" applyAlignment="1" applyProtection="1">
      <alignment vertical="center"/>
    </xf>
    <xf numFmtId="14" fontId="48" fillId="27" borderId="0" xfId="32" applyNumberFormat="1" applyFont="1" applyFill="1" applyBorder="1" applyAlignment="1" applyProtection="1">
      <alignment vertical="center"/>
    </xf>
    <xf numFmtId="0" fontId="48" fillId="22" borderId="21" xfId="32" applyFont="1" applyFill="1" applyBorder="1" applyAlignment="1" applyProtection="1">
      <alignment horizontal="center" vertical="center"/>
    </xf>
    <xf numFmtId="0" fontId="48" fillId="0" borderId="21" xfId="32" applyFont="1" applyFill="1" applyBorder="1" applyAlignment="1" applyProtection="1">
      <alignment horizontal="center" vertical="center"/>
    </xf>
    <xf numFmtId="3" fontId="48" fillId="27" borderId="21" xfId="32" applyNumberFormat="1" applyFont="1" applyFill="1" applyBorder="1" applyAlignment="1" applyProtection="1">
      <alignment horizontal="left" vertical="center" wrapText="1"/>
    </xf>
    <xf numFmtId="0" fontId="44" fillId="26" borderId="0" xfId="0" applyNumberFormat="1" applyFont="1" applyFill="1" applyBorder="1" applyAlignment="1" applyProtection="1">
      <alignment horizontal="right" vertical="center"/>
    </xf>
    <xf numFmtId="0" fontId="46" fillId="0" borderId="0" xfId="0" applyFont="1" applyFill="1" applyAlignment="1" applyProtection="1">
      <alignment vertical="center"/>
    </xf>
    <xf numFmtId="3" fontId="45" fillId="44" borderId="56" xfId="37" applyNumberFormat="1" applyFont="1" applyFill="1" applyBorder="1" applyAlignment="1" applyProtection="1">
      <alignment horizontal="center" vertical="center" wrapText="1"/>
    </xf>
    <xf numFmtId="3" fontId="45" fillId="44" borderId="77" xfId="37" applyNumberFormat="1" applyFont="1" applyFill="1" applyBorder="1" applyAlignment="1" applyProtection="1">
      <alignment horizontal="center" vertical="center" wrapText="1"/>
    </xf>
    <xf numFmtId="3" fontId="45" fillId="44" borderId="57" xfId="37" applyNumberFormat="1" applyFont="1" applyFill="1" applyBorder="1" applyAlignment="1" applyProtection="1">
      <alignment horizontal="center" vertical="center" wrapText="1"/>
    </xf>
    <xf numFmtId="49" fontId="15" fillId="0" borderId="28" xfId="0" applyNumberFormat="1" applyFont="1" applyBorder="1" applyAlignment="1" applyProtection="1">
      <alignment horizontal="center" vertical="center"/>
    </xf>
    <xf numFmtId="0" fontId="44" fillId="0" borderId="28" xfId="31" applyFont="1" applyBorder="1" applyAlignment="1" applyProtection="1">
      <alignment vertical="center"/>
    </xf>
    <xf numFmtId="0" fontId="43" fillId="0" borderId="76" xfId="49" applyFont="1" applyFill="1" applyBorder="1" applyAlignment="1" applyProtection="1">
      <alignment horizontal="left" vertical="center" wrapText="1"/>
    </xf>
    <xf numFmtId="0" fontId="43" fillId="0" borderId="53" xfId="49" applyFont="1" applyFill="1" applyBorder="1" applyAlignment="1" applyProtection="1">
      <alignment horizontal="left" vertical="center" wrapText="1"/>
    </xf>
    <xf numFmtId="0" fontId="43" fillId="0" borderId="55" xfId="49" applyFont="1" applyFill="1" applyBorder="1" applyAlignment="1" applyProtection="1">
      <alignment horizontal="left" vertical="center" wrapText="1"/>
    </xf>
    <xf numFmtId="3" fontId="15" fillId="3" borderId="3" xfId="32" applyNumberFormat="1" applyFont="1" applyFill="1" applyBorder="1" applyAlignment="1" applyProtection="1">
      <alignment horizontal="center" vertical="center"/>
      <protection locked="0"/>
    </xf>
    <xf numFmtId="3" fontId="15" fillId="3" borderId="8" xfId="32" applyNumberFormat="1" applyFont="1" applyFill="1" applyBorder="1" applyAlignment="1" applyProtection="1">
      <alignment horizontal="center" vertical="center"/>
      <protection locked="0"/>
    </xf>
    <xf numFmtId="178" fontId="15" fillId="26" borderId="38" xfId="32" applyNumberFormat="1" applyFont="1" applyFill="1" applyBorder="1" applyAlignment="1" applyProtection="1">
      <alignment horizontal="center" vertical="center"/>
    </xf>
    <xf numFmtId="3" fontId="15" fillId="3" borderId="49" xfId="32" applyNumberFormat="1" applyFont="1" applyFill="1" applyBorder="1" applyAlignment="1" applyProtection="1">
      <alignment horizontal="center" vertical="center"/>
      <protection locked="0"/>
    </xf>
    <xf numFmtId="173" fontId="44" fillId="0" borderId="4" xfId="37" applyNumberFormat="1" applyFont="1" applyFill="1" applyBorder="1" applyAlignment="1" applyProtection="1">
      <alignment horizontal="right" vertical="center" wrapText="1"/>
    </xf>
    <xf numFmtId="173" fontId="44" fillId="0" borderId="31" xfId="28" applyNumberFormat="1" applyFont="1" applyFill="1" applyBorder="1" applyAlignment="1" applyProtection="1">
      <alignment horizontal="right" vertical="center" wrapText="1"/>
    </xf>
    <xf numFmtId="173" fontId="44" fillId="0" borderId="50" xfId="28" applyNumberFormat="1" applyFont="1" applyFill="1" applyBorder="1" applyAlignment="1" applyProtection="1">
      <alignment horizontal="right" vertical="center" wrapText="1"/>
    </xf>
    <xf numFmtId="173" fontId="44" fillId="0" borderId="31" xfId="37" applyNumberFormat="1" applyFont="1" applyFill="1" applyBorder="1" applyAlignment="1" applyProtection="1">
      <alignment horizontal="right" vertical="center" wrapText="1"/>
    </xf>
    <xf numFmtId="3" fontId="15" fillId="26" borderId="49" xfId="32" applyNumberFormat="1" applyFont="1" applyFill="1" applyBorder="1" applyAlignment="1" applyProtection="1">
      <alignment horizontal="center" vertical="center"/>
    </xf>
    <xf numFmtId="173" fontId="44" fillId="26" borderId="31" xfId="37" applyNumberFormat="1" applyFont="1" applyFill="1" applyBorder="1" applyAlignment="1" applyProtection="1">
      <alignment horizontal="right" vertical="center" wrapText="1"/>
    </xf>
    <xf numFmtId="173" fontId="44" fillId="26" borderId="31" xfId="28" applyNumberFormat="1" applyFont="1" applyFill="1" applyBorder="1" applyAlignment="1" applyProtection="1">
      <alignment horizontal="right" vertical="center" wrapText="1"/>
    </xf>
    <xf numFmtId="173" fontId="44" fillId="26" borderId="50" xfId="28" applyNumberFormat="1" applyFont="1" applyFill="1" applyBorder="1" applyAlignment="1" applyProtection="1">
      <alignment horizontal="right" vertical="center" wrapText="1"/>
    </xf>
    <xf numFmtId="49" fontId="15" fillId="0" borderId="17" xfId="0" applyNumberFormat="1" applyFont="1" applyBorder="1" applyAlignment="1" applyProtection="1">
      <alignment horizontal="center" vertical="center"/>
    </xf>
    <xf numFmtId="49" fontId="15" fillId="0" borderId="5" xfId="0" applyNumberFormat="1" applyFont="1" applyBorder="1" applyAlignment="1" applyProtection="1">
      <alignment horizontal="center" vertical="center"/>
    </xf>
    <xf numFmtId="49" fontId="15" fillId="0" borderId="21" xfId="0" applyNumberFormat="1" applyFont="1" applyBorder="1" applyAlignment="1" applyProtection="1">
      <alignment horizontal="center" vertical="center"/>
    </xf>
    <xf numFmtId="49" fontId="44" fillId="0" borderId="37" xfId="27" applyFont="1" applyFill="1" applyBorder="1" applyAlignment="1" applyProtection="1">
      <alignment vertical="center" wrapText="1"/>
    </xf>
    <xf numFmtId="49" fontId="15" fillId="0" borderId="39" xfId="0" applyNumberFormat="1" applyFont="1" applyBorder="1" applyAlignment="1" applyProtection="1">
      <alignment horizontal="center" vertical="center"/>
    </xf>
    <xf numFmtId="49" fontId="44" fillId="0" borderId="6" xfId="27" applyFont="1" applyFill="1" applyBorder="1" applyAlignment="1" applyProtection="1">
      <alignment vertical="center" wrapText="1"/>
    </xf>
    <xf numFmtId="49" fontId="44" fillId="0" borderId="15" xfId="27" applyFont="1" applyFill="1" applyBorder="1" applyAlignment="1" applyProtection="1">
      <alignment vertical="center" wrapText="1"/>
    </xf>
    <xf numFmtId="49" fontId="44" fillId="0" borderId="18" xfId="27" applyFont="1" applyFill="1" applyBorder="1" applyAlignment="1" applyProtection="1">
      <alignment vertical="center" wrapText="1"/>
    </xf>
    <xf numFmtId="0" fontId="53" fillId="27" borderId="0" xfId="49" applyFont="1" applyFill="1" applyAlignment="1" applyProtection="1">
      <alignment vertical="center" wrapText="1"/>
    </xf>
    <xf numFmtId="0" fontId="53" fillId="27" borderId="0" xfId="49" applyFont="1" applyFill="1" applyAlignment="1" applyProtection="1">
      <alignment vertical="center"/>
    </xf>
    <xf numFmtId="3" fontId="53" fillId="27" borderId="0" xfId="49" applyNumberFormat="1" applyFont="1" applyFill="1" applyAlignment="1" applyProtection="1">
      <alignment vertical="center" wrapText="1"/>
    </xf>
    <xf numFmtId="3" fontId="53" fillId="27" borderId="0" xfId="49" applyNumberFormat="1" applyFont="1" applyFill="1" applyAlignment="1" applyProtection="1">
      <alignment vertical="center"/>
    </xf>
    <xf numFmtId="3" fontId="46" fillId="27" borderId="0" xfId="49" applyNumberFormat="1" applyFont="1" applyFill="1" applyAlignment="1" applyProtection="1">
      <alignment vertical="center"/>
    </xf>
    <xf numFmtId="0" fontId="44" fillId="27" borderId="5" xfId="49" applyFont="1" applyFill="1" applyBorder="1" applyAlignment="1" applyProtection="1">
      <alignment horizontal="center" vertical="center"/>
    </xf>
    <xf numFmtId="9" fontId="44" fillId="26" borderId="5" xfId="49" applyNumberFormat="1" applyFont="1" applyFill="1" applyBorder="1" applyAlignment="1" applyProtection="1">
      <alignment horizontal="center" vertical="center"/>
    </xf>
    <xf numFmtId="49" fontId="44" fillId="26" borderId="5" xfId="49" applyNumberFormat="1" applyFont="1" applyFill="1" applyBorder="1" applyAlignment="1" applyProtection="1">
      <alignment horizontal="left" vertical="center" wrapText="1"/>
    </xf>
    <xf numFmtId="3" fontId="15" fillId="0" borderId="49" xfId="49" applyNumberFormat="1" applyFont="1" applyFill="1" applyBorder="1" applyAlignment="1" applyProtection="1">
      <alignment horizontal="center" vertical="center" wrapText="1"/>
    </xf>
    <xf numFmtId="3" fontId="15" fillId="0" borderId="31" xfId="49" applyNumberFormat="1" applyFont="1" applyFill="1" applyBorder="1" applyAlignment="1" applyProtection="1">
      <alignment horizontal="center" vertical="center" wrapText="1"/>
    </xf>
    <xf numFmtId="3" fontId="15" fillId="0" borderId="50" xfId="49" applyNumberFormat="1" applyFont="1" applyFill="1" applyBorder="1" applyAlignment="1" applyProtection="1">
      <alignment horizontal="center" vertical="center" wrapText="1"/>
    </xf>
    <xf numFmtId="3" fontId="45" fillId="26" borderId="130" xfId="49" applyNumberFormat="1" applyFont="1" applyFill="1" applyBorder="1" applyAlignment="1" applyProtection="1">
      <alignment horizontal="center" vertical="center" wrapText="1"/>
    </xf>
    <xf numFmtId="3" fontId="45" fillId="26" borderId="152" xfId="49" applyNumberFormat="1" applyFont="1" applyFill="1" applyBorder="1" applyAlignment="1" applyProtection="1">
      <alignment horizontal="center" vertical="center" wrapText="1"/>
    </xf>
    <xf numFmtId="3" fontId="45" fillId="26" borderId="117" xfId="49" applyNumberFormat="1" applyFont="1" applyFill="1" applyBorder="1" applyAlignment="1" applyProtection="1">
      <alignment horizontal="center" vertical="center" wrapText="1"/>
    </xf>
    <xf numFmtId="3" fontId="45" fillId="26" borderId="137" xfId="49" applyNumberFormat="1" applyFont="1" applyFill="1" applyBorder="1" applyAlignment="1" applyProtection="1">
      <alignment horizontal="center" vertical="center" wrapText="1"/>
    </xf>
    <xf numFmtId="9" fontId="44" fillId="26" borderId="5" xfId="49" applyNumberFormat="1" applyFont="1" applyFill="1" applyBorder="1" applyAlignment="1" applyProtection="1">
      <alignment horizontal="left" vertical="center"/>
    </xf>
    <xf numFmtId="0" fontId="45" fillId="27" borderId="50" xfId="49" applyFont="1" applyFill="1" applyBorder="1" applyAlignment="1" applyProtection="1">
      <alignment horizontal="left" vertical="center" wrapText="1"/>
    </xf>
    <xf numFmtId="0" fontId="45" fillId="0" borderId="50" xfId="49" applyFont="1" applyFill="1" applyBorder="1" applyAlignment="1" applyProtection="1">
      <alignment horizontal="left" vertical="center" wrapText="1"/>
    </xf>
    <xf numFmtId="0" fontId="45" fillId="0" borderId="53" xfId="49" applyFont="1" applyFill="1" applyBorder="1" applyAlignment="1" applyProtection="1">
      <alignment horizontal="left" vertical="center" wrapText="1"/>
    </xf>
    <xf numFmtId="3" fontId="15" fillId="0" borderId="53" xfId="32" applyNumberFormat="1" applyFont="1" applyFill="1" applyBorder="1" applyAlignment="1" applyProtection="1">
      <alignment horizontal="left" vertical="center"/>
    </xf>
    <xf numFmtId="49" fontId="45" fillId="27" borderId="30" xfId="49" applyNumberFormat="1" applyFont="1" applyFill="1" applyBorder="1" applyAlignment="1" applyProtection="1">
      <alignment horizontal="left" vertical="center" wrapText="1"/>
    </xf>
    <xf numFmtId="3" fontId="15" fillId="3" borderId="57" xfId="32" applyNumberFormat="1" applyFont="1" applyFill="1" applyBorder="1" applyAlignment="1" applyProtection="1">
      <alignment horizontal="center" vertical="center"/>
      <protection locked="0"/>
    </xf>
    <xf numFmtId="3" fontId="45" fillId="28" borderId="79" xfId="49" applyNumberFormat="1" applyFont="1" applyFill="1" applyBorder="1" applyAlignment="1" applyProtection="1">
      <alignment horizontal="center" vertical="center" wrapText="1"/>
      <protection locked="0"/>
    </xf>
    <xf numFmtId="3" fontId="45" fillId="28" borderId="28" xfId="49" applyNumberFormat="1" applyFont="1" applyFill="1" applyBorder="1" applyAlignment="1" applyProtection="1">
      <alignment horizontal="center" vertical="center" wrapText="1"/>
      <protection locked="0"/>
    </xf>
    <xf numFmtId="3" fontId="45" fillId="0" borderId="30" xfId="49" applyNumberFormat="1" applyFont="1" applyFill="1" applyBorder="1" applyAlignment="1" applyProtection="1">
      <alignment horizontal="center" vertical="center" wrapText="1"/>
    </xf>
    <xf numFmtId="3" fontId="45" fillId="28" borderId="19" xfId="49" applyNumberFormat="1" applyFont="1" applyFill="1" applyBorder="1" applyAlignment="1" applyProtection="1">
      <alignment horizontal="center" vertical="center" wrapText="1"/>
      <protection locked="0"/>
    </xf>
    <xf numFmtId="3" fontId="45" fillId="0" borderId="79" xfId="49" applyNumberFormat="1" applyFont="1" applyFill="1" applyBorder="1" applyAlignment="1" applyProtection="1">
      <alignment horizontal="center" vertical="center" wrapText="1"/>
    </xf>
    <xf numFmtId="3" fontId="45" fillId="0" borderId="28" xfId="49" applyNumberFormat="1" applyFont="1" applyFill="1" applyBorder="1" applyAlignment="1" applyProtection="1">
      <alignment horizontal="center" vertical="center" wrapText="1"/>
    </xf>
    <xf numFmtId="3" fontId="15" fillId="0" borderId="21" xfId="32" applyNumberFormat="1" applyFont="1" applyFill="1" applyBorder="1" applyAlignment="1" applyProtection="1">
      <alignment horizontal="center" vertical="center"/>
    </xf>
    <xf numFmtId="3" fontId="15" fillId="0" borderId="79" xfId="32" applyNumberFormat="1" applyFont="1" applyFill="1" applyBorder="1" applyAlignment="1" applyProtection="1">
      <alignment horizontal="center" vertical="center"/>
    </xf>
    <xf numFmtId="3" fontId="15" fillId="0" borderId="77" xfId="32" applyNumberFormat="1" applyFont="1" applyFill="1" applyBorder="1" applyAlignment="1" applyProtection="1">
      <alignment horizontal="center" vertical="center"/>
    </xf>
    <xf numFmtId="3" fontId="15" fillId="0" borderId="57" xfId="32" applyNumberFormat="1" applyFont="1" applyFill="1" applyBorder="1" applyAlignment="1" applyProtection="1">
      <alignment horizontal="center" vertical="center"/>
    </xf>
    <xf numFmtId="0" fontId="78" fillId="0" borderId="0" xfId="0" applyFont="1" applyAlignment="1" applyProtection="1">
      <alignment vertical="center"/>
    </xf>
    <xf numFmtId="0" fontId="85" fillId="0" borderId="0" xfId="32" applyFont="1" applyBorder="1" applyAlignment="1" applyProtection="1">
      <alignment horizontal="right" vertical="center"/>
    </xf>
    <xf numFmtId="3" fontId="48" fillId="0" borderId="52" xfId="32" applyNumberFormat="1" applyFont="1" applyFill="1" applyBorder="1" applyAlignment="1" applyProtection="1">
      <alignment horizontal="center" vertical="center" wrapText="1"/>
    </xf>
    <xf numFmtId="3" fontId="48" fillId="0" borderId="7" xfId="32" applyNumberFormat="1" applyFont="1" applyFill="1" applyBorder="1" applyAlignment="1" applyProtection="1">
      <alignment horizontal="center" vertical="center" wrapText="1"/>
    </xf>
    <xf numFmtId="3" fontId="48" fillId="0" borderId="15" xfId="32" applyNumberFormat="1" applyFont="1" applyFill="1" applyBorder="1" applyAlignment="1" applyProtection="1">
      <alignment horizontal="center" vertical="center" wrapText="1"/>
    </xf>
    <xf numFmtId="3" fontId="43" fillId="0" borderId="52" xfId="32" applyNumberFormat="1" applyFont="1" applyFill="1" applyBorder="1" applyAlignment="1" applyProtection="1">
      <alignment horizontal="center" vertical="center" wrapText="1"/>
    </xf>
    <xf numFmtId="3" fontId="43" fillId="0" borderId="7" xfId="32" applyNumberFormat="1" applyFont="1" applyFill="1" applyBorder="1" applyAlignment="1" applyProtection="1">
      <alignment horizontal="center" vertical="center" wrapText="1"/>
    </xf>
    <xf numFmtId="3" fontId="43" fillId="0" borderId="53" xfId="32" applyNumberFormat="1" applyFont="1" applyFill="1" applyBorder="1" applyAlignment="1" applyProtection="1">
      <alignment horizontal="center" vertical="center" wrapText="1"/>
    </xf>
    <xf numFmtId="3" fontId="48" fillId="26" borderId="52" xfId="32" applyNumberFormat="1" applyFont="1" applyFill="1" applyBorder="1" applyAlignment="1" applyProtection="1">
      <alignment horizontal="center" vertical="center" wrapText="1"/>
    </xf>
    <xf numFmtId="3" fontId="48" fillId="26" borderId="32" xfId="32" applyNumberFormat="1" applyFont="1" applyFill="1" applyBorder="1" applyAlignment="1" applyProtection="1">
      <alignment horizontal="center" vertical="center" wrapText="1"/>
    </xf>
    <xf numFmtId="3" fontId="48" fillId="26" borderId="15" xfId="32" applyNumberFormat="1" applyFont="1" applyFill="1" applyBorder="1" applyAlignment="1" applyProtection="1">
      <alignment horizontal="center" vertical="center" wrapText="1"/>
    </xf>
    <xf numFmtId="3" fontId="48" fillId="26" borderId="7" xfId="32" applyNumberFormat="1" applyFont="1" applyFill="1" applyBorder="1" applyAlignment="1" applyProtection="1">
      <alignment horizontal="center" vertical="center" wrapText="1"/>
    </xf>
    <xf numFmtId="0" fontId="48" fillId="0" borderId="0" xfId="32" applyFont="1" applyBorder="1" applyAlignment="1" applyProtection="1">
      <alignment vertical="center"/>
    </xf>
    <xf numFmtId="0" fontId="48" fillId="0" borderId="0" xfId="32" applyFont="1" applyBorder="1" applyAlignment="1" applyProtection="1">
      <alignment horizontal="center" vertical="center"/>
    </xf>
    <xf numFmtId="0" fontId="43" fillId="27" borderId="0" xfId="0" applyNumberFormat="1" applyFont="1" applyFill="1" applyAlignment="1" applyProtection="1">
      <alignment horizontal="right" vertical="center"/>
    </xf>
    <xf numFmtId="0" fontId="48" fillId="27" borderId="0" xfId="0" applyNumberFormat="1" applyFont="1" applyFill="1" applyAlignment="1" applyProtection="1">
      <alignment horizontal="left" vertical="center"/>
    </xf>
    <xf numFmtId="0" fontId="139" fillId="27" borderId="0" xfId="0" applyNumberFormat="1" applyFont="1" applyFill="1" applyAlignment="1" applyProtection="1">
      <alignment horizontal="left" vertical="center"/>
    </xf>
    <xf numFmtId="0" fontId="45" fillId="27" borderId="0" xfId="0" applyNumberFormat="1" applyFont="1" applyFill="1" applyAlignment="1" applyProtection="1">
      <alignment vertical="center"/>
    </xf>
    <xf numFmtId="3" fontId="44" fillId="26" borderId="52" xfId="0" applyNumberFormat="1" applyFont="1" applyFill="1" applyBorder="1" applyAlignment="1" applyProtection="1">
      <alignment horizontal="center" vertical="center"/>
    </xf>
    <xf numFmtId="0" fontId="30" fillId="26" borderId="0" xfId="0" applyFont="1" applyFill="1" applyAlignment="1" applyProtection="1">
      <alignment vertical="center"/>
    </xf>
    <xf numFmtId="0" fontId="17" fillId="26" borderId="54" xfId="0" applyFont="1" applyFill="1" applyBorder="1" applyAlignment="1" applyProtection="1">
      <alignment horizontal="center" vertical="center"/>
    </xf>
    <xf numFmtId="167" fontId="44" fillId="29" borderId="63" xfId="49" applyNumberFormat="1" applyFont="1" applyFill="1" applyBorder="1" applyAlignment="1" applyProtection="1">
      <alignment horizontal="right" vertical="center"/>
    </xf>
    <xf numFmtId="3" fontId="44" fillId="29" borderId="63" xfId="49" applyNumberFormat="1" applyFont="1" applyFill="1" applyBorder="1" applyAlignment="1" applyProtection="1">
      <alignment horizontal="right" vertical="center"/>
    </xf>
    <xf numFmtId="3" fontId="44" fillId="29" borderId="55" xfId="49" applyNumberFormat="1" applyFont="1" applyFill="1" applyBorder="1" applyAlignment="1" applyProtection="1">
      <alignment horizontal="right" vertical="center"/>
    </xf>
    <xf numFmtId="171" fontId="112" fillId="26" borderId="71" xfId="49" applyNumberFormat="1" applyFont="1" applyFill="1" applyBorder="1" applyAlignment="1" applyProtection="1">
      <alignment horizontal="center" vertical="center"/>
    </xf>
    <xf numFmtId="3" fontId="44" fillId="26" borderId="49" xfId="0" applyNumberFormat="1" applyFont="1" applyFill="1" applyBorder="1" applyAlignment="1" applyProtection="1">
      <alignment horizontal="center" vertical="center"/>
    </xf>
    <xf numFmtId="3" fontId="44" fillId="26" borderId="50" xfId="0" applyNumberFormat="1" applyFont="1" applyFill="1" applyBorder="1" applyAlignment="1" applyProtection="1">
      <alignment horizontal="center" vertical="center"/>
    </xf>
    <xf numFmtId="0" fontId="43" fillId="27" borderId="0" xfId="32" applyFont="1" applyFill="1" applyAlignment="1" applyProtection="1">
      <alignment horizontal="center" vertical="center"/>
    </xf>
    <xf numFmtId="0" fontId="43" fillId="27" borderId="0" xfId="0" applyFont="1" applyFill="1" applyAlignment="1" applyProtection="1">
      <alignment horizontal="left" vertical="center"/>
    </xf>
    <xf numFmtId="0" fontId="45" fillId="27" borderId="0" xfId="0" applyFont="1" applyFill="1" applyAlignment="1" applyProtection="1">
      <alignment vertical="center"/>
    </xf>
    <xf numFmtId="0" fontId="46" fillId="27" borderId="0" xfId="0" applyFont="1" applyFill="1" applyAlignment="1" applyProtection="1">
      <alignment vertical="center"/>
    </xf>
    <xf numFmtId="49" fontId="44" fillId="26" borderId="66" xfId="49" applyNumberFormat="1" applyFont="1" applyFill="1" applyBorder="1" applyAlignment="1" applyProtection="1">
      <alignment horizontal="left" vertical="center" wrapText="1"/>
    </xf>
    <xf numFmtId="3" fontId="44" fillId="0" borderId="16" xfId="49" applyNumberFormat="1" applyFont="1" applyFill="1" applyBorder="1" applyAlignment="1" applyProtection="1">
      <alignment horizontal="center" vertical="center" wrapText="1"/>
    </xf>
    <xf numFmtId="0" fontId="44" fillId="0" borderId="68" xfId="49" applyFont="1" applyFill="1" applyBorder="1" applyAlignment="1" applyProtection="1">
      <alignment horizontal="left" vertical="center" wrapText="1"/>
    </xf>
    <xf numFmtId="49" fontId="44" fillId="26" borderId="52" xfId="49" applyNumberFormat="1" applyFont="1" applyFill="1" applyBorder="1" applyAlignment="1" applyProtection="1">
      <alignment horizontal="left" vertical="center" wrapText="1"/>
    </xf>
    <xf numFmtId="0" fontId="44" fillId="0" borderId="53" xfId="31" applyFont="1" applyFill="1" applyBorder="1" applyAlignment="1" applyProtection="1">
      <alignment horizontal="left" vertical="center" wrapText="1"/>
    </xf>
    <xf numFmtId="3" fontId="44" fillId="0" borderId="13" xfId="49" applyNumberFormat="1" applyFont="1" applyFill="1" applyBorder="1" applyAlignment="1" applyProtection="1">
      <alignment horizontal="center" vertical="center" wrapText="1"/>
    </xf>
    <xf numFmtId="3" fontId="44" fillId="0" borderId="0" xfId="49" applyNumberFormat="1" applyFont="1" applyFill="1" applyBorder="1" applyAlignment="1" applyProtection="1">
      <alignment horizontal="center" vertical="center" wrapText="1"/>
    </xf>
    <xf numFmtId="167" fontId="44" fillId="26" borderId="95" xfId="32" applyNumberFormat="1" applyFont="1" applyFill="1" applyBorder="1" applyAlignment="1" applyProtection="1">
      <alignment horizontal="center" vertical="center"/>
    </xf>
    <xf numFmtId="3" fontId="44" fillId="26" borderId="62" xfId="49" applyNumberFormat="1" applyFont="1" applyFill="1" applyBorder="1" applyAlignment="1" applyProtection="1">
      <alignment horizontal="center" vertical="center" wrapText="1"/>
    </xf>
    <xf numFmtId="3" fontId="44" fillId="26" borderId="53" xfId="49" applyNumberFormat="1" applyFont="1" applyFill="1" applyBorder="1" applyAlignment="1" applyProtection="1">
      <alignment horizontal="center" vertical="center" wrapText="1"/>
    </xf>
    <xf numFmtId="49" fontId="44" fillId="27" borderId="66" xfId="49" applyNumberFormat="1" applyFont="1" applyFill="1" applyBorder="1" applyAlignment="1" applyProtection="1">
      <alignment horizontal="left" vertical="center" wrapText="1"/>
    </xf>
    <xf numFmtId="3" fontId="44" fillId="0" borderId="37" xfId="49" applyNumberFormat="1" applyFont="1" applyFill="1" applyBorder="1" applyAlignment="1" applyProtection="1">
      <alignment horizontal="center" vertical="center" wrapText="1"/>
    </xf>
    <xf numFmtId="9" fontId="44" fillId="0" borderId="63" xfId="1" applyFont="1" applyFill="1" applyBorder="1" applyAlignment="1" applyProtection="1">
      <alignment horizontal="center" vertical="center" wrapText="1"/>
    </xf>
    <xf numFmtId="3" fontId="44" fillId="0" borderId="69" xfId="49" applyNumberFormat="1" applyFont="1" applyFill="1" applyBorder="1" applyAlignment="1" applyProtection="1">
      <alignment horizontal="center" vertical="center" wrapText="1"/>
    </xf>
    <xf numFmtId="9" fontId="44" fillId="0" borderId="69" xfId="1" applyFont="1" applyFill="1" applyBorder="1" applyAlignment="1" applyProtection="1">
      <alignment horizontal="center" vertical="center" wrapText="1"/>
    </xf>
    <xf numFmtId="9" fontId="44" fillId="0" borderId="37" xfId="1" applyFont="1" applyFill="1" applyBorder="1" applyAlignment="1" applyProtection="1">
      <alignment horizontal="center" vertical="center" wrapText="1"/>
    </xf>
    <xf numFmtId="9" fontId="44" fillId="0" borderId="18" xfId="1" applyFont="1" applyFill="1" applyBorder="1" applyAlignment="1" applyProtection="1">
      <alignment horizontal="center" vertical="center" wrapText="1"/>
    </xf>
    <xf numFmtId="3" fontId="44" fillId="28" borderId="7" xfId="32" applyNumberFormat="1" applyFont="1" applyFill="1" applyBorder="1" applyAlignment="1" applyProtection="1">
      <alignment horizontal="center" vertical="center"/>
      <protection locked="0"/>
    </xf>
    <xf numFmtId="3" fontId="44" fillId="28" borderId="53" xfId="32" applyNumberFormat="1" applyFont="1" applyFill="1" applyBorder="1" applyAlignment="1" applyProtection="1">
      <alignment horizontal="center" vertical="center"/>
      <protection locked="0"/>
    </xf>
    <xf numFmtId="3" fontId="44" fillId="28" borderId="31" xfId="32" applyNumberFormat="1" applyFont="1" applyFill="1" applyBorder="1" applyAlignment="1" applyProtection="1">
      <alignment horizontal="center" vertical="center"/>
      <protection locked="0"/>
    </xf>
    <xf numFmtId="3" fontId="44" fillId="28" borderId="50" xfId="32" applyNumberFormat="1" applyFont="1" applyFill="1" applyBorder="1" applyAlignment="1" applyProtection="1">
      <alignment horizontal="center" vertical="center"/>
      <protection locked="0"/>
    </xf>
    <xf numFmtId="3" fontId="44" fillId="28" borderId="61" xfId="32" applyNumberFormat="1" applyFont="1" applyFill="1" applyBorder="1" applyAlignment="1" applyProtection="1">
      <alignment horizontal="center" vertical="center"/>
      <protection locked="0"/>
    </xf>
    <xf numFmtId="3" fontId="45" fillId="26" borderId="49" xfId="32" applyNumberFormat="1" applyFont="1" applyFill="1" applyBorder="1" applyAlignment="1" applyProtection="1">
      <alignment horizontal="center" vertical="center"/>
    </xf>
    <xf numFmtId="3" fontId="45" fillId="26" borderId="54" xfId="32" applyNumberFormat="1" applyFont="1" applyFill="1" applyBorder="1" applyAlignment="1" applyProtection="1">
      <alignment horizontal="center" vertical="center"/>
    </xf>
    <xf numFmtId="10" fontId="44" fillId="28" borderId="7" xfId="70" applyNumberFormat="1" applyFont="1" applyFill="1" applyBorder="1" applyAlignment="1" applyProtection="1">
      <alignment horizontal="center" vertical="center"/>
      <protection locked="0"/>
    </xf>
    <xf numFmtId="10" fontId="44" fillId="28" borderId="53" xfId="70" applyNumberFormat="1" applyFont="1" applyFill="1" applyBorder="1" applyAlignment="1" applyProtection="1">
      <alignment horizontal="center" vertical="center"/>
      <protection locked="0"/>
    </xf>
    <xf numFmtId="10" fontId="44" fillId="28" borderId="77" xfId="70" applyNumberFormat="1" applyFont="1" applyFill="1" applyBorder="1" applyAlignment="1" applyProtection="1">
      <alignment horizontal="center" vertical="center"/>
      <protection locked="0"/>
    </xf>
    <xf numFmtId="10" fontId="44" fillId="28" borderId="57" xfId="70" applyNumberFormat="1" applyFont="1" applyFill="1" applyBorder="1" applyAlignment="1" applyProtection="1">
      <alignment horizontal="center" vertical="center"/>
      <protection locked="0"/>
    </xf>
    <xf numFmtId="0" fontId="68" fillId="20" borderId="17" xfId="52" applyFont="1" applyFill="1" applyBorder="1" applyAlignment="1" applyProtection="1">
      <alignment horizontal="left" vertical="center" wrapText="1"/>
    </xf>
    <xf numFmtId="49" fontId="68" fillId="27" borderId="17" xfId="52" applyNumberFormat="1" applyFont="1" applyFill="1" applyBorder="1" applyAlignment="1" applyProtection="1">
      <alignment horizontal="center" vertical="center" wrapText="1"/>
    </xf>
    <xf numFmtId="49" fontId="68" fillId="31" borderId="17" xfId="52" applyNumberFormat="1" applyFont="1" applyFill="1" applyBorder="1" applyAlignment="1" applyProtection="1">
      <alignment horizontal="center" vertical="center" wrapText="1"/>
    </xf>
    <xf numFmtId="0" fontId="44" fillId="26" borderId="0" xfId="57" applyFont="1" applyFill="1" applyBorder="1" applyAlignment="1" applyProtection="1">
      <alignment vertical="center"/>
    </xf>
    <xf numFmtId="0" fontId="15" fillId="27" borderId="0" xfId="57" applyFont="1" applyFill="1" applyBorder="1" applyAlignment="1" applyProtection="1">
      <alignment vertical="center"/>
    </xf>
    <xf numFmtId="3" fontId="68" fillId="28" borderId="50" xfId="57" applyNumberFormat="1" applyFont="1" applyFill="1" applyBorder="1" applyAlignment="1" applyProtection="1">
      <alignment horizontal="center" vertical="center"/>
      <protection locked="0"/>
    </xf>
    <xf numFmtId="167" fontId="43" fillId="20" borderId="49" xfId="32" applyNumberFormat="1" applyFont="1" applyFill="1" applyBorder="1" applyAlignment="1" applyProtection="1">
      <alignment horizontal="center" vertical="center"/>
    </xf>
    <xf numFmtId="167" fontId="43" fillId="20" borderId="31" xfId="32" applyNumberFormat="1" applyFont="1" applyFill="1" applyBorder="1" applyAlignment="1" applyProtection="1">
      <alignment horizontal="center" vertical="center"/>
    </xf>
    <xf numFmtId="167" fontId="43" fillId="20" borderId="50" xfId="32" applyNumberFormat="1" applyFont="1" applyFill="1" applyBorder="1" applyAlignment="1" applyProtection="1">
      <alignment horizontal="center" vertical="center"/>
    </xf>
    <xf numFmtId="167" fontId="48" fillId="0" borderId="52" xfId="32" applyNumberFormat="1" applyFont="1" applyFill="1" applyBorder="1" applyAlignment="1" applyProtection="1">
      <alignment horizontal="center" vertical="center"/>
    </xf>
    <xf numFmtId="167" fontId="48" fillId="0" borderId="7" xfId="32" applyNumberFormat="1" applyFont="1" applyFill="1" applyBorder="1" applyAlignment="1" applyProtection="1">
      <alignment horizontal="center" vertical="center"/>
    </xf>
    <xf numFmtId="167" fontId="48" fillId="0" borderId="53" xfId="32" applyNumberFormat="1" applyFont="1" applyFill="1" applyBorder="1" applyAlignment="1" applyProtection="1">
      <alignment horizontal="center" vertical="center"/>
    </xf>
    <xf numFmtId="167" fontId="43" fillId="0" borderId="52" xfId="32" applyNumberFormat="1" applyFont="1" applyFill="1" applyBorder="1" applyAlignment="1" applyProtection="1">
      <alignment horizontal="center" vertical="center"/>
    </xf>
    <xf numFmtId="167" fontId="43" fillId="0" borderId="7" xfId="32" applyNumberFormat="1" applyFont="1" applyFill="1" applyBorder="1" applyAlignment="1" applyProtection="1">
      <alignment horizontal="center" vertical="center"/>
    </xf>
    <xf numFmtId="167" fontId="43" fillId="0" borderId="53" xfId="32" applyNumberFormat="1" applyFont="1" applyFill="1" applyBorder="1" applyAlignment="1" applyProtection="1">
      <alignment horizontal="center" vertical="center"/>
    </xf>
    <xf numFmtId="167" fontId="48" fillId="20" borderId="52" xfId="32" applyNumberFormat="1" applyFont="1" applyFill="1" applyBorder="1" applyAlignment="1" applyProtection="1">
      <alignment horizontal="center" vertical="center"/>
    </xf>
    <xf numFmtId="167" fontId="48" fillId="20" borderId="7" xfId="32" applyNumberFormat="1" applyFont="1" applyFill="1" applyBorder="1" applyAlignment="1" applyProtection="1">
      <alignment horizontal="center" vertical="center"/>
    </xf>
    <xf numFmtId="167" fontId="48" fillId="20" borderId="53" xfId="32" applyNumberFormat="1" applyFont="1" applyFill="1" applyBorder="1" applyAlignment="1" applyProtection="1">
      <alignment horizontal="center" vertical="center"/>
    </xf>
    <xf numFmtId="167" fontId="43" fillId="20" borderId="52" xfId="32" applyNumberFormat="1" applyFont="1" applyFill="1" applyBorder="1" applyAlignment="1" applyProtection="1">
      <alignment horizontal="center" vertical="center"/>
    </xf>
    <xf numFmtId="167" fontId="43" fillId="20" borderId="7" xfId="32" applyNumberFormat="1" applyFont="1" applyFill="1" applyBorder="1" applyAlignment="1" applyProtection="1">
      <alignment horizontal="center" vertical="center"/>
    </xf>
    <xf numFmtId="167" fontId="43" fillId="20" borderId="53" xfId="32" applyNumberFormat="1" applyFont="1" applyFill="1" applyBorder="1" applyAlignment="1" applyProtection="1">
      <alignment horizontal="center" vertical="center"/>
    </xf>
    <xf numFmtId="167" fontId="43" fillId="20" borderId="54" xfId="32" applyNumberFormat="1" applyFont="1" applyFill="1" applyBorder="1" applyAlignment="1" applyProtection="1">
      <alignment horizontal="center" vertical="center"/>
    </xf>
    <xf numFmtId="167" fontId="43" fillId="20" borderId="63" xfId="32" applyNumberFormat="1" applyFont="1" applyFill="1" applyBorder="1" applyAlignment="1" applyProtection="1">
      <alignment horizontal="center" vertical="center"/>
    </xf>
    <xf numFmtId="167" fontId="43" fillId="20" borderId="55" xfId="32" applyNumberFormat="1" applyFont="1" applyFill="1" applyBorder="1" applyAlignment="1" applyProtection="1">
      <alignment horizontal="center" vertical="center"/>
    </xf>
    <xf numFmtId="167" fontId="50" fillId="26" borderId="49" xfId="32" applyNumberFormat="1" applyFont="1" applyFill="1" applyBorder="1" applyAlignment="1" applyProtection="1">
      <alignment horizontal="center" vertical="center"/>
    </xf>
    <xf numFmtId="167" fontId="50" fillId="26" borderId="31" xfId="32" applyNumberFormat="1" applyFont="1" applyFill="1" applyBorder="1" applyAlignment="1" applyProtection="1">
      <alignment horizontal="center" vertical="center"/>
    </xf>
    <xf numFmtId="167" fontId="50" fillId="26" borderId="50" xfId="32" applyNumberFormat="1" applyFont="1" applyFill="1" applyBorder="1" applyAlignment="1" applyProtection="1">
      <alignment horizontal="center" vertical="center"/>
    </xf>
    <xf numFmtId="167" fontId="48" fillId="26" borderId="52" xfId="32" applyNumberFormat="1" applyFont="1" applyFill="1" applyBorder="1" applyAlignment="1" applyProtection="1">
      <alignment horizontal="center" vertical="center"/>
    </xf>
    <xf numFmtId="167" fontId="48" fillId="26" borderId="7" xfId="32" applyNumberFormat="1" applyFont="1" applyFill="1" applyBorder="1" applyAlignment="1" applyProtection="1">
      <alignment horizontal="center" vertical="center"/>
    </xf>
    <xf numFmtId="167" fontId="48" fillId="26" borderId="53" xfId="32" applyNumberFormat="1" applyFont="1" applyFill="1" applyBorder="1" applyAlignment="1" applyProtection="1">
      <alignment horizontal="center" vertical="center"/>
    </xf>
    <xf numFmtId="167" fontId="48" fillId="26" borderId="15" xfId="32" applyNumberFormat="1" applyFont="1" applyFill="1" applyBorder="1" applyAlignment="1" applyProtection="1">
      <alignment horizontal="center" vertical="center"/>
    </xf>
    <xf numFmtId="167" fontId="50" fillId="26" borderId="52" xfId="32" applyNumberFormat="1" applyFont="1" applyFill="1" applyBorder="1" applyAlignment="1" applyProtection="1">
      <alignment horizontal="center" vertical="center"/>
    </xf>
    <xf numFmtId="167" fontId="50" fillId="26" borderId="7" xfId="32" applyNumberFormat="1" applyFont="1" applyFill="1" applyBorder="1" applyAlignment="1" applyProtection="1">
      <alignment horizontal="center" vertical="center"/>
    </xf>
    <xf numFmtId="167" fontId="50" fillId="26" borderId="53" xfId="32" applyNumberFormat="1" applyFont="1" applyFill="1" applyBorder="1" applyAlignment="1" applyProtection="1">
      <alignment horizontal="center" vertical="center"/>
    </xf>
    <xf numFmtId="167" fontId="50" fillId="26" borderId="54" xfId="32" applyNumberFormat="1" applyFont="1" applyFill="1" applyBorder="1" applyAlignment="1" applyProtection="1">
      <alignment horizontal="center" vertical="center"/>
    </xf>
    <xf numFmtId="167" fontId="50" fillId="26" borderId="63" xfId="32" applyNumberFormat="1" applyFont="1" applyFill="1" applyBorder="1" applyAlignment="1" applyProtection="1">
      <alignment horizontal="center" vertical="center"/>
    </xf>
    <xf numFmtId="167" fontId="50" fillId="26" borderId="55" xfId="32" applyNumberFormat="1" applyFont="1" applyFill="1" applyBorder="1" applyAlignment="1" applyProtection="1">
      <alignment horizontal="center" vertical="center"/>
    </xf>
    <xf numFmtId="3" fontId="48" fillId="0" borderId="55" xfId="59" applyNumberFormat="1" applyFont="1" applyFill="1" applyBorder="1" applyAlignment="1" applyProtection="1">
      <alignment horizontal="center" vertical="center"/>
    </xf>
    <xf numFmtId="3" fontId="50" fillId="0" borderId="57" xfId="0" applyNumberFormat="1" applyFont="1" applyFill="1" applyBorder="1" applyAlignment="1" applyProtection="1">
      <alignment horizontal="center" vertical="center"/>
    </xf>
    <xf numFmtId="168" fontId="45" fillId="26" borderId="133" xfId="49" applyNumberFormat="1" applyFont="1" applyFill="1" applyBorder="1" applyAlignment="1" applyProtection="1">
      <alignment horizontal="center" vertical="center" wrapText="1"/>
    </xf>
    <xf numFmtId="9" fontId="45" fillId="26" borderId="133" xfId="49" applyNumberFormat="1" applyFont="1" applyFill="1" applyBorder="1" applyAlignment="1" applyProtection="1">
      <alignment horizontal="center" vertical="center" wrapText="1"/>
    </xf>
    <xf numFmtId="168" fontId="45" fillId="26" borderId="93" xfId="49" applyNumberFormat="1" applyFont="1" applyFill="1" applyBorder="1" applyAlignment="1" applyProtection="1">
      <alignment horizontal="center" vertical="center" wrapText="1"/>
    </xf>
    <xf numFmtId="9" fontId="45" fillId="26" borderId="93" xfId="49" applyNumberFormat="1" applyFont="1" applyFill="1" applyBorder="1" applyAlignment="1" applyProtection="1">
      <alignment horizontal="center" vertical="center" wrapText="1"/>
    </xf>
    <xf numFmtId="3" fontId="15" fillId="0" borderId="0" xfId="31" applyNumberFormat="1" applyFont="1" applyAlignment="1" applyProtection="1">
      <alignment vertical="center"/>
    </xf>
    <xf numFmtId="0" fontId="15" fillId="51" borderId="0" xfId="31" applyFont="1" applyFill="1" applyAlignment="1">
      <alignment vertical="center"/>
    </xf>
    <xf numFmtId="0" fontId="83" fillId="51" borderId="0" xfId="31" applyFont="1" applyFill="1" applyAlignment="1">
      <alignment vertical="center"/>
    </xf>
    <xf numFmtId="3" fontId="15" fillId="26" borderId="0" xfId="31" applyNumberFormat="1" applyFont="1" applyFill="1" applyAlignment="1" applyProtection="1">
      <alignment vertical="center"/>
    </xf>
    <xf numFmtId="0" fontId="15" fillId="26" borderId="0" xfId="31" applyFont="1" applyFill="1" applyAlignment="1" applyProtection="1">
      <alignment vertical="center"/>
    </xf>
    <xf numFmtId="3" fontId="83" fillId="26" borderId="0" xfId="31" applyNumberFormat="1" applyFont="1" applyFill="1" applyAlignment="1" applyProtection="1">
      <alignment vertical="center"/>
    </xf>
    <xf numFmtId="3" fontId="83" fillId="26" borderId="0" xfId="31" applyNumberFormat="1" applyFont="1" applyFill="1" applyBorder="1" applyAlignment="1" applyProtection="1">
      <alignment vertical="center"/>
    </xf>
    <xf numFmtId="3" fontId="15" fillId="26" borderId="6" xfId="88" applyNumberFormat="1" applyFont="1" applyFill="1" applyBorder="1" applyAlignment="1" applyProtection="1">
      <alignment horizontal="center" vertical="center" wrapText="1"/>
    </xf>
    <xf numFmtId="0" fontId="126" fillId="42" borderId="46" xfId="88" applyFont="1" applyFill="1" applyBorder="1" applyAlignment="1" applyProtection="1">
      <alignment horizontal="center" vertical="center" wrapText="1"/>
    </xf>
    <xf numFmtId="0" fontId="126" fillId="42" borderId="35" xfId="88" applyFont="1" applyFill="1" applyBorder="1" applyAlignment="1" applyProtection="1">
      <alignment horizontal="center" vertical="center" wrapText="1"/>
    </xf>
    <xf numFmtId="0" fontId="90" fillId="27" borderId="0" xfId="54" applyFont="1" applyFill="1" applyAlignment="1" applyProtection="1"/>
    <xf numFmtId="3" fontId="15" fillId="3" borderId="54" xfId="88" applyNumberFormat="1" applyFont="1" applyFill="1" applyBorder="1" applyAlignment="1" applyProtection="1">
      <alignment horizontal="center" vertical="center" wrapText="1"/>
      <protection locked="0"/>
    </xf>
    <xf numFmtId="3" fontId="15" fillId="3" borderId="69" xfId="88" applyNumberFormat="1" applyFont="1" applyFill="1" applyBorder="1" applyAlignment="1" applyProtection="1">
      <alignment horizontal="center" vertical="center" wrapText="1"/>
      <protection locked="0"/>
    </xf>
    <xf numFmtId="3" fontId="15" fillId="3" borderId="18" xfId="88" applyNumberFormat="1" applyFont="1" applyFill="1" applyBorder="1" applyAlignment="1" applyProtection="1">
      <alignment horizontal="center" vertical="center" wrapText="1"/>
      <protection locked="0"/>
    </xf>
    <xf numFmtId="3" fontId="15" fillId="3" borderId="63" xfId="88" applyNumberFormat="1" applyFont="1" applyFill="1" applyBorder="1" applyAlignment="1" applyProtection="1">
      <alignment horizontal="center" vertical="center" wrapText="1"/>
      <protection locked="0"/>
    </xf>
    <xf numFmtId="3" fontId="15" fillId="3" borderId="55" xfId="88" applyNumberFormat="1" applyFont="1" applyFill="1" applyBorder="1" applyAlignment="1" applyProtection="1">
      <alignment horizontal="center" vertical="center" wrapText="1"/>
      <protection locked="0"/>
    </xf>
    <xf numFmtId="0" fontId="125" fillId="20" borderId="17" xfId="88" applyFont="1" applyFill="1" applyBorder="1" applyAlignment="1" applyProtection="1">
      <alignment horizontal="center" vertical="center" wrapText="1"/>
    </xf>
    <xf numFmtId="3" fontId="15" fillId="26" borderId="139" xfId="88" applyNumberFormat="1" applyFont="1" applyFill="1" applyBorder="1" applyAlignment="1" applyProtection="1">
      <alignment horizontal="center" vertical="center" wrapText="1"/>
    </xf>
    <xf numFmtId="3" fontId="15" fillId="26" borderId="93" xfId="88" applyNumberFormat="1" applyFont="1" applyFill="1" applyBorder="1" applyAlignment="1" applyProtection="1">
      <alignment horizontal="center" vertical="center" wrapText="1"/>
    </xf>
    <xf numFmtId="3" fontId="15" fillId="26" borderId="114" xfId="88" applyNumberFormat="1" applyFont="1" applyFill="1" applyBorder="1" applyAlignment="1" applyProtection="1">
      <alignment horizontal="center" vertical="center" wrapText="1"/>
    </xf>
    <xf numFmtId="3" fontId="15" fillId="26" borderId="92" xfId="88" applyNumberFormat="1" applyFont="1" applyFill="1" applyBorder="1" applyAlignment="1" applyProtection="1">
      <alignment horizontal="center" vertical="center" wrapText="1"/>
    </xf>
    <xf numFmtId="0" fontId="15" fillId="3" borderId="26" xfId="88" applyFont="1" applyFill="1" applyBorder="1" applyAlignment="1" applyProtection="1">
      <alignment horizontal="center" vertical="center" wrapText="1"/>
      <protection locked="0"/>
    </xf>
    <xf numFmtId="3" fontId="15" fillId="26" borderId="94" xfId="88" applyNumberFormat="1" applyFont="1" applyFill="1" applyBorder="1" applyAlignment="1" applyProtection="1">
      <alignment horizontal="center" vertical="center" wrapText="1"/>
    </xf>
    <xf numFmtId="3" fontId="15" fillId="3" borderId="62" xfId="88" applyNumberFormat="1" applyFont="1" applyFill="1" applyBorder="1" applyAlignment="1" applyProtection="1">
      <alignment horizontal="center" vertical="center" wrapText="1"/>
      <protection locked="0"/>
    </xf>
    <xf numFmtId="3" fontId="126" fillId="0" borderId="79" xfId="88" applyNumberFormat="1" applyFont="1" applyFill="1" applyBorder="1" applyAlignment="1" applyProtection="1">
      <alignment horizontal="center" vertical="center" wrapText="1"/>
    </xf>
    <xf numFmtId="3" fontId="126" fillId="0" borderId="32" xfId="88" applyNumberFormat="1" applyFont="1" applyFill="1" applyBorder="1" applyAlignment="1" applyProtection="1">
      <alignment horizontal="center" vertical="center" wrapText="1"/>
    </xf>
    <xf numFmtId="3" fontId="125" fillId="0" borderId="32" xfId="88" applyNumberFormat="1" applyFont="1" applyFill="1" applyBorder="1" applyAlignment="1" applyProtection="1">
      <alignment horizontal="center" vertical="center" wrapText="1"/>
    </xf>
    <xf numFmtId="3" fontId="125" fillId="0" borderId="7" xfId="88" applyNumberFormat="1" applyFont="1" applyFill="1" applyBorder="1" applyAlignment="1" applyProtection="1">
      <alignment horizontal="center" vertical="center" wrapText="1"/>
    </xf>
    <xf numFmtId="3" fontId="125" fillId="0" borderId="62" xfId="88" applyNumberFormat="1" applyFont="1" applyFill="1" applyBorder="1" applyAlignment="1" applyProtection="1">
      <alignment horizontal="center" vertical="center" wrapText="1"/>
    </xf>
    <xf numFmtId="3" fontId="126" fillId="0" borderId="69" xfId="88" applyNumberFormat="1" applyFont="1" applyFill="1" applyBorder="1" applyAlignment="1" applyProtection="1">
      <alignment horizontal="center" vertical="center" wrapText="1"/>
    </xf>
    <xf numFmtId="3" fontId="15" fillId="0" borderId="13" xfId="88" applyNumberFormat="1" applyFont="1" applyFill="1" applyBorder="1" applyAlignment="1" applyProtection="1">
      <alignment horizontal="center" vertical="center" wrapText="1"/>
    </xf>
    <xf numFmtId="3" fontId="15" fillId="0" borderId="4" xfId="88" applyNumberFormat="1" applyFont="1" applyFill="1" applyBorder="1" applyAlignment="1" applyProtection="1">
      <alignment horizontal="center" vertical="center" wrapText="1"/>
    </xf>
    <xf numFmtId="3" fontId="128" fillId="0" borderId="30" xfId="88" applyNumberFormat="1" applyFont="1" applyFill="1" applyBorder="1" applyAlignment="1" applyProtection="1">
      <alignment horizontal="center" vertical="center" wrapText="1"/>
    </xf>
    <xf numFmtId="3" fontId="128" fillId="0" borderId="77" xfId="88" applyNumberFormat="1" applyFont="1" applyFill="1" applyBorder="1" applyAlignment="1" applyProtection="1">
      <alignment horizontal="center" vertical="center" wrapText="1"/>
    </xf>
    <xf numFmtId="3" fontId="128" fillId="0" borderId="28" xfId="88" applyNumberFormat="1" applyFont="1" applyFill="1" applyBorder="1" applyAlignment="1" applyProtection="1">
      <alignment horizontal="center" vertical="center" wrapText="1"/>
    </xf>
    <xf numFmtId="3" fontId="128" fillId="0" borderId="78" xfId="88" applyNumberFormat="1" applyFont="1" applyFill="1" applyBorder="1" applyAlignment="1" applyProtection="1">
      <alignment horizontal="center" vertical="center" wrapText="1"/>
    </xf>
    <xf numFmtId="3" fontId="128" fillId="0" borderId="57" xfId="88" applyNumberFormat="1" applyFont="1" applyFill="1" applyBorder="1" applyAlignment="1" applyProtection="1">
      <alignment horizontal="center" vertical="center" wrapText="1"/>
    </xf>
    <xf numFmtId="3" fontId="128" fillId="0" borderId="56" xfId="88" applyNumberFormat="1" applyFont="1" applyFill="1" applyBorder="1" applyAlignment="1" applyProtection="1">
      <alignment horizontal="center" vertical="center" wrapText="1"/>
    </xf>
    <xf numFmtId="3" fontId="128" fillId="0" borderId="101" xfId="88" applyNumberFormat="1" applyFont="1" applyFill="1" applyBorder="1" applyAlignment="1" applyProtection="1">
      <alignment horizontal="center" vertical="center" wrapText="1"/>
    </xf>
    <xf numFmtId="0" fontId="125" fillId="26" borderId="55" xfId="88" applyFont="1" applyFill="1" applyBorder="1" applyAlignment="1" applyProtection="1">
      <alignment horizontal="left" vertical="center" wrapText="1"/>
    </xf>
    <xf numFmtId="0" fontId="128" fillId="26" borderId="48" xfId="0" applyFont="1" applyFill="1" applyBorder="1" applyAlignment="1" applyProtection="1">
      <alignment horizontal="right" vertical="center" wrapText="1"/>
    </xf>
    <xf numFmtId="0" fontId="125" fillId="26" borderId="76" xfId="88" applyFont="1" applyFill="1" applyBorder="1" applyAlignment="1" applyProtection="1">
      <alignment horizontal="left" vertical="center" wrapText="1"/>
    </xf>
    <xf numFmtId="0" fontId="128" fillId="26" borderId="50" xfId="88" applyFont="1" applyFill="1" applyBorder="1" applyAlignment="1" applyProtection="1">
      <alignment horizontal="right" vertical="center" wrapText="1"/>
    </xf>
    <xf numFmtId="0" fontId="125" fillId="26" borderId="53" xfId="88" applyFont="1" applyFill="1" applyBorder="1" applyAlignment="1" applyProtection="1">
      <alignment horizontal="left" vertical="center" wrapText="1"/>
    </xf>
    <xf numFmtId="0" fontId="126" fillId="26" borderId="57" xfId="88" applyFont="1" applyFill="1" applyBorder="1" applyAlignment="1" applyProtection="1">
      <alignment horizontal="center" vertical="center" wrapText="1"/>
    </xf>
    <xf numFmtId="0" fontId="126" fillId="26" borderId="53" xfId="88" applyFont="1" applyFill="1" applyBorder="1" applyAlignment="1" applyProtection="1">
      <alignment horizontal="center" vertical="center" wrapText="1"/>
    </xf>
    <xf numFmtId="0" fontId="125" fillId="26" borderId="53" xfId="88" applyFont="1" applyFill="1" applyBorder="1" applyAlignment="1" applyProtection="1">
      <alignment horizontal="right" vertical="center" wrapText="1"/>
    </xf>
    <xf numFmtId="0" fontId="125" fillId="26" borderId="50" xfId="88" applyFont="1" applyFill="1" applyBorder="1" applyAlignment="1" applyProtection="1">
      <alignment horizontal="left" vertical="center" wrapText="1"/>
    </xf>
    <xf numFmtId="0" fontId="126" fillId="26" borderId="55" xfId="88" applyFont="1" applyFill="1" applyBorder="1" applyAlignment="1" applyProtection="1">
      <alignment horizontal="center" vertical="center" wrapText="1"/>
    </xf>
    <xf numFmtId="0" fontId="125" fillId="26" borderId="0" xfId="88" applyFont="1" applyFill="1" applyAlignment="1" applyProtection="1">
      <alignment horizontal="center" vertical="center" wrapText="1"/>
    </xf>
    <xf numFmtId="0" fontId="125" fillId="26" borderId="55" xfId="88" applyFont="1" applyFill="1" applyBorder="1" applyAlignment="1" applyProtection="1">
      <alignment horizontal="right" vertical="center" wrapText="1"/>
    </xf>
    <xf numFmtId="0" fontId="128" fillId="26" borderId="57" xfId="0" applyFont="1" applyFill="1" applyBorder="1" applyAlignment="1" applyProtection="1">
      <alignment horizontal="right" vertical="center" wrapText="1"/>
    </xf>
    <xf numFmtId="3" fontId="48" fillId="43" borderId="17" xfId="49" applyNumberFormat="1" applyFont="1" applyFill="1" applyBorder="1" applyAlignment="1" applyProtection="1">
      <alignment horizontal="center"/>
      <protection locked="0"/>
    </xf>
    <xf numFmtId="3" fontId="15" fillId="26" borderId="50" xfId="88" applyNumberFormat="1" applyFont="1" applyFill="1" applyBorder="1" applyAlignment="1" applyProtection="1">
      <alignment horizontal="center" vertical="center" wrapText="1"/>
    </xf>
    <xf numFmtId="3" fontId="48" fillId="43" borderId="5" xfId="49" applyNumberFormat="1" applyFont="1" applyFill="1" applyBorder="1" applyAlignment="1" applyProtection="1">
      <alignment horizontal="center"/>
      <protection locked="0"/>
    </xf>
    <xf numFmtId="3" fontId="15" fillId="28" borderId="22" xfId="88" applyNumberFormat="1" applyFont="1" applyFill="1" applyBorder="1" applyAlignment="1" applyProtection="1">
      <alignment horizontal="center" vertical="center" wrapText="1"/>
      <protection locked="0"/>
    </xf>
    <xf numFmtId="3" fontId="125" fillId="20" borderId="106" xfId="88" applyNumberFormat="1" applyFont="1" applyFill="1" applyBorder="1" applyAlignment="1" applyProtection="1">
      <alignment horizontal="center" vertical="center" wrapText="1"/>
    </xf>
    <xf numFmtId="0" fontId="83" fillId="20" borderId="21" xfId="88" applyFont="1" applyFill="1" applyBorder="1" applyAlignment="1" applyProtection="1">
      <alignment horizontal="center" vertical="center" wrapText="1"/>
    </xf>
    <xf numFmtId="0" fontId="83" fillId="20" borderId="30" xfId="88" applyFont="1" applyFill="1" applyBorder="1" applyAlignment="1" applyProtection="1">
      <alignment horizontal="center" vertical="center" wrapText="1"/>
    </xf>
    <xf numFmtId="3" fontId="126" fillId="28" borderId="63" xfId="88" applyNumberFormat="1" applyFont="1" applyFill="1" applyBorder="1" applyAlignment="1" applyProtection="1">
      <alignment horizontal="center" vertical="center" wrapText="1"/>
      <protection locked="0"/>
    </xf>
    <xf numFmtId="0" fontId="15" fillId="3" borderId="39" xfId="88" applyFont="1" applyFill="1" applyBorder="1" applyAlignment="1" applyProtection="1">
      <alignment horizontal="center" vertical="center" wrapText="1"/>
      <protection locked="0"/>
    </xf>
    <xf numFmtId="3" fontId="15" fillId="0" borderId="67" xfId="88" applyNumberFormat="1" applyFont="1" applyFill="1" applyBorder="1" applyAlignment="1" applyProtection="1">
      <alignment horizontal="center" vertical="center" wrapText="1"/>
    </xf>
    <xf numFmtId="3" fontId="126" fillId="0" borderId="23" xfId="88" applyNumberFormat="1" applyFont="1" applyFill="1" applyBorder="1" applyAlignment="1" applyProtection="1">
      <alignment horizontal="center" vertical="center" wrapText="1"/>
    </xf>
    <xf numFmtId="3" fontId="15" fillId="26" borderId="17" xfId="88" applyNumberFormat="1" applyFont="1" applyFill="1" applyBorder="1" applyAlignment="1" applyProtection="1">
      <alignment horizontal="center" vertical="center" wrapText="1"/>
    </xf>
    <xf numFmtId="3" fontId="48" fillId="43" borderId="21" xfId="49" applyNumberFormat="1" applyFont="1" applyFill="1" applyBorder="1" applyAlignment="1" applyProtection="1">
      <alignment horizontal="center"/>
      <protection locked="0"/>
    </xf>
    <xf numFmtId="3" fontId="48" fillId="43" borderId="51" xfId="49" applyNumberFormat="1" applyFont="1" applyFill="1" applyBorder="1" applyAlignment="1" applyProtection="1">
      <alignment horizontal="center"/>
      <protection locked="0"/>
    </xf>
    <xf numFmtId="0" fontId="125" fillId="20" borderId="0" xfId="88" applyFont="1" applyFill="1" applyAlignment="1" applyProtection="1">
      <alignment horizontal="center" vertical="center" wrapText="1"/>
      <protection locked="0"/>
    </xf>
    <xf numFmtId="1" fontId="78" fillId="26" borderId="86" xfId="0" applyNumberFormat="1" applyFont="1" applyFill="1" applyBorder="1" applyAlignment="1" applyProtection="1">
      <alignment horizontal="center" vertical="center" wrapText="1"/>
    </xf>
    <xf numFmtId="49" fontId="90" fillId="27" borderId="26" xfId="52" applyNumberFormat="1" applyFont="1" applyFill="1" applyBorder="1" applyAlignment="1" applyProtection="1">
      <alignment horizontal="center" vertical="center" wrapText="1"/>
    </xf>
    <xf numFmtId="0" fontId="90" fillId="20" borderId="26" xfId="52" applyFont="1" applyFill="1" applyBorder="1" applyAlignment="1" applyProtection="1">
      <alignment horizontal="left" vertical="center"/>
    </xf>
    <xf numFmtId="0" fontId="60" fillId="20" borderId="26" xfId="52" applyFont="1" applyFill="1" applyBorder="1" applyAlignment="1" applyProtection="1">
      <alignment horizontal="center" vertical="center" wrapText="1"/>
    </xf>
    <xf numFmtId="3" fontId="60" fillId="0" borderId="13" xfId="52" applyNumberFormat="1" applyFont="1" applyFill="1" applyBorder="1" applyAlignment="1" applyProtection="1">
      <alignment horizontal="center" vertical="center"/>
    </xf>
    <xf numFmtId="3" fontId="60" fillId="0" borderId="16" xfId="52" applyNumberFormat="1" applyFont="1" applyFill="1" applyBorder="1" applyAlignment="1" applyProtection="1">
      <alignment horizontal="center" vertical="center"/>
    </xf>
    <xf numFmtId="3" fontId="60" fillId="0" borderId="93" xfId="52" applyNumberFormat="1" applyFont="1" applyFill="1" applyBorder="1" applyAlignment="1" applyProtection="1">
      <alignment horizontal="center" vertical="center"/>
    </xf>
    <xf numFmtId="3" fontId="43" fillId="27" borderId="24" xfId="32" applyNumberFormat="1" applyFont="1" applyFill="1" applyBorder="1" applyAlignment="1" applyProtection="1">
      <alignment horizontal="left" vertical="center" wrapText="1"/>
    </xf>
    <xf numFmtId="3" fontId="43" fillId="27" borderId="17" xfId="32" applyNumberFormat="1" applyFont="1" applyFill="1" applyBorder="1" applyAlignment="1" applyProtection="1">
      <alignment horizontal="left" vertical="center" wrapText="1"/>
    </xf>
    <xf numFmtId="3" fontId="43" fillId="0" borderId="17" xfId="32" applyNumberFormat="1" applyFont="1" applyFill="1" applyBorder="1" applyAlignment="1" applyProtection="1">
      <alignment horizontal="left" vertical="center" wrapText="1"/>
    </xf>
    <xf numFmtId="171" fontId="15" fillId="3" borderId="53" xfId="32" applyNumberFormat="1" applyFont="1" applyFill="1" applyBorder="1" applyAlignment="1" applyProtection="1">
      <alignment horizontal="center" vertical="center"/>
      <protection locked="0"/>
    </xf>
    <xf numFmtId="167" fontId="43" fillId="3" borderId="31" xfId="0" applyNumberFormat="1" applyFont="1" applyFill="1" applyBorder="1" applyAlignment="1" applyProtection="1">
      <alignment horizontal="center" vertical="center"/>
      <protection locked="0"/>
    </xf>
    <xf numFmtId="4" fontId="24" fillId="3" borderId="21" xfId="0" applyNumberFormat="1" applyFont="1" applyFill="1" applyBorder="1" applyAlignment="1" applyProtection="1">
      <alignment horizontal="center" vertical="center" wrapText="1"/>
      <protection locked="0"/>
    </xf>
    <xf numFmtId="3" fontId="24" fillId="3" borderId="7" xfId="0" applyNumberFormat="1" applyFont="1" applyFill="1" applyBorder="1" applyAlignment="1" applyProtection="1">
      <alignment horizontal="center" vertical="center" wrapText="1"/>
      <protection locked="0"/>
    </xf>
    <xf numFmtId="3" fontId="24" fillId="3" borderId="53" xfId="0" applyNumberFormat="1" applyFont="1" applyFill="1" applyBorder="1" applyAlignment="1" applyProtection="1">
      <alignment horizontal="center" vertical="center" wrapText="1"/>
      <protection locked="0"/>
    </xf>
    <xf numFmtId="3" fontId="24" fillId="3" borderId="32" xfId="32" applyNumberFormat="1" applyFont="1" applyFill="1" applyBorder="1" applyAlignment="1" applyProtection="1">
      <alignment horizontal="center" vertical="center"/>
      <protection locked="0"/>
    </xf>
    <xf numFmtId="3" fontId="24" fillId="3" borderId="7" xfId="32" applyNumberFormat="1" applyFont="1" applyFill="1" applyBorder="1" applyAlignment="1" applyProtection="1">
      <alignment horizontal="center" vertical="center"/>
      <protection locked="0"/>
    </xf>
    <xf numFmtId="3" fontId="24" fillId="3" borderId="53" xfId="32" applyNumberFormat="1" applyFont="1" applyFill="1" applyBorder="1" applyAlignment="1" applyProtection="1">
      <alignment horizontal="center" vertical="center"/>
      <protection locked="0"/>
    </xf>
    <xf numFmtId="4" fontId="15" fillId="3" borderId="31" xfId="0" applyNumberFormat="1" applyFont="1" applyFill="1" applyBorder="1" applyAlignment="1" applyProtection="1">
      <alignment horizontal="center" vertical="center" wrapText="1"/>
      <protection locked="0"/>
    </xf>
    <xf numFmtId="171" fontId="15" fillId="3" borderId="31" xfId="0" applyNumberFormat="1" applyFont="1" applyFill="1" applyBorder="1" applyAlignment="1" applyProtection="1">
      <alignment horizontal="center" vertical="center" wrapText="1"/>
      <protection locked="0"/>
    </xf>
    <xf numFmtId="166" fontId="15" fillId="3" borderId="31" xfId="0" applyNumberFormat="1" applyFont="1" applyFill="1" applyBorder="1" applyAlignment="1" applyProtection="1">
      <alignment horizontal="center" vertical="center" wrapText="1"/>
      <protection locked="0"/>
    </xf>
    <xf numFmtId="171" fontId="15" fillId="3" borderId="50" xfId="0" applyNumberFormat="1" applyFont="1" applyFill="1" applyBorder="1" applyAlignment="1" applyProtection="1">
      <alignment horizontal="center" vertical="center" wrapText="1"/>
      <protection locked="0"/>
    </xf>
    <xf numFmtId="171" fontId="15" fillId="3" borderId="5" xfId="0" applyNumberFormat="1" applyFont="1" applyFill="1" applyBorder="1" applyAlignment="1" applyProtection="1">
      <alignment horizontal="center" vertical="center" wrapText="1"/>
      <protection locked="0"/>
    </xf>
    <xf numFmtId="9" fontId="24" fillId="3" borderId="17" xfId="0" applyNumberFormat="1" applyFont="1" applyFill="1" applyBorder="1" applyAlignment="1" applyProtection="1">
      <alignment horizontal="center" vertical="center" wrapText="1"/>
      <protection locked="0"/>
    </xf>
    <xf numFmtId="171" fontId="60" fillId="3" borderId="54" xfId="80" applyNumberFormat="1" applyFont="1" applyFill="1" applyBorder="1" applyAlignment="1" applyProtection="1">
      <alignment horizontal="center" vertical="center"/>
      <protection locked="0"/>
    </xf>
    <xf numFmtId="171" fontId="60" fillId="3" borderId="7" xfId="80" applyNumberFormat="1" applyFont="1" applyFill="1" applyBorder="1" applyAlignment="1" applyProtection="1">
      <alignment horizontal="center" vertical="center"/>
      <protection locked="0"/>
    </xf>
    <xf numFmtId="171" fontId="60" fillId="3" borderId="64" xfId="80" applyNumberFormat="1" applyFont="1" applyFill="1" applyBorder="1" applyAlignment="1" applyProtection="1">
      <alignment horizontal="center" vertical="center"/>
      <protection locked="0"/>
    </xf>
    <xf numFmtId="171" fontId="60" fillId="3" borderId="63" xfId="80" applyNumberFormat="1" applyFont="1" applyFill="1" applyBorder="1" applyAlignment="1" applyProtection="1">
      <alignment horizontal="center" vertical="center"/>
      <protection locked="0"/>
    </xf>
    <xf numFmtId="171" fontId="60" fillId="3" borderId="18" xfId="80" applyNumberFormat="1" applyFont="1" applyFill="1" applyBorder="1" applyAlignment="1" applyProtection="1">
      <alignment horizontal="center" vertical="center"/>
      <protection locked="0"/>
    </xf>
    <xf numFmtId="3" fontId="43" fillId="3" borderId="7" xfId="32" applyNumberFormat="1" applyFont="1" applyFill="1" applyBorder="1" applyAlignment="1" applyProtection="1">
      <alignment horizontal="center" vertical="center"/>
      <protection locked="0"/>
    </xf>
    <xf numFmtId="3" fontId="41" fillId="3" borderId="7" xfId="32" applyNumberFormat="1" applyFont="1" applyFill="1" applyBorder="1" applyAlignment="1" applyProtection="1">
      <alignment horizontal="center" vertical="center"/>
      <protection locked="0"/>
    </xf>
    <xf numFmtId="3" fontId="41" fillId="3" borderId="62" xfId="32" applyNumberFormat="1" applyFont="1" applyFill="1" applyBorder="1" applyAlignment="1" applyProtection="1">
      <alignment horizontal="center" vertical="center"/>
      <protection locked="0"/>
    </xf>
    <xf numFmtId="3" fontId="198" fillId="26" borderId="96" xfId="49" applyNumberFormat="1" applyFont="1" applyFill="1" applyBorder="1" applyAlignment="1" applyProtection="1">
      <alignment horizontal="center" vertical="center" wrapText="1"/>
    </xf>
    <xf numFmtId="3" fontId="41" fillId="3" borderId="32" xfId="32" applyNumberFormat="1" applyFont="1" applyFill="1" applyBorder="1" applyAlignment="1" applyProtection="1">
      <alignment horizontal="center" vertical="center"/>
      <protection locked="0"/>
    </xf>
    <xf numFmtId="3" fontId="199" fillId="3" borderId="32" xfId="32" applyNumberFormat="1" applyFont="1" applyFill="1" applyBorder="1" applyAlignment="1" applyProtection="1">
      <alignment horizontal="center" vertical="center"/>
      <protection locked="0"/>
    </xf>
    <xf numFmtId="3" fontId="199" fillId="3" borderId="44" xfId="32" applyNumberFormat="1" applyFont="1" applyFill="1" applyBorder="1" applyAlignment="1" applyProtection="1">
      <alignment horizontal="center" vertical="center"/>
      <protection locked="0"/>
    </xf>
    <xf numFmtId="3" fontId="199" fillId="3" borderId="31" xfId="32" applyNumberFormat="1" applyFont="1" applyFill="1" applyBorder="1" applyAlignment="1" applyProtection="1">
      <alignment horizontal="center" vertical="center"/>
      <protection locked="0"/>
    </xf>
    <xf numFmtId="3" fontId="115" fillId="28" borderId="52" xfId="0" applyNumberFormat="1" applyFont="1" applyFill="1" applyBorder="1" applyAlignment="1" applyProtection="1">
      <alignment horizontal="center" vertical="center"/>
      <protection locked="0"/>
    </xf>
    <xf numFmtId="0" fontId="15" fillId="28" borderId="67" xfId="0" applyFont="1" applyFill="1" applyBorder="1" applyProtection="1">
      <protection locked="0"/>
    </xf>
    <xf numFmtId="0" fontId="15" fillId="28" borderId="0" xfId="0" applyFont="1" applyFill="1" applyBorder="1" applyProtection="1">
      <protection locked="0"/>
    </xf>
    <xf numFmtId="0" fontId="15" fillId="28" borderId="16" xfId="0" applyFont="1" applyFill="1" applyBorder="1" applyProtection="1">
      <protection locked="0"/>
    </xf>
    <xf numFmtId="0" fontId="15" fillId="28" borderId="101" xfId="0" applyFont="1" applyFill="1" applyBorder="1" applyProtection="1">
      <protection locked="0"/>
    </xf>
    <xf numFmtId="0" fontId="15" fillId="28" borderId="20" xfId="0" applyFont="1" applyFill="1" applyBorder="1" applyProtection="1">
      <protection locked="0"/>
    </xf>
    <xf numFmtId="0" fontId="15" fillId="28" borderId="43" xfId="0" applyFont="1" applyFill="1" applyBorder="1" applyProtection="1">
      <protection locked="0"/>
    </xf>
    <xf numFmtId="0" fontId="15" fillId="28" borderId="62" xfId="0" applyFont="1" applyFill="1" applyBorder="1" applyProtection="1">
      <protection locked="0"/>
    </xf>
    <xf numFmtId="0" fontId="15" fillId="28" borderId="23" xfId="0" applyFont="1" applyFill="1" applyBorder="1" applyProtection="1">
      <protection locked="0"/>
    </xf>
    <xf numFmtId="0" fontId="15" fillId="28" borderId="15" xfId="0" applyFont="1" applyFill="1" applyBorder="1" applyProtection="1">
      <protection locked="0"/>
    </xf>
    <xf numFmtId="0" fontId="43" fillId="0" borderId="49" xfId="32" applyFont="1" applyFill="1" applyBorder="1" applyAlignment="1" applyProtection="1">
      <alignment horizontal="center" vertical="center"/>
    </xf>
    <xf numFmtId="0" fontId="43" fillId="0" borderId="50" xfId="32" applyFont="1" applyFill="1" applyBorder="1" applyAlignment="1" applyProtection="1">
      <alignment vertical="center"/>
    </xf>
    <xf numFmtId="3" fontId="43" fillId="0" borderId="49" xfId="0" applyNumberFormat="1" applyFont="1" applyFill="1" applyBorder="1" applyAlignment="1" applyProtection="1">
      <alignment horizontal="center" vertical="center"/>
    </xf>
    <xf numFmtId="0" fontId="71" fillId="0" borderId="0" xfId="32" applyFont="1" applyFill="1" applyAlignment="1">
      <alignment vertical="center"/>
    </xf>
    <xf numFmtId="0" fontId="30" fillId="0" borderId="0" xfId="0" applyFont="1" applyFill="1" applyAlignment="1" applyProtection="1">
      <alignment vertical="center"/>
    </xf>
    <xf numFmtId="0" fontId="71" fillId="0" borderId="0" xfId="0" applyFont="1" applyFill="1" applyAlignment="1">
      <alignment vertical="center"/>
    </xf>
    <xf numFmtId="3" fontId="200" fillId="3" borderId="7" xfId="32" applyNumberFormat="1" applyFont="1" applyFill="1" applyBorder="1" applyAlignment="1" applyProtection="1">
      <alignment horizontal="center" vertical="center"/>
      <protection locked="0"/>
    </xf>
    <xf numFmtId="3" fontId="200" fillId="3" borderId="31" xfId="32" applyNumberFormat="1" applyFont="1" applyFill="1" applyBorder="1" applyAlignment="1" applyProtection="1">
      <alignment horizontal="center" vertical="center"/>
      <protection locked="0"/>
    </xf>
    <xf numFmtId="3" fontId="83" fillId="28" borderId="63" xfId="0" applyNumberFormat="1" applyFont="1" applyFill="1" applyBorder="1" applyAlignment="1" applyProtection="1">
      <alignment horizontal="center" vertical="center"/>
      <protection locked="0"/>
    </xf>
    <xf numFmtId="3" fontId="83" fillId="28" borderId="77" xfId="0" applyNumberFormat="1" applyFont="1" applyFill="1" applyBorder="1" applyAlignment="1" applyProtection="1">
      <alignment horizontal="center" vertical="center"/>
      <protection locked="0"/>
    </xf>
    <xf numFmtId="3" fontId="83" fillId="28" borderId="7" xfId="0" applyNumberFormat="1" applyFont="1" applyFill="1" applyBorder="1" applyAlignment="1" applyProtection="1">
      <alignment horizontal="center" vertical="center"/>
      <protection locked="0"/>
    </xf>
    <xf numFmtId="3" fontId="200" fillId="3" borderId="32" xfId="32" applyNumberFormat="1" applyFont="1" applyFill="1" applyBorder="1" applyAlignment="1" applyProtection="1">
      <alignment horizontal="center" vertical="center"/>
      <protection locked="0"/>
    </xf>
    <xf numFmtId="3" fontId="200" fillId="3" borderId="44" xfId="32" applyNumberFormat="1" applyFont="1" applyFill="1" applyBorder="1" applyAlignment="1" applyProtection="1">
      <alignment horizontal="center" vertical="center"/>
      <protection locked="0"/>
    </xf>
    <xf numFmtId="3" fontId="83" fillId="28" borderId="73" xfId="0" applyNumberFormat="1" applyFont="1" applyFill="1" applyBorder="1" applyAlignment="1" applyProtection="1">
      <alignment horizontal="center" vertical="center"/>
      <protection locked="0"/>
    </xf>
    <xf numFmtId="171" fontId="15" fillId="3" borderId="17" xfId="32" applyNumberFormat="1" applyFont="1" applyFill="1" applyBorder="1" applyAlignment="1" applyProtection="1">
      <alignment horizontal="center" vertical="center"/>
      <protection locked="0"/>
    </xf>
    <xf numFmtId="3" fontId="83" fillId="3" borderId="17" xfId="32" applyNumberFormat="1" applyFont="1" applyFill="1" applyBorder="1" applyAlignment="1" applyProtection="1">
      <alignment horizontal="center" vertical="center"/>
      <protection locked="0"/>
    </xf>
    <xf numFmtId="3" fontId="201" fillId="3" borderId="17" xfId="32" applyNumberFormat="1" applyFont="1" applyFill="1" applyBorder="1" applyAlignment="1" applyProtection="1">
      <alignment horizontal="center" vertical="center"/>
      <protection locked="0"/>
    </xf>
    <xf numFmtId="3" fontId="44" fillId="0" borderId="56" xfId="32" applyNumberFormat="1" applyFont="1" applyFill="1" applyBorder="1" applyAlignment="1" applyProtection="1">
      <alignment horizontal="center" vertical="center"/>
      <protection locked="0"/>
    </xf>
    <xf numFmtId="3" fontId="44" fillId="3" borderId="72" xfId="32" applyNumberFormat="1" applyFont="1" applyFill="1" applyBorder="1" applyAlignment="1" applyProtection="1">
      <alignment horizontal="center" vertical="center"/>
      <protection locked="0"/>
    </xf>
    <xf numFmtId="3" fontId="44" fillId="28" borderId="7" xfId="32" applyNumberFormat="1" applyFont="1" applyFill="1" applyBorder="1" applyAlignment="1" applyProtection="1">
      <alignment horizontal="center" vertical="center"/>
      <protection locked="0"/>
    </xf>
    <xf numFmtId="3" fontId="44" fillId="28" borderId="73" xfId="32" applyNumberFormat="1" applyFont="1" applyFill="1" applyBorder="1" applyAlignment="1" applyProtection="1">
      <alignment horizontal="center" vertical="center"/>
      <protection locked="0"/>
    </xf>
    <xf numFmtId="3" fontId="44" fillId="28" borderId="76" xfId="32" applyNumberFormat="1" applyFont="1" applyFill="1" applyBorder="1" applyAlignment="1" applyProtection="1">
      <alignment horizontal="center" vertical="center"/>
      <protection locked="0"/>
    </xf>
    <xf numFmtId="3" fontId="44" fillId="28" borderId="31" xfId="32" applyNumberFormat="1" applyFont="1" applyFill="1" applyBorder="1" applyAlignment="1" applyProtection="1">
      <alignment horizontal="center" vertical="center"/>
      <protection locked="0"/>
    </xf>
    <xf numFmtId="3" fontId="44" fillId="28" borderId="50" xfId="32" applyNumberFormat="1" applyFont="1" applyFill="1" applyBorder="1" applyAlignment="1" applyProtection="1">
      <alignment horizontal="center" vertical="center"/>
      <protection locked="0"/>
    </xf>
    <xf numFmtId="3" fontId="44" fillId="0" borderId="77" xfId="32" applyNumberFormat="1" applyFont="1" applyFill="1" applyBorder="1" applyAlignment="1" applyProtection="1">
      <alignment horizontal="center" vertical="center"/>
      <protection locked="0"/>
    </xf>
    <xf numFmtId="3" fontId="44" fillId="0" borderId="57" xfId="32" applyNumberFormat="1" applyFont="1" applyFill="1" applyBorder="1" applyAlignment="1" applyProtection="1">
      <alignment horizontal="center" vertical="center"/>
      <protection locked="0"/>
    </xf>
    <xf numFmtId="3" fontId="45" fillId="0" borderId="75" xfId="32" applyNumberFormat="1" applyFont="1" applyFill="1" applyBorder="1" applyAlignment="1" applyProtection="1">
      <alignment horizontal="center" vertical="center"/>
      <protection locked="0"/>
    </xf>
    <xf numFmtId="3" fontId="45" fillId="0" borderId="49" xfId="32" applyNumberFormat="1" applyFont="1" applyFill="1" applyBorder="1" applyAlignment="1" applyProtection="1">
      <alignment horizontal="center" vertical="center"/>
    </xf>
    <xf numFmtId="3" fontId="45" fillId="0" borderId="52" xfId="32" applyNumberFormat="1" applyFont="1" applyFill="1" applyBorder="1" applyAlignment="1" applyProtection="1">
      <alignment horizontal="center" vertical="center"/>
      <protection locked="0"/>
    </xf>
    <xf numFmtId="3" fontId="45" fillId="0" borderId="52" xfId="32" applyNumberFormat="1" applyFont="1" applyFill="1" applyBorder="1" applyAlignment="1" applyProtection="1">
      <alignment horizontal="center" vertical="center"/>
    </xf>
    <xf numFmtId="3" fontId="45" fillId="0" borderId="54" xfId="32" applyNumberFormat="1" applyFont="1" applyFill="1" applyBorder="1" applyAlignment="1" applyProtection="1">
      <alignment horizontal="center" vertical="center"/>
    </xf>
    <xf numFmtId="3" fontId="45" fillId="0" borderId="54" xfId="32" applyNumberFormat="1" applyFont="1" applyFill="1" applyBorder="1" applyAlignment="1" applyProtection="1">
      <alignment horizontal="center" vertical="center"/>
      <protection locked="0"/>
    </xf>
    <xf numFmtId="3" fontId="45" fillId="0" borderId="36" xfId="32" applyNumberFormat="1" applyFont="1" applyFill="1" applyBorder="1" applyAlignment="1" applyProtection="1">
      <alignment horizontal="center" vertical="center"/>
    </xf>
    <xf numFmtId="3" fontId="44" fillId="0" borderId="71" xfId="32" applyNumberFormat="1" applyFont="1" applyFill="1" applyBorder="1" applyAlignment="1" applyProtection="1">
      <alignment horizontal="center" vertical="center"/>
      <protection locked="0"/>
    </xf>
    <xf numFmtId="3" fontId="44" fillId="0" borderId="48" xfId="32" applyNumberFormat="1" applyFont="1" applyFill="1" applyBorder="1" applyAlignment="1" applyProtection="1">
      <alignment horizontal="center" vertical="center"/>
      <protection locked="0"/>
    </xf>
    <xf numFmtId="3" fontId="44" fillId="3" borderId="17" xfId="32" applyNumberFormat="1" applyFont="1" applyFill="1" applyBorder="1" applyAlignment="1" applyProtection="1">
      <alignment horizontal="center" vertical="center"/>
      <protection locked="0"/>
    </xf>
    <xf numFmtId="3" fontId="44" fillId="3" borderId="24" xfId="32" applyNumberFormat="1" applyFont="1" applyFill="1" applyBorder="1" applyAlignment="1" applyProtection="1">
      <alignment horizontal="center" vertical="center"/>
      <protection locked="0"/>
    </xf>
    <xf numFmtId="4" fontId="44" fillId="3" borderId="24" xfId="32" applyNumberFormat="1" applyFont="1" applyFill="1" applyBorder="1" applyAlignment="1" applyProtection="1">
      <alignment horizontal="center" vertical="center"/>
      <protection locked="0"/>
    </xf>
    <xf numFmtId="4" fontId="44" fillId="3" borderId="17" xfId="32" applyNumberFormat="1" applyFont="1" applyFill="1" applyBorder="1" applyAlignment="1" applyProtection="1">
      <alignment horizontal="center" vertical="center"/>
      <protection locked="0"/>
    </xf>
    <xf numFmtId="9" fontId="44" fillId="3" borderId="24" xfId="32" applyNumberFormat="1" applyFont="1" applyFill="1" applyBorder="1" applyAlignment="1" applyProtection="1">
      <alignment horizontal="center" vertical="center"/>
      <protection locked="0"/>
    </xf>
    <xf numFmtId="9" fontId="44" fillId="3" borderId="17" xfId="32" applyNumberFormat="1" applyFont="1" applyFill="1" applyBorder="1" applyAlignment="1" applyProtection="1">
      <alignment horizontal="center" vertical="center"/>
      <protection locked="0"/>
    </xf>
    <xf numFmtId="4" fontId="44" fillId="3" borderId="23" xfId="32" applyNumberFormat="1" applyFont="1" applyFill="1" applyBorder="1" applyAlignment="1" applyProtection="1">
      <alignment horizontal="center" vertical="center"/>
      <protection locked="0"/>
    </xf>
    <xf numFmtId="3" fontId="44" fillId="3" borderId="23" xfId="32" applyNumberFormat="1" applyFont="1" applyFill="1" applyBorder="1" applyAlignment="1" applyProtection="1">
      <alignment horizontal="center" vertical="center"/>
      <protection locked="0"/>
    </xf>
    <xf numFmtId="175" fontId="44" fillId="3" borderId="17" xfId="32" applyNumberFormat="1" applyFont="1" applyFill="1" applyBorder="1" applyAlignment="1" applyProtection="1">
      <alignment horizontal="center" vertical="center"/>
      <protection locked="0"/>
    </xf>
    <xf numFmtId="3" fontId="104" fillId="28" borderId="32" xfId="49" applyNumberFormat="1" applyFont="1" applyFill="1" applyBorder="1" applyAlignment="1" applyProtection="1">
      <alignment horizontal="center" vertical="center" wrapText="1"/>
      <protection locked="0"/>
    </xf>
    <xf numFmtId="3" fontId="104" fillId="28" borderId="23" xfId="49" applyNumberFormat="1" applyFont="1" applyFill="1" applyBorder="1" applyAlignment="1" applyProtection="1">
      <alignment horizontal="center" vertical="center" wrapText="1"/>
      <protection locked="0"/>
    </xf>
    <xf numFmtId="167" fontId="44" fillId="3" borderId="31" xfId="0" applyNumberFormat="1" applyFont="1" applyFill="1" applyBorder="1" applyAlignment="1" applyProtection="1">
      <alignment horizontal="center" vertical="center" wrapText="1"/>
      <protection locked="0"/>
    </xf>
    <xf numFmtId="167" fontId="44" fillId="3" borderId="31" xfId="0" applyNumberFormat="1" applyFont="1" applyFill="1" applyBorder="1" applyAlignment="1" applyProtection="1">
      <alignment horizontal="center" vertical="center" wrapText="1"/>
      <protection locked="0"/>
    </xf>
    <xf numFmtId="167" fontId="44" fillId="3" borderId="7" xfId="0" applyNumberFormat="1" applyFont="1" applyFill="1" applyBorder="1" applyAlignment="1" applyProtection="1">
      <alignment horizontal="center" vertical="center"/>
      <protection locked="0"/>
    </xf>
    <xf numFmtId="167" fontId="44" fillId="3" borderId="7" xfId="0" applyNumberFormat="1" applyFont="1" applyFill="1" applyBorder="1" applyAlignment="1" applyProtection="1">
      <alignment horizontal="center" vertical="center" wrapText="1"/>
      <protection locked="0"/>
    </xf>
    <xf numFmtId="3" fontId="44" fillId="3" borderId="7" xfId="0" applyNumberFormat="1" applyFont="1" applyFill="1" applyBorder="1" applyAlignment="1" applyProtection="1">
      <alignment horizontal="center" vertical="center"/>
      <protection locked="0"/>
    </xf>
    <xf numFmtId="167" fontId="44" fillId="3" borderId="31" xfId="0" applyNumberFormat="1" applyFont="1" applyFill="1" applyBorder="1" applyAlignment="1" applyProtection="1">
      <alignment horizontal="center" vertical="center" wrapText="1"/>
      <protection locked="0"/>
    </xf>
    <xf numFmtId="3" fontId="198" fillId="28" borderId="32" xfId="49" applyNumberFormat="1" applyFont="1" applyFill="1" applyBorder="1" applyAlignment="1" applyProtection="1">
      <alignment horizontal="center" vertical="center" wrapText="1"/>
      <protection locked="0"/>
    </xf>
    <xf numFmtId="3" fontId="198" fillId="28" borderId="23" xfId="49" applyNumberFormat="1" applyFont="1" applyFill="1" applyBorder="1" applyAlignment="1" applyProtection="1">
      <alignment horizontal="center" vertical="center" wrapText="1"/>
      <protection locked="0"/>
    </xf>
    <xf numFmtId="0" fontId="55" fillId="28" borderId="7" xfId="0" applyFont="1" applyFill="1" applyBorder="1" applyAlignment="1" applyProtection="1">
      <alignment vertical="center"/>
      <protection locked="0"/>
    </xf>
    <xf numFmtId="3" fontId="43" fillId="28" borderId="31" xfId="32" applyNumberFormat="1" applyFont="1" applyFill="1" applyBorder="1" applyAlignment="1" applyProtection="1">
      <alignment horizontal="center" vertical="center"/>
      <protection locked="0"/>
    </xf>
    <xf numFmtId="175" fontId="43" fillId="28" borderId="31" xfId="32" applyNumberFormat="1" applyFont="1" applyFill="1" applyBorder="1" applyAlignment="1" applyProtection="1">
      <alignment horizontal="center" vertical="center"/>
      <protection locked="0"/>
    </xf>
    <xf numFmtId="3" fontId="115" fillId="28" borderId="53" xfId="0" applyNumberFormat="1" applyFont="1" applyFill="1" applyBorder="1" applyAlignment="1" applyProtection="1">
      <alignment horizontal="center" vertical="center"/>
      <protection locked="0"/>
    </xf>
    <xf numFmtId="167" fontId="115" fillId="28" borderId="31" xfId="0" applyNumberFormat="1" applyFont="1" applyFill="1" applyBorder="1" applyAlignment="1" applyProtection="1">
      <alignment horizontal="center" vertical="center" wrapText="1"/>
      <protection locked="0"/>
    </xf>
    <xf numFmtId="3" fontId="15" fillId="28" borderId="7" xfId="32" applyNumberFormat="1" applyFont="1" applyFill="1" applyBorder="1" applyAlignment="1" applyProtection="1">
      <alignment horizontal="center" vertical="center"/>
      <protection locked="0"/>
    </xf>
    <xf numFmtId="3" fontId="15" fillId="28" borderId="62" xfId="32" applyNumberFormat="1" applyFont="1" applyFill="1" applyBorder="1" applyAlignment="1" applyProtection="1">
      <alignment horizontal="center" vertical="center"/>
      <protection locked="0"/>
    </xf>
    <xf numFmtId="3" fontId="24" fillId="3" borderId="44" xfId="88" applyNumberFormat="1" applyFont="1" applyFill="1" applyBorder="1" applyAlignment="1" applyProtection="1">
      <alignment horizontal="center" vertical="center" wrapText="1"/>
      <protection locked="0"/>
    </xf>
    <xf numFmtId="3" fontId="24" fillId="3" borderId="31" xfId="88" applyNumberFormat="1" applyFont="1" applyFill="1" applyBorder="1" applyAlignment="1" applyProtection="1">
      <alignment horizontal="center" vertical="center" wrapText="1"/>
      <protection locked="0"/>
    </xf>
    <xf numFmtId="3" fontId="24" fillId="3" borderId="50" xfId="88" applyNumberFormat="1" applyFont="1" applyFill="1" applyBorder="1" applyAlignment="1" applyProtection="1">
      <alignment horizontal="center" vertical="center" wrapText="1"/>
      <protection locked="0"/>
    </xf>
    <xf numFmtId="3" fontId="24" fillId="28" borderId="32" xfId="88" applyNumberFormat="1" applyFont="1" applyFill="1" applyBorder="1" applyAlignment="1" applyProtection="1">
      <alignment horizontal="center" vertical="center" wrapText="1"/>
      <protection locked="0"/>
    </xf>
    <xf numFmtId="3" fontId="24" fillId="28" borderId="7" xfId="88" applyNumberFormat="1" applyFont="1" applyFill="1" applyBorder="1" applyAlignment="1" applyProtection="1">
      <alignment horizontal="center" vertical="center" wrapText="1"/>
      <protection locked="0"/>
    </xf>
    <xf numFmtId="3" fontId="24" fillId="3" borderId="72" xfId="88" applyNumberFormat="1" applyFont="1" applyFill="1" applyBorder="1" applyAlignment="1" applyProtection="1">
      <alignment horizontal="center" vertical="center" wrapText="1"/>
      <protection locked="0"/>
    </xf>
    <xf numFmtId="3" fontId="24" fillId="3" borderId="73" xfId="88" applyNumberFormat="1" applyFont="1" applyFill="1" applyBorder="1" applyAlignment="1" applyProtection="1">
      <alignment horizontal="center" vertical="center" wrapText="1"/>
      <protection locked="0"/>
    </xf>
    <xf numFmtId="3" fontId="24" fillId="3" borderId="76" xfId="88" applyNumberFormat="1" applyFont="1" applyFill="1" applyBorder="1" applyAlignment="1" applyProtection="1">
      <alignment horizontal="center" vertical="center" wrapText="1"/>
      <protection locked="0"/>
    </xf>
    <xf numFmtId="3" fontId="24" fillId="3" borderId="32" xfId="88" applyNumberFormat="1" applyFont="1" applyFill="1" applyBorder="1" applyAlignment="1" applyProtection="1">
      <alignment horizontal="center" vertical="center" wrapText="1"/>
      <protection locked="0"/>
    </xf>
    <xf numFmtId="3" fontId="24" fillId="3" borderId="7" xfId="88" applyNumberFormat="1" applyFont="1" applyFill="1" applyBorder="1" applyAlignment="1" applyProtection="1">
      <alignment horizontal="center" vertical="center" wrapText="1"/>
      <protection locked="0"/>
    </xf>
    <xf numFmtId="3" fontId="24" fillId="3" borderId="53" xfId="88" applyNumberFormat="1" applyFont="1" applyFill="1" applyBorder="1" applyAlignment="1" applyProtection="1">
      <alignment horizontal="center" vertical="center" wrapText="1"/>
      <protection locked="0"/>
    </xf>
    <xf numFmtId="3" fontId="24" fillId="28" borderId="62" xfId="88" applyNumberFormat="1" applyFont="1" applyFill="1" applyBorder="1" applyAlignment="1" applyProtection="1">
      <alignment horizontal="center" vertical="center" wrapText="1"/>
      <protection locked="0"/>
    </xf>
    <xf numFmtId="0" fontId="207" fillId="0" borderId="7" xfId="0" applyFont="1" applyBorder="1" applyAlignment="1"/>
    <xf numFmtId="0" fontId="208" fillId="0" borderId="7" xfId="0" applyFont="1" applyBorder="1" applyAlignment="1"/>
    <xf numFmtId="0" fontId="0" fillId="0" borderId="7" xfId="0" applyBorder="1"/>
    <xf numFmtId="0" fontId="206" fillId="0" borderId="7" xfId="0" applyFont="1" applyBorder="1" applyAlignment="1">
      <alignment horizontal="center" vertical="center" wrapText="1"/>
    </xf>
    <xf numFmtId="0" fontId="208" fillId="0" borderId="63" xfId="0" applyFont="1" applyBorder="1" applyAlignment="1"/>
    <xf numFmtId="0" fontId="208" fillId="0" borderId="7" xfId="0" applyFont="1" applyBorder="1" applyAlignment="1">
      <alignment horizontal="right" wrapText="1"/>
    </xf>
    <xf numFmtId="0" fontId="209" fillId="0" borderId="7" xfId="0" applyFont="1" applyBorder="1"/>
    <xf numFmtId="0" fontId="206" fillId="0" borderId="168" xfId="0" applyFont="1" applyBorder="1" applyAlignment="1">
      <alignment horizontal="center" vertical="center" wrapText="1"/>
    </xf>
    <xf numFmtId="3" fontId="208" fillId="0" borderId="7" xfId="0" applyNumberFormat="1" applyFont="1" applyBorder="1" applyAlignment="1">
      <alignment horizontal="right" wrapText="1"/>
    </xf>
    <xf numFmtId="0" fontId="206" fillId="0" borderId="7" xfId="0" applyFont="1" applyBorder="1" applyAlignment="1">
      <alignment horizontal="right" wrapText="1"/>
    </xf>
    <xf numFmtId="0" fontId="211" fillId="0" borderId="7" xfId="0" applyFont="1" applyBorder="1"/>
    <xf numFmtId="1" fontId="208" fillId="0" borderId="7" xfId="0" applyNumberFormat="1" applyFont="1" applyBorder="1" applyAlignment="1">
      <alignment horizontal="right" wrapText="1"/>
    </xf>
    <xf numFmtId="0" fontId="212" fillId="0" borderId="0" xfId="0" applyFont="1"/>
    <xf numFmtId="0" fontId="213" fillId="0" borderId="0" xfId="0" applyFont="1"/>
    <xf numFmtId="3" fontId="115" fillId="28" borderId="7" xfId="0" applyNumberFormat="1" applyFont="1" applyFill="1" applyBorder="1" applyAlignment="1" applyProtection="1">
      <alignment horizontal="center" vertical="center"/>
      <protection locked="0"/>
    </xf>
    <xf numFmtId="167" fontId="83" fillId="3" borderId="7" xfId="0" applyNumberFormat="1" applyFont="1" applyFill="1" applyBorder="1" applyAlignment="1" applyProtection="1">
      <alignment horizontal="center" vertical="center" wrapText="1"/>
      <protection locked="0"/>
    </xf>
    <xf numFmtId="167" fontId="83" fillId="3" borderId="7" xfId="0" applyNumberFormat="1" applyFont="1" applyFill="1" applyBorder="1" applyAlignment="1" applyProtection="1">
      <alignment horizontal="center" vertical="center"/>
      <protection locked="0"/>
    </xf>
    <xf numFmtId="0" fontId="92" fillId="0" borderId="24" xfId="2" applyNumberFormat="1" applyFont="1" applyFill="1" applyBorder="1" applyAlignment="1" applyProtection="1">
      <alignment horizontal="left" vertical="center" wrapText="1"/>
    </xf>
    <xf numFmtId="0" fontId="92" fillId="0" borderId="15" xfId="2" applyNumberFormat="1" applyFont="1" applyFill="1" applyBorder="1" applyAlignment="1" applyProtection="1">
      <alignment horizontal="left" vertical="center" wrapText="1"/>
    </xf>
    <xf numFmtId="0" fontId="72" fillId="0" borderId="23" xfId="32" applyNumberFormat="1" applyFont="1" applyFill="1" applyBorder="1" applyAlignment="1" applyProtection="1">
      <alignment horizontal="left" vertical="center" wrapText="1"/>
    </xf>
    <xf numFmtId="0" fontId="72" fillId="0" borderId="15" xfId="32" applyNumberFormat="1" applyFont="1" applyFill="1" applyBorder="1" applyAlignment="1" applyProtection="1">
      <alignment horizontal="left" vertical="center" wrapText="1"/>
    </xf>
    <xf numFmtId="49" fontId="73" fillId="0" borderId="23" xfId="32" applyNumberFormat="1" applyFont="1" applyFill="1" applyBorder="1" applyAlignment="1" applyProtection="1">
      <alignment horizontal="left" vertical="center" wrapText="1"/>
    </xf>
    <xf numFmtId="49" fontId="73" fillId="0" borderId="15" xfId="32" applyNumberFormat="1" applyFont="1" applyFill="1" applyBorder="1" applyAlignment="1" applyProtection="1">
      <alignment horizontal="left" vertical="center" wrapText="1"/>
    </xf>
    <xf numFmtId="0" fontId="117" fillId="0" borderId="24" xfId="2" applyFont="1" applyBorder="1" applyAlignment="1" applyProtection="1">
      <alignment horizontal="left" vertical="center" wrapText="1"/>
    </xf>
    <xf numFmtId="0" fontId="117" fillId="0" borderId="15" xfId="2" applyFont="1" applyBorder="1" applyAlignment="1" applyProtection="1">
      <alignment horizontal="left" vertical="center" wrapText="1"/>
    </xf>
    <xf numFmtId="49" fontId="36" fillId="3" borderId="24" xfId="0" applyNumberFormat="1" applyFont="1" applyFill="1" applyBorder="1" applyAlignment="1" applyProtection="1">
      <alignment horizontal="left" vertical="center"/>
      <protection locked="0"/>
    </xf>
    <xf numFmtId="49" fontId="36" fillId="3" borderId="15" xfId="0" applyNumberFormat="1" applyFont="1" applyFill="1" applyBorder="1" applyAlignment="1" applyProtection="1">
      <alignment horizontal="left" vertical="center"/>
      <protection locked="0"/>
    </xf>
    <xf numFmtId="49" fontId="20" fillId="3" borderId="30" xfId="2" applyNumberFormat="1" applyFill="1" applyBorder="1" applyAlignment="1" applyProtection="1">
      <alignment horizontal="left" vertical="center"/>
      <protection locked="0"/>
    </xf>
    <xf numFmtId="49" fontId="20" fillId="3" borderId="19" xfId="2" applyNumberFormat="1" applyFill="1" applyBorder="1" applyAlignment="1" applyProtection="1">
      <alignment horizontal="left" vertical="center"/>
      <protection locked="0"/>
    </xf>
    <xf numFmtId="49" fontId="20" fillId="3" borderId="24" xfId="2" applyNumberFormat="1" applyFill="1" applyBorder="1" applyAlignment="1" applyProtection="1">
      <alignment horizontal="left" vertical="center"/>
      <protection locked="0"/>
    </xf>
    <xf numFmtId="49" fontId="20" fillId="3" borderId="15" xfId="2" applyNumberFormat="1" applyFill="1" applyBorder="1" applyAlignment="1" applyProtection="1">
      <alignment horizontal="left" vertical="center"/>
      <protection locked="0"/>
    </xf>
    <xf numFmtId="49" fontId="72" fillId="20" borderId="39" xfId="32" applyNumberFormat="1" applyFont="1" applyFill="1" applyBorder="1" applyAlignment="1" applyProtection="1">
      <alignment horizontal="center" vertical="center"/>
    </xf>
    <xf numFmtId="49" fontId="72" fillId="20" borderId="26" xfId="32" applyNumberFormat="1" applyFont="1" applyFill="1" applyBorder="1" applyAlignment="1" applyProtection="1">
      <alignment horizontal="center" vertical="center"/>
    </xf>
    <xf numFmtId="49" fontId="72" fillId="20" borderId="5" xfId="32" applyNumberFormat="1" applyFont="1" applyFill="1" applyBorder="1" applyAlignment="1" applyProtection="1">
      <alignment horizontal="center" vertical="center"/>
    </xf>
    <xf numFmtId="0" fontId="73" fillId="20" borderId="39" xfId="32" applyFont="1" applyFill="1" applyBorder="1" applyAlignment="1" applyProtection="1">
      <alignment horizontal="right" vertical="center"/>
    </xf>
    <xf numFmtId="0" fontId="73" fillId="20" borderId="26" xfId="32" applyFont="1" applyFill="1" applyBorder="1" applyAlignment="1" applyProtection="1">
      <alignment horizontal="right" vertical="center"/>
    </xf>
    <xf numFmtId="0" fontId="73" fillId="20" borderId="5" xfId="32" applyFont="1" applyFill="1" applyBorder="1" applyAlignment="1" applyProtection="1">
      <alignment horizontal="right" vertical="center"/>
    </xf>
    <xf numFmtId="49" fontId="72" fillId="20" borderId="39" xfId="32" applyNumberFormat="1" applyFont="1" applyFill="1" applyBorder="1" applyAlignment="1" applyProtection="1">
      <alignment horizontal="left" vertical="center"/>
    </xf>
    <xf numFmtId="49" fontId="72" fillId="20" borderId="26" xfId="32" applyNumberFormat="1" applyFont="1" applyFill="1" applyBorder="1" applyAlignment="1" applyProtection="1">
      <alignment horizontal="left" vertical="center"/>
    </xf>
    <xf numFmtId="0" fontId="117" fillId="0" borderId="24" xfId="2" applyFont="1" applyBorder="1" applyAlignment="1" applyProtection="1">
      <alignment horizontal="left" wrapText="1"/>
    </xf>
    <xf numFmtId="0" fontId="117" fillId="0" borderId="15" xfId="2" applyFont="1" applyBorder="1" applyAlignment="1" applyProtection="1">
      <alignment horizontal="left" wrapText="1"/>
    </xf>
    <xf numFmtId="0" fontId="117" fillId="0" borderId="24" xfId="2" applyNumberFormat="1" applyFont="1" applyFill="1" applyBorder="1" applyAlignment="1" applyProtection="1">
      <alignment horizontal="left" vertical="center" wrapText="1"/>
    </xf>
    <xf numFmtId="0" fontId="117" fillId="0" borderId="15" xfId="2" applyNumberFormat="1" applyFont="1" applyFill="1" applyBorder="1" applyAlignment="1" applyProtection="1">
      <alignment horizontal="left" vertical="center" wrapText="1"/>
    </xf>
    <xf numFmtId="49" fontId="37" fillId="3" borderId="29" xfId="0" applyNumberFormat="1" applyFont="1" applyFill="1" applyBorder="1" applyAlignment="1" applyProtection="1">
      <alignment horizontal="left" vertical="center"/>
      <protection locked="0"/>
    </xf>
    <xf numFmtId="49" fontId="37" fillId="3" borderId="14" xfId="0" applyNumberFormat="1" applyFont="1" applyFill="1" applyBorder="1" applyAlignment="1" applyProtection="1">
      <alignment horizontal="left" vertical="center"/>
      <protection locked="0"/>
    </xf>
    <xf numFmtId="49" fontId="73" fillId="0" borderId="36" xfId="32" applyNumberFormat="1" applyFont="1" applyFill="1" applyBorder="1" applyAlignment="1" applyProtection="1">
      <alignment horizontal="left" vertical="center"/>
    </xf>
    <xf numFmtId="49" fontId="73" fillId="0" borderId="18" xfId="32" applyNumberFormat="1" applyFont="1" applyFill="1" applyBorder="1" applyAlignment="1" applyProtection="1">
      <alignment horizontal="left" vertical="center"/>
    </xf>
    <xf numFmtId="0" fontId="75" fillId="26" borderId="1" xfId="32" applyNumberFormat="1" applyFont="1" applyFill="1" applyBorder="1" applyAlignment="1" applyProtection="1">
      <alignment horizontal="center" vertical="center"/>
    </xf>
    <xf numFmtId="0" fontId="75" fillId="26" borderId="3" xfId="32" applyNumberFormat="1" applyFont="1" applyFill="1" applyBorder="1" applyAlignment="1" applyProtection="1">
      <alignment horizontal="center" vertical="center"/>
    </xf>
    <xf numFmtId="0" fontId="75" fillId="26" borderId="24" xfId="32" applyNumberFormat="1" applyFont="1" applyFill="1" applyBorder="1" applyAlignment="1" applyProtection="1">
      <alignment horizontal="center" vertical="center"/>
    </xf>
    <xf numFmtId="0" fontId="75" fillId="26" borderId="15" xfId="32" applyNumberFormat="1" applyFont="1" applyFill="1" applyBorder="1" applyAlignment="1" applyProtection="1">
      <alignment horizontal="center" vertical="center"/>
    </xf>
    <xf numFmtId="0" fontId="75" fillId="26" borderId="30" xfId="32" applyNumberFormat="1" applyFont="1" applyFill="1" applyBorder="1" applyAlignment="1" applyProtection="1">
      <alignment horizontal="center" vertical="center"/>
    </xf>
    <xf numFmtId="0" fontId="75" fillId="26" borderId="19" xfId="32" applyNumberFormat="1" applyFont="1" applyFill="1" applyBorder="1" applyAlignment="1" applyProtection="1">
      <alignment horizontal="center" vertical="center"/>
    </xf>
    <xf numFmtId="49" fontId="75" fillId="3" borderId="29" xfId="32" applyNumberFormat="1" applyFont="1" applyFill="1" applyBorder="1" applyAlignment="1" applyProtection="1">
      <alignment horizontal="center" vertical="center"/>
      <protection locked="0"/>
    </xf>
    <xf numFmtId="49" fontId="75" fillId="3" borderId="14" xfId="32" applyNumberFormat="1" applyFont="1" applyFill="1" applyBorder="1" applyAlignment="1" applyProtection="1">
      <alignment horizontal="center" vertical="center"/>
      <protection locked="0"/>
    </xf>
    <xf numFmtId="49" fontId="72" fillId="20" borderId="35" xfId="32" applyNumberFormat="1" applyFont="1" applyFill="1" applyBorder="1" applyAlignment="1" applyProtection="1">
      <alignment horizontal="left" vertical="center"/>
    </xf>
    <xf numFmtId="49" fontId="72" fillId="20" borderId="34" xfId="32" applyNumberFormat="1" applyFont="1" applyFill="1" applyBorder="1" applyAlignment="1" applyProtection="1">
      <alignment horizontal="left" vertical="center"/>
    </xf>
    <xf numFmtId="0" fontId="72" fillId="20" borderId="40" xfId="32" applyFont="1" applyFill="1" applyBorder="1" applyAlignment="1" applyProtection="1">
      <alignment horizontal="right" vertical="center"/>
    </xf>
    <xf numFmtId="0" fontId="72" fillId="20" borderId="27" xfId="32" applyFont="1" applyFill="1" applyBorder="1" applyAlignment="1" applyProtection="1">
      <alignment horizontal="right" vertical="center"/>
    </xf>
    <xf numFmtId="0" fontId="72" fillId="20" borderId="42" xfId="32" applyFont="1" applyFill="1" applyBorder="1" applyAlignment="1" applyProtection="1">
      <alignment horizontal="right" vertical="center"/>
    </xf>
    <xf numFmtId="0" fontId="75" fillId="26" borderId="29" xfId="32" applyNumberFormat="1" applyFont="1" applyFill="1" applyBorder="1" applyAlignment="1" applyProtection="1">
      <alignment horizontal="center" vertical="center"/>
    </xf>
    <xf numFmtId="0" fontId="75" fillId="26" borderId="14" xfId="32" applyNumberFormat="1" applyFont="1" applyFill="1" applyBorder="1" applyAlignment="1" applyProtection="1">
      <alignment horizontal="center" vertical="center"/>
    </xf>
    <xf numFmtId="49" fontId="73" fillId="3" borderId="24" xfId="32" applyNumberFormat="1" applyFont="1" applyFill="1" applyBorder="1" applyAlignment="1" applyProtection="1">
      <alignment horizontal="left" vertical="center"/>
      <protection locked="0"/>
    </xf>
    <xf numFmtId="49" fontId="73" fillId="3" borderId="15" xfId="32" applyNumberFormat="1" applyFont="1" applyFill="1" applyBorder="1" applyAlignment="1" applyProtection="1">
      <alignment horizontal="left" vertical="center"/>
      <protection locked="0"/>
    </xf>
    <xf numFmtId="49" fontId="81" fillId="0" borderId="0" xfId="32" applyNumberFormat="1" applyFont="1" applyBorder="1" applyAlignment="1" applyProtection="1">
      <alignment horizontal="center" vertical="center"/>
    </xf>
    <xf numFmtId="0" fontId="72" fillId="0" borderId="0" xfId="32" applyNumberFormat="1" applyFont="1" applyBorder="1" applyAlignment="1" applyProtection="1">
      <alignment horizontal="center" vertical="center"/>
    </xf>
    <xf numFmtId="49" fontId="72" fillId="37" borderId="35" xfId="32" applyNumberFormat="1" applyFont="1" applyFill="1" applyBorder="1" applyAlignment="1" applyProtection="1">
      <alignment horizontal="center" vertical="center"/>
    </xf>
    <xf numFmtId="49" fontId="72" fillId="37" borderId="34" xfId="32" applyNumberFormat="1" applyFont="1" applyFill="1" applyBorder="1" applyAlignment="1" applyProtection="1">
      <alignment horizontal="center" vertical="center"/>
    </xf>
    <xf numFmtId="0" fontId="72" fillId="37" borderId="29" xfId="32" applyFont="1" applyFill="1" applyBorder="1" applyAlignment="1" applyProtection="1">
      <alignment horizontal="center" vertical="center"/>
    </xf>
    <xf numFmtId="0" fontId="72" fillId="37" borderId="22" xfId="32" applyFont="1" applyFill="1" applyBorder="1" applyAlignment="1" applyProtection="1">
      <alignment horizontal="center" vertical="center"/>
    </xf>
    <xf numFmtId="0" fontId="72" fillId="37" borderId="14" xfId="32" applyFont="1" applyFill="1" applyBorder="1" applyAlignment="1" applyProtection="1">
      <alignment horizontal="center" vertical="center"/>
    </xf>
    <xf numFmtId="0" fontId="74" fillId="37" borderId="30" xfId="32" applyFont="1" applyFill="1" applyBorder="1" applyAlignment="1" applyProtection="1">
      <alignment horizontal="center" vertical="center"/>
    </xf>
    <xf numFmtId="0" fontId="74" fillId="37" borderId="19" xfId="32" applyFont="1" applyFill="1" applyBorder="1" applyAlignment="1" applyProtection="1">
      <alignment horizontal="center" vertical="center"/>
    </xf>
    <xf numFmtId="49" fontId="73" fillId="3" borderId="29" xfId="32" applyNumberFormat="1" applyFont="1" applyFill="1" applyBorder="1" applyAlignment="1" applyProtection="1">
      <alignment horizontal="left" vertical="center"/>
      <protection locked="0"/>
    </xf>
    <xf numFmtId="49" fontId="73" fillId="3" borderId="14" xfId="32" applyNumberFormat="1" applyFont="1" applyFill="1" applyBorder="1" applyAlignment="1" applyProtection="1">
      <alignment horizontal="left" vertical="center"/>
      <protection locked="0"/>
    </xf>
    <xf numFmtId="0" fontId="45" fillId="27" borderId="0" xfId="0" applyFont="1" applyFill="1" applyAlignment="1" applyProtection="1">
      <alignment vertical="top" wrapText="1"/>
    </xf>
    <xf numFmtId="49" fontId="37" fillId="28" borderId="30" xfId="31" applyNumberFormat="1" applyFont="1" applyFill="1" applyBorder="1" applyAlignment="1" applyProtection="1">
      <alignment horizontal="center" vertical="center"/>
      <protection locked="0"/>
    </xf>
    <xf numFmtId="49" fontId="37" fillId="28" borderId="19" xfId="31" applyNumberFormat="1" applyFont="1" applyFill="1" applyBorder="1" applyAlignment="1" applyProtection="1">
      <alignment horizontal="center" vertical="center"/>
      <protection locked="0"/>
    </xf>
    <xf numFmtId="1" fontId="37" fillId="26" borderId="24" xfId="31" applyNumberFormat="1" applyFont="1" applyFill="1" applyBorder="1" applyAlignment="1" applyProtection="1">
      <alignment horizontal="left" vertical="center"/>
    </xf>
    <xf numFmtId="1" fontId="37" fillId="26" borderId="15" xfId="31" applyNumberFormat="1" applyFont="1" applyFill="1" applyBorder="1" applyAlignment="1" applyProtection="1">
      <alignment horizontal="left" vertical="center"/>
    </xf>
    <xf numFmtId="49" fontId="37" fillId="28" borderId="29" xfId="31" applyNumberFormat="1" applyFont="1" applyFill="1" applyBorder="1" applyAlignment="1" applyProtection="1">
      <alignment horizontal="center" vertical="center"/>
      <protection locked="0"/>
    </xf>
    <xf numFmtId="49" fontId="37" fillId="28" borderId="14" xfId="31" applyNumberFormat="1" applyFont="1" applyFill="1" applyBorder="1" applyAlignment="1" applyProtection="1">
      <alignment horizontal="center" vertical="center"/>
      <protection locked="0"/>
    </xf>
    <xf numFmtId="49" fontId="37" fillId="28" borderId="24" xfId="31" applyNumberFormat="1" applyFont="1" applyFill="1" applyBorder="1" applyAlignment="1" applyProtection="1">
      <alignment horizontal="center" vertical="center"/>
      <protection locked="0"/>
    </xf>
    <xf numFmtId="49" fontId="37" fillId="28" borderId="15" xfId="31" applyNumberFormat="1" applyFont="1" applyFill="1" applyBorder="1" applyAlignment="1" applyProtection="1">
      <alignment horizontal="center" vertical="center"/>
      <protection locked="0"/>
    </xf>
    <xf numFmtId="49" fontId="37" fillId="3" borderId="24" xfId="0" applyNumberFormat="1" applyFont="1" applyFill="1" applyBorder="1" applyAlignment="1" applyProtection="1">
      <alignment horizontal="left" vertical="center"/>
      <protection locked="0"/>
    </xf>
    <xf numFmtId="49" fontId="37" fillId="3" borderId="15" xfId="0" applyNumberFormat="1" applyFont="1" applyFill="1" applyBorder="1" applyAlignment="1" applyProtection="1">
      <alignment horizontal="left" vertical="center"/>
      <protection locked="0"/>
    </xf>
    <xf numFmtId="49" fontId="37" fillId="3" borderId="30" xfId="0" applyNumberFormat="1" applyFont="1" applyFill="1" applyBorder="1" applyAlignment="1" applyProtection="1">
      <alignment horizontal="left" vertical="center" wrapText="1"/>
      <protection locked="0"/>
    </xf>
    <xf numFmtId="49" fontId="37" fillId="3" borderId="19" xfId="0" applyNumberFormat="1" applyFont="1" applyFill="1" applyBorder="1" applyAlignment="1" applyProtection="1">
      <alignment horizontal="left" vertical="center"/>
      <protection locked="0"/>
    </xf>
    <xf numFmtId="49" fontId="18" fillId="27" borderId="0" xfId="0" applyNumberFormat="1" applyFont="1" applyFill="1" applyBorder="1" applyAlignment="1" applyProtection="1">
      <alignment horizontal="center" vertical="center" wrapText="1"/>
    </xf>
    <xf numFmtId="49" fontId="18" fillId="27" borderId="0" xfId="0" applyNumberFormat="1" applyFont="1" applyFill="1" applyBorder="1" applyAlignment="1" applyProtection="1">
      <alignment horizontal="center" vertical="center"/>
    </xf>
    <xf numFmtId="0" fontId="23" fillId="27" borderId="0" xfId="0" applyNumberFormat="1" applyFont="1" applyFill="1" applyBorder="1" applyAlignment="1" applyProtection="1">
      <alignment horizontal="center" vertical="center"/>
    </xf>
    <xf numFmtId="49" fontId="23" fillId="37" borderId="35" xfId="0" applyNumberFormat="1" applyFont="1" applyFill="1" applyBorder="1" applyAlignment="1" applyProtection="1">
      <alignment horizontal="center" vertical="center"/>
    </xf>
    <xf numFmtId="49" fontId="23" fillId="37" borderId="34" xfId="0" applyNumberFormat="1" applyFont="1" applyFill="1" applyBorder="1" applyAlignment="1" applyProtection="1">
      <alignment horizontal="center" vertical="center"/>
    </xf>
    <xf numFmtId="0" fontId="23" fillId="37" borderId="29" xfId="0" applyFont="1" applyFill="1" applyBorder="1" applyAlignment="1" applyProtection="1">
      <alignment horizontal="center" vertical="center"/>
    </xf>
    <xf numFmtId="0" fontId="23" fillId="37" borderId="22" xfId="0" applyFont="1" applyFill="1" applyBorder="1" applyAlignment="1" applyProtection="1">
      <alignment horizontal="center" vertical="center"/>
    </xf>
    <xf numFmtId="0" fontId="23" fillId="37" borderId="14" xfId="0" applyFont="1" applyFill="1" applyBorder="1" applyAlignment="1" applyProtection="1">
      <alignment horizontal="center" vertical="center"/>
    </xf>
    <xf numFmtId="0" fontId="35" fillId="37" borderId="30" xfId="0" applyFont="1" applyFill="1" applyBorder="1" applyAlignment="1" applyProtection="1">
      <alignment horizontal="center" vertical="center"/>
    </xf>
    <xf numFmtId="0" fontId="35" fillId="37" borderId="19" xfId="0" applyFont="1" applyFill="1" applyBorder="1" applyAlignment="1" applyProtection="1">
      <alignment horizontal="center" vertical="center"/>
    </xf>
    <xf numFmtId="0" fontId="35" fillId="27" borderId="1" xfId="0" applyFont="1" applyFill="1" applyBorder="1" applyAlignment="1" applyProtection="1">
      <alignment horizontal="center" vertical="center"/>
    </xf>
    <xf numFmtId="0" fontId="35" fillId="27" borderId="3" xfId="0" applyFont="1" applyFill="1" applyBorder="1" applyAlignment="1" applyProtection="1">
      <alignment horizontal="center" vertical="center"/>
    </xf>
    <xf numFmtId="0" fontId="35" fillId="27" borderId="1" xfId="31" applyFont="1" applyFill="1" applyBorder="1" applyAlignment="1" applyProtection="1">
      <alignment horizontal="left" vertical="center"/>
    </xf>
    <xf numFmtId="0" fontId="35" fillId="27" borderId="3" xfId="31" applyFont="1" applyFill="1" applyBorder="1" applyAlignment="1" applyProtection="1">
      <alignment horizontal="left" vertical="center"/>
    </xf>
    <xf numFmtId="49" fontId="37" fillId="26" borderId="29" xfId="31" applyNumberFormat="1" applyFont="1" applyFill="1" applyBorder="1" applyAlignment="1" applyProtection="1">
      <alignment horizontal="left" vertical="center"/>
    </xf>
    <xf numFmtId="49" fontId="37" fillId="26" borderId="14" xfId="31" applyNumberFormat="1" applyFont="1" applyFill="1" applyBorder="1" applyAlignment="1" applyProtection="1">
      <alignment horizontal="left" vertical="center"/>
    </xf>
    <xf numFmtId="0" fontId="15" fillId="0" borderId="35" xfId="0" applyFont="1" applyBorder="1" applyAlignment="1" applyProtection="1">
      <alignment horizontal="center" vertical="center" wrapText="1"/>
    </xf>
    <xf numFmtId="0" fontId="15" fillId="0" borderId="34" xfId="0" applyFont="1" applyBorder="1" applyAlignment="1" applyProtection="1">
      <alignment horizontal="center" vertical="center" wrapText="1"/>
    </xf>
    <xf numFmtId="0" fontId="15" fillId="0" borderId="26" xfId="0" applyFont="1" applyBorder="1" applyAlignment="1" applyProtection="1">
      <alignment horizontal="center" vertical="center" wrapText="1"/>
    </xf>
    <xf numFmtId="0" fontId="15" fillId="0" borderId="51" xfId="0" applyFont="1" applyBorder="1" applyAlignment="1" applyProtection="1">
      <alignment horizontal="center" vertical="center" wrapText="1"/>
    </xf>
    <xf numFmtId="0" fontId="15" fillId="0" borderId="17" xfId="0" applyFont="1" applyBorder="1" applyAlignment="1" applyProtection="1">
      <alignment horizontal="center" vertical="center" wrapText="1"/>
    </xf>
    <xf numFmtId="0" fontId="15" fillId="0" borderId="21" xfId="0" applyFont="1" applyBorder="1" applyAlignment="1" applyProtection="1">
      <alignment horizontal="center" vertical="center" wrapText="1"/>
    </xf>
    <xf numFmtId="0" fontId="23" fillId="40" borderId="1" xfId="31" applyFont="1" applyFill="1" applyBorder="1" applyAlignment="1" applyProtection="1">
      <alignment horizontal="center" vertical="center" wrapText="1"/>
    </xf>
    <xf numFmtId="0" fontId="23" fillId="40" borderId="8" xfId="31" applyFont="1" applyFill="1" applyBorder="1" applyAlignment="1" applyProtection="1">
      <alignment horizontal="center" vertical="center" wrapText="1"/>
    </xf>
    <xf numFmtId="0" fontId="23" fillId="40" borderId="3" xfId="31" applyFont="1" applyFill="1" applyBorder="1" applyAlignment="1" applyProtection="1">
      <alignment horizontal="center" vertical="center" wrapText="1"/>
    </xf>
    <xf numFmtId="0" fontId="18" fillId="0" borderId="0" xfId="0" applyFont="1" applyAlignment="1" applyProtection="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Border="1" applyAlignment="1" applyProtection="1">
      <alignment horizontal="center" vertical="center" wrapText="1"/>
    </xf>
    <xf numFmtId="0" fontId="15" fillId="0" borderId="35" xfId="31" applyFont="1" applyBorder="1" applyAlignment="1" applyProtection="1">
      <alignment horizontal="center" vertical="center" wrapText="1"/>
    </xf>
    <xf numFmtId="0" fontId="15" fillId="0" borderId="34" xfId="31" applyFont="1" applyBorder="1" applyAlignment="1" applyProtection="1">
      <alignment horizontal="center" vertical="center" wrapText="1"/>
    </xf>
    <xf numFmtId="0" fontId="24" fillId="37" borderId="40" xfId="0" applyFont="1" applyFill="1" applyBorder="1" applyAlignment="1" applyProtection="1">
      <alignment horizontal="center" vertical="center" wrapText="1"/>
    </xf>
    <xf numFmtId="0" fontId="24" fillId="37" borderId="41" xfId="0" applyFont="1" applyFill="1" applyBorder="1" applyAlignment="1" applyProtection="1">
      <alignment horizontal="center" vertical="center" wrapText="1"/>
    </xf>
    <xf numFmtId="0" fontId="24" fillId="37" borderId="38" xfId="0" applyFont="1" applyFill="1" applyBorder="1" applyAlignment="1" applyProtection="1">
      <alignment horizontal="center" vertical="center" wrapText="1"/>
    </xf>
    <xf numFmtId="0" fontId="24" fillId="37" borderId="9" xfId="0" applyFont="1" applyFill="1" applyBorder="1" applyAlignment="1" applyProtection="1">
      <alignment horizontal="center" vertical="center" wrapText="1"/>
    </xf>
    <xf numFmtId="0" fontId="24" fillId="37" borderId="10" xfId="0" applyFont="1" applyFill="1" applyBorder="1" applyAlignment="1" applyProtection="1">
      <alignment horizontal="center" vertical="center" wrapText="1"/>
    </xf>
    <xf numFmtId="0" fontId="15" fillId="0" borderId="26" xfId="31" applyFont="1" applyBorder="1" applyAlignment="1" applyProtection="1">
      <alignment horizontal="center" vertical="center" wrapText="1"/>
    </xf>
    <xf numFmtId="0" fontId="24" fillId="37" borderId="35" xfId="0" applyFont="1" applyFill="1" applyBorder="1" applyAlignment="1" applyProtection="1">
      <alignment horizontal="center" vertical="center" wrapText="1"/>
    </xf>
    <xf numFmtId="0" fontId="24" fillId="37" borderId="34" xfId="0" applyFont="1" applyFill="1" applyBorder="1" applyAlignment="1" applyProtection="1">
      <alignment horizontal="center" vertical="center" wrapText="1"/>
    </xf>
    <xf numFmtId="0" fontId="68" fillId="0" borderId="0" xfId="0" applyFont="1" applyAlignment="1" applyProtection="1">
      <alignment horizontal="right" vertical="center"/>
    </xf>
    <xf numFmtId="0" fontId="24" fillId="37" borderId="51" xfId="0" applyFont="1" applyFill="1" applyBorder="1" applyAlignment="1" applyProtection="1">
      <alignment horizontal="center" vertical="center" wrapText="1"/>
    </xf>
    <xf numFmtId="0" fontId="24" fillId="37" borderId="39" xfId="0" applyFont="1" applyFill="1" applyBorder="1" applyAlignment="1" applyProtection="1">
      <alignment horizontal="center" vertical="center" wrapText="1"/>
    </xf>
    <xf numFmtId="0" fontId="24" fillId="37" borderId="76" xfId="0" applyFont="1" applyFill="1" applyBorder="1" applyAlignment="1" applyProtection="1">
      <alignment horizontal="center" vertical="center" wrapText="1"/>
    </xf>
    <xf numFmtId="0" fontId="24" fillId="37" borderId="55" xfId="0" applyFont="1" applyFill="1" applyBorder="1" applyAlignment="1" applyProtection="1">
      <alignment horizontal="center" vertical="center" wrapText="1"/>
    </xf>
    <xf numFmtId="0" fontId="24" fillId="37" borderId="72" xfId="0" applyFont="1" applyFill="1" applyBorder="1" applyAlignment="1" applyProtection="1">
      <alignment horizontal="center" vertical="center" wrapText="1"/>
    </xf>
    <xf numFmtId="0" fontId="24" fillId="37" borderId="69" xfId="0" applyFont="1" applyFill="1" applyBorder="1" applyAlignment="1" applyProtection="1">
      <alignment horizontal="center" vertical="center" wrapText="1"/>
    </xf>
    <xf numFmtId="0" fontId="16" fillId="0" borderId="0" xfId="0" applyFont="1" applyAlignment="1" applyProtection="1">
      <alignment horizontal="right" vertical="center"/>
    </xf>
    <xf numFmtId="0" fontId="68" fillId="0" borderId="0" xfId="0" applyFont="1" applyAlignment="1" applyProtection="1">
      <alignment horizontal="center" vertical="center"/>
    </xf>
    <xf numFmtId="49" fontId="24" fillId="40" borderId="1" xfId="0" applyNumberFormat="1" applyFont="1" applyFill="1" applyBorder="1" applyAlignment="1" applyProtection="1">
      <alignment horizontal="center" vertical="center"/>
    </xf>
    <xf numFmtId="49" fontId="24" fillId="40" borderId="8" xfId="0" applyNumberFormat="1" applyFont="1" applyFill="1" applyBorder="1" applyAlignment="1" applyProtection="1">
      <alignment horizontal="center" vertical="center"/>
    </xf>
    <xf numFmtId="49" fontId="24" fillId="40" borderId="3" xfId="0" applyNumberFormat="1" applyFont="1" applyFill="1" applyBorder="1" applyAlignment="1" applyProtection="1">
      <alignment horizontal="center" vertical="center"/>
    </xf>
    <xf numFmtId="0" fontId="24" fillId="0" borderId="0" xfId="0" applyFont="1" applyAlignment="1" applyProtection="1">
      <alignment horizontal="center" vertical="center"/>
    </xf>
    <xf numFmtId="0" fontId="18" fillId="0" borderId="0" xfId="0" applyFont="1" applyBorder="1" applyAlignment="1" applyProtection="1">
      <alignment horizontal="center" vertical="center" wrapText="1"/>
    </xf>
    <xf numFmtId="0" fontId="90" fillId="27" borderId="0" xfId="52" applyFont="1" applyFill="1" applyAlignment="1" applyProtection="1">
      <alignment horizontal="left" vertical="center" wrapText="1"/>
    </xf>
    <xf numFmtId="0" fontId="18" fillId="27" borderId="0" xfId="32" applyFont="1" applyFill="1" applyAlignment="1" applyProtection="1">
      <alignment horizontal="center" vertical="center" wrapText="1"/>
    </xf>
    <xf numFmtId="49" fontId="68" fillId="26" borderId="26" xfId="57" applyNumberFormat="1" applyFont="1" applyFill="1" applyBorder="1" applyAlignment="1" applyProtection="1">
      <alignment horizontal="center" vertical="center" wrapText="1"/>
    </xf>
    <xf numFmtId="49" fontId="68" fillId="26" borderId="5" xfId="57" applyNumberFormat="1" applyFont="1" applyFill="1" applyBorder="1" applyAlignment="1" applyProtection="1">
      <alignment horizontal="center" vertical="center" wrapText="1"/>
    </xf>
    <xf numFmtId="0" fontId="68" fillId="26" borderId="16" xfId="57" applyFont="1" applyFill="1" applyBorder="1" applyAlignment="1" applyProtection="1">
      <alignment horizontal="left" vertical="center" wrapText="1"/>
    </xf>
    <xf numFmtId="0" fontId="68" fillId="26" borderId="6" xfId="57" applyFont="1" applyFill="1" applyBorder="1" applyAlignment="1" applyProtection="1">
      <alignment horizontal="left" vertical="center" wrapText="1"/>
    </xf>
    <xf numFmtId="49" fontId="68" fillId="31" borderId="35" xfId="57" applyNumberFormat="1" applyFont="1" applyFill="1" applyBorder="1" applyAlignment="1" applyProtection="1">
      <alignment horizontal="center" vertical="center" wrapText="1"/>
    </xf>
    <xf numFmtId="49" fontId="68" fillId="31" borderId="26" xfId="57" applyNumberFormat="1" applyFont="1" applyFill="1" applyBorder="1" applyAlignment="1" applyProtection="1">
      <alignment horizontal="center" vertical="center" wrapText="1"/>
    </xf>
    <xf numFmtId="49" fontId="68" fillId="31" borderId="34" xfId="57" applyNumberFormat="1" applyFont="1" applyFill="1" applyBorder="1" applyAlignment="1" applyProtection="1">
      <alignment horizontal="center" vertical="center" wrapText="1"/>
    </xf>
    <xf numFmtId="0" fontId="68" fillId="31" borderId="11" xfId="57" applyFont="1" applyFill="1" applyBorder="1" applyAlignment="1" applyProtection="1">
      <alignment vertical="center" wrapText="1"/>
    </xf>
    <xf numFmtId="0" fontId="68" fillId="31" borderId="0" xfId="57" applyFont="1" applyFill="1" applyBorder="1" applyAlignment="1" applyProtection="1">
      <alignment vertical="center" wrapText="1"/>
    </xf>
    <xf numFmtId="0" fontId="68" fillId="31" borderId="20" xfId="57" applyFont="1" applyFill="1" applyBorder="1" applyAlignment="1" applyProtection="1">
      <alignment vertical="center" wrapText="1"/>
    </xf>
    <xf numFmtId="49" fontId="68" fillId="27" borderId="39" xfId="57" applyNumberFormat="1" applyFont="1" applyFill="1" applyBorder="1" applyAlignment="1" applyProtection="1">
      <alignment horizontal="center" vertical="center" wrapText="1"/>
    </xf>
    <xf numFmtId="49" fontId="68" fillId="27" borderId="34" xfId="57" applyNumberFormat="1" applyFont="1" applyFill="1" applyBorder="1" applyAlignment="1" applyProtection="1">
      <alignment horizontal="center" vertical="center" wrapText="1"/>
    </xf>
    <xf numFmtId="0" fontId="68" fillId="20" borderId="15" xfId="58" applyFont="1" applyFill="1" applyBorder="1" applyAlignment="1" applyProtection="1">
      <alignment horizontal="left" vertical="center" wrapText="1"/>
    </xf>
    <xf numFmtId="0" fontId="68" fillId="20" borderId="19" xfId="58" applyFont="1" applyFill="1" applyBorder="1" applyAlignment="1" applyProtection="1">
      <alignment horizontal="left" vertical="center" wrapText="1"/>
    </xf>
    <xf numFmtId="0" fontId="68" fillId="31" borderId="35" xfId="57" applyFont="1" applyFill="1" applyBorder="1" applyAlignment="1" applyProtection="1">
      <alignment horizontal="left" vertical="center"/>
    </xf>
    <xf numFmtId="0" fontId="68" fillId="31" borderId="34" xfId="57" applyFont="1" applyFill="1" applyBorder="1" applyAlignment="1" applyProtection="1">
      <alignment horizontal="left" vertical="center"/>
    </xf>
    <xf numFmtId="49" fontId="68" fillId="26" borderId="35" xfId="57" applyNumberFormat="1" applyFont="1" applyFill="1" applyBorder="1" applyAlignment="1" applyProtection="1">
      <alignment horizontal="center" vertical="center" wrapText="1"/>
    </xf>
    <xf numFmtId="0" fontId="68" fillId="26" borderId="16" xfId="57" applyFont="1" applyFill="1" applyBorder="1" applyAlignment="1" applyProtection="1">
      <alignment horizontal="left" vertical="center"/>
    </xf>
    <xf numFmtId="0" fontId="68" fillId="26" borderId="6" xfId="57" applyFont="1" applyFill="1" applyBorder="1" applyAlignment="1" applyProtection="1">
      <alignment horizontal="left" vertical="center"/>
    </xf>
    <xf numFmtId="49" fontId="68" fillId="27" borderId="26" xfId="57" applyNumberFormat="1" applyFont="1" applyFill="1" applyBorder="1" applyAlignment="1" applyProtection="1">
      <alignment horizontal="center" vertical="center" wrapText="1"/>
    </xf>
    <xf numFmtId="49" fontId="68" fillId="27" borderId="5" xfId="57" applyNumberFormat="1" applyFont="1" applyFill="1" applyBorder="1" applyAlignment="1" applyProtection="1">
      <alignment horizontal="center" vertical="center" wrapText="1"/>
    </xf>
    <xf numFmtId="0" fontId="68" fillId="20" borderId="6" xfId="58" applyFont="1" applyFill="1" applyBorder="1" applyAlignment="1" applyProtection="1">
      <alignment horizontal="left" vertical="center" wrapText="1"/>
    </xf>
    <xf numFmtId="49" fontId="68" fillId="31" borderId="5" xfId="57" applyNumberFormat="1" applyFont="1" applyFill="1" applyBorder="1" applyAlignment="1" applyProtection="1">
      <alignment horizontal="center" vertical="center" wrapText="1"/>
    </xf>
    <xf numFmtId="0" fontId="68" fillId="31" borderId="41" xfId="57" applyFont="1" applyFill="1" applyBorder="1" applyAlignment="1" applyProtection="1">
      <alignment horizontal="left" vertical="center"/>
    </xf>
    <xf numFmtId="0" fontId="68" fillId="31" borderId="16" xfId="57" applyFont="1" applyFill="1" applyBorder="1" applyAlignment="1" applyProtection="1">
      <alignment horizontal="left" vertical="center"/>
    </xf>
    <xf numFmtId="49" fontId="68" fillId="26" borderId="51" xfId="57" applyNumberFormat="1" applyFont="1" applyFill="1" applyBorder="1" applyAlignment="1" applyProtection="1">
      <alignment horizontal="center" vertical="center" wrapText="1"/>
    </xf>
    <xf numFmtId="49" fontId="68" fillId="26" borderId="17" xfId="57" applyNumberFormat="1" applyFont="1" applyFill="1" applyBorder="1" applyAlignment="1" applyProtection="1">
      <alignment horizontal="center" vertical="center" wrapText="1"/>
    </xf>
    <xf numFmtId="0" fontId="68" fillId="20" borderId="22" xfId="57" applyFont="1" applyFill="1" applyBorder="1" applyAlignment="1" applyProtection="1">
      <alignment horizontal="left" vertical="center" wrapText="1"/>
    </xf>
    <xf numFmtId="0" fontId="68" fillId="20" borderId="23" xfId="57" applyFont="1" applyFill="1" applyBorder="1" applyAlignment="1" applyProtection="1">
      <alignment horizontal="left" vertical="center" wrapText="1"/>
    </xf>
    <xf numFmtId="0" fontId="68" fillId="31" borderId="6" xfId="57" applyFont="1" applyFill="1" applyBorder="1" applyAlignment="1" applyProtection="1">
      <alignment horizontal="left" vertical="center"/>
    </xf>
    <xf numFmtId="0" fontId="68" fillId="24" borderId="5" xfId="40" quotePrefix="1" applyFont="1" applyFill="1" applyBorder="1" applyAlignment="1" applyProtection="1">
      <alignment horizontal="center" vertical="center" wrapText="1"/>
    </xf>
    <xf numFmtId="0" fontId="68" fillId="24" borderId="39" xfId="40" quotePrefix="1" applyFont="1" applyFill="1" applyBorder="1" applyAlignment="1" applyProtection="1">
      <alignment horizontal="center" vertical="center" wrapText="1"/>
    </xf>
    <xf numFmtId="0" fontId="68" fillId="24" borderId="5" xfId="52" applyFont="1" applyFill="1" applyBorder="1" applyAlignment="1" applyProtection="1">
      <alignment horizontal="center" vertical="center" wrapText="1"/>
    </xf>
    <xf numFmtId="0" fontId="68" fillId="24" borderId="39" xfId="52" applyFont="1" applyFill="1" applyBorder="1" applyAlignment="1" applyProtection="1">
      <alignment horizontal="center" vertical="center" wrapText="1"/>
    </xf>
    <xf numFmtId="0" fontId="68" fillId="20" borderId="33" xfId="57" applyFont="1" applyFill="1" applyBorder="1" applyAlignment="1" applyProtection="1">
      <alignment horizontal="left" vertical="center" wrapText="1"/>
    </xf>
    <xf numFmtId="49" fontId="68" fillId="31" borderId="5" xfId="52" applyNumberFormat="1" applyFont="1" applyFill="1" applyBorder="1" applyAlignment="1" applyProtection="1">
      <alignment horizontal="center" vertical="center" wrapText="1"/>
    </xf>
    <xf numFmtId="49" fontId="68" fillId="31" borderId="17" xfId="52" applyNumberFormat="1" applyFont="1" applyFill="1" applyBorder="1" applyAlignment="1" applyProtection="1">
      <alignment horizontal="center" vertical="center" wrapText="1"/>
    </xf>
    <xf numFmtId="49" fontId="68" fillId="31" borderId="21" xfId="52" applyNumberFormat="1" applyFont="1" applyFill="1" applyBorder="1" applyAlignment="1" applyProtection="1">
      <alignment horizontal="center" vertical="center" wrapText="1"/>
    </xf>
    <xf numFmtId="0" fontId="68" fillId="31" borderId="5" xfId="52" applyFont="1" applyFill="1" applyBorder="1" applyAlignment="1" applyProtection="1">
      <alignment horizontal="center" vertical="center"/>
    </xf>
    <xf numFmtId="0" fontId="68" fillId="31" borderId="17" xfId="52" applyFont="1" applyFill="1" applyBorder="1" applyAlignment="1" applyProtection="1">
      <alignment horizontal="center" vertical="center"/>
    </xf>
    <xf numFmtId="0" fontId="68" fillId="31" borderId="21" xfId="52" applyFont="1" applyFill="1" applyBorder="1" applyAlignment="1" applyProtection="1">
      <alignment horizontal="center" vertical="center"/>
    </xf>
    <xf numFmtId="0" fontId="68" fillId="26" borderId="51" xfId="52" applyFont="1" applyFill="1" applyBorder="1" applyAlignment="1" applyProtection="1">
      <alignment horizontal="left" vertical="center" wrapText="1"/>
    </xf>
    <xf numFmtId="0" fontId="68" fillId="26" borderId="17" xfId="52" applyFont="1" applyFill="1" applyBorder="1" applyAlignment="1" applyProtection="1">
      <alignment horizontal="left" vertical="center" wrapText="1"/>
    </xf>
    <xf numFmtId="0" fontId="60" fillId="27" borderId="0" xfId="52" applyNumberFormat="1" applyFont="1" applyFill="1" applyAlignment="1" applyProtection="1">
      <alignment horizontal="center" vertical="center"/>
    </xf>
    <xf numFmtId="0" fontId="90" fillId="26" borderId="0" xfId="0" applyFont="1" applyFill="1" applyAlignment="1" applyProtection="1">
      <alignment horizontal="left" vertical="center" wrapText="1"/>
    </xf>
    <xf numFmtId="0" fontId="23" fillId="27" borderId="0" xfId="0" applyFont="1" applyFill="1" applyAlignment="1" applyProtection="1">
      <alignment horizontal="center" vertical="center"/>
    </xf>
    <xf numFmtId="49" fontId="68" fillId="31" borderId="39" xfId="52" applyNumberFormat="1" applyFont="1" applyFill="1" applyBorder="1" applyAlignment="1" applyProtection="1">
      <alignment horizontal="center" vertical="center" wrapText="1"/>
    </xf>
    <xf numFmtId="0" fontId="68" fillId="31" borderId="51" xfId="52" applyFont="1" applyFill="1" applyBorder="1" applyAlignment="1" applyProtection="1">
      <alignment horizontal="left" vertical="center"/>
    </xf>
    <xf numFmtId="0" fontId="68" fillId="31" borderId="21" xfId="52" applyFont="1" applyFill="1" applyBorder="1" applyAlignment="1" applyProtection="1">
      <alignment horizontal="left" vertical="center"/>
    </xf>
    <xf numFmtId="49" fontId="68" fillId="26" borderId="51" xfId="52" applyNumberFormat="1" applyFont="1" applyFill="1" applyBorder="1" applyAlignment="1" applyProtection="1">
      <alignment horizontal="center" vertical="center" wrapText="1"/>
    </xf>
    <xf numFmtId="49" fontId="68" fillId="26" borderId="17" xfId="52" applyNumberFormat="1" applyFont="1" applyFill="1" applyBorder="1" applyAlignment="1" applyProtection="1">
      <alignment horizontal="center" vertical="center" wrapText="1"/>
    </xf>
    <xf numFmtId="0" fontId="68" fillId="20" borderId="51" xfId="52" applyFont="1" applyFill="1" applyBorder="1" applyAlignment="1" applyProtection="1">
      <alignment horizontal="left" vertical="center" wrapText="1"/>
    </xf>
    <xf numFmtId="0" fontId="68" fillId="20" borderId="17" xfId="52" applyFont="1" applyFill="1" applyBorder="1" applyAlignment="1" applyProtection="1">
      <alignment horizontal="left" vertical="center" wrapText="1"/>
    </xf>
    <xf numFmtId="49" fontId="68" fillId="27" borderId="51" xfId="52" applyNumberFormat="1" applyFont="1" applyFill="1" applyBorder="1" applyAlignment="1" applyProtection="1">
      <alignment horizontal="center" vertical="center" wrapText="1"/>
    </xf>
    <xf numFmtId="49" fontId="68" fillId="27" borderId="17" xfId="52" applyNumberFormat="1" applyFont="1" applyFill="1" applyBorder="1" applyAlignment="1" applyProtection="1">
      <alignment horizontal="center" vertical="center" wrapText="1"/>
    </xf>
    <xf numFmtId="49" fontId="68" fillId="31" borderId="51" xfId="52" applyNumberFormat="1" applyFont="1" applyFill="1" applyBorder="1" applyAlignment="1" applyProtection="1">
      <alignment horizontal="center" vertical="center" wrapText="1"/>
    </xf>
    <xf numFmtId="0" fontId="68" fillId="31" borderId="17" xfId="52" applyFont="1" applyFill="1" applyBorder="1" applyAlignment="1" applyProtection="1">
      <alignment horizontal="left" vertical="center"/>
    </xf>
    <xf numFmtId="0" fontId="68" fillId="31" borderId="39" xfId="52" applyFont="1" applyFill="1" applyBorder="1" applyAlignment="1" applyProtection="1">
      <alignment horizontal="left" vertical="center"/>
    </xf>
    <xf numFmtId="0" fontId="68" fillId="26" borderId="51" xfId="52" applyFont="1" applyFill="1" applyBorder="1" applyAlignment="1" applyProtection="1">
      <alignment horizontal="left" vertical="center"/>
    </xf>
    <xf numFmtId="0" fontId="68" fillId="26" borderId="17" xfId="52" applyFont="1" applyFill="1" applyBorder="1" applyAlignment="1" applyProtection="1">
      <alignment horizontal="left" vertical="center"/>
    </xf>
    <xf numFmtId="0" fontId="90" fillId="27" borderId="0" xfId="54" applyFont="1" applyFill="1" applyAlignment="1" applyProtection="1"/>
    <xf numFmtId="0" fontId="15" fillId="20" borderId="45" xfId="88" applyFont="1" applyFill="1" applyBorder="1" applyAlignment="1" applyProtection="1">
      <alignment horizontal="center" vertical="center" wrapText="1"/>
    </xf>
    <xf numFmtId="0" fontId="15" fillId="20" borderId="66" xfId="88" applyFont="1" applyFill="1" applyBorder="1" applyAlignment="1" applyProtection="1">
      <alignment horizontal="center" vertical="center" wrapText="1"/>
    </xf>
    <xf numFmtId="0" fontId="15" fillId="20" borderId="47" xfId="88" applyFont="1" applyFill="1" applyBorder="1" applyAlignment="1" applyProtection="1">
      <alignment horizontal="center" vertical="center" wrapText="1"/>
    </xf>
    <xf numFmtId="0" fontId="15" fillId="0" borderId="45" xfId="88" applyFont="1" applyFill="1" applyBorder="1" applyAlignment="1" applyProtection="1">
      <alignment horizontal="center" vertical="center" wrapText="1"/>
    </xf>
    <xf numFmtId="0" fontId="15" fillId="0" borderId="66" xfId="88" applyFont="1" applyFill="1" applyBorder="1" applyAlignment="1" applyProtection="1">
      <alignment horizontal="center" vertical="center" wrapText="1"/>
    </xf>
    <xf numFmtId="0" fontId="15" fillId="0" borderId="47" xfId="88" applyFont="1" applyFill="1" applyBorder="1" applyAlignment="1" applyProtection="1">
      <alignment horizontal="center" vertical="center" wrapText="1"/>
    </xf>
    <xf numFmtId="0" fontId="15" fillId="26" borderId="75" xfId="88" applyFont="1" applyFill="1" applyBorder="1" applyAlignment="1" applyProtection="1">
      <alignment horizontal="center" vertical="center" wrapText="1"/>
    </xf>
    <xf numFmtId="0" fontId="15" fillId="26" borderId="52" xfId="88" applyFont="1" applyFill="1" applyBorder="1" applyAlignment="1" applyProtection="1">
      <alignment horizontal="center" vertical="center" wrapText="1"/>
    </xf>
    <xf numFmtId="0" fontId="15" fillId="26" borderId="56" xfId="88" applyFont="1" applyFill="1" applyBorder="1" applyAlignment="1" applyProtection="1">
      <alignment horizontal="center" vertical="center" wrapText="1"/>
    </xf>
    <xf numFmtId="3" fontId="127" fillId="20" borderId="140" xfId="88" applyNumberFormat="1" applyFont="1" applyFill="1" applyBorder="1" applyAlignment="1" applyProtection="1">
      <alignment horizontal="right" vertical="center" wrapText="1"/>
    </xf>
    <xf numFmtId="3" fontId="127" fillId="20" borderId="141" xfId="88" applyNumberFormat="1" applyFont="1" applyFill="1" applyBorder="1" applyAlignment="1" applyProtection="1">
      <alignment horizontal="right" vertical="center" wrapText="1"/>
    </xf>
    <xf numFmtId="0" fontId="125" fillId="20" borderId="75" xfId="88" applyFont="1" applyFill="1" applyBorder="1" applyAlignment="1" applyProtection="1">
      <alignment horizontal="center" vertical="center" wrapText="1"/>
    </xf>
    <xf numFmtId="0" fontId="125" fillId="20" borderId="49" xfId="88" applyFont="1" applyFill="1" applyBorder="1" applyAlignment="1" applyProtection="1">
      <alignment horizontal="center" vertical="center" wrapText="1"/>
    </xf>
    <xf numFmtId="0" fontId="125" fillId="20" borderId="52" xfId="88" applyFont="1" applyFill="1" applyBorder="1" applyAlignment="1" applyProtection="1">
      <alignment horizontal="center" vertical="center" wrapText="1"/>
    </xf>
    <xf numFmtId="0" fontId="125" fillId="20" borderId="54" xfId="88" applyFont="1" applyFill="1" applyBorder="1" applyAlignment="1" applyProtection="1">
      <alignment horizontal="center" vertical="center" wrapText="1"/>
    </xf>
    <xf numFmtId="0" fontId="125" fillId="20" borderId="56" xfId="88" applyFont="1" applyFill="1" applyBorder="1" applyAlignment="1" applyProtection="1">
      <alignment horizontal="center" vertical="center" wrapText="1"/>
    </xf>
    <xf numFmtId="0" fontId="15" fillId="0" borderId="75" xfId="88" applyFont="1" applyBorder="1" applyAlignment="1" applyProtection="1">
      <alignment horizontal="center" vertical="center" wrapText="1"/>
    </xf>
    <xf numFmtId="0" fontId="15" fillId="0" borderId="49" xfId="88" applyFont="1" applyBorder="1" applyAlignment="1" applyProtection="1">
      <alignment horizontal="center" vertical="center" wrapText="1"/>
    </xf>
    <xf numFmtId="0" fontId="15" fillId="0" borderId="52" xfId="88" applyFont="1" applyBorder="1" applyAlignment="1" applyProtection="1">
      <alignment horizontal="center" vertical="center" wrapText="1"/>
    </xf>
    <xf numFmtId="0" fontId="15" fillId="0" borderId="54" xfId="88" applyFont="1" applyBorder="1" applyAlignment="1" applyProtection="1">
      <alignment horizontal="center" vertical="center" wrapText="1"/>
    </xf>
    <xf numFmtId="0" fontId="126" fillId="42" borderId="35" xfId="88" applyFont="1" applyFill="1" applyBorder="1" applyAlignment="1" applyProtection="1">
      <alignment horizontal="center" vertical="center" wrapText="1"/>
    </xf>
    <xf numFmtId="0" fontId="126" fillId="42" borderId="34" xfId="88" applyFont="1" applyFill="1" applyBorder="1" applyAlignment="1" applyProtection="1">
      <alignment horizontal="center" vertical="center" wrapText="1"/>
    </xf>
    <xf numFmtId="0" fontId="68" fillId="27" borderId="0" xfId="54" applyFont="1" applyFill="1" applyAlignment="1" applyProtection="1">
      <alignment horizontal="left" indent="1"/>
    </xf>
    <xf numFmtId="0" fontId="126" fillId="42" borderId="35" xfId="88" applyFont="1" applyFill="1" applyBorder="1" applyAlignment="1" applyProtection="1">
      <alignment horizontal="center" vertical="center" wrapText="1"/>
      <protection locked="0"/>
    </xf>
    <xf numFmtId="0" fontId="126" fillId="42" borderId="34" xfId="88" applyFont="1" applyFill="1" applyBorder="1" applyAlignment="1" applyProtection="1">
      <alignment horizontal="center" vertical="center" wrapText="1"/>
      <protection locked="0"/>
    </xf>
    <xf numFmtId="0" fontId="24" fillId="42" borderId="35" xfId="88" applyFont="1" applyFill="1" applyBorder="1" applyAlignment="1" applyProtection="1">
      <alignment horizontal="center" vertical="center" wrapText="1"/>
    </xf>
    <xf numFmtId="0" fontId="24" fillId="42" borderId="34" xfId="88" applyFont="1" applyFill="1" applyBorder="1" applyAlignment="1" applyProtection="1">
      <alignment horizontal="center" vertical="center" wrapText="1"/>
    </xf>
    <xf numFmtId="0" fontId="126" fillId="26" borderId="46" xfId="88" applyFont="1" applyFill="1" applyBorder="1" applyAlignment="1" applyProtection="1">
      <alignment horizontal="center" vertical="center" wrapText="1"/>
    </xf>
    <xf numFmtId="0" fontId="126" fillId="26" borderId="48" xfId="88" applyFont="1" applyFill="1" applyBorder="1" applyAlignment="1" applyProtection="1">
      <alignment horizontal="center" vertical="center" wrapText="1"/>
    </xf>
    <xf numFmtId="0" fontId="126" fillId="42" borderId="45" xfId="88" applyFont="1" applyFill="1" applyBorder="1" applyAlignment="1" applyProtection="1">
      <alignment horizontal="center" vertical="center" wrapText="1"/>
    </xf>
    <xf numFmtId="0" fontId="126" fillId="42" borderId="47" xfId="88" applyFont="1" applyFill="1" applyBorder="1" applyAlignment="1" applyProtection="1">
      <alignment horizontal="center" vertical="center" wrapText="1"/>
    </xf>
    <xf numFmtId="3" fontId="126" fillId="42" borderId="30" xfId="88" applyNumberFormat="1" applyFont="1" applyFill="1" applyBorder="1" applyAlignment="1" applyProtection="1">
      <alignment horizontal="center" vertical="center" wrapText="1"/>
    </xf>
    <xf numFmtId="3" fontId="126" fillId="42" borderId="28" xfId="88" applyNumberFormat="1" applyFont="1" applyFill="1" applyBorder="1" applyAlignment="1" applyProtection="1">
      <alignment horizontal="center" vertical="center" wrapText="1"/>
    </xf>
    <xf numFmtId="3" fontId="126" fillId="42" borderId="19" xfId="88" applyNumberFormat="1" applyFont="1" applyFill="1" applyBorder="1" applyAlignment="1" applyProtection="1">
      <alignment horizontal="center" vertical="center" wrapText="1"/>
    </xf>
    <xf numFmtId="3" fontId="15" fillId="26" borderId="35" xfId="88" applyNumberFormat="1" applyFont="1" applyFill="1" applyBorder="1" applyAlignment="1" applyProtection="1">
      <alignment horizontal="center" vertical="center" wrapText="1"/>
    </xf>
    <xf numFmtId="3" fontId="15" fillId="26" borderId="26" xfId="88" applyNumberFormat="1" applyFont="1" applyFill="1" applyBorder="1" applyAlignment="1" applyProtection="1">
      <alignment horizontal="center" vertical="center" wrapText="1"/>
    </xf>
    <xf numFmtId="3" fontId="15" fillId="26" borderId="34" xfId="88" applyNumberFormat="1" applyFont="1" applyFill="1" applyBorder="1" applyAlignment="1" applyProtection="1">
      <alignment horizontal="center" vertical="center" wrapText="1"/>
    </xf>
    <xf numFmtId="0" fontId="15" fillId="0" borderId="56" xfId="88" applyFont="1" applyBorder="1" applyAlignment="1" applyProtection="1">
      <alignment horizontal="center" vertical="center" wrapText="1"/>
    </xf>
    <xf numFmtId="3" fontId="15" fillId="26" borderId="5" xfId="88" applyNumberFormat="1" applyFont="1" applyFill="1" applyBorder="1" applyAlignment="1" applyProtection="1">
      <alignment horizontal="center" vertical="center" wrapText="1"/>
    </xf>
    <xf numFmtId="0" fontId="126" fillId="42" borderId="46" xfId="88" applyFont="1" applyFill="1" applyBorder="1" applyAlignment="1" applyProtection="1">
      <alignment horizontal="center" vertical="center" wrapText="1"/>
    </xf>
    <xf numFmtId="0" fontId="126" fillId="42" borderId="48" xfId="88" applyFont="1" applyFill="1" applyBorder="1" applyAlignment="1" applyProtection="1">
      <alignment horizontal="center" vertical="center" wrapText="1"/>
    </xf>
    <xf numFmtId="3" fontId="24" fillId="26" borderId="35" xfId="88" applyNumberFormat="1" applyFont="1" applyFill="1" applyBorder="1" applyAlignment="1" applyProtection="1">
      <alignment horizontal="center" vertical="center" wrapText="1"/>
    </xf>
    <xf numFmtId="3" fontId="24" fillId="26" borderId="26" xfId="88" applyNumberFormat="1" applyFont="1" applyFill="1" applyBorder="1" applyAlignment="1" applyProtection="1">
      <alignment horizontal="center" vertical="center" wrapText="1"/>
    </xf>
    <xf numFmtId="3" fontId="24" fillId="26" borderId="34" xfId="88" applyNumberFormat="1" applyFont="1" applyFill="1" applyBorder="1" applyAlignment="1" applyProtection="1">
      <alignment horizontal="center" vertical="center" wrapText="1"/>
    </xf>
    <xf numFmtId="3" fontId="24" fillId="26" borderId="5" xfId="88" applyNumberFormat="1" applyFont="1" applyFill="1" applyBorder="1" applyAlignment="1" applyProtection="1">
      <alignment horizontal="center" vertical="center" wrapText="1"/>
    </xf>
    <xf numFmtId="0" fontId="15" fillId="20" borderId="75" xfId="88" applyFont="1" applyFill="1" applyBorder="1" applyAlignment="1" applyProtection="1">
      <alignment horizontal="center" vertical="center" wrapText="1"/>
    </xf>
    <xf numFmtId="0" fontId="15" fillId="20" borderId="49" xfId="88" applyFont="1" applyFill="1" applyBorder="1" applyAlignment="1" applyProtection="1">
      <alignment horizontal="center" vertical="center" wrapText="1"/>
    </xf>
    <xf numFmtId="0" fontId="15" fillId="20" borderId="52" xfId="88" applyFont="1" applyFill="1" applyBorder="1" applyAlignment="1" applyProtection="1">
      <alignment horizontal="center" vertical="center" wrapText="1"/>
    </xf>
    <xf numFmtId="0" fontId="15" fillId="20" borderId="54" xfId="88" applyFont="1" applyFill="1" applyBorder="1" applyAlignment="1" applyProtection="1">
      <alignment horizontal="center" vertical="center" wrapText="1"/>
    </xf>
    <xf numFmtId="0" fontId="15" fillId="20" borderId="56" xfId="88" applyFont="1" applyFill="1" applyBorder="1" applyAlignment="1" applyProtection="1">
      <alignment horizontal="center" vertical="center" wrapText="1"/>
    </xf>
    <xf numFmtId="0" fontId="23" fillId="27" borderId="0" xfId="90" applyFont="1" applyFill="1" applyAlignment="1" applyProtection="1">
      <alignment horizontal="center" vertical="center" wrapText="1"/>
    </xf>
    <xf numFmtId="0" fontId="23" fillId="27" borderId="0" xfId="90" applyFont="1" applyFill="1" applyAlignment="1" applyProtection="1">
      <alignment horizontal="center" vertical="center"/>
    </xf>
    <xf numFmtId="0" fontId="23" fillId="27" borderId="0" xfId="90" applyFont="1" applyFill="1" applyBorder="1" applyAlignment="1" applyProtection="1">
      <alignment horizontal="center" vertical="center"/>
    </xf>
    <xf numFmtId="0" fontId="24" fillId="20" borderId="20" xfId="88" applyFont="1" applyFill="1" applyBorder="1" applyAlignment="1" applyProtection="1">
      <alignment horizontal="left" vertical="center" wrapText="1"/>
    </xf>
    <xf numFmtId="0" fontId="126" fillId="20" borderId="75" xfId="88" applyFont="1" applyFill="1" applyBorder="1" applyAlignment="1" applyProtection="1">
      <alignment horizontal="center" vertical="center" wrapText="1"/>
    </xf>
    <xf numFmtId="0" fontId="126" fillId="20" borderId="52" xfId="88" applyFont="1" applyFill="1" applyBorder="1" applyAlignment="1" applyProtection="1">
      <alignment horizontal="center" vertical="center" wrapText="1"/>
    </xf>
    <xf numFmtId="0" fontId="126" fillId="20" borderId="56" xfId="88" applyFont="1" applyFill="1" applyBorder="1" applyAlignment="1" applyProtection="1">
      <alignment horizontal="center" vertical="center" wrapText="1"/>
    </xf>
    <xf numFmtId="0" fontId="126" fillId="20" borderId="54" xfId="88" applyFont="1" applyFill="1" applyBorder="1" applyAlignment="1" applyProtection="1">
      <alignment horizontal="center" vertical="center" wrapText="1"/>
    </xf>
    <xf numFmtId="0" fontId="90" fillId="27" borderId="0" xfId="54" applyFont="1" applyFill="1" applyAlignment="1" applyProtection="1">
      <alignment horizontal="left" vertical="center" wrapText="1"/>
    </xf>
    <xf numFmtId="0" fontId="46" fillId="26" borderId="0" xfId="0" applyFont="1" applyFill="1" applyAlignment="1" applyProtection="1">
      <alignment horizontal="left" vertical="center" wrapText="1"/>
    </xf>
    <xf numFmtId="0" fontId="68" fillId="26" borderId="41" xfId="57" applyFont="1" applyFill="1" applyBorder="1" applyAlignment="1" applyProtection="1">
      <alignment horizontal="left" vertical="center"/>
    </xf>
    <xf numFmtId="49" fontId="68" fillId="26" borderId="34" xfId="57" applyNumberFormat="1" applyFont="1" applyFill="1" applyBorder="1" applyAlignment="1" applyProtection="1">
      <alignment horizontal="center" vertical="center" wrapText="1"/>
    </xf>
    <xf numFmtId="0" fontId="68" fillId="26" borderId="43" xfId="57" applyFont="1" applyFill="1" applyBorder="1" applyAlignment="1" applyProtection="1">
      <alignment horizontal="left" vertical="center" wrapText="1"/>
    </xf>
    <xf numFmtId="0" fontId="68" fillId="28" borderId="29" xfId="80" applyFont="1" applyFill="1" applyBorder="1" applyAlignment="1" applyProtection="1">
      <alignment horizontal="left" vertical="center" wrapText="1"/>
      <protection locked="0"/>
    </xf>
    <xf numFmtId="0" fontId="68" fillId="28" borderId="22" xfId="80" applyFont="1" applyFill="1" applyBorder="1" applyAlignment="1" applyProtection="1">
      <alignment horizontal="left" vertical="center" wrapText="1"/>
      <protection locked="0"/>
    </xf>
    <xf numFmtId="0" fontId="68" fillId="28" borderId="14" xfId="80" applyFont="1" applyFill="1" applyBorder="1" applyAlignment="1" applyProtection="1">
      <alignment horizontal="left" vertical="center" wrapText="1"/>
      <protection locked="0"/>
    </xf>
    <xf numFmtId="49" fontId="60" fillId="27" borderId="39" xfId="80" applyNumberFormat="1" applyFont="1" applyFill="1" applyBorder="1" applyAlignment="1" applyProtection="1">
      <alignment horizontal="center" vertical="center" wrapText="1"/>
    </xf>
    <xf numFmtId="49" fontId="60" fillId="27" borderId="5" xfId="80" applyNumberFormat="1" applyFont="1" applyFill="1" applyBorder="1" applyAlignment="1" applyProtection="1">
      <alignment horizontal="center" vertical="center" wrapText="1"/>
    </xf>
    <xf numFmtId="49" fontId="60" fillId="27" borderId="34" xfId="80" applyNumberFormat="1" applyFont="1" applyFill="1" applyBorder="1" applyAlignment="1" applyProtection="1">
      <alignment horizontal="center" vertical="center" wrapText="1"/>
    </xf>
    <xf numFmtId="0" fontId="68" fillId="27" borderId="0" xfId="54" applyFont="1" applyFill="1" applyAlignment="1" applyProtection="1">
      <alignment horizontal="left" vertical="center"/>
    </xf>
    <xf numFmtId="0" fontId="90" fillId="27" borderId="0" xfId="54" applyFont="1" applyFill="1" applyAlignment="1" applyProtection="1">
      <alignment vertical="center"/>
    </xf>
    <xf numFmtId="49" fontId="60" fillId="27" borderId="26" xfId="80" applyNumberFormat="1" applyFont="1" applyFill="1" applyBorder="1" applyAlignment="1" applyProtection="1">
      <alignment horizontal="center" vertical="center" wrapText="1"/>
    </xf>
    <xf numFmtId="0" fontId="44" fillId="0" borderId="39"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xf>
    <xf numFmtId="49" fontId="68" fillId="27" borderId="35" xfId="57" applyNumberFormat="1" applyFont="1" applyFill="1" applyBorder="1" applyAlignment="1" applyProtection="1">
      <alignment horizontal="center" vertical="center" wrapText="1"/>
    </xf>
    <xf numFmtId="0" fontId="68" fillId="20" borderId="14" xfId="58" applyFont="1" applyFill="1" applyBorder="1" applyAlignment="1" applyProtection="1">
      <alignment horizontal="left" vertical="center" wrapText="1"/>
    </xf>
    <xf numFmtId="0" fontId="16" fillId="27" borderId="0" xfId="52" applyFont="1" applyFill="1" applyAlignment="1" applyProtection="1">
      <alignment horizontal="right" vertical="center"/>
    </xf>
    <xf numFmtId="0" fontId="23" fillId="27" borderId="0" xfId="52" applyFont="1" applyFill="1" applyAlignment="1" applyProtection="1">
      <alignment horizontal="center" vertical="center" wrapText="1"/>
    </xf>
    <xf numFmtId="0" fontId="23" fillId="27" borderId="0" xfId="52" applyFont="1" applyFill="1" applyAlignment="1" applyProtection="1">
      <alignment horizontal="center" vertical="center"/>
    </xf>
    <xf numFmtId="0" fontId="23" fillId="27" borderId="0" xfId="32" applyFont="1" applyFill="1" applyAlignment="1" applyProtection="1">
      <alignment horizontal="center" vertical="center" wrapText="1"/>
    </xf>
    <xf numFmtId="0" fontId="23" fillId="27" borderId="0" xfId="32" applyFont="1" applyFill="1" applyBorder="1" applyAlignment="1" applyProtection="1">
      <alignment horizontal="center" vertical="center" wrapText="1"/>
    </xf>
    <xf numFmtId="0" fontId="68" fillId="37" borderId="1" xfId="52" applyFont="1" applyFill="1" applyBorder="1" applyAlignment="1" applyProtection="1">
      <alignment horizontal="left" vertical="center"/>
    </xf>
    <xf numFmtId="0" fontId="68" fillId="37" borderId="8" xfId="52" applyFont="1" applyFill="1" applyBorder="1" applyAlignment="1" applyProtection="1">
      <alignment horizontal="left" vertical="center"/>
    </xf>
    <xf numFmtId="0" fontId="68" fillId="37" borderId="3" xfId="52" applyFont="1" applyFill="1" applyBorder="1" applyAlignment="1" applyProtection="1">
      <alignment horizontal="left" vertical="center"/>
    </xf>
    <xf numFmtId="49" fontId="68" fillId="31" borderId="35" xfId="52" applyNumberFormat="1" applyFont="1" applyFill="1" applyBorder="1" applyAlignment="1" applyProtection="1">
      <alignment horizontal="center" vertical="center" wrapText="1"/>
    </xf>
    <xf numFmtId="49" fontId="68" fillId="31" borderId="26" xfId="52" applyNumberFormat="1" applyFont="1" applyFill="1" applyBorder="1" applyAlignment="1" applyProtection="1">
      <alignment horizontal="center" vertical="center" wrapText="1"/>
    </xf>
    <xf numFmtId="49" fontId="68" fillId="31" borderId="34" xfId="52" applyNumberFormat="1" applyFont="1" applyFill="1" applyBorder="1" applyAlignment="1" applyProtection="1">
      <alignment horizontal="center" vertical="center" wrapText="1"/>
    </xf>
    <xf numFmtId="0" fontId="68" fillId="31" borderId="11" xfId="52" applyFont="1" applyFill="1" applyBorder="1" applyAlignment="1" applyProtection="1">
      <alignment horizontal="center" vertical="center"/>
    </xf>
    <xf numFmtId="0" fontId="68" fillId="31" borderId="0" xfId="52" applyFont="1" applyFill="1" applyBorder="1" applyAlignment="1" applyProtection="1">
      <alignment horizontal="center" vertical="center"/>
    </xf>
    <xf numFmtId="0" fontId="68" fillId="31" borderId="20" xfId="52" applyFont="1" applyFill="1" applyBorder="1" applyAlignment="1" applyProtection="1">
      <alignment horizontal="center" vertical="center"/>
    </xf>
    <xf numFmtId="0" fontId="46" fillId="27" borderId="0" xfId="32" applyFont="1" applyFill="1" applyAlignment="1" applyProtection="1">
      <alignment vertical="center" wrapText="1"/>
    </xf>
    <xf numFmtId="170" fontId="43" fillId="37" borderId="35" xfId="32" applyNumberFormat="1" applyFont="1" applyFill="1" applyBorder="1" applyAlignment="1" applyProtection="1">
      <alignment horizontal="center" vertical="center" wrapText="1"/>
    </xf>
    <xf numFmtId="170" fontId="43" fillId="37" borderId="5" xfId="32" applyNumberFormat="1" applyFont="1" applyFill="1" applyBorder="1" applyAlignment="1" applyProtection="1">
      <alignment horizontal="center" vertical="center" wrapText="1"/>
    </xf>
    <xf numFmtId="0" fontId="43" fillId="37" borderId="29" xfId="32" applyFont="1" applyFill="1" applyBorder="1" applyAlignment="1" applyProtection="1">
      <alignment horizontal="center" vertical="center" wrapText="1"/>
    </xf>
    <xf numFmtId="0" fontId="43" fillId="37" borderId="22" xfId="32" applyFont="1" applyFill="1" applyBorder="1" applyAlignment="1" applyProtection="1">
      <alignment horizontal="center" vertical="center" wrapText="1"/>
    </xf>
    <xf numFmtId="0" fontId="43" fillId="37" borderId="14" xfId="32" applyFont="1" applyFill="1" applyBorder="1" applyAlignment="1" applyProtection="1">
      <alignment horizontal="center" vertical="center" wrapText="1"/>
    </xf>
    <xf numFmtId="0" fontId="43" fillId="37" borderId="25" xfId="32" applyFont="1" applyFill="1" applyBorder="1" applyAlignment="1" applyProtection="1">
      <alignment horizontal="center" vertical="center" wrapText="1"/>
    </xf>
    <xf numFmtId="0" fontId="43" fillId="37" borderId="33" xfId="32" applyFont="1" applyFill="1" applyBorder="1" applyAlignment="1" applyProtection="1">
      <alignment horizontal="center" vertical="center" wrapText="1"/>
    </xf>
    <xf numFmtId="0" fontId="43" fillId="37" borderId="6" xfId="32" applyFont="1" applyFill="1" applyBorder="1" applyAlignment="1" applyProtection="1">
      <alignment horizontal="center" vertical="center" wrapText="1"/>
    </xf>
    <xf numFmtId="0" fontId="43" fillId="37" borderId="40" xfId="32" applyFont="1" applyFill="1" applyBorder="1" applyAlignment="1" applyProtection="1">
      <alignment horizontal="center" vertical="center" wrapText="1"/>
    </xf>
    <xf numFmtId="0" fontId="43" fillId="37" borderId="11" xfId="32" applyFont="1" applyFill="1" applyBorder="1" applyAlignment="1" applyProtection="1">
      <alignment horizontal="center" vertical="center" wrapText="1"/>
    </xf>
    <xf numFmtId="0" fontId="43" fillId="37" borderId="41" xfId="32" applyFont="1" applyFill="1" applyBorder="1" applyAlignment="1" applyProtection="1">
      <alignment horizontal="center" vertical="center" wrapText="1"/>
    </xf>
    <xf numFmtId="0" fontId="43" fillId="37" borderId="75" xfId="32" applyFont="1" applyFill="1" applyBorder="1" applyAlignment="1" applyProtection="1">
      <alignment horizontal="center" vertical="center" wrapText="1"/>
    </xf>
    <xf numFmtId="0" fontId="43" fillId="37" borderId="73" xfId="32" applyFont="1" applyFill="1" applyBorder="1" applyAlignment="1" applyProtection="1">
      <alignment horizontal="center" vertical="center" wrapText="1"/>
    </xf>
    <xf numFmtId="0" fontId="43" fillId="37" borderId="76" xfId="32" applyFont="1" applyFill="1" applyBorder="1" applyAlignment="1" applyProtection="1">
      <alignment horizontal="center" vertical="center" wrapText="1"/>
    </xf>
    <xf numFmtId="0" fontId="43" fillId="37" borderId="52" xfId="32" applyFont="1" applyFill="1" applyBorder="1" applyAlignment="1" applyProtection="1">
      <alignment horizontal="center" vertical="center" wrapText="1"/>
    </xf>
    <xf numFmtId="0" fontId="43" fillId="37" borderId="7" xfId="32" applyFont="1" applyFill="1" applyBorder="1" applyAlignment="1" applyProtection="1">
      <alignment horizontal="center" vertical="center" wrapText="1"/>
    </xf>
    <xf numFmtId="0" fontId="43" fillId="37" borderId="53" xfId="32" applyFont="1" applyFill="1" applyBorder="1" applyAlignment="1" applyProtection="1">
      <alignment horizontal="center" vertical="center" wrapText="1"/>
    </xf>
    <xf numFmtId="0" fontId="44" fillId="37" borderId="52" xfId="32" applyFont="1" applyFill="1" applyBorder="1" applyAlignment="1" applyProtection="1">
      <alignment horizontal="center" vertical="center"/>
    </xf>
    <xf numFmtId="0" fontId="44" fillId="37" borderId="56" xfId="32" applyFont="1" applyFill="1" applyBorder="1" applyAlignment="1" applyProtection="1">
      <alignment horizontal="center" vertical="center"/>
    </xf>
    <xf numFmtId="0" fontId="44" fillId="37" borderId="53" xfId="32" applyFont="1" applyFill="1" applyBorder="1" applyAlignment="1" applyProtection="1">
      <alignment vertical="center"/>
    </xf>
    <xf numFmtId="0" fontId="44" fillId="37" borderId="57" xfId="32" applyFont="1" applyFill="1" applyBorder="1" applyAlignment="1" applyProtection="1">
      <alignment vertical="center"/>
    </xf>
    <xf numFmtId="2" fontId="43" fillId="37" borderId="49" xfId="32" applyNumberFormat="1" applyFont="1" applyFill="1" applyBorder="1" applyAlignment="1" applyProtection="1">
      <alignment horizontal="center" vertical="center" wrapText="1"/>
    </xf>
    <xf numFmtId="2" fontId="43" fillId="37" borderId="31" xfId="32" applyNumberFormat="1" applyFont="1" applyFill="1" applyBorder="1" applyAlignment="1" applyProtection="1">
      <alignment horizontal="center" vertical="center" wrapText="1"/>
    </xf>
    <xf numFmtId="2" fontId="43" fillId="37" borderId="50" xfId="32" applyNumberFormat="1" applyFont="1" applyFill="1" applyBorder="1" applyAlignment="1" applyProtection="1">
      <alignment horizontal="center" vertical="center" wrapText="1"/>
    </xf>
    <xf numFmtId="4" fontId="44" fillId="3" borderId="101" xfId="0" applyNumberFormat="1" applyFont="1" applyFill="1" applyBorder="1" applyAlignment="1" applyProtection="1">
      <alignment horizontal="center" vertical="center"/>
      <protection locked="0"/>
    </xf>
    <xf numFmtId="4" fontId="44" fillId="3" borderId="70" xfId="0" applyNumberFormat="1" applyFont="1" applyFill="1" applyBorder="1" applyAlignment="1" applyProtection="1">
      <alignment horizontal="center" vertical="center"/>
      <protection locked="0"/>
    </xf>
    <xf numFmtId="0" fontId="44" fillId="37" borderId="1" xfId="0" applyFont="1" applyFill="1" applyBorder="1" applyAlignment="1" applyProtection="1">
      <alignment horizontal="left" vertical="center" wrapText="1"/>
    </xf>
    <xf numFmtId="0" fontId="44" fillId="37" borderId="65" xfId="0" applyFont="1" applyFill="1" applyBorder="1" applyAlignment="1" applyProtection="1">
      <alignment horizontal="left" vertical="center" wrapText="1"/>
    </xf>
    <xf numFmtId="3" fontId="44" fillId="37" borderId="60" xfId="0" applyNumberFormat="1" applyFont="1" applyFill="1" applyBorder="1" applyAlignment="1" applyProtection="1">
      <alignment horizontal="center" vertical="center" wrapText="1"/>
    </xf>
    <xf numFmtId="3" fontId="44" fillId="37" borderId="8" xfId="0" applyNumberFormat="1" applyFont="1" applyFill="1" applyBorder="1" applyAlignment="1" applyProtection="1">
      <alignment horizontal="center" vertical="center" wrapText="1"/>
    </xf>
    <xf numFmtId="3" fontId="44" fillId="37" borderId="3" xfId="0" applyNumberFormat="1" applyFont="1" applyFill="1" applyBorder="1" applyAlignment="1" applyProtection="1">
      <alignment horizontal="center" vertical="center" wrapText="1"/>
    </xf>
    <xf numFmtId="4" fontId="44" fillId="3" borderId="20" xfId="0" applyNumberFormat="1" applyFont="1" applyFill="1" applyBorder="1" applyAlignment="1" applyProtection="1">
      <alignment horizontal="center" vertical="center"/>
      <protection locked="0"/>
    </xf>
    <xf numFmtId="4" fontId="44" fillId="3" borderId="43" xfId="0" applyNumberFormat="1" applyFont="1" applyFill="1" applyBorder="1" applyAlignment="1" applyProtection="1">
      <alignment horizontal="center" vertical="center"/>
      <protection locked="0"/>
    </xf>
    <xf numFmtId="2" fontId="43" fillId="37" borderId="62" xfId="0" applyNumberFormat="1" applyFont="1" applyFill="1" applyBorder="1" applyAlignment="1" applyProtection="1">
      <alignment horizontal="center" vertical="center" wrapText="1"/>
    </xf>
    <xf numFmtId="2" fontId="43" fillId="37" borderId="23" xfId="0" applyNumberFormat="1" applyFont="1" applyFill="1" applyBorder="1" applyAlignment="1" applyProtection="1">
      <alignment horizontal="center" vertical="center" wrapText="1"/>
    </xf>
    <xf numFmtId="2" fontId="43" fillId="37" borderId="55" xfId="0" applyNumberFormat="1" applyFont="1" applyFill="1" applyBorder="1" applyAlignment="1" applyProtection="1">
      <alignment horizontal="center" vertical="center" wrapText="1"/>
    </xf>
    <xf numFmtId="2" fontId="43" fillId="37" borderId="48" xfId="0" applyNumberFormat="1" applyFont="1" applyFill="1" applyBorder="1" applyAlignment="1" applyProtection="1">
      <alignment horizontal="center" vertical="center" wrapText="1"/>
    </xf>
    <xf numFmtId="2" fontId="43" fillId="37" borderId="7" xfId="0" applyNumberFormat="1" applyFont="1" applyFill="1" applyBorder="1" applyAlignment="1" applyProtection="1">
      <alignment horizontal="center" vertical="center" wrapText="1"/>
    </xf>
    <xf numFmtId="2" fontId="43" fillId="37" borderId="53" xfId="0" applyNumberFormat="1" applyFont="1" applyFill="1" applyBorder="1" applyAlignment="1" applyProtection="1">
      <alignment horizontal="center" vertical="center" wrapText="1"/>
    </xf>
    <xf numFmtId="2" fontId="43" fillId="37" borderId="57" xfId="0" applyNumberFormat="1" applyFont="1" applyFill="1" applyBorder="1" applyAlignment="1" applyProtection="1">
      <alignment horizontal="center" vertical="center" wrapText="1"/>
    </xf>
    <xf numFmtId="0" fontId="43" fillId="37" borderId="73" xfId="0" applyFont="1" applyFill="1" applyBorder="1" applyAlignment="1" applyProtection="1">
      <alignment horizontal="center" vertical="center" wrapText="1"/>
    </xf>
    <xf numFmtId="0" fontId="43" fillId="37" borderId="76" xfId="0" applyFont="1" applyFill="1" applyBorder="1" applyAlignment="1" applyProtection="1">
      <alignment horizontal="center" vertical="center" wrapText="1"/>
    </xf>
    <xf numFmtId="0" fontId="38" fillId="26" borderId="0" xfId="0" applyFont="1" applyFill="1" applyBorder="1" applyAlignment="1" applyProtection="1">
      <alignment horizontal="center" vertical="center" wrapText="1"/>
    </xf>
    <xf numFmtId="0" fontId="43" fillId="37" borderId="75" xfId="0" applyFont="1" applyFill="1" applyBorder="1" applyAlignment="1" applyProtection="1">
      <alignment horizontal="center" vertical="center" wrapText="1"/>
    </xf>
    <xf numFmtId="0" fontId="44" fillId="37" borderId="52" xfId="0" applyFont="1" applyFill="1" applyBorder="1" applyAlignment="1" applyProtection="1">
      <alignment vertical="center"/>
    </xf>
    <xf numFmtId="0" fontId="44" fillId="37" borderId="56" xfId="0" applyFont="1" applyFill="1" applyBorder="1" applyAlignment="1" applyProtection="1">
      <alignment vertical="center"/>
    </xf>
    <xf numFmtId="0" fontId="44" fillId="37" borderId="7" xfId="0" applyFont="1" applyFill="1" applyBorder="1" applyAlignment="1" applyProtection="1">
      <alignment vertical="center"/>
    </xf>
    <xf numFmtId="0" fontId="44" fillId="37" borderId="77" xfId="0" applyFont="1" applyFill="1" applyBorder="1" applyAlignment="1" applyProtection="1">
      <alignment vertical="center"/>
    </xf>
    <xf numFmtId="0" fontId="18" fillId="27" borderId="0" xfId="0" applyFont="1" applyFill="1" applyAlignment="1" applyProtection="1">
      <alignment horizontal="center" vertical="center" wrapText="1"/>
    </xf>
    <xf numFmtId="0" fontId="22" fillId="27" borderId="0" xfId="0" applyFont="1" applyFill="1" applyAlignment="1" applyProtection="1">
      <alignment horizontal="center" vertical="center" wrapText="1"/>
    </xf>
    <xf numFmtId="0" fontId="24" fillId="27" borderId="0" xfId="0" applyFont="1" applyFill="1" applyAlignment="1" applyProtection="1">
      <alignment horizontal="left" vertical="center"/>
    </xf>
    <xf numFmtId="0" fontId="46" fillId="27" borderId="0" xfId="0" applyFont="1" applyFill="1" applyAlignment="1" applyProtection="1">
      <alignment horizontal="left" vertical="center"/>
    </xf>
    <xf numFmtId="0" fontId="43" fillId="26" borderId="0" xfId="0" applyNumberFormat="1" applyFont="1" applyFill="1" applyBorder="1" applyAlignment="1" applyProtection="1">
      <alignment horizontal="center" vertical="center"/>
    </xf>
    <xf numFmtId="3" fontId="44" fillId="37" borderId="65" xfId="0" applyNumberFormat="1" applyFont="1" applyFill="1" applyBorder="1" applyAlignment="1" applyProtection="1">
      <alignment horizontal="center" vertical="center" wrapText="1"/>
    </xf>
    <xf numFmtId="3" fontId="44" fillId="3" borderId="78" xfId="0" applyNumberFormat="1" applyFont="1" applyFill="1" applyBorder="1" applyAlignment="1" applyProtection="1">
      <alignment horizontal="center" vertical="center" wrapText="1"/>
      <protection locked="0"/>
    </xf>
    <xf numFmtId="3" fontId="44" fillId="3" borderId="28" xfId="0" applyNumberFormat="1" applyFont="1" applyFill="1" applyBorder="1" applyAlignment="1" applyProtection="1">
      <alignment horizontal="center" vertical="center" wrapText="1"/>
      <protection locked="0"/>
    </xf>
    <xf numFmtId="3" fontId="44" fillId="3" borderId="19" xfId="0" applyNumberFormat="1" applyFont="1" applyFill="1" applyBorder="1" applyAlignment="1" applyProtection="1">
      <alignment horizontal="center" vertical="center" wrapText="1"/>
      <protection locked="0"/>
    </xf>
    <xf numFmtId="0" fontId="46" fillId="26" borderId="0" xfId="32" applyFont="1" applyFill="1" applyAlignment="1" applyProtection="1">
      <alignment horizontal="left" vertical="center" wrapText="1"/>
    </xf>
    <xf numFmtId="0" fontId="24" fillId="0" borderId="0" xfId="32" applyFont="1" applyAlignment="1" applyProtection="1">
      <alignment horizontal="left" vertical="center"/>
    </xf>
    <xf numFmtId="0" fontId="46" fillId="0" borderId="0" xfId="32" applyFont="1" applyAlignment="1" applyProtection="1">
      <alignment vertical="center"/>
    </xf>
    <xf numFmtId="0" fontId="23" fillId="0" borderId="0" xfId="32" applyFont="1" applyFill="1" applyAlignment="1" applyProtection="1">
      <alignment horizontal="center" vertical="center"/>
    </xf>
    <xf numFmtId="0" fontId="43" fillId="37" borderId="45" xfId="32" applyFont="1" applyFill="1" applyBorder="1" applyAlignment="1" applyProtection="1">
      <alignment horizontal="center" vertical="center" wrapText="1"/>
    </xf>
    <xf numFmtId="0" fontId="43" fillId="37" borderId="47" xfId="32" applyFont="1" applyFill="1" applyBorder="1" applyAlignment="1" applyProtection="1">
      <alignment horizontal="center" vertical="center" wrapText="1"/>
    </xf>
    <xf numFmtId="0" fontId="43" fillId="37" borderId="46" xfId="32" applyFont="1" applyFill="1" applyBorder="1" applyAlignment="1" applyProtection="1">
      <alignment horizontal="center" vertical="center"/>
    </xf>
    <xf numFmtId="0" fontId="43" fillId="37" borderId="48" xfId="32" applyFont="1" applyFill="1" applyBorder="1" applyAlignment="1" applyProtection="1">
      <alignment horizontal="center" vertical="center"/>
    </xf>
    <xf numFmtId="0" fontId="43" fillId="37" borderId="35" xfId="32" applyFont="1" applyFill="1" applyBorder="1" applyAlignment="1" applyProtection="1">
      <alignment horizontal="center" vertical="center"/>
    </xf>
    <xf numFmtId="0" fontId="43" fillId="37" borderId="34" xfId="32" applyFont="1" applyFill="1" applyBorder="1" applyAlignment="1" applyProtection="1">
      <alignment horizontal="center" vertical="center"/>
    </xf>
    <xf numFmtId="0" fontId="43" fillId="37" borderId="35" xfId="32" applyFont="1" applyFill="1" applyBorder="1" applyAlignment="1" applyProtection="1">
      <alignment horizontal="center" vertical="center" wrapText="1"/>
    </xf>
    <xf numFmtId="0" fontId="43" fillId="37" borderId="34" xfId="32" applyFont="1" applyFill="1" applyBorder="1" applyAlignment="1" applyProtection="1">
      <alignment horizontal="center" vertical="center" wrapText="1"/>
    </xf>
    <xf numFmtId="0" fontId="18" fillId="0" borderId="0" xfId="32" applyFont="1" applyAlignment="1" applyProtection="1">
      <alignment horizontal="center" vertical="center" wrapText="1"/>
    </xf>
    <xf numFmtId="0" fontId="43" fillId="27" borderId="0" xfId="32" applyFont="1" applyFill="1" applyAlignment="1" applyProtection="1">
      <alignment horizontal="center" vertical="center"/>
    </xf>
    <xf numFmtId="0" fontId="43" fillId="40" borderId="8" xfId="32" applyFont="1" applyFill="1" applyBorder="1" applyAlignment="1" applyProtection="1">
      <alignment horizontal="center" vertical="center" wrapText="1"/>
    </xf>
    <xf numFmtId="0" fontId="43" fillId="40" borderId="20" xfId="32" applyFont="1" applyFill="1" applyBorder="1" applyAlignment="1" applyProtection="1">
      <alignment horizontal="center" vertical="center" wrapText="1"/>
    </xf>
    <xf numFmtId="0" fontId="43" fillId="40" borderId="3" xfId="32" applyFont="1" applyFill="1" applyBorder="1" applyAlignment="1" applyProtection="1">
      <alignment horizontal="center" vertical="center" wrapText="1"/>
    </xf>
    <xf numFmtId="0" fontId="43" fillId="37" borderId="29" xfId="32" applyFont="1" applyFill="1" applyBorder="1" applyAlignment="1" applyProtection="1">
      <alignment horizontal="center" vertical="center"/>
    </xf>
    <xf numFmtId="0" fontId="43" fillId="37" borderId="22" xfId="32" applyFont="1" applyFill="1" applyBorder="1" applyAlignment="1" applyProtection="1">
      <alignment horizontal="center" vertical="center"/>
    </xf>
    <xf numFmtId="0" fontId="43" fillId="37" borderId="14" xfId="32" applyFont="1" applyFill="1" applyBorder="1" applyAlignment="1" applyProtection="1">
      <alignment horizontal="center" vertical="center"/>
    </xf>
    <xf numFmtId="0" fontId="43" fillId="37" borderId="54" xfId="32" applyFont="1" applyFill="1" applyBorder="1" applyAlignment="1" applyProtection="1">
      <alignment horizontal="center" vertical="center" wrapText="1"/>
    </xf>
    <xf numFmtId="0" fontId="43" fillId="37" borderId="58" xfId="32" applyFont="1" applyFill="1" applyBorder="1" applyAlignment="1" applyProtection="1">
      <alignment horizontal="center" vertical="center" wrapText="1"/>
    </xf>
    <xf numFmtId="0" fontId="43" fillId="37" borderId="4" xfId="32" applyFont="1" applyFill="1" applyBorder="1" applyAlignment="1" applyProtection="1">
      <alignment horizontal="center" vertical="center" wrapText="1"/>
    </xf>
    <xf numFmtId="0" fontId="79" fillId="37" borderId="74" xfId="32" applyFont="1" applyFill="1" applyBorder="1" applyAlignment="1" applyProtection="1">
      <alignment horizontal="center" vertical="center" wrapText="1"/>
    </xf>
    <xf numFmtId="0" fontId="79" fillId="37" borderId="64" xfId="32" applyFont="1" applyFill="1" applyBorder="1" applyAlignment="1" applyProtection="1">
      <alignment horizontal="center" vertical="center" wrapText="1"/>
    </xf>
    <xf numFmtId="0" fontId="43" fillId="27" borderId="0" xfId="0" applyFont="1" applyFill="1" applyAlignment="1" applyProtection="1">
      <alignment horizontal="left" vertical="center"/>
    </xf>
    <xf numFmtId="0" fontId="45" fillId="27" borderId="0" xfId="0" applyFont="1" applyFill="1" applyAlignment="1" applyProtection="1">
      <alignment vertical="center"/>
    </xf>
    <xf numFmtId="0" fontId="45" fillId="26" borderId="0" xfId="0" applyFont="1" applyFill="1" applyAlignment="1" applyProtection="1">
      <alignment horizontal="left" vertical="center" wrapText="1"/>
    </xf>
    <xf numFmtId="0" fontId="16" fillId="26" borderId="0" xfId="0" applyFont="1" applyFill="1" applyBorder="1" applyAlignment="1" applyProtection="1">
      <alignment horizontal="right" vertical="center"/>
    </xf>
    <xf numFmtId="0" fontId="18" fillId="0" borderId="0" xfId="32" applyFont="1" applyFill="1" applyBorder="1" applyAlignment="1" applyProtection="1">
      <alignment horizontal="center" vertical="center"/>
    </xf>
    <xf numFmtId="0" fontId="43" fillId="37" borderId="72" xfId="32" applyFont="1" applyFill="1" applyBorder="1" applyAlignment="1" applyProtection="1">
      <alignment horizontal="center" vertical="center" wrapText="1"/>
    </xf>
    <xf numFmtId="0" fontId="43" fillId="40" borderId="43" xfId="32" applyFont="1" applyFill="1" applyBorder="1" applyAlignment="1" applyProtection="1">
      <alignment horizontal="center" vertical="center" wrapText="1"/>
    </xf>
    <xf numFmtId="0" fontId="90" fillId="27" borderId="0" xfId="0" applyFont="1" applyFill="1" applyAlignment="1" applyProtection="1">
      <alignment horizontal="left" vertical="center" wrapText="1"/>
    </xf>
    <xf numFmtId="0" fontId="68" fillId="37" borderId="35" xfId="32" applyFont="1" applyFill="1" applyBorder="1" applyAlignment="1" applyProtection="1">
      <alignment horizontal="center" vertical="center" wrapText="1"/>
    </xf>
    <xf numFmtId="0" fontId="68" fillId="37" borderId="34" xfId="32" applyFont="1" applyFill="1" applyBorder="1" applyAlignment="1" applyProtection="1">
      <alignment horizontal="center" vertical="center" wrapText="1"/>
    </xf>
    <xf numFmtId="0" fontId="50" fillId="37" borderId="35" xfId="32" applyFont="1" applyFill="1" applyBorder="1" applyAlignment="1" applyProtection="1">
      <alignment horizontal="center" vertical="center" wrapText="1"/>
    </xf>
    <xf numFmtId="0" fontId="50" fillId="37" borderId="34" xfId="32" applyFont="1" applyFill="1" applyBorder="1" applyAlignment="1" applyProtection="1">
      <alignment horizontal="center" vertical="center" wrapText="1"/>
    </xf>
    <xf numFmtId="0" fontId="81" fillId="27" borderId="0" xfId="32" applyFont="1" applyFill="1" applyAlignment="1" applyProtection="1">
      <alignment horizontal="center" vertical="center" wrapText="1"/>
    </xf>
    <xf numFmtId="0" fontId="72" fillId="27" borderId="0" xfId="32" applyFont="1" applyFill="1" applyBorder="1" applyAlignment="1" applyProtection="1">
      <alignment horizontal="center" vertical="center"/>
    </xf>
    <xf numFmtId="0" fontId="50" fillId="37" borderId="1" xfId="32" applyFont="1" applyFill="1" applyBorder="1" applyAlignment="1" applyProtection="1">
      <alignment horizontal="center" vertical="center" wrapText="1"/>
    </xf>
    <xf numFmtId="0" fontId="50" fillId="37" borderId="8" xfId="32" applyFont="1" applyFill="1" applyBorder="1" applyAlignment="1" applyProtection="1">
      <alignment horizontal="center" vertical="center" wrapText="1"/>
    </xf>
    <xf numFmtId="0" fontId="50" fillId="37" borderId="3" xfId="32" applyFont="1" applyFill="1" applyBorder="1" applyAlignment="1" applyProtection="1">
      <alignment horizontal="center" vertical="center" wrapText="1"/>
    </xf>
    <xf numFmtId="0" fontId="178" fillId="37" borderId="35" xfId="32" applyFont="1" applyFill="1" applyBorder="1" applyAlignment="1" applyProtection="1">
      <alignment horizontal="center" vertical="center" wrapText="1"/>
    </xf>
    <xf numFmtId="0" fontId="178" fillId="37" borderId="34" xfId="32" applyFont="1" applyFill="1" applyBorder="1" applyAlignment="1" applyProtection="1">
      <alignment horizontal="center" vertical="center" wrapText="1"/>
    </xf>
    <xf numFmtId="0" fontId="90" fillId="27" borderId="0" xfId="0" applyFont="1" applyFill="1" applyAlignment="1" applyProtection="1">
      <alignment vertical="center" wrapText="1"/>
    </xf>
    <xf numFmtId="0" fontId="90" fillId="27" borderId="0" xfId="0" applyFont="1" applyFill="1" applyAlignment="1" applyProtection="1">
      <alignment horizontal="left" vertical="center"/>
    </xf>
    <xf numFmtId="0" fontId="72" fillId="40" borderId="1" xfId="32" applyFont="1" applyFill="1" applyBorder="1" applyAlignment="1" applyProtection="1">
      <alignment horizontal="left" vertical="center"/>
    </xf>
    <xf numFmtId="0" fontId="72" fillId="40" borderId="8" xfId="32" applyFont="1" applyFill="1" applyBorder="1" applyAlignment="1" applyProtection="1">
      <alignment horizontal="left" vertical="center"/>
    </xf>
    <xf numFmtId="0" fontId="72" fillId="40" borderId="3" xfId="32" applyFont="1" applyFill="1" applyBorder="1" applyAlignment="1" applyProtection="1">
      <alignment horizontal="left" vertical="center"/>
    </xf>
    <xf numFmtId="0" fontId="50" fillId="37" borderId="35" xfId="32" applyFont="1" applyFill="1" applyBorder="1" applyAlignment="1" applyProtection="1">
      <alignment horizontal="center" vertical="center"/>
    </xf>
    <xf numFmtId="0" fontId="50" fillId="37" borderId="34" xfId="32" applyFont="1" applyFill="1" applyBorder="1" applyAlignment="1" applyProtection="1">
      <alignment horizontal="center" vertical="center"/>
    </xf>
    <xf numFmtId="0" fontId="68" fillId="37" borderId="1" xfId="32" applyFont="1" applyFill="1" applyBorder="1" applyAlignment="1" applyProtection="1">
      <alignment horizontal="center" vertical="center" wrapText="1"/>
    </xf>
    <xf numFmtId="0" fontId="68" fillId="37" borderId="8" xfId="32" applyFont="1" applyFill="1" applyBorder="1" applyAlignment="1" applyProtection="1">
      <alignment horizontal="center" vertical="center" wrapText="1"/>
    </xf>
    <xf numFmtId="0" fontId="68" fillId="37" borderId="3" xfId="32" applyFont="1" applyFill="1" applyBorder="1" applyAlignment="1" applyProtection="1">
      <alignment horizontal="center" vertical="center" wrapText="1"/>
    </xf>
    <xf numFmtId="0" fontId="85" fillId="27" borderId="0" xfId="32" applyFont="1" applyFill="1" applyBorder="1" applyAlignment="1" applyProtection="1">
      <alignment horizontal="center" vertical="center"/>
    </xf>
    <xf numFmtId="3" fontId="50" fillId="37" borderId="40" xfId="32" applyNumberFormat="1" applyFont="1" applyFill="1" applyBorder="1" applyAlignment="1" applyProtection="1">
      <alignment horizontal="center" vertical="center" wrapText="1"/>
    </xf>
    <xf numFmtId="3" fontId="50" fillId="37" borderId="11" xfId="32" applyNumberFormat="1" applyFont="1" applyFill="1" applyBorder="1" applyAlignment="1" applyProtection="1">
      <alignment horizontal="center" vertical="center" wrapText="1"/>
    </xf>
    <xf numFmtId="3" fontId="50" fillId="37" borderId="41" xfId="32" applyNumberFormat="1" applyFont="1" applyFill="1" applyBorder="1" applyAlignment="1" applyProtection="1">
      <alignment horizontal="center" vertical="center" wrapText="1"/>
    </xf>
    <xf numFmtId="0" fontId="46" fillId="0" borderId="0" xfId="0" applyFont="1" applyFill="1" applyAlignment="1" applyProtection="1">
      <alignment vertical="top" wrapText="1"/>
    </xf>
    <xf numFmtId="0" fontId="46" fillId="0" borderId="0" xfId="0" applyFont="1" applyFill="1" applyAlignment="1" applyProtection="1">
      <alignment vertical="center" wrapText="1"/>
    </xf>
    <xf numFmtId="0" fontId="43" fillId="37" borderId="40" xfId="49" applyFont="1" applyFill="1" applyBorder="1" applyAlignment="1" applyProtection="1">
      <alignment horizontal="center" vertical="center" wrapText="1"/>
    </xf>
    <xf numFmtId="0" fontId="43" fillId="37" borderId="11" xfId="49" applyFont="1" applyFill="1" applyBorder="1" applyAlignment="1" applyProtection="1">
      <alignment horizontal="center" vertical="center" wrapText="1"/>
    </xf>
    <xf numFmtId="0" fontId="43" fillId="37" borderId="41" xfId="49" applyFont="1" applyFill="1" applyBorder="1" applyAlignment="1" applyProtection="1">
      <alignment horizontal="center" vertical="center" wrapText="1"/>
    </xf>
    <xf numFmtId="49" fontId="15" fillId="0" borderId="51" xfId="31" applyNumberFormat="1" applyFont="1" applyFill="1" applyBorder="1" applyAlignment="1" applyProtection="1">
      <alignment horizontal="center" vertical="center"/>
    </xf>
    <xf numFmtId="49" fontId="15" fillId="0" borderId="17" xfId="31" applyNumberFormat="1" applyFont="1" applyFill="1" applyBorder="1" applyAlignment="1" applyProtection="1">
      <alignment horizontal="center" vertical="center"/>
    </xf>
    <xf numFmtId="0" fontId="43" fillId="37" borderId="37" xfId="31" applyFont="1" applyFill="1" applyBorder="1" applyAlignment="1" applyProtection="1">
      <alignment horizontal="center" vertical="center" wrapText="1"/>
    </xf>
    <xf numFmtId="0" fontId="43" fillId="37" borderId="20" xfId="31" applyFont="1" applyFill="1" applyBorder="1" applyAlignment="1" applyProtection="1">
      <alignment horizontal="center" vertical="center" wrapText="1"/>
    </xf>
    <xf numFmtId="0" fontId="43" fillId="37" borderId="75" xfId="49" applyFont="1" applyFill="1" applyBorder="1" applyAlignment="1" applyProtection="1">
      <alignment horizontal="center" vertical="center"/>
    </xf>
    <xf numFmtId="0" fontId="43" fillId="37" borderId="73" xfId="49" applyFont="1" applyFill="1" applyBorder="1" applyAlignment="1" applyProtection="1">
      <alignment horizontal="center" vertical="center"/>
    </xf>
    <xf numFmtId="0" fontId="43" fillId="37" borderId="76" xfId="49" applyFont="1" applyFill="1" applyBorder="1" applyAlignment="1" applyProtection="1">
      <alignment horizontal="center" vertical="center"/>
    </xf>
    <xf numFmtId="0" fontId="43" fillId="37" borderId="72" xfId="49" applyFont="1" applyFill="1" applyBorder="1" applyAlignment="1" applyProtection="1">
      <alignment horizontal="center" vertical="center"/>
    </xf>
    <xf numFmtId="0" fontId="43" fillId="37" borderId="74" xfId="49" applyFont="1" applyFill="1" applyBorder="1" applyAlignment="1" applyProtection="1">
      <alignment horizontal="center" vertical="center"/>
    </xf>
    <xf numFmtId="0" fontId="43" fillId="37" borderId="0" xfId="31" applyFont="1" applyFill="1" applyBorder="1" applyAlignment="1" applyProtection="1">
      <alignment horizontal="center" vertical="center" wrapText="1"/>
    </xf>
    <xf numFmtId="0" fontId="43" fillId="37" borderId="49" xfId="49" applyFont="1" applyFill="1" applyBorder="1" applyAlignment="1" applyProtection="1">
      <alignment horizontal="center" vertical="center"/>
    </xf>
    <xf numFmtId="0" fontId="43" fillId="37" borderId="31" xfId="49" applyFont="1" applyFill="1" applyBorder="1" applyAlignment="1" applyProtection="1">
      <alignment horizontal="center" vertical="center"/>
    </xf>
    <xf numFmtId="0" fontId="43" fillId="37" borderId="50" xfId="49" applyFont="1" applyFill="1" applyBorder="1" applyAlignment="1" applyProtection="1">
      <alignment horizontal="center" vertical="center"/>
    </xf>
    <xf numFmtId="0" fontId="43" fillId="37" borderId="44" xfId="49" applyFont="1" applyFill="1" applyBorder="1" applyAlignment="1" applyProtection="1">
      <alignment horizontal="center" vertical="center"/>
    </xf>
    <xf numFmtId="0" fontId="43" fillId="37" borderId="61" xfId="49" applyFont="1" applyFill="1" applyBorder="1" applyAlignment="1" applyProtection="1">
      <alignment horizontal="center" vertical="center"/>
    </xf>
    <xf numFmtId="0" fontId="43" fillId="37" borderId="27" xfId="49" applyFont="1" applyFill="1" applyBorder="1" applyAlignment="1" applyProtection="1">
      <alignment horizontal="center" vertical="center" wrapText="1"/>
    </xf>
    <xf numFmtId="0" fontId="43" fillId="37" borderId="0" xfId="49" applyFont="1" applyFill="1" applyBorder="1" applyAlignment="1" applyProtection="1">
      <alignment horizontal="center" vertical="center" wrapText="1"/>
    </xf>
    <xf numFmtId="0" fontId="43" fillId="37" borderId="16" xfId="49" applyFont="1" applyFill="1" applyBorder="1" applyAlignment="1" applyProtection="1">
      <alignment horizontal="center" vertical="center" wrapText="1"/>
    </xf>
    <xf numFmtId="0" fontId="16" fillId="27" borderId="0" xfId="32" applyFont="1" applyFill="1" applyBorder="1" applyAlignment="1" applyProtection="1">
      <alignment horizontal="right" vertical="center"/>
    </xf>
    <xf numFmtId="49" fontId="43" fillId="37" borderId="75" xfId="31" applyNumberFormat="1" applyFont="1" applyFill="1" applyBorder="1" applyAlignment="1" applyProtection="1">
      <alignment horizontal="center" vertical="center"/>
    </xf>
    <xf numFmtId="49" fontId="43" fillId="37" borderId="56" xfId="31" applyNumberFormat="1" applyFont="1" applyFill="1" applyBorder="1" applyAlignment="1" applyProtection="1">
      <alignment horizontal="center" vertical="center"/>
    </xf>
    <xf numFmtId="49" fontId="15" fillId="0" borderId="21" xfId="31" applyNumberFormat="1" applyFont="1" applyFill="1" applyBorder="1" applyAlignment="1" applyProtection="1">
      <alignment horizontal="center" vertical="center"/>
    </xf>
    <xf numFmtId="0" fontId="43" fillId="37" borderId="74" xfId="31" applyFont="1" applyFill="1" applyBorder="1" applyAlignment="1" applyProtection="1">
      <alignment horizontal="center" vertical="center"/>
    </xf>
    <xf numFmtId="0" fontId="43" fillId="37" borderId="78" xfId="31" applyFont="1" applyFill="1" applyBorder="1" applyAlignment="1" applyProtection="1">
      <alignment horizontal="center" vertical="center"/>
    </xf>
    <xf numFmtId="0" fontId="43" fillId="37" borderId="11" xfId="31" applyFont="1" applyFill="1" applyBorder="1" applyAlignment="1" applyProtection="1">
      <alignment horizontal="center" vertical="center" wrapText="1"/>
    </xf>
    <xf numFmtId="0" fontId="18" fillId="0" borderId="0" xfId="31" applyFont="1" applyAlignment="1" applyProtection="1">
      <alignment horizontal="center" vertical="center" wrapText="1"/>
    </xf>
    <xf numFmtId="49" fontId="23" fillId="0" borderId="0" xfId="0" applyNumberFormat="1" applyFont="1" applyFill="1" applyAlignment="1" applyProtection="1">
      <alignment horizontal="center" vertical="center"/>
    </xf>
    <xf numFmtId="0" fontId="23" fillId="0" borderId="0" xfId="0" applyFont="1" applyFill="1" applyAlignment="1" applyProtection="1">
      <alignment horizontal="center" vertical="center"/>
    </xf>
    <xf numFmtId="0" fontId="46" fillId="27" borderId="0" xfId="49" applyFont="1" applyFill="1" applyAlignment="1" applyProtection="1">
      <alignment vertical="center" wrapText="1"/>
    </xf>
    <xf numFmtId="0" fontId="121" fillId="27" borderId="87" xfId="49" applyFont="1" applyFill="1" applyBorder="1" applyAlignment="1" applyProtection="1">
      <alignment horizontal="center" vertical="center" wrapText="1"/>
    </xf>
    <xf numFmtId="0" fontId="122" fillId="0" borderId="88" xfId="0" applyFont="1" applyBorder="1" applyAlignment="1" applyProtection="1">
      <alignment horizontal="center" vertical="center" wrapText="1"/>
    </xf>
    <xf numFmtId="0" fontId="23" fillId="27" borderId="0" xfId="49" applyFont="1" applyFill="1" applyBorder="1" applyAlignment="1" applyProtection="1">
      <alignment horizontal="center" vertical="center" wrapText="1"/>
    </xf>
    <xf numFmtId="0" fontId="18" fillId="27" borderId="0" xfId="49" applyFont="1" applyFill="1" applyAlignment="1" applyProtection="1">
      <alignment horizontal="center" vertical="center" wrapText="1"/>
    </xf>
    <xf numFmtId="0" fontId="43" fillId="37" borderId="42" xfId="49" applyFont="1" applyFill="1" applyBorder="1" applyAlignment="1" applyProtection="1">
      <alignment horizontal="center" vertical="center" wrapText="1"/>
    </xf>
    <xf numFmtId="0" fontId="43" fillId="37" borderId="35" xfId="49" applyFont="1" applyFill="1" applyBorder="1" applyAlignment="1" applyProtection="1">
      <alignment horizontal="center" vertical="center" wrapText="1"/>
    </xf>
    <xf numFmtId="0" fontId="43" fillId="37" borderId="34" xfId="49" applyFont="1" applyFill="1" applyBorder="1" applyAlignment="1" applyProtection="1">
      <alignment horizontal="center" vertical="center" wrapText="1"/>
    </xf>
    <xf numFmtId="3" fontId="43" fillId="37" borderId="40" xfId="49" applyNumberFormat="1" applyFont="1" applyFill="1" applyBorder="1" applyAlignment="1" applyProtection="1">
      <alignment horizontal="center" vertical="center"/>
    </xf>
    <xf numFmtId="3" fontId="43" fillId="37" borderId="11" xfId="49" applyNumberFormat="1" applyFont="1" applyFill="1" applyBorder="1" applyAlignment="1" applyProtection="1">
      <alignment horizontal="center" vertical="center"/>
    </xf>
    <xf numFmtId="3" fontId="43" fillId="37" borderId="41" xfId="49" applyNumberFormat="1" applyFont="1" applyFill="1" applyBorder="1" applyAlignment="1" applyProtection="1">
      <alignment horizontal="center" vertical="center"/>
    </xf>
    <xf numFmtId="3" fontId="43" fillId="37" borderId="35" xfId="49" applyNumberFormat="1" applyFont="1" applyFill="1" applyBorder="1" applyAlignment="1" applyProtection="1">
      <alignment horizontal="center" vertical="center" wrapText="1"/>
    </xf>
    <xf numFmtId="3" fontId="43" fillId="37" borderId="34" xfId="49" applyNumberFormat="1" applyFont="1" applyFill="1" applyBorder="1" applyAlignment="1" applyProtection="1">
      <alignment horizontal="center" vertical="center" wrapText="1"/>
    </xf>
    <xf numFmtId="3" fontId="43" fillId="37" borderId="42" xfId="49" applyNumberFormat="1" applyFont="1" applyFill="1" applyBorder="1" applyAlignment="1" applyProtection="1">
      <alignment horizontal="center" vertical="center"/>
    </xf>
    <xf numFmtId="3" fontId="18" fillId="27" borderId="0" xfId="49" applyNumberFormat="1" applyFont="1" applyFill="1" applyAlignment="1" applyProtection="1">
      <alignment horizontal="center" vertical="center" wrapText="1"/>
    </xf>
    <xf numFmtId="3" fontId="23" fillId="27" borderId="0" xfId="49" applyNumberFormat="1" applyFont="1" applyFill="1" applyBorder="1" applyAlignment="1" applyProtection="1">
      <alignment horizontal="center" vertical="center"/>
    </xf>
    <xf numFmtId="0" fontId="24" fillId="37" borderId="1" xfId="49" applyFont="1" applyFill="1" applyBorder="1" applyAlignment="1" applyProtection="1">
      <alignment horizontal="center" vertical="center"/>
    </xf>
    <xf numFmtId="0" fontId="24" fillId="37" borderId="8" xfId="49" applyFont="1" applyFill="1" applyBorder="1" applyAlignment="1" applyProtection="1">
      <alignment horizontal="center" vertical="center"/>
    </xf>
    <xf numFmtId="0" fontId="24" fillId="37" borderId="3" xfId="49" applyFont="1" applyFill="1" applyBorder="1" applyAlignment="1" applyProtection="1">
      <alignment horizontal="center" vertical="center"/>
    </xf>
    <xf numFmtId="0" fontId="24" fillId="37" borderId="40" xfId="49" applyFont="1" applyFill="1" applyBorder="1" applyAlignment="1" applyProtection="1">
      <alignment horizontal="center" vertical="center"/>
    </xf>
    <xf numFmtId="0" fontId="24" fillId="37" borderId="42" xfId="49" applyFont="1" applyFill="1" applyBorder="1" applyAlignment="1" applyProtection="1">
      <alignment horizontal="center" vertical="center"/>
    </xf>
    <xf numFmtId="0" fontId="24" fillId="37" borderId="11" xfId="49" applyFont="1" applyFill="1" applyBorder="1" applyAlignment="1" applyProtection="1">
      <alignment horizontal="center" vertical="center"/>
    </xf>
    <xf numFmtId="0" fontId="24" fillId="37" borderId="41" xfId="49" applyFont="1" applyFill="1" applyBorder="1" applyAlignment="1" applyProtection="1">
      <alignment horizontal="center" vertical="center"/>
    </xf>
    <xf numFmtId="0" fontId="24" fillId="32" borderId="1" xfId="49" applyFont="1" applyFill="1" applyBorder="1" applyAlignment="1" applyProtection="1">
      <alignment horizontal="center" vertical="center" wrapText="1"/>
    </xf>
    <xf numFmtId="0" fontId="24" fillId="32" borderId="8" xfId="49" applyFont="1" applyFill="1" applyBorder="1" applyAlignment="1" applyProtection="1">
      <alignment horizontal="center" vertical="center" wrapText="1"/>
    </xf>
    <xf numFmtId="0" fontId="24" fillId="32" borderId="3" xfId="49" applyFont="1" applyFill="1" applyBorder="1" applyAlignment="1" applyProtection="1">
      <alignment horizontal="center" vertical="center" wrapText="1"/>
    </xf>
    <xf numFmtId="0" fontId="46" fillId="27" borderId="0" xfId="49" applyFont="1" applyFill="1" applyAlignment="1" applyProtection="1">
      <alignment vertical="top" wrapText="1"/>
    </xf>
    <xf numFmtId="0" fontId="18" fillId="0" borderId="0" xfId="49" applyFont="1" applyFill="1" applyAlignment="1" applyProtection="1">
      <alignment horizontal="center" vertical="center" wrapText="1"/>
    </xf>
    <xf numFmtId="0" fontId="23" fillId="27" borderId="0" xfId="49" applyFont="1" applyFill="1" applyBorder="1" applyAlignment="1" applyProtection="1">
      <alignment horizontal="center" vertical="center"/>
    </xf>
    <xf numFmtId="0" fontId="43" fillId="37" borderId="20" xfId="49" applyFont="1" applyFill="1" applyBorder="1" applyAlignment="1" applyProtection="1">
      <alignment horizontal="center" vertical="center" wrapText="1"/>
    </xf>
    <xf numFmtId="0" fontId="43" fillId="37" borderId="43" xfId="49" applyFont="1" applyFill="1" applyBorder="1" applyAlignment="1" applyProtection="1">
      <alignment horizontal="center" vertical="center" wrapText="1"/>
    </xf>
    <xf numFmtId="0" fontId="55" fillId="27" borderId="0" xfId="49" applyFont="1" applyFill="1" applyBorder="1" applyAlignment="1" applyProtection="1">
      <alignment horizontal="left" vertical="center" wrapText="1"/>
    </xf>
    <xf numFmtId="0" fontId="43" fillId="24" borderId="1" xfId="49" applyFont="1" applyFill="1" applyBorder="1" applyAlignment="1" applyProtection="1">
      <alignment horizontal="center" vertical="center" wrapText="1"/>
    </xf>
    <xf numFmtId="0" fontId="43" fillId="24" borderId="3" xfId="49" applyFont="1" applyFill="1" applyBorder="1" applyAlignment="1" applyProtection="1">
      <alignment horizontal="center" vertical="center" wrapText="1"/>
    </xf>
    <xf numFmtId="2" fontId="43" fillId="37" borderId="75" xfId="49" applyNumberFormat="1" applyFont="1" applyFill="1" applyBorder="1" applyAlignment="1" applyProtection="1">
      <alignment horizontal="center" vertical="center" wrapText="1"/>
    </xf>
    <xf numFmtId="2" fontId="43" fillId="37" borderId="73" xfId="49" applyNumberFormat="1" applyFont="1" applyFill="1" applyBorder="1" applyAlignment="1" applyProtection="1">
      <alignment horizontal="center" vertical="center" wrapText="1"/>
    </xf>
    <xf numFmtId="2" fontId="43" fillId="37" borderId="76" xfId="49" applyNumberFormat="1" applyFont="1" applyFill="1" applyBorder="1" applyAlignment="1" applyProtection="1">
      <alignment horizontal="center" vertical="center" wrapText="1"/>
    </xf>
    <xf numFmtId="0" fontId="43" fillId="37" borderId="72" xfId="49" applyFont="1" applyFill="1" applyBorder="1" applyAlignment="1" applyProtection="1">
      <alignment horizontal="center" vertical="center" wrapText="1"/>
    </xf>
    <xf numFmtId="0" fontId="43" fillId="37" borderId="73" xfId="49" applyFont="1" applyFill="1" applyBorder="1" applyAlignment="1" applyProtection="1">
      <alignment horizontal="center" vertical="center" wrapText="1"/>
    </xf>
    <xf numFmtId="0" fontId="43" fillId="37" borderId="76" xfId="49" applyFont="1" applyFill="1" applyBorder="1" applyAlignment="1" applyProtection="1">
      <alignment horizontal="center" vertical="center" wrapText="1"/>
    </xf>
    <xf numFmtId="0" fontId="43" fillId="37" borderId="75" xfId="49" applyFont="1" applyFill="1" applyBorder="1" applyAlignment="1" applyProtection="1">
      <alignment horizontal="center" vertical="center" wrapText="1"/>
    </xf>
    <xf numFmtId="0" fontId="43" fillId="37" borderId="35" xfId="49" applyFont="1" applyFill="1" applyBorder="1" applyAlignment="1" applyProtection="1">
      <alignment horizontal="center" vertical="center"/>
    </xf>
    <xf numFmtId="0" fontId="43" fillId="37" borderId="34" xfId="49" applyFont="1" applyFill="1" applyBorder="1" applyAlignment="1" applyProtection="1">
      <alignment horizontal="center" vertical="center"/>
    </xf>
    <xf numFmtId="0" fontId="43" fillId="37" borderId="1" xfId="49" applyFont="1" applyFill="1" applyBorder="1" applyAlignment="1" applyProtection="1">
      <alignment horizontal="center" vertical="center" wrapText="1"/>
    </xf>
    <xf numFmtId="0" fontId="43" fillId="37" borderId="8" xfId="49" applyFont="1" applyFill="1" applyBorder="1" applyAlignment="1" applyProtection="1">
      <alignment horizontal="center" vertical="center" wrapText="1"/>
    </xf>
    <xf numFmtId="0" fontId="43" fillId="37" borderId="3" xfId="49" applyFont="1" applyFill="1" applyBorder="1" applyAlignment="1" applyProtection="1">
      <alignment horizontal="center" vertical="center" wrapText="1"/>
    </xf>
    <xf numFmtId="2" fontId="43" fillId="37" borderId="1" xfId="49" applyNumberFormat="1" applyFont="1" applyFill="1" applyBorder="1" applyAlignment="1" applyProtection="1">
      <alignment horizontal="center" vertical="center" wrapText="1"/>
    </xf>
    <xf numFmtId="2" fontId="43" fillId="37" borderId="8" xfId="49" applyNumberFormat="1" applyFont="1" applyFill="1" applyBorder="1" applyAlignment="1" applyProtection="1">
      <alignment horizontal="center" vertical="center" wrapText="1"/>
    </xf>
    <xf numFmtId="2" fontId="43" fillId="37" borderId="3" xfId="49" applyNumberFormat="1" applyFont="1" applyFill="1" applyBorder="1" applyAlignment="1" applyProtection="1">
      <alignment horizontal="center" vertical="center" wrapText="1"/>
    </xf>
    <xf numFmtId="0" fontId="44" fillId="37" borderId="52" xfId="49" applyFont="1" applyFill="1" applyBorder="1" applyAlignment="1" applyProtection="1">
      <alignment vertical="center"/>
    </xf>
    <xf numFmtId="0" fontId="44" fillId="37" borderId="56" xfId="49" applyFont="1" applyFill="1" applyBorder="1" applyAlignment="1" applyProtection="1">
      <alignment vertical="center"/>
    </xf>
    <xf numFmtId="0" fontId="44" fillId="37" borderId="53" xfId="49" applyFont="1" applyFill="1" applyBorder="1" applyAlignment="1" applyProtection="1">
      <alignment vertical="center"/>
    </xf>
    <xf numFmtId="0" fontId="44" fillId="37" borderId="57" xfId="49" applyFont="1" applyFill="1" applyBorder="1" applyAlignment="1" applyProtection="1">
      <alignment vertical="center"/>
    </xf>
    <xf numFmtId="0" fontId="46" fillId="27" borderId="0" xfId="40" applyFont="1" applyFill="1" applyAlignment="1" applyProtection="1">
      <alignment horizontal="left" vertical="center" wrapText="1"/>
    </xf>
    <xf numFmtId="168" fontId="43" fillId="37" borderId="73" xfId="49" applyNumberFormat="1" applyFont="1" applyFill="1" applyBorder="1" applyAlignment="1" applyProtection="1">
      <alignment horizontal="center" vertical="center" wrapText="1"/>
    </xf>
    <xf numFmtId="168" fontId="43" fillId="37" borderId="76" xfId="49" applyNumberFormat="1" applyFont="1" applyFill="1" applyBorder="1" applyAlignment="1" applyProtection="1">
      <alignment horizontal="center" vertical="center" wrapText="1"/>
    </xf>
    <xf numFmtId="174" fontId="43" fillId="37" borderId="1" xfId="49" applyNumberFormat="1" applyFont="1" applyFill="1" applyBorder="1" applyAlignment="1" applyProtection="1">
      <alignment horizontal="center" vertical="center" wrapText="1"/>
    </xf>
    <xf numFmtId="174" fontId="43" fillId="37" borderId="11" xfId="49" applyNumberFormat="1" applyFont="1" applyFill="1" applyBorder="1" applyAlignment="1" applyProtection="1">
      <alignment horizontal="center" vertical="center" wrapText="1"/>
    </xf>
    <xf numFmtId="174" fontId="43" fillId="37" borderId="41" xfId="49" applyNumberFormat="1" applyFont="1" applyFill="1" applyBorder="1" applyAlignment="1" applyProtection="1">
      <alignment horizontal="center" vertical="center" wrapText="1"/>
    </xf>
    <xf numFmtId="168" fontId="43" fillId="37" borderId="1" xfId="49" applyNumberFormat="1" applyFont="1" applyFill="1" applyBorder="1" applyAlignment="1" applyProtection="1">
      <alignment horizontal="center" vertical="center" wrapText="1"/>
    </xf>
    <xf numFmtId="168" fontId="43" fillId="37" borderId="11" xfId="49" applyNumberFormat="1" applyFont="1" applyFill="1" applyBorder="1" applyAlignment="1" applyProtection="1">
      <alignment horizontal="center" vertical="center" wrapText="1"/>
    </xf>
    <xf numFmtId="168" fontId="43" fillId="37" borderId="41" xfId="49" applyNumberFormat="1" applyFont="1" applyFill="1" applyBorder="1" applyAlignment="1" applyProtection="1">
      <alignment horizontal="center" vertical="center" wrapText="1"/>
    </xf>
    <xf numFmtId="168" fontId="43" fillId="37" borderId="8" xfId="49" applyNumberFormat="1" applyFont="1" applyFill="1" applyBorder="1" applyAlignment="1" applyProtection="1">
      <alignment horizontal="center" vertical="center" wrapText="1"/>
    </xf>
    <xf numFmtId="168" fontId="43" fillId="37" borderId="3" xfId="49" applyNumberFormat="1" applyFont="1" applyFill="1" applyBorder="1" applyAlignment="1" applyProtection="1">
      <alignment horizontal="center" vertical="center" wrapText="1"/>
    </xf>
    <xf numFmtId="170" fontId="43" fillId="37" borderId="60" xfId="49" applyNumberFormat="1" applyFont="1" applyFill="1" applyBorder="1" applyAlignment="1" applyProtection="1">
      <alignment horizontal="center" vertical="center" wrapText="1"/>
    </xf>
    <xf numFmtId="170" fontId="43" fillId="37" borderId="65" xfId="49" applyNumberFormat="1" applyFont="1" applyFill="1" applyBorder="1" applyAlignment="1" applyProtection="1">
      <alignment horizontal="center" vertical="center" wrapText="1"/>
    </xf>
    <xf numFmtId="170" fontId="43" fillId="37" borderId="3" xfId="49" applyNumberFormat="1" applyFont="1" applyFill="1" applyBorder="1" applyAlignment="1" applyProtection="1">
      <alignment horizontal="center" vertical="center" wrapText="1"/>
    </xf>
    <xf numFmtId="0" fontId="43" fillId="37" borderId="45" xfId="49" applyFont="1" applyFill="1" applyBorder="1" applyAlignment="1" applyProtection="1">
      <alignment horizontal="center" vertical="center" wrapText="1"/>
    </xf>
    <xf numFmtId="0" fontId="44" fillId="37" borderId="66" xfId="49" applyFont="1" applyFill="1" applyBorder="1" applyAlignment="1" applyProtection="1">
      <alignment vertical="center"/>
    </xf>
    <xf numFmtId="0" fontId="44" fillId="37" borderId="47" xfId="49" applyFont="1" applyFill="1" applyBorder="1" applyAlignment="1" applyProtection="1">
      <alignment vertical="center"/>
    </xf>
    <xf numFmtId="0" fontId="43" fillId="37" borderId="46" xfId="49" applyFont="1" applyFill="1" applyBorder="1" applyAlignment="1" applyProtection="1">
      <alignment horizontal="center" vertical="center" wrapText="1"/>
    </xf>
    <xf numFmtId="0" fontId="44" fillId="37" borderId="68" xfId="49" applyFont="1" applyFill="1" applyBorder="1" applyAlignment="1" applyProtection="1">
      <alignment vertical="center"/>
    </xf>
    <xf numFmtId="0" fontId="44" fillId="37" borderId="48" xfId="49" applyFont="1" applyFill="1" applyBorder="1" applyAlignment="1" applyProtection="1">
      <alignment vertical="center"/>
    </xf>
    <xf numFmtId="168" fontId="43" fillId="37" borderId="60" xfId="49" applyNumberFormat="1" applyFont="1" applyFill="1" applyBorder="1" applyAlignment="1" applyProtection="1">
      <alignment horizontal="center" vertical="center" wrapText="1"/>
    </xf>
    <xf numFmtId="170" fontId="43" fillId="37" borderId="1" xfId="49" applyNumberFormat="1" applyFont="1" applyFill="1" applyBorder="1" applyAlignment="1" applyProtection="1">
      <alignment horizontal="center" vertical="center" wrapText="1"/>
    </xf>
    <xf numFmtId="2" fontId="43" fillId="0" borderId="49" xfId="83" applyNumberFormat="1" applyFont="1" applyFill="1" applyBorder="1" applyAlignment="1" applyProtection="1">
      <alignment horizontal="center" vertical="center" textRotation="90" wrapText="1"/>
    </xf>
    <xf numFmtId="2" fontId="43" fillId="0" borderId="52" xfId="83" applyNumberFormat="1" applyFont="1" applyFill="1" applyBorder="1" applyAlignment="1" applyProtection="1">
      <alignment horizontal="center" vertical="center" textRotation="90" wrapText="1"/>
    </xf>
    <xf numFmtId="2" fontId="43" fillId="0" borderId="56" xfId="83" applyNumberFormat="1" applyFont="1" applyFill="1" applyBorder="1" applyAlignment="1" applyProtection="1">
      <alignment horizontal="center" vertical="center" textRotation="90" wrapText="1"/>
    </xf>
    <xf numFmtId="170" fontId="43" fillId="37" borderId="75" xfId="49" applyNumberFormat="1" applyFont="1" applyFill="1" applyBorder="1" applyAlignment="1" applyProtection="1">
      <alignment horizontal="center" vertical="center" wrapText="1"/>
    </xf>
    <xf numFmtId="170" fontId="43" fillId="37" borderId="73" xfId="49" applyNumberFormat="1" applyFont="1" applyFill="1" applyBorder="1" applyAlignment="1" applyProtection="1">
      <alignment horizontal="center" vertical="center" wrapText="1"/>
    </xf>
    <xf numFmtId="0" fontId="43" fillId="37" borderId="25" xfId="49" applyFont="1" applyFill="1" applyBorder="1" applyAlignment="1" applyProtection="1">
      <alignment horizontal="center" vertical="center" wrapText="1"/>
    </xf>
    <xf numFmtId="0" fontId="43" fillId="37" borderId="6" xfId="49" applyFont="1" applyFill="1" applyBorder="1" applyAlignment="1" applyProtection="1">
      <alignment horizontal="center" vertical="center" wrapText="1"/>
    </xf>
    <xf numFmtId="170" fontId="43" fillId="37" borderId="8" xfId="49" applyNumberFormat="1" applyFont="1" applyFill="1" applyBorder="1" applyAlignment="1" applyProtection="1">
      <alignment horizontal="center" vertical="center" wrapText="1"/>
    </xf>
    <xf numFmtId="170" fontId="43" fillId="37" borderId="42" xfId="49" applyNumberFormat="1" applyFont="1" applyFill="1" applyBorder="1" applyAlignment="1" applyProtection="1">
      <alignment horizontal="center" vertical="center" wrapText="1"/>
    </xf>
    <xf numFmtId="170" fontId="43" fillId="37" borderId="70" xfId="49" applyNumberFormat="1" applyFont="1" applyFill="1" applyBorder="1" applyAlignment="1" applyProtection="1">
      <alignment horizontal="center" vertical="center" wrapText="1"/>
    </xf>
    <xf numFmtId="170" fontId="43" fillId="37" borderId="101" xfId="49" applyNumberFormat="1" applyFont="1" applyFill="1" applyBorder="1" applyAlignment="1" applyProtection="1">
      <alignment horizontal="center" vertical="center" wrapText="1"/>
    </xf>
    <xf numFmtId="168" fontId="43" fillId="37" borderId="101" xfId="49" applyNumberFormat="1" applyFont="1" applyFill="1" applyBorder="1" applyAlignment="1" applyProtection="1">
      <alignment horizontal="center" vertical="center" wrapText="1"/>
    </xf>
    <xf numFmtId="168" fontId="43" fillId="37" borderId="43" xfId="49" applyNumberFormat="1" applyFont="1" applyFill="1" applyBorder="1" applyAlignment="1" applyProtection="1">
      <alignment horizontal="center" vertical="center" wrapText="1"/>
    </xf>
    <xf numFmtId="0" fontId="18" fillId="26" borderId="0" xfId="83" applyFont="1" applyFill="1" applyAlignment="1" applyProtection="1">
      <alignment horizontal="center" vertical="center" wrapText="1"/>
    </xf>
    <xf numFmtId="0" fontId="15" fillId="37" borderId="29" xfId="0" applyFont="1" applyFill="1" applyBorder="1" applyAlignment="1" applyProtection="1">
      <alignment horizontal="center" vertical="center"/>
    </xf>
    <xf numFmtId="0" fontId="15" fillId="37" borderId="14" xfId="0" applyFont="1" applyFill="1" applyBorder="1" applyAlignment="1" applyProtection="1">
      <alignment horizontal="center" vertical="center"/>
    </xf>
    <xf numFmtId="0" fontId="15" fillId="37" borderId="1" xfId="0" applyFont="1" applyFill="1" applyBorder="1" applyAlignment="1" applyProtection="1">
      <alignment horizontal="center" vertical="center"/>
    </xf>
    <xf numFmtId="0" fontId="15" fillId="37" borderId="3" xfId="0" applyFont="1" applyFill="1" applyBorder="1" applyAlignment="1" applyProtection="1">
      <alignment horizontal="center" vertical="center"/>
    </xf>
    <xf numFmtId="0" fontId="41" fillId="0" borderId="52" xfId="0" applyFont="1" applyFill="1" applyBorder="1" applyAlignment="1" applyProtection="1">
      <alignment horizontal="right" vertical="center" wrapText="1"/>
    </xf>
    <xf numFmtId="0" fontId="41" fillId="0" borderId="7" xfId="0" applyFont="1" applyFill="1" applyBorder="1" applyAlignment="1" applyProtection="1">
      <alignment horizontal="right" vertical="center" wrapText="1"/>
    </xf>
    <xf numFmtId="0" fontId="46" fillId="0" borderId="52" xfId="0" applyFont="1" applyFill="1" applyBorder="1" applyAlignment="1" applyProtection="1">
      <alignment horizontal="right"/>
    </xf>
    <xf numFmtId="0" fontId="46" fillId="0" borderId="7" xfId="0" applyFont="1" applyFill="1" applyBorder="1" applyAlignment="1" applyProtection="1">
      <alignment horizontal="right"/>
    </xf>
    <xf numFmtId="0" fontId="15" fillId="0" borderId="56" xfId="49" applyFont="1" applyFill="1" applyBorder="1" applyAlignment="1" applyProtection="1">
      <alignment horizontal="right" vertical="center" wrapText="1"/>
    </xf>
    <xf numFmtId="0" fontId="15" fillId="0" borderId="77" xfId="49" applyFont="1" applyFill="1" applyBorder="1" applyAlignment="1" applyProtection="1">
      <alignment horizontal="right" vertical="center" wrapText="1"/>
    </xf>
    <xf numFmtId="0" fontId="15" fillId="0" borderId="52" xfId="49" applyFont="1" applyFill="1" applyBorder="1" applyAlignment="1" applyProtection="1">
      <alignment horizontal="right" vertical="center"/>
    </xf>
    <xf numFmtId="0" fontId="15" fillId="0" borderId="7" xfId="49" applyFont="1" applyFill="1" applyBorder="1" applyAlignment="1" applyProtection="1">
      <alignment horizontal="right" vertical="center"/>
    </xf>
    <xf numFmtId="0" fontId="15" fillId="0" borderId="52" xfId="49" applyFont="1" applyFill="1" applyBorder="1" applyAlignment="1" applyProtection="1">
      <alignment horizontal="right" vertical="center" wrapText="1"/>
    </xf>
    <xf numFmtId="0" fontId="15" fillId="0" borderId="7" xfId="49" applyFont="1" applyFill="1" applyBorder="1" applyAlignment="1" applyProtection="1">
      <alignment horizontal="right" vertical="center" wrapText="1"/>
    </xf>
    <xf numFmtId="0" fontId="15" fillId="28" borderId="24" xfId="83" applyNumberFormat="1" applyFont="1" applyFill="1" applyBorder="1" applyAlignment="1" applyProtection="1">
      <alignment horizontal="center" vertical="center"/>
      <protection locked="0"/>
    </xf>
    <xf numFmtId="0" fontId="15" fillId="28" borderId="23" xfId="83" applyNumberFormat="1" applyFont="1" applyFill="1" applyBorder="1" applyAlignment="1" applyProtection="1">
      <alignment horizontal="center" vertical="center"/>
      <protection locked="0"/>
    </xf>
    <xf numFmtId="0" fontId="15" fillId="28" borderId="15" xfId="83" applyNumberFormat="1" applyFont="1" applyFill="1" applyBorder="1" applyAlignment="1" applyProtection="1">
      <alignment horizontal="center" vertical="center"/>
      <protection locked="0"/>
    </xf>
    <xf numFmtId="0" fontId="15" fillId="28" borderId="30" xfId="83" applyNumberFormat="1" applyFont="1" applyFill="1" applyBorder="1" applyAlignment="1" applyProtection="1">
      <alignment horizontal="center" vertical="center"/>
      <protection locked="0"/>
    </xf>
    <xf numFmtId="0" fontId="15" fillId="28" borderId="28" xfId="83" applyNumberFormat="1" applyFont="1" applyFill="1" applyBorder="1" applyAlignment="1" applyProtection="1">
      <alignment horizontal="center" vertical="center"/>
      <protection locked="0"/>
    </xf>
    <xf numFmtId="0" fontId="15" fillId="28" borderId="19" xfId="83" applyNumberFormat="1" applyFont="1" applyFill="1" applyBorder="1" applyAlignment="1" applyProtection="1">
      <alignment horizontal="center" vertical="center"/>
      <protection locked="0"/>
    </xf>
    <xf numFmtId="0" fontId="109" fillId="0" borderId="52" xfId="0" applyFont="1" applyFill="1" applyBorder="1" applyAlignment="1" applyProtection="1">
      <alignment horizontal="right" vertical="center" wrapText="1"/>
    </xf>
    <xf numFmtId="0" fontId="109" fillId="0" borderId="7" xfId="0" applyFont="1" applyFill="1" applyBorder="1" applyAlignment="1" applyProtection="1">
      <alignment horizontal="right" vertical="center" wrapText="1"/>
    </xf>
    <xf numFmtId="0" fontId="41" fillId="26" borderId="52" xfId="0" applyFont="1" applyFill="1" applyBorder="1" applyAlignment="1" applyProtection="1">
      <alignment horizontal="center" vertical="center" wrapText="1"/>
    </xf>
    <xf numFmtId="0" fontId="41" fillId="26" borderId="54" xfId="0" applyFont="1" applyFill="1" applyBorder="1" applyAlignment="1" applyProtection="1">
      <alignment horizontal="center" vertical="center" wrapText="1"/>
    </xf>
    <xf numFmtId="0" fontId="41" fillId="26" borderId="49" xfId="0" applyFont="1" applyFill="1" applyBorder="1" applyAlignment="1" applyProtection="1">
      <alignment horizontal="center" vertical="center" wrapText="1"/>
    </xf>
    <xf numFmtId="0" fontId="41" fillId="0" borderId="30" xfId="32" applyFont="1" applyFill="1" applyBorder="1" applyAlignment="1" applyProtection="1">
      <alignment horizontal="right" vertical="center" wrapText="1"/>
    </xf>
    <xf numFmtId="0" fontId="41" fillId="0" borderId="79" xfId="32" applyFont="1" applyFill="1" applyBorder="1" applyAlignment="1" applyProtection="1">
      <alignment horizontal="right" vertical="center" wrapText="1"/>
    </xf>
    <xf numFmtId="3" fontId="15" fillId="37" borderId="29" xfId="0" applyNumberFormat="1" applyFont="1" applyFill="1" applyBorder="1" applyAlignment="1" applyProtection="1">
      <alignment horizontal="center" vertical="center"/>
    </xf>
    <xf numFmtId="3" fontId="15" fillId="37" borderId="22" xfId="0" applyNumberFormat="1" applyFont="1" applyFill="1" applyBorder="1" applyAlignment="1" applyProtection="1">
      <alignment horizontal="center" vertical="center"/>
    </xf>
    <xf numFmtId="3" fontId="15" fillId="37" borderId="14" xfId="0" applyNumberFormat="1" applyFont="1" applyFill="1" applyBorder="1" applyAlignment="1" applyProtection="1">
      <alignment horizontal="center" vertical="center"/>
    </xf>
    <xf numFmtId="14" fontId="15" fillId="28" borderId="24" xfId="83" applyNumberFormat="1" applyFont="1" applyFill="1" applyBorder="1" applyAlignment="1" applyProtection="1">
      <alignment horizontal="center" vertical="center"/>
      <protection locked="0"/>
    </xf>
    <xf numFmtId="0" fontId="15" fillId="28" borderId="24" xfId="83" applyNumberFormat="1" applyFont="1" applyFill="1" applyBorder="1" applyAlignment="1" applyProtection="1">
      <alignment horizontal="justify" vertical="top" wrapText="1"/>
      <protection locked="0"/>
    </xf>
    <xf numFmtId="0" fontId="15" fillId="28" borderId="23" xfId="83" applyNumberFormat="1" applyFont="1" applyFill="1" applyBorder="1" applyAlignment="1" applyProtection="1">
      <alignment horizontal="justify" vertical="top" wrapText="1"/>
      <protection locked="0"/>
    </xf>
    <xf numFmtId="0" fontId="15" fillId="28" borderId="15" xfId="83" applyNumberFormat="1" applyFont="1" applyFill="1" applyBorder="1" applyAlignment="1" applyProtection="1">
      <alignment horizontal="justify" vertical="top" wrapText="1"/>
      <protection locked="0"/>
    </xf>
    <xf numFmtId="0" fontId="41" fillId="0" borderId="52" xfId="32" applyFont="1" applyFill="1" applyBorder="1" applyAlignment="1" applyProtection="1">
      <alignment horizontal="right" vertical="center" wrapText="1"/>
    </xf>
    <xf numFmtId="0" fontId="41" fillId="0" borderId="7" xfId="32" applyFont="1" applyFill="1" applyBorder="1" applyAlignment="1" applyProtection="1">
      <alignment horizontal="right" vertical="center" wrapText="1"/>
    </xf>
    <xf numFmtId="0" fontId="41" fillId="0" borderId="36" xfId="32" applyFont="1" applyFill="1" applyBorder="1" applyAlignment="1" applyProtection="1">
      <alignment horizontal="right" vertical="center" wrapText="1"/>
    </xf>
    <xf numFmtId="0" fontId="41" fillId="0" borderId="69" xfId="32" applyFont="1" applyFill="1" applyBorder="1" applyAlignment="1" applyProtection="1">
      <alignment horizontal="right" vertical="center" wrapText="1"/>
    </xf>
    <xf numFmtId="0" fontId="70" fillId="0" borderId="25" xfId="32" applyFont="1" applyFill="1" applyBorder="1" applyAlignment="1" applyProtection="1">
      <alignment horizontal="right" vertical="center" wrapText="1"/>
    </xf>
    <xf numFmtId="0" fontId="70" fillId="0" borderId="44" xfId="32" applyFont="1" applyFill="1" applyBorder="1" applyAlignment="1" applyProtection="1">
      <alignment horizontal="right" vertical="center" wrapText="1"/>
    </xf>
    <xf numFmtId="0" fontId="41" fillId="0" borderId="75" xfId="32" applyFont="1" applyFill="1" applyBorder="1" applyAlignment="1" applyProtection="1">
      <alignment horizontal="right" vertical="center" wrapText="1"/>
    </xf>
    <xf numFmtId="0" fontId="41" fillId="0" borderId="73" xfId="32" applyFont="1" applyFill="1" applyBorder="1" applyAlignment="1" applyProtection="1">
      <alignment horizontal="right" vertical="center" wrapText="1"/>
    </xf>
    <xf numFmtId="0" fontId="15" fillId="37" borderId="22" xfId="0" applyFont="1" applyFill="1" applyBorder="1" applyAlignment="1" applyProtection="1">
      <alignment horizontal="center" vertical="center"/>
    </xf>
    <xf numFmtId="0" fontId="18" fillId="26" borderId="0" xfId="49" applyNumberFormat="1" applyFont="1" applyFill="1" applyBorder="1" applyAlignment="1" applyProtection="1">
      <alignment horizontal="center"/>
    </xf>
    <xf numFmtId="0" fontId="24" fillId="0" borderId="0" xfId="0" applyFont="1" applyAlignment="1" applyProtection="1">
      <alignment horizontal="left" vertical="center"/>
    </xf>
    <xf numFmtId="0" fontId="46" fillId="0" borderId="0" xfId="0" applyFont="1" applyAlignment="1" applyProtection="1">
      <alignment horizontal="left" vertical="center"/>
    </xf>
    <xf numFmtId="0" fontId="46" fillId="26" borderId="0" xfId="0" applyFont="1" applyFill="1" applyAlignment="1" applyProtection="1">
      <alignment horizontal="left" vertical="center"/>
    </xf>
    <xf numFmtId="0" fontId="23" fillId="0" borderId="0" xfId="0" applyFont="1" applyFill="1" applyBorder="1" applyAlignment="1" applyProtection="1">
      <alignment horizontal="center" vertical="center"/>
    </xf>
    <xf numFmtId="0" fontId="43" fillId="37" borderId="35" xfId="0" applyFont="1" applyFill="1" applyBorder="1" applyAlignment="1" applyProtection="1">
      <alignment horizontal="center" vertical="center"/>
    </xf>
    <xf numFmtId="0" fontId="43" fillId="37" borderId="34" xfId="0" applyFont="1" applyFill="1" applyBorder="1" applyAlignment="1" applyProtection="1">
      <alignment horizontal="center" vertical="center"/>
    </xf>
    <xf numFmtId="0" fontId="43" fillId="37" borderId="1" xfId="0" applyFont="1" applyFill="1" applyBorder="1" applyAlignment="1" applyProtection="1">
      <alignment horizontal="center" vertical="center"/>
    </xf>
    <xf numFmtId="0" fontId="43" fillId="37" borderId="8" xfId="0" applyFont="1" applyFill="1" applyBorder="1" applyAlignment="1" applyProtection="1">
      <alignment horizontal="center" vertical="center"/>
    </xf>
    <xf numFmtId="0" fontId="43" fillId="37" borderId="3" xfId="0" applyFont="1" applyFill="1" applyBorder="1" applyAlignment="1" applyProtection="1">
      <alignment horizontal="center" vertical="center"/>
    </xf>
    <xf numFmtId="0" fontId="46" fillId="0" borderId="0" xfId="0" applyFont="1" applyFill="1" applyAlignment="1" applyProtection="1">
      <alignment horizontal="left"/>
    </xf>
    <xf numFmtId="0" fontId="24" fillId="27" borderId="0" xfId="0" applyFont="1" applyFill="1" applyAlignment="1" applyProtection="1">
      <alignment horizontal="left" indent="1"/>
    </xf>
    <xf numFmtId="0" fontId="46" fillId="27" borderId="0" xfId="0" applyFont="1" applyFill="1" applyAlignment="1" applyProtection="1">
      <alignment horizontal="left"/>
    </xf>
    <xf numFmtId="0" fontId="23" fillId="27" borderId="0" xfId="32" applyFont="1" applyFill="1" applyAlignment="1" applyProtection="1">
      <alignment horizontal="center"/>
    </xf>
    <xf numFmtId="0" fontId="46" fillId="0" borderId="0" xfId="0" applyFont="1" applyFill="1" applyAlignment="1" applyProtection="1"/>
    <xf numFmtId="0" fontId="46" fillId="27" borderId="0" xfId="0" applyFont="1" applyFill="1" applyAlignment="1" applyProtection="1"/>
    <xf numFmtId="0" fontId="50" fillId="37" borderId="72" xfId="0" applyFont="1" applyFill="1" applyBorder="1" applyAlignment="1" applyProtection="1">
      <alignment horizontal="center" vertical="center"/>
    </xf>
    <xf numFmtId="0" fontId="50" fillId="37" borderId="73" xfId="0" applyFont="1" applyFill="1" applyBorder="1" applyAlignment="1" applyProtection="1">
      <alignment horizontal="center" vertical="center"/>
    </xf>
    <xf numFmtId="0" fontId="50" fillId="37" borderId="76" xfId="0" applyFont="1" applyFill="1" applyBorder="1" applyAlignment="1" applyProtection="1">
      <alignment horizontal="center" vertical="center"/>
    </xf>
    <xf numFmtId="0" fontId="46" fillId="27" borderId="0" xfId="0" applyFont="1" applyFill="1" applyAlignment="1" applyProtection="1">
      <alignment horizontal="left" wrapText="1"/>
    </xf>
    <xf numFmtId="0" fontId="22" fillId="0" borderId="0" xfId="0" applyNumberFormat="1" applyFont="1" applyFill="1" applyAlignment="1" applyProtection="1">
      <alignment horizontal="center"/>
    </xf>
    <xf numFmtId="0" fontId="18" fillId="0" borderId="0" xfId="0" applyFont="1" applyAlignment="1" applyProtection="1">
      <alignment horizontal="center"/>
    </xf>
    <xf numFmtId="0" fontId="50" fillId="37" borderId="29" xfId="0" applyFont="1" applyFill="1" applyBorder="1" applyAlignment="1" applyProtection="1">
      <alignment horizontal="center" vertical="center"/>
    </xf>
    <xf numFmtId="0" fontId="50" fillId="37" borderId="22" xfId="0" applyFont="1" applyFill="1" applyBorder="1" applyAlignment="1" applyProtection="1">
      <alignment horizontal="center" vertical="center"/>
    </xf>
    <xf numFmtId="0" fontId="50" fillId="37" borderId="14" xfId="0" applyFont="1" applyFill="1" applyBorder="1" applyAlignment="1" applyProtection="1">
      <alignment horizontal="center" vertical="center"/>
    </xf>
    <xf numFmtId="0" fontId="46" fillId="27" borderId="0" xfId="0" applyFont="1" applyFill="1" applyAlignment="1" applyProtection="1">
      <alignment horizontal="left" indent="1"/>
    </xf>
    <xf numFmtId="0" fontId="50" fillId="37" borderId="45" xfId="0" applyFont="1" applyFill="1" applyBorder="1" applyAlignment="1" applyProtection="1">
      <alignment horizontal="center" vertical="center" wrapText="1"/>
    </xf>
    <xf numFmtId="0" fontId="50" fillId="37" borderId="47" xfId="0" applyFont="1" applyFill="1" applyBorder="1" applyAlignment="1" applyProtection="1">
      <alignment horizontal="center" vertical="center" wrapText="1"/>
    </xf>
    <xf numFmtId="0" fontId="50" fillId="37" borderId="46" xfId="0" applyFont="1" applyFill="1" applyBorder="1" applyAlignment="1" applyProtection="1">
      <alignment horizontal="center" vertical="center"/>
    </xf>
    <xf numFmtId="0" fontId="50" fillId="37" borderId="48" xfId="0" applyFont="1" applyFill="1" applyBorder="1" applyAlignment="1" applyProtection="1">
      <alignment horizontal="center" vertical="center"/>
    </xf>
    <xf numFmtId="0" fontId="50" fillId="37" borderId="40" xfId="0" applyFont="1" applyFill="1" applyBorder="1" applyAlignment="1" applyProtection="1">
      <alignment horizontal="center" vertical="center" wrapText="1"/>
    </xf>
    <xf numFmtId="0" fontId="50" fillId="37" borderId="42" xfId="0" applyFont="1" applyFill="1" applyBorder="1" applyAlignment="1" applyProtection="1">
      <alignment horizontal="center" vertical="center" wrapText="1"/>
    </xf>
    <xf numFmtId="0" fontId="50" fillId="37" borderId="35" xfId="0" applyFont="1" applyFill="1" applyBorder="1" applyAlignment="1" applyProtection="1">
      <alignment horizontal="center" vertical="center" wrapText="1"/>
    </xf>
    <xf numFmtId="0" fontId="50" fillId="37" borderId="34" xfId="0" applyFont="1" applyFill="1" applyBorder="1" applyAlignment="1" applyProtection="1">
      <alignment horizontal="center" vertical="center" wrapText="1"/>
    </xf>
    <xf numFmtId="0" fontId="23" fillId="0" borderId="0" xfId="0" applyFont="1" applyAlignment="1" applyProtection="1">
      <alignment horizontal="center"/>
    </xf>
    <xf numFmtId="0" fontId="50" fillId="37" borderId="26" xfId="0" applyFont="1" applyFill="1" applyBorder="1" applyAlignment="1" applyProtection="1">
      <alignment horizontal="center" vertical="center" wrapText="1"/>
    </xf>
    <xf numFmtId="0" fontId="43" fillId="37" borderId="75" xfId="0" applyFont="1" applyFill="1" applyBorder="1" applyAlignment="1" applyProtection="1">
      <alignment horizontal="center" vertical="center"/>
    </xf>
    <xf numFmtId="0" fontId="43" fillId="37" borderId="54" xfId="0" applyFont="1" applyFill="1" applyBorder="1" applyAlignment="1" applyProtection="1">
      <alignment horizontal="center" vertical="center"/>
    </xf>
    <xf numFmtId="0" fontId="43" fillId="37" borderId="73" xfId="0" applyFont="1" applyFill="1" applyBorder="1" applyAlignment="1" applyProtection="1">
      <alignment horizontal="center" vertical="center"/>
    </xf>
    <xf numFmtId="0" fontId="43" fillId="37" borderId="63" xfId="0" applyFont="1" applyFill="1" applyBorder="1" applyAlignment="1" applyProtection="1">
      <alignment horizontal="center" vertical="center"/>
    </xf>
    <xf numFmtId="0" fontId="43" fillId="37" borderId="56" xfId="0" applyFont="1" applyFill="1" applyBorder="1" applyAlignment="1" applyProtection="1">
      <alignment horizontal="center" vertical="center"/>
    </xf>
    <xf numFmtId="0" fontId="43" fillId="37" borderId="74" xfId="0" applyFont="1" applyFill="1" applyBorder="1" applyAlignment="1" applyProtection="1">
      <alignment horizontal="center" vertical="center"/>
    </xf>
    <xf numFmtId="0" fontId="43" fillId="37" borderId="78" xfId="0" applyFont="1" applyFill="1" applyBorder="1" applyAlignment="1" applyProtection="1">
      <alignment horizontal="center" vertical="center"/>
    </xf>
    <xf numFmtId="0" fontId="50" fillId="37" borderId="51" xfId="0" applyFont="1" applyFill="1" applyBorder="1" applyAlignment="1" applyProtection="1">
      <alignment horizontal="center" vertical="center" wrapText="1"/>
    </xf>
    <xf numFmtId="0" fontId="50" fillId="37" borderId="21" xfId="0" applyFont="1" applyFill="1" applyBorder="1" applyAlignment="1" applyProtection="1">
      <alignment horizontal="center" vertical="center" wrapText="1"/>
    </xf>
    <xf numFmtId="0" fontId="24" fillId="27" borderId="0" xfId="49" applyFont="1" applyFill="1" applyAlignment="1" applyProtection="1">
      <alignment horizontal="left" vertical="center" wrapText="1"/>
    </xf>
    <xf numFmtId="0" fontId="50" fillId="37" borderId="29" xfId="32" applyFont="1" applyFill="1" applyBorder="1" applyAlignment="1" applyProtection="1">
      <alignment horizontal="center" vertical="center"/>
    </xf>
    <xf numFmtId="0" fontId="50" fillId="37" borderId="22" xfId="32" applyFont="1" applyFill="1" applyBorder="1" applyAlignment="1" applyProtection="1">
      <alignment horizontal="center" vertical="center"/>
    </xf>
    <xf numFmtId="0" fontId="50" fillId="37" borderId="14" xfId="32" applyFont="1" applyFill="1" applyBorder="1" applyAlignment="1" applyProtection="1">
      <alignment horizontal="center" vertical="center"/>
    </xf>
    <xf numFmtId="1" fontId="50" fillId="38" borderId="45" xfId="21" applyFont="1" applyFill="1" applyBorder="1" applyAlignment="1" applyProtection="1">
      <alignment horizontal="center" vertical="center" wrapText="1"/>
    </xf>
    <xf numFmtId="1" fontId="50" fillId="38" borderId="47" xfId="21" applyFont="1" applyFill="1" applyBorder="1" applyAlignment="1" applyProtection="1">
      <alignment horizontal="center" vertical="center" wrapText="1"/>
    </xf>
    <xf numFmtId="1" fontId="50" fillId="38" borderId="59" xfId="21" applyFont="1" applyFill="1" applyBorder="1" applyAlignment="1" applyProtection="1">
      <alignment horizontal="center" vertical="center" wrapText="1"/>
    </xf>
    <xf numFmtId="1" fontId="50" fillId="38" borderId="101" xfId="21" applyFont="1" applyFill="1" applyBorder="1" applyAlignment="1" applyProtection="1">
      <alignment horizontal="center" vertical="center" wrapText="1"/>
    </xf>
    <xf numFmtId="1" fontId="50" fillId="38" borderId="66" xfId="21" applyFont="1" applyFill="1" applyBorder="1" applyAlignment="1" applyProtection="1">
      <alignment horizontal="center" vertical="center" wrapText="1"/>
    </xf>
    <xf numFmtId="1" fontId="50" fillId="38" borderId="11" xfId="21" applyFont="1" applyFill="1" applyBorder="1" applyAlignment="1" applyProtection="1">
      <alignment horizontal="center" vertical="center" wrapText="1"/>
    </xf>
    <xf numFmtId="1" fontId="50" fillId="38" borderId="0" xfId="21" applyFont="1" applyFill="1" applyBorder="1" applyAlignment="1" applyProtection="1">
      <alignment horizontal="center" vertical="center" wrapText="1"/>
    </xf>
    <xf numFmtId="1" fontId="50" fillId="38" borderId="20" xfId="21" applyFont="1" applyFill="1" applyBorder="1" applyAlignment="1" applyProtection="1">
      <alignment horizontal="center" vertical="center" wrapText="1"/>
    </xf>
    <xf numFmtId="0" fontId="81" fillId="0" borderId="0" xfId="32" applyFont="1" applyFill="1" applyAlignment="1" applyProtection="1">
      <alignment horizontal="center" vertical="center"/>
    </xf>
    <xf numFmtId="0" fontId="81" fillId="0" borderId="0" xfId="32" applyFont="1" applyAlignment="1" applyProtection="1">
      <alignment horizontal="center" vertical="center"/>
    </xf>
    <xf numFmtId="0" fontId="86" fillId="0" borderId="0" xfId="32" applyNumberFormat="1" applyFont="1" applyFill="1" applyAlignment="1" applyProtection="1">
      <alignment horizontal="center" vertical="center" wrapText="1"/>
    </xf>
    <xf numFmtId="0" fontId="50" fillId="37" borderId="1" xfId="32" applyFont="1" applyFill="1" applyBorder="1" applyAlignment="1" applyProtection="1">
      <alignment horizontal="center" vertical="center"/>
    </xf>
    <xf numFmtId="0" fontId="50" fillId="37" borderId="8" xfId="32" applyFont="1" applyFill="1" applyBorder="1" applyAlignment="1" applyProtection="1">
      <alignment horizontal="center" vertical="center"/>
    </xf>
    <xf numFmtId="0" fontId="50" fillId="37" borderId="3" xfId="32" applyFont="1" applyFill="1" applyBorder="1" applyAlignment="1" applyProtection="1">
      <alignment horizontal="center" vertical="center"/>
    </xf>
    <xf numFmtId="0" fontId="79" fillId="26" borderId="7" xfId="0" applyFont="1" applyFill="1" applyBorder="1" applyAlignment="1" applyProtection="1">
      <alignment horizontal="center" vertical="center"/>
    </xf>
    <xf numFmtId="0" fontId="79" fillId="26" borderId="62" xfId="0" applyFont="1" applyFill="1" applyBorder="1" applyAlignment="1" applyProtection="1">
      <alignment horizontal="center" vertical="center"/>
    </xf>
    <xf numFmtId="0" fontId="18" fillId="0" borderId="0" xfId="0" applyFont="1" applyAlignment="1" applyProtection="1">
      <alignment horizontal="center" vertical="center"/>
    </xf>
    <xf numFmtId="0" fontId="18" fillId="20" borderId="0" xfId="0" applyFont="1" applyFill="1" applyAlignment="1" applyProtection="1">
      <alignment horizontal="center" vertical="center"/>
    </xf>
    <xf numFmtId="0" fontId="22" fillId="0" borderId="0" xfId="0" applyNumberFormat="1" applyFont="1" applyFill="1" applyAlignment="1" applyProtection="1">
      <alignment horizontal="center" vertical="center" wrapText="1"/>
    </xf>
    <xf numFmtId="168" fontId="86" fillId="3" borderId="60" xfId="49" applyNumberFormat="1" applyFont="1" applyFill="1" applyBorder="1" applyAlignment="1" applyProtection="1">
      <alignment horizontal="center" vertical="center" wrapText="1"/>
      <protection locked="0"/>
    </xf>
    <xf numFmtId="168" fontId="86" fillId="3" borderId="8" xfId="49" applyNumberFormat="1" applyFont="1" applyFill="1" applyBorder="1" applyAlignment="1" applyProtection="1">
      <alignment horizontal="center" vertical="center" wrapText="1"/>
      <protection locked="0"/>
    </xf>
    <xf numFmtId="168" fontId="86" fillId="3" borderId="3" xfId="49" applyNumberFormat="1" applyFont="1" applyFill="1" applyBorder="1" applyAlignment="1" applyProtection="1">
      <alignment horizontal="center" vertical="center" wrapText="1"/>
      <protection locked="0"/>
    </xf>
    <xf numFmtId="0" fontId="43" fillId="0" borderId="63" xfId="0" applyFont="1" applyBorder="1" applyAlignment="1" applyProtection="1">
      <alignment horizontal="center" vertical="center"/>
    </xf>
    <xf numFmtId="0" fontId="43" fillId="0" borderId="31" xfId="0" applyFont="1" applyBorder="1" applyAlignment="1" applyProtection="1">
      <alignment horizontal="center" vertical="center"/>
    </xf>
    <xf numFmtId="0" fontId="46" fillId="27" borderId="0" xfId="0" applyFont="1" applyFill="1" applyAlignment="1">
      <alignment horizontal="left" vertical="center" wrapText="1"/>
    </xf>
    <xf numFmtId="0" fontId="46" fillId="27" borderId="0" xfId="0" applyFont="1" applyFill="1" applyAlignment="1" applyProtection="1">
      <alignment vertical="center"/>
    </xf>
    <xf numFmtId="0" fontId="18" fillId="0" borderId="0" xfId="40" applyFont="1" applyAlignment="1" applyProtection="1">
      <alignment horizontal="center" vertical="center"/>
    </xf>
    <xf numFmtId="0" fontId="18" fillId="20" borderId="0" xfId="40" applyFont="1" applyFill="1" applyAlignment="1" applyProtection="1">
      <alignment horizontal="center" vertical="center"/>
    </xf>
    <xf numFmtId="168" fontId="86" fillId="26" borderId="60" xfId="49" applyNumberFormat="1" applyFont="1" applyFill="1" applyBorder="1" applyAlignment="1" applyProtection="1">
      <alignment horizontal="center" vertical="center" wrapText="1"/>
    </xf>
    <xf numFmtId="168" fontId="86" fillId="26" borderId="8" xfId="49" applyNumberFormat="1" applyFont="1" applyFill="1" applyBorder="1" applyAlignment="1" applyProtection="1">
      <alignment horizontal="center" vertical="center" wrapText="1"/>
    </xf>
    <xf numFmtId="168" fontId="86" fillId="26" borderId="3" xfId="49" applyNumberFormat="1" applyFont="1" applyFill="1" applyBorder="1" applyAlignment="1" applyProtection="1">
      <alignment horizontal="center" vertical="center" wrapText="1"/>
    </xf>
    <xf numFmtId="0" fontId="18" fillId="0" borderId="0" xfId="0" applyFont="1" applyFill="1" applyAlignment="1" applyProtection="1">
      <alignment horizontal="center" vertical="center"/>
    </xf>
    <xf numFmtId="0" fontId="22" fillId="0" borderId="0" xfId="0" applyNumberFormat="1" applyFont="1" applyAlignment="1" applyProtection="1">
      <alignment horizontal="center" vertical="center"/>
    </xf>
    <xf numFmtId="0" fontId="158" fillId="48" borderId="62" xfId="0" applyFont="1" applyFill="1" applyBorder="1" applyAlignment="1" applyProtection="1">
      <alignment horizontal="center" vertical="center"/>
    </xf>
    <xf numFmtId="0" fontId="158" fillId="48" borderId="23" xfId="0" applyFont="1" applyFill="1" applyBorder="1" applyAlignment="1" applyProtection="1">
      <alignment horizontal="center" vertical="center"/>
    </xf>
    <xf numFmtId="0" fontId="158" fillId="48" borderId="32" xfId="0" applyFont="1" applyFill="1" applyBorder="1" applyAlignment="1" applyProtection="1">
      <alignment horizontal="center" vertical="center"/>
    </xf>
    <xf numFmtId="0" fontId="58" fillId="20" borderId="7" xfId="32" applyFont="1" applyFill="1" applyBorder="1" applyAlignment="1" applyProtection="1">
      <alignment horizontal="center" vertical="center" wrapText="1"/>
    </xf>
    <xf numFmtId="0" fontId="158" fillId="48" borderId="7" xfId="0" applyFont="1" applyFill="1" applyBorder="1" applyAlignment="1" applyProtection="1">
      <alignment horizontal="center" vertical="center" wrapText="1"/>
    </xf>
    <xf numFmtId="0" fontId="158" fillId="48" borderId="23" xfId="0" applyFont="1" applyFill="1" applyBorder="1" applyAlignment="1" applyProtection="1">
      <alignment horizontal="center" vertical="center" wrapText="1"/>
    </xf>
    <xf numFmtId="0" fontId="158" fillId="48" borderId="32" xfId="0" applyFont="1" applyFill="1" applyBorder="1" applyAlignment="1" applyProtection="1">
      <alignment horizontal="center" vertical="center" wrapText="1"/>
    </xf>
    <xf numFmtId="0" fontId="158" fillId="48" borderId="64" xfId="0" applyFont="1" applyFill="1" applyBorder="1" applyAlignment="1" applyProtection="1">
      <alignment horizontal="center" vertical="center" wrapText="1"/>
    </xf>
    <xf numFmtId="0" fontId="158" fillId="48" borderId="37" xfId="0" applyFont="1" applyFill="1" applyBorder="1" applyAlignment="1" applyProtection="1">
      <alignment horizontal="center" vertical="center" wrapText="1"/>
    </xf>
    <xf numFmtId="0" fontId="158" fillId="48" borderId="69" xfId="0" applyFont="1" applyFill="1" applyBorder="1" applyAlignment="1" applyProtection="1">
      <alignment horizontal="center" vertical="center" wrapText="1"/>
    </xf>
    <xf numFmtId="0" fontId="158" fillId="37" borderId="63" xfId="52" applyFont="1" applyFill="1" applyBorder="1" applyAlignment="1" applyProtection="1">
      <alignment horizontal="center" vertical="center"/>
    </xf>
    <xf numFmtId="0" fontId="158" fillId="37" borderId="31" xfId="52" applyFont="1" applyFill="1" applyBorder="1" applyAlignment="1" applyProtection="1">
      <alignment horizontal="center" vertical="center"/>
    </xf>
    <xf numFmtId="0" fontId="158" fillId="37" borderId="63" xfId="52" applyFont="1" applyFill="1" applyBorder="1" applyAlignment="1" applyProtection="1">
      <alignment horizontal="center" vertical="center" wrapText="1"/>
    </xf>
    <xf numFmtId="0" fontId="158" fillId="37" borderId="7" xfId="56" applyFont="1" applyFill="1" applyBorder="1" applyAlignment="1" applyProtection="1">
      <alignment horizontal="center" vertical="center"/>
    </xf>
    <xf numFmtId="0" fontId="158" fillId="26" borderId="62" xfId="52" applyFont="1" applyFill="1" applyBorder="1" applyAlignment="1" applyProtection="1">
      <alignment horizontal="center" vertical="center"/>
    </xf>
    <xf numFmtId="0" fontId="158" fillId="26" borderId="23" xfId="52" applyFont="1" applyFill="1" applyBorder="1" applyAlignment="1" applyProtection="1">
      <alignment horizontal="center" vertical="center"/>
    </xf>
    <xf numFmtId="0" fontId="158" fillId="26" borderId="32" xfId="52" applyFont="1" applyFill="1" applyBorder="1" applyAlignment="1" applyProtection="1">
      <alignment horizontal="center" vertical="center"/>
    </xf>
    <xf numFmtId="0" fontId="158" fillId="20" borderId="63" xfId="52" applyFont="1" applyFill="1" applyBorder="1" applyAlignment="1" applyProtection="1">
      <alignment horizontal="left" vertical="center" wrapText="1"/>
    </xf>
    <xf numFmtId="0" fontId="158" fillId="20" borderId="31" xfId="52" applyFont="1" applyFill="1" applyBorder="1" applyAlignment="1" applyProtection="1">
      <alignment horizontal="left" vertical="center" wrapText="1"/>
    </xf>
    <xf numFmtId="0" fontId="158" fillId="22" borderId="63" xfId="52" applyFont="1" applyFill="1" applyBorder="1" applyAlignment="1" applyProtection="1">
      <alignment horizontal="left" vertical="center"/>
    </xf>
    <xf numFmtId="0" fontId="158" fillId="22" borderId="4" xfId="52" applyFont="1" applyFill="1" applyBorder="1" applyAlignment="1" applyProtection="1">
      <alignment horizontal="left" vertical="center"/>
    </xf>
    <xf numFmtId="0" fontId="158" fillId="22" borderId="31" xfId="52" applyFont="1" applyFill="1" applyBorder="1" applyAlignment="1" applyProtection="1">
      <alignment horizontal="left" vertical="center"/>
    </xf>
    <xf numFmtId="0" fontId="58" fillId="26" borderId="7" xfId="52" applyFont="1" applyFill="1" applyBorder="1" applyAlignment="1" applyProtection="1">
      <alignment horizontal="left" vertical="center" wrapText="1"/>
    </xf>
    <xf numFmtId="0" fontId="158" fillId="22" borderId="7" xfId="52" applyFont="1" applyFill="1" applyBorder="1" applyAlignment="1" applyProtection="1">
      <alignment horizontal="center" vertical="center" wrapText="1"/>
    </xf>
    <xf numFmtId="0" fontId="58" fillId="26" borderId="7" xfId="52" applyFont="1" applyFill="1" applyBorder="1" applyAlignment="1" applyProtection="1">
      <alignment horizontal="left" vertical="center"/>
    </xf>
    <xf numFmtId="0" fontId="158" fillId="37" borderId="7" xfId="56" applyFont="1" applyFill="1" applyBorder="1" applyAlignment="1" applyProtection="1">
      <alignment horizontal="center" vertical="center" wrapText="1"/>
    </xf>
    <xf numFmtId="0" fontId="158" fillId="37" borderId="32" xfId="56" applyFont="1" applyFill="1" applyBorder="1" applyAlignment="1" applyProtection="1">
      <alignment horizontal="center" vertical="center" wrapText="1"/>
    </xf>
    <xf numFmtId="0" fontId="158" fillId="37" borderId="69" xfId="56" applyFont="1" applyFill="1" applyBorder="1" applyAlignment="1" applyProtection="1">
      <alignment horizontal="center" vertical="center" wrapText="1"/>
    </xf>
    <xf numFmtId="0" fontId="58" fillId="22" borderId="7" xfId="52" applyFont="1" applyFill="1" applyBorder="1" applyAlignment="1" applyProtection="1">
      <alignment horizontal="left" vertical="center"/>
    </xf>
    <xf numFmtId="0" fontId="58" fillId="20" borderId="7" xfId="52" applyFont="1" applyFill="1" applyBorder="1" applyAlignment="1" applyProtection="1">
      <alignment horizontal="left" vertical="center" wrapText="1"/>
    </xf>
    <xf numFmtId="0" fontId="165" fillId="37" borderId="7" xfId="0" applyFont="1" applyFill="1" applyBorder="1" applyAlignment="1" applyProtection="1">
      <alignment horizontal="center" vertical="center" wrapText="1"/>
    </xf>
    <xf numFmtId="0" fontId="50" fillId="37" borderId="7" xfId="0" applyFont="1" applyFill="1" applyBorder="1" applyAlignment="1" applyProtection="1">
      <alignment horizontal="center" vertical="center"/>
    </xf>
    <xf numFmtId="0" fontId="160" fillId="37" borderId="7" xfId="32" applyFont="1" applyFill="1" applyBorder="1" applyAlignment="1" applyProtection="1">
      <alignment horizontal="center" vertical="center" wrapText="1"/>
    </xf>
    <xf numFmtId="0" fontId="43" fillId="37" borderId="63" xfId="0" applyFont="1" applyFill="1" applyBorder="1" applyAlignment="1" applyProtection="1">
      <alignment horizontal="center" vertical="center" wrapText="1"/>
    </xf>
    <xf numFmtId="0" fontId="43" fillId="37" borderId="31" xfId="0" applyFont="1" applyFill="1" applyBorder="1" applyAlignment="1" applyProtection="1">
      <alignment horizontal="center" vertical="center" wrapText="1"/>
    </xf>
    <xf numFmtId="0" fontId="50" fillId="22" borderId="62" xfId="0" applyFont="1" applyFill="1" applyBorder="1" applyAlignment="1" applyProtection="1">
      <alignment horizontal="left" vertical="center"/>
    </xf>
    <xf numFmtId="0" fontId="50" fillId="22" borderId="23" xfId="0" applyFont="1" applyFill="1" applyBorder="1" applyAlignment="1" applyProtection="1">
      <alignment horizontal="left" vertical="center"/>
    </xf>
    <xf numFmtId="0" fontId="50" fillId="22" borderId="32" xfId="0" applyFont="1" applyFill="1" applyBorder="1" applyAlignment="1" applyProtection="1">
      <alignment horizontal="left" vertical="center"/>
    </xf>
    <xf numFmtId="2" fontId="50" fillId="37" borderId="7" xfId="0" applyNumberFormat="1" applyFont="1" applyFill="1" applyBorder="1" applyAlignment="1" applyProtection="1">
      <alignment horizontal="center" vertical="center"/>
    </xf>
    <xf numFmtId="0" fontId="165" fillId="48" borderId="7" xfId="0" applyFont="1" applyFill="1" applyBorder="1" applyAlignment="1">
      <alignment horizontal="center" vertical="center" wrapText="1"/>
    </xf>
    <xf numFmtId="0" fontId="158" fillId="37" borderId="63" xfId="32" applyFont="1" applyFill="1" applyBorder="1" applyAlignment="1" applyProtection="1">
      <alignment horizontal="center" vertical="center" wrapText="1"/>
    </xf>
    <xf numFmtId="0" fontId="158" fillId="37" borderId="31" xfId="32" applyFont="1" applyFill="1" applyBorder="1" applyAlignment="1" applyProtection="1">
      <alignment horizontal="center" vertical="center" wrapText="1"/>
    </xf>
    <xf numFmtId="2" fontId="158" fillId="37" borderId="63" xfId="32" applyNumberFormat="1" applyFont="1" applyFill="1" applyBorder="1" applyAlignment="1" applyProtection="1">
      <alignment horizontal="center" vertical="center" wrapText="1"/>
    </xf>
    <xf numFmtId="2" fontId="158" fillId="37" borderId="31" xfId="32" applyNumberFormat="1" applyFont="1" applyFill="1" applyBorder="1" applyAlignment="1" applyProtection="1">
      <alignment horizontal="center" vertical="center" wrapText="1"/>
    </xf>
    <xf numFmtId="2" fontId="158" fillId="37" borderId="62" xfId="32" applyNumberFormat="1" applyFont="1" applyFill="1" applyBorder="1" applyAlignment="1" applyProtection="1">
      <alignment horizontal="center" vertical="center" wrapText="1"/>
    </xf>
    <xf numFmtId="2" fontId="158" fillId="37" borderId="23" xfId="32" applyNumberFormat="1" applyFont="1" applyFill="1" applyBorder="1" applyAlignment="1" applyProtection="1">
      <alignment horizontal="center" vertical="center" wrapText="1"/>
    </xf>
    <xf numFmtId="2" fontId="158" fillId="37" borderId="32" xfId="32" applyNumberFormat="1" applyFont="1" applyFill="1" applyBorder="1" applyAlignment="1" applyProtection="1">
      <alignment horizontal="center" vertical="center" wrapText="1"/>
    </xf>
    <xf numFmtId="0" fontId="158" fillId="37" borderId="62" xfId="32" applyFont="1" applyFill="1" applyBorder="1" applyAlignment="1" applyProtection="1">
      <alignment horizontal="center" vertical="center" wrapText="1"/>
    </xf>
    <xf numFmtId="0" fontId="158" fillId="37" borderId="23" xfId="32" applyFont="1" applyFill="1" applyBorder="1" applyAlignment="1" applyProtection="1">
      <alignment horizontal="center" vertical="center" wrapText="1"/>
    </xf>
    <xf numFmtId="0" fontId="158" fillId="37" borderId="32" xfId="32" applyFont="1" applyFill="1" applyBorder="1" applyAlignment="1" applyProtection="1">
      <alignment horizontal="center" vertical="center" wrapText="1"/>
    </xf>
    <xf numFmtId="0" fontId="160" fillId="37" borderId="63" xfId="32" applyFont="1" applyFill="1" applyBorder="1" applyAlignment="1" applyProtection="1">
      <alignment horizontal="center" vertical="center" wrapText="1"/>
    </xf>
    <xf numFmtId="0" fontId="160" fillId="37" borderId="31" xfId="32" applyFont="1" applyFill="1" applyBorder="1" applyAlignment="1" applyProtection="1">
      <alignment horizontal="center" vertical="center" wrapText="1"/>
    </xf>
    <xf numFmtId="0" fontId="158" fillId="37" borderId="7" xfId="32" applyFont="1" applyFill="1" applyBorder="1" applyAlignment="1" applyProtection="1">
      <alignment horizontal="center" vertical="center"/>
    </xf>
    <xf numFmtId="0" fontId="50" fillId="37" borderId="63" xfId="0" applyFont="1" applyFill="1" applyBorder="1" applyAlignment="1" applyProtection="1">
      <alignment horizontal="center" vertical="center"/>
    </xf>
    <xf numFmtId="0" fontId="50" fillId="37" borderId="31" xfId="0" applyFont="1" applyFill="1" applyBorder="1" applyAlignment="1" applyProtection="1">
      <alignment horizontal="center" vertical="center"/>
    </xf>
    <xf numFmtId="0" fontId="50" fillId="37" borderId="62" xfId="0" applyFont="1" applyFill="1" applyBorder="1" applyAlignment="1" applyProtection="1">
      <alignment horizontal="center" vertical="center"/>
    </xf>
    <xf numFmtId="0" fontId="50" fillId="37" borderId="23" xfId="0" applyFont="1" applyFill="1" applyBorder="1" applyAlignment="1" applyProtection="1">
      <alignment horizontal="center" vertical="center"/>
    </xf>
    <xf numFmtId="0" fontId="50" fillId="37" borderId="32" xfId="0" applyFont="1" applyFill="1" applyBorder="1" applyAlignment="1" applyProtection="1">
      <alignment horizontal="center" vertical="center"/>
    </xf>
    <xf numFmtId="3" fontId="50" fillId="37" borderId="62" xfId="0" applyNumberFormat="1" applyFont="1" applyFill="1" applyBorder="1" applyAlignment="1" applyProtection="1">
      <alignment horizontal="center" vertical="center"/>
    </xf>
    <xf numFmtId="3" fontId="50" fillId="37" borderId="23" xfId="0" applyNumberFormat="1" applyFont="1" applyFill="1" applyBorder="1" applyAlignment="1" applyProtection="1">
      <alignment horizontal="center" vertical="center"/>
    </xf>
    <xf numFmtId="3" fontId="50" fillId="37" borderId="32" xfId="0" applyNumberFormat="1" applyFont="1" applyFill="1" applyBorder="1" applyAlignment="1" applyProtection="1">
      <alignment horizontal="center" vertical="center"/>
    </xf>
    <xf numFmtId="1" fontId="178" fillId="38" borderId="7" xfId="21" applyFont="1" applyFill="1" applyBorder="1" applyAlignment="1" applyProtection="1">
      <alignment horizontal="center" vertical="center" wrapText="1"/>
    </xf>
    <xf numFmtId="3" fontId="178" fillId="37" borderId="7" xfId="32" applyNumberFormat="1" applyFont="1" applyFill="1" applyBorder="1" applyAlignment="1" applyProtection="1">
      <alignment horizontal="center" vertical="center"/>
    </xf>
    <xf numFmtId="0" fontId="178" fillId="37" borderId="7" xfId="32" applyFont="1" applyFill="1" applyBorder="1" applyAlignment="1" applyProtection="1">
      <alignment horizontal="center" vertical="center"/>
    </xf>
    <xf numFmtId="3" fontId="158" fillId="37" borderId="7" xfId="49" applyNumberFormat="1" applyFont="1" applyFill="1" applyBorder="1" applyAlignment="1" applyProtection="1">
      <alignment horizontal="center" vertical="center" wrapText="1"/>
    </xf>
    <xf numFmtId="3" fontId="158" fillId="37" borderId="62" xfId="49" applyNumberFormat="1" applyFont="1" applyFill="1" applyBorder="1" applyAlignment="1" applyProtection="1">
      <alignment horizontal="center" vertical="center" wrapText="1"/>
    </xf>
    <xf numFmtId="3" fontId="158" fillId="37" borderId="23" xfId="49" applyNumberFormat="1" applyFont="1" applyFill="1" applyBorder="1" applyAlignment="1" applyProtection="1">
      <alignment horizontal="center" vertical="center" wrapText="1"/>
    </xf>
    <xf numFmtId="3" fontId="158" fillId="37" borderId="32" xfId="49" applyNumberFormat="1" applyFont="1" applyFill="1" applyBorder="1" applyAlignment="1" applyProtection="1">
      <alignment horizontal="center" vertical="center" wrapText="1"/>
    </xf>
    <xf numFmtId="3" fontId="158" fillId="37" borderId="63" xfId="49" applyNumberFormat="1" applyFont="1" applyFill="1" applyBorder="1" applyAlignment="1" applyProtection="1">
      <alignment horizontal="center" vertical="center" wrapText="1"/>
    </xf>
    <xf numFmtId="3" fontId="158" fillId="37" borderId="31" xfId="49" applyNumberFormat="1" applyFont="1" applyFill="1" applyBorder="1" applyAlignment="1" applyProtection="1">
      <alignment horizontal="center" vertical="center" wrapText="1"/>
    </xf>
    <xf numFmtId="0" fontId="165" fillId="48" borderId="7" xfId="0" applyFont="1" applyFill="1" applyBorder="1" applyAlignment="1" applyProtection="1">
      <alignment horizontal="center" vertical="center" wrapText="1"/>
    </xf>
    <xf numFmtId="0" fontId="160" fillId="0" borderId="7" xfId="0" applyFont="1" applyBorder="1" applyAlignment="1">
      <alignment horizontal="left" vertical="center"/>
    </xf>
    <xf numFmtId="3" fontId="158" fillId="37" borderId="7" xfId="49" applyNumberFormat="1" applyFont="1" applyFill="1" applyBorder="1" applyAlignment="1">
      <alignment horizontal="center" vertical="center" wrapText="1"/>
    </xf>
    <xf numFmtId="0" fontId="158" fillId="37" borderId="7" xfId="49" applyFont="1" applyFill="1" applyBorder="1" applyAlignment="1" applyProtection="1">
      <alignment horizontal="center" vertical="center" wrapText="1"/>
    </xf>
    <xf numFmtId="0" fontId="158" fillId="37" borderId="7" xfId="49" applyFont="1" applyFill="1" applyBorder="1" applyAlignment="1">
      <alignment horizontal="center" vertical="center" wrapText="1"/>
    </xf>
    <xf numFmtId="0" fontId="160" fillId="0" borderId="7" xfId="0" applyFont="1" applyBorder="1" applyAlignment="1" applyProtection="1">
      <alignment horizontal="left" vertical="center"/>
    </xf>
    <xf numFmtId="0" fontId="160" fillId="0" borderId="62" xfId="0" applyFont="1" applyBorder="1" applyAlignment="1" applyProtection="1">
      <alignment horizontal="left" vertical="center"/>
    </xf>
    <xf numFmtId="0" fontId="160" fillId="0" borderId="23" xfId="0" applyFont="1" applyBorder="1" applyAlignment="1" applyProtection="1">
      <alignment horizontal="left" vertical="center"/>
    </xf>
    <xf numFmtId="0" fontId="160" fillId="0" borderId="32" xfId="0" applyFont="1" applyBorder="1" applyAlignment="1" applyProtection="1">
      <alignment horizontal="left" vertical="center"/>
    </xf>
    <xf numFmtId="0" fontId="206" fillId="0" borderId="7" xfId="0" applyFont="1" applyBorder="1" applyAlignment="1">
      <alignment horizontal="center" wrapText="1"/>
    </xf>
    <xf numFmtId="0" fontId="206" fillId="0" borderId="162" xfId="0" applyFont="1" applyBorder="1" applyAlignment="1">
      <alignment horizontal="center" wrapText="1"/>
    </xf>
    <xf numFmtId="0" fontId="206" fillId="0" borderId="163" xfId="0" applyFont="1" applyBorder="1" applyAlignment="1">
      <alignment horizontal="center" wrapText="1"/>
    </xf>
    <xf numFmtId="0" fontId="206" fillId="0" borderId="164" xfId="0" applyFont="1" applyBorder="1" applyAlignment="1">
      <alignment horizontal="center" wrapText="1"/>
    </xf>
    <xf numFmtId="0" fontId="208" fillId="0" borderId="165" xfId="0" applyFont="1" applyBorder="1" applyAlignment="1">
      <alignment horizontal="center" wrapText="1"/>
    </xf>
    <xf numFmtId="0" fontId="208" fillId="0" borderId="166" xfId="0" applyFont="1" applyBorder="1" applyAlignment="1">
      <alignment horizontal="center" wrapText="1"/>
    </xf>
    <xf numFmtId="0" fontId="208" fillId="0" borderId="167" xfId="0" applyFont="1" applyBorder="1" applyAlignment="1">
      <alignment horizontal="center" wrapText="1"/>
    </xf>
    <xf numFmtId="0" fontId="210" fillId="0" borderId="7" xfId="0" applyFont="1" applyBorder="1" applyAlignment="1"/>
  </cellXfs>
  <cellStyles count="342">
    <cellStyle name="20% - Accent1" xfId="96"/>
    <cellStyle name="20% - Accent2" xfId="97"/>
    <cellStyle name="20% - Accent3" xfId="98"/>
    <cellStyle name="20% - Accent4" xfId="99"/>
    <cellStyle name="20% - Accent5" xfId="100"/>
    <cellStyle name="20% - Accent6" xfId="101"/>
    <cellStyle name="40% - Accent1" xfId="102"/>
    <cellStyle name="40% - Accent2" xfId="103"/>
    <cellStyle name="40% - Accent3" xfId="104"/>
    <cellStyle name="40% - Accent4" xfId="105"/>
    <cellStyle name="40% - Accent5" xfId="106"/>
    <cellStyle name="40% - Accent6" xfId="107"/>
    <cellStyle name="60% - Accent1" xfId="108"/>
    <cellStyle name="60% - Accent2" xfId="109"/>
    <cellStyle name="60% - Accent3" xfId="110"/>
    <cellStyle name="60% - Accent4" xfId="111"/>
    <cellStyle name="60% - Accent5" xfId="112"/>
    <cellStyle name="60% - Accent6" xfId="113"/>
    <cellStyle name="Accent1" xfId="114"/>
    <cellStyle name="Accent1 - 20%" xfId="3"/>
    <cellStyle name="Accent1 - 40%" xfId="4"/>
    <cellStyle name="Accent1 - 60%" xfId="5"/>
    <cellStyle name="Accent2" xfId="115"/>
    <cellStyle name="Accent2 - 20%" xfId="6"/>
    <cellStyle name="Accent2 - 40%" xfId="7"/>
    <cellStyle name="Accent2 - 60%" xfId="8"/>
    <cellStyle name="Accent3" xfId="116"/>
    <cellStyle name="Accent3 - 20%" xfId="9"/>
    <cellStyle name="Accent3 - 40%" xfId="10"/>
    <cellStyle name="Accent3 - 60%" xfId="11"/>
    <cellStyle name="Accent4" xfId="117"/>
    <cellStyle name="Accent4 - 20%" xfId="12"/>
    <cellStyle name="Accent4 - 40%" xfId="13"/>
    <cellStyle name="Accent4 - 60%" xfId="14"/>
    <cellStyle name="Accent5" xfId="118"/>
    <cellStyle name="Accent5 - 20%" xfId="15"/>
    <cellStyle name="Accent5 - 40%" xfId="16"/>
    <cellStyle name="Accent5 - 60%" xfId="17"/>
    <cellStyle name="Accent6" xfId="119"/>
    <cellStyle name="Accent6 - 20%" xfId="18"/>
    <cellStyle name="Accent6 - 40%" xfId="19"/>
    <cellStyle name="Accent6 - 60%" xfId="20"/>
    <cellStyle name="Bad" xfId="120"/>
    <cellStyle name="Blue" xfId="21"/>
    <cellStyle name="Blue 2" xfId="250"/>
    <cellStyle name="Calculation" xfId="121"/>
    <cellStyle name="Check Cell" xfId="122"/>
    <cellStyle name="Choice" xfId="22"/>
    <cellStyle name="Choice 2" xfId="243"/>
    <cellStyle name="Closed" xfId="23"/>
    <cellStyle name="Comma 2" xfId="44"/>
    <cellStyle name="Comma 2 2" xfId="48"/>
    <cellStyle name="Comma 3" xfId="46"/>
    <cellStyle name="Comma 3 2" xfId="144"/>
    <cellStyle name="Comma 3 2 2" xfId="204"/>
    <cellStyle name="Comma 3 2 3" xfId="252"/>
    <cellStyle name="Comma 3 3" xfId="175"/>
    <cellStyle name="Comma 3 4" xfId="251"/>
    <cellStyle name="Comma 3 5" xfId="318"/>
    <cellStyle name="Emphasis 1" xfId="24"/>
    <cellStyle name="Emphasis 2" xfId="25"/>
    <cellStyle name="Emphasis 3" xfId="26"/>
    <cellStyle name="Explanatory Text" xfId="123"/>
    <cellStyle name="Good" xfId="124"/>
    <cellStyle name="Green" xfId="27"/>
    <cellStyle name="Green 2" xfId="254"/>
    <cellStyle name="Grey" xfId="28"/>
    <cellStyle name="Grey 2" xfId="255"/>
    <cellStyle name="Heading 1" xfId="125"/>
    <cellStyle name="Heading 2" xfId="126"/>
    <cellStyle name="Heading 3" xfId="127"/>
    <cellStyle name="Heading 4" xfId="128"/>
    <cellStyle name="Hyperlink 2" xfId="29"/>
    <cellStyle name="Hyperlink 3" xfId="77"/>
    <cellStyle name="Hyperlink 3 2" xfId="257"/>
    <cellStyle name="Input" xfId="129"/>
    <cellStyle name="Koloni" xfId="30"/>
    <cellStyle name="Koloni 2" xfId="258"/>
    <cellStyle name="Linked Cell" xfId="130"/>
    <cellStyle name="Neutral" xfId="131"/>
    <cellStyle name="Normal 10" xfId="92"/>
    <cellStyle name="Normal 10 2" xfId="169"/>
    <cellStyle name="Normal 10 2 2" xfId="229"/>
    <cellStyle name="Normal 10 2 3" xfId="240"/>
    <cellStyle name="Normal 10 3" xfId="198"/>
    <cellStyle name="Normal 10 4" xfId="259"/>
    <cellStyle name="Normal 10 5" xfId="341"/>
    <cellStyle name="Normal 2" xfId="31"/>
    <cellStyle name="Normal 2 2" xfId="78"/>
    <cellStyle name="Normal 2 2 2" xfId="87"/>
    <cellStyle name="Normal 2 3" xfId="82"/>
    <cellStyle name="Normal 2_Copy of model_direct_vik4" xfId="132"/>
    <cellStyle name="Normal 3" xfId="32"/>
    <cellStyle name="Normal 4" xfId="45"/>
    <cellStyle name="Normal 4 2" xfId="56"/>
    <cellStyle name="Normal 4 2 2" xfId="261"/>
    <cellStyle name="Normal 4 3" xfId="260"/>
    <cellStyle name="Normal 4_2. Променливи" xfId="66"/>
    <cellStyle name="Normal 5" xfId="49"/>
    <cellStyle name="Normal 5 2" xfId="83"/>
    <cellStyle name="Normal 5 2 2" xfId="246"/>
    <cellStyle name="Normal 5 3" xfId="262"/>
    <cellStyle name="Normal 6" xfId="52"/>
    <cellStyle name="Normal 6 10" xfId="319"/>
    <cellStyle name="Normal 6 2" xfId="54"/>
    <cellStyle name="Normal 6 2 2" xfId="58"/>
    <cellStyle name="Normal 6 2 2 2" xfId="74"/>
    <cellStyle name="Normal 6 2 2 2 2" xfId="156"/>
    <cellStyle name="Normal 6 2 2 2 2 2" xfId="216"/>
    <cellStyle name="Normal 6 2 2 2 2 3" xfId="267"/>
    <cellStyle name="Normal 6 2 2 2 3" xfId="185"/>
    <cellStyle name="Normal 6 2 2 2 4" xfId="266"/>
    <cellStyle name="Normal 6 2 2 2 5" xfId="328"/>
    <cellStyle name="Normal 6 2 2 3" xfId="149"/>
    <cellStyle name="Normal 6 2 2 3 2" xfId="209"/>
    <cellStyle name="Normal 6 2 2 3 3" xfId="269"/>
    <cellStyle name="Normal 6 2 2 4" xfId="179"/>
    <cellStyle name="Normal 6 2 2 5" xfId="265"/>
    <cellStyle name="Normal 6 2 2 6" xfId="322"/>
    <cellStyle name="Normal 6 2 3" xfId="65"/>
    <cellStyle name="Normal 6 2 3 2" xfId="76"/>
    <cellStyle name="Normal 6 2 3 2 2" xfId="158"/>
    <cellStyle name="Normal 6 2 3 2 2 2" xfId="218"/>
    <cellStyle name="Normal 6 2 3 2 2 3" xfId="271"/>
    <cellStyle name="Normal 6 2 3 2 3" xfId="187"/>
    <cellStyle name="Normal 6 2 3 2 4" xfId="270"/>
    <cellStyle name="Normal 6 2 3 2 5" xfId="330"/>
    <cellStyle name="Normal 6 2 3 3" xfId="152"/>
    <cellStyle name="Normal 6 2 3 3 2" xfId="212"/>
    <cellStyle name="Normal 6 2 3 3 3" xfId="272"/>
    <cellStyle name="Normal 6 2 3 4" xfId="181"/>
    <cellStyle name="Normal 6 2 3 5" xfId="248"/>
    <cellStyle name="Normal 6 2 3 6" xfId="324"/>
    <cellStyle name="Normal 6 2 4" xfId="72"/>
    <cellStyle name="Normal 6 2 4 2" xfId="154"/>
    <cellStyle name="Normal 6 2 4 2 2" xfId="214"/>
    <cellStyle name="Normal 6 2 4 2 3" xfId="274"/>
    <cellStyle name="Normal 6 2 4 3" xfId="183"/>
    <cellStyle name="Normal 6 2 4 4" xfId="273"/>
    <cellStyle name="Normal 6 2 4 5" xfId="326"/>
    <cellStyle name="Normal 6 2 5" xfId="81"/>
    <cellStyle name="Normal 6 2 5 2" xfId="91"/>
    <cellStyle name="Normal 6 2 5 2 2" xfId="168"/>
    <cellStyle name="Normal 6 2 5 2 2 2" xfId="228"/>
    <cellStyle name="Normal 6 2 5 2 2 3" xfId="277"/>
    <cellStyle name="Normal 6 2 5 2 3" xfId="197"/>
    <cellStyle name="Normal 6 2 5 2 4" xfId="276"/>
    <cellStyle name="Normal 6 2 5 2 5" xfId="340"/>
    <cellStyle name="Normal 6 2 5 3" xfId="161"/>
    <cellStyle name="Normal 6 2 5 3 2" xfId="221"/>
    <cellStyle name="Normal 6 2 5 3 3" xfId="278"/>
    <cellStyle name="Normal 6 2 5 4" xfId="190"/>
    <cellStyle name="Normal 6 2 5 5" xfId="275"/>
    <cellStyle name="Normal 6 2 5 6" xfId="333"/>
    <cellStyle name="Normal 6 2 6" xfId="146"/>
    <cellStyle name="Normal 6 2 6 2" xfId="206"/>
    <cellStyle name="Normal 6 2 6 3" xfId="279"/>
    <cellStyle name="Normal 6 2 7" xfId="177"/>
    <cellStyle name="Normal 6 2 8" xfId="264"/>
    <cellStyle name="Normal 6 2 9" xfId="320"/>
    <cellStyle name="Normal 6 2_2. Променливи" xfId="68"/>
    <cellStyle name="Normal 6 3" xfId="57"/>
    <cellStyle name="Normal 6 3 2" xfId="73"/>
    <cellStyle name="Normal 6 3 2 2" xfId="155"/>
    <cellStyle name="Normal 6 3 2 2 2" xfId="215"/>
    <cellStyle name="Normal 6 3 2 2 3" xfId="280"/>
    <cellStyle name="Normal 6 3 2 3" xfId="184"/>
    <cellStyle name="Normal 6 3 2 4" xfId="244"/>
    <cellStyle name="Normal 6 3 2 5" xfId="327"/>
    <cellStyle name="Normal 6 3 3" xfId="90"/>
    <cellStyle name="Normal 6 3 3 2" xfId="167"/>
    <cellStyle name="Normal 6 3 3 2 2" xfId="227"/>
    <cellStyle name="Normal 6 3 3 2 3" xfId="242"/>
    <cellStyle name="Normal 6 3 3 3" xfId="196"/>
    <cellStyle name="Normal 6 3 3 4" xfId="241"/>
    <cellStyle name="Normal 6 3 3 5" xfId="339"/>
    <cellStyle name="Normal 6 3 4" xfId="143"/>
    <cellStyle name="Normal 6 3 4 2" xfId="174"/>
    <cellStyle name="Normal 6 3 4 2 2" xfId="234"/>
    <cellStyle name="Normal 6 3 4 2 3" xfId="281"/>
    <cellStyle name="Normal 6 3 4 3" xfId="203"/>
    <cellStyle name="Normal 6 3 4 4" xfId="238"/>
    <cellStyle name="Normal 6 3 5" xfId="148"/>
    <cellStyle name="Normal 6 3 5 2" xfId="208"/>
    <cellStyle name="Normal 6 3 5 3" xfId="245"/>
    <cellStyle name="Normal 6 3 6" xfId="178"/>
    <cellStyle name="Normal 6 3 7" xfId="239"/>
    <cellStyle name="Normal 6 3 8" xfId="321"/>
    <cellStyle name="Normal 6 4" xfId="64"/>
    <cellStyle name="Normal 6 4 2" xfId="75"/>
    <cellStyle name="Normal 6 4 2 2" xfId="157"/>
    <cellStyle name="Normal 6 4 2 2 2" xfId="217"/>
    <cellStyle name="Normal 6 4 2 2 3" xfId="284"/>
    <cellStyle name="Normal 6 4 2 3" xfId="186"/>
    <cellStyle name="Normal 6 4 2 4" xfId="283"/>
    <cellStyle name="Normal 6 4 2 5" xfId="329"/>
    <cellStyle name="Normal 6 4 3" xfId="151"/>
    <cellStyle name="Normal 6 4 3 2" xfId="211"/>
    <cellStyle name="Normal 6 4 3 3" xfId="249"/>
    <cellStyle name="Normal 6 4 4" xfId="180"/>
    <cellStyle name="Normal 6 4 5" xfId="282"/>
    <cellStyle name="Normal 6 4 6" xfId="323"/>
    <cellStyle name="Normal 6 5" xfId="71"/>
    <cellStyle name="Normal 6 5 2" xfId="153"/>
    <cellStyle name="Normal 6 5 2 2" xfId="213"/>
    <cellStyle name="Normal 6 5 2 3" xfId="287"/>
    <cellStyle name="Normal 6 5 3" xfId="182"/>
    <cellStyle name="Normal 6 5 4" xfId="285"/>
    <cellStyle name="Normal 6 5 5" xfId="325"/>
    <cellStyle name="Normal 6 6" xfId="80"/>
    <cellStyle name="Normal 6 6 2" xfId="160"/>
    <cellStyle name="Normal 6 6 2 2" xfId="220"/>
    <cellStyle name="Normal 6 6 2 3" xfId="289"/>
    <cellStyle name="Normal 6 6 3" xfId="189"/>
    <cellStyle name="Normal 6 6 4" xfId="288"/>
    <cellStyle name="Normal 6 6 5" xfId="332"/>
    <cellStyle name="Normal 6 7" xfId="145"/>
    <cellStyle name="Normal 6 7 2" xfId="205"/>
    <cellStyle name="Normal 6 7 3" xfId="290"/>
    <cellStyle name="Normal 6 8" xfId="176"/>
    <cellStyle name="Normal 6 9" xfId="263"/>
    <cellStyle name="Normal 6_2. Променливи" xfId="67"/>
    <cellStyle name="Normal 7" xfId="53"/>
    <cellStyle name="Normal 7 2" xfId="84"/>
    <cellStyle name="Normal 7 2 2" xfId="162"/>
    <cellStyle name="Normal 7 2 2 2" xfId="222"/>
    <cellStyle name="Normal 7 2 2 3" xfId="256"/>
    <cellStyle name="Normal 7 2 3" xfId="191"/>
    <cellStyle name="Normal 7 2 4" xfId="236"/>
    <cellStyle name="Normal 7 2 5" xfId="334"/>
    <cellStyle name="Normal 7 3" xfId="291"/>
    <cellStyle name="Normal 8" xfId="79"/>
    <cellStyle name="Normal 8 2" xfId="88"/>
    <cellStyle name="Normal 8 2 2" xfId="141"/>
    <cellStyle name="Normal 8 2 2 2" xfId="172"/>
    <cellStyle name="Normal 8 2 2 2 2" xfId="232"/>
    <cellStyle name="Normal 8 2 2 2 3" xfId="295"/>
    <cellStyle name="Normal 8 2 2 3" xfId="201"/>
    <cellStyle name="Normal 8 2 2 4" xfId="294"/>
    <cellStyle name="Normal 8 2 3" xfId="165"/>
    <cellStyle name="Normal 8 2 3 2" xfId="225"/>
    <cellStyle name="Normal 8 2 3 3" xfId="296"/>
    <cellStyle name="Normal 8 2 4" xfId="194"/>
    <cellStyle name="Normal 8 2 5" xfId="293"/>
    <cellStyle name="Normal 8 2 6" xfId="337"/>
    <cellStyle name="Normal 8 3" xfId="94"/>
    <cellStyle name="Normal 8 3 2" xfId="171"/>
    <cellStyle name="Normal 8 3 2 2" xfId="231"/>
    <cellStyle name="Normal 8 3 2 3" xfId="268"/>
    <cellStyle name="Normal 8 3 3" xfId="200"/>
    <cellStyle name="Normal 8 3 4" xfId="297"/>
    <cellStyle name="Normal 8 4" xfId="159"/>
    <cellStyle name="Normal 8 4 2" xfId="219"/>
    <cellStyle name="Normal 8 4 3" xfId="298"/>
    <cellStyle name="Normal 8 5" xfId="188"/>
    <cellStyle name="Normal 8 6" xfId="292"/>
    <cellStyle name="Normal 8 7" xfId="331"/>
    <cellStyle name="Normal 9" xfId="85"/>
    <cellStyle name="Normal 9 2" xfId="163"/>
    <cellStyle name="Normal 9 2 2" xfId="223"/>
    <cellStyle name="Normal 9 2 3" xfId="247"/>
    <cellStyle name="Normal 9 3" xfId="192"/>
    <cellStyle name="Normal 9 4" xfId="299"/>
    <cellStyle name="Normal 9 5" xfId="335"/>
    <cellStyle name="Normal_Lov_Forms_DKER" xfId="42"/>
    <cellStyle name="Normal_Model_2005_Sofia_DKER_3" xfId="40"/>
    <cellStyle name="Normal_Pazardjik_2_bo_groups" xfId="43"/>
    <cellStyle name="Normal_Sheet1_1" xfId="47"/>
    <cellStyle name="Note" xfId="133"/>
    <cellStyle name="Output" xfId="134"/>
    <cellStyle name="Percent 2" xfId="33"/>
    <cellStyle name="Percent 3" xfId="34"/>
    <cellStyle name="Percent 4" xfId="35"/>
    <cellStyle name="Percent 5" xfId="41"/>
    <cellStyle name="Percent 5 2" xfId="59"/>
    <cellStyle name="Percent 6" xfId="50"/>
    <cellStyle name="Percent 6 2" xfId="60"/>
    <cellStyle name="Percent 6 2 2" xfId="301"/>
    <cellStyle name="Percent 6 3" xfId="70"/>
    <cellStyle name="Percent 6 3 2" xfId="286"/>
    <cellStyle name="Percent 6 4" xfId="300"/>
    <cellStyle name="Percent 7" xfId="51"/>
    <cellStyle name="Percent 7 2" xfId="61"/>
    <cellStyle name="Percent 7 2 2" xfId="302"/>
    <cellStyle name="Percent 7 3" xfId="253"/>
    <cellStyle name="Percent 8" xfId="86"/>
    <cellStyle name="Percent 8 2" xfId="89"/>
    <cellStyle name="Percent 8 2 2" xfId="166"/>
    <cellStyle name="Percent 8 2 2 2" xfId="226"/>
    <cellStyle name="Percent 8 2 2 3" xfId="305"/>
    <cellStyle name="Percent 8 2 3" xfId="195"/>
    <cellStyle name="Percent 8 2 4" xfId="304"/>
    <cellStyle name="Percent 8 2 5" xfId="338"/>
    <cellStyle name="Percent 8 3" xfId="164"/>
    <cellStyle name="Percent 8 3 2" xfId="224"/>
    <cellStyle name="Percent 8 3 3" xfId="306"/>
    <cellStyle name="Percent 8 4" xfId="193"/>
    <cellStyle name="Percent 8 5" xfId="303"/>
    <cellStyle name="Percent 8 6" xfId="336"/>
    <cellStyle name="Sheet Title" xfId="36"/>
    <cellStyle name="Sheet Title 2" xfId="307"/>
    <cellStyle name="Title" xfId="135"/>
    <cellStyle name="Total" xfId="136"/>
    <cellStyle name="Warning Text" xfId="137"/>
    <cellStyle name="White" xfId="37"/>
    <cellStyle name="Zaglavie" xfId="38"/>
    <cellStyle name="Zaglavie 2" xfId="308"/>
    <cellStyle name="Запетая" xfId="55" builtinId="3"/>
    <cellStyle name="Запетая 2" xfId="62"/>
    <cellStyle name="Запетая 2 2" xfId="150"/>
    <cellStyle name="Запетая 2 2 2" xfId="210"/>
    <cellStyle name="Запетая 2 2 3" xfId="309"/>
    <cellStyle name="Запетая 3" xfId="147"/>
    <cellStyle name="Запетая 3 2" xfId="207"/>
    <cellStyle name="Запетая 3 3" xfId="310"/>
    <cellStyle name="Нормален" xfId="0" builtinId="0"/>
    <cellStyle name="Нормален 2" xfId="95"/>
    <cellStyle name="Нормален 2 2" xfId="139"/>
    <cellStyle name="Нормален 3" xfId="39"/>
    <cellStyle name="Нормален 3 2" xfId="138"/>
    <cellStyle name="Нормален 4" xfId="140"/>
    <cellStyle name="Нормален 4 2" xfId="311"/>
    <cellStyle name="Нормален 5" xfId="93"/>
    <cellStyle name="Нормален 5 2" xfId="170"/>
    <cellStyle name="Нормален 5 2 2" xfId="230"/>
    <cellStyle name="Нормален 5 2 3" xfId="313"/>
    <cellStyle name="Нормален 5 3" xfId="199"/>
    <cellStyle name="Нормален 5 4" xfId="312"/>
    <cellStyle name="Процент" xfId="1" builtinId="5"/>
    <cellStyle name="Процент 2" xfId="63"/>
    <cellStyle name="Процент 2 2" xfId="314"/>
    <cellStyle name="Процент 3" xfId="69"/>
    <cellStyle name="Процент 3 2" xfId="315"/>
    <cellStyle name="Процент 4" xfId="142"/>
    <cellStyle name="Процент 4 2" xfId="173"/>
    <cellStyle name="Процент 4 2 2" xfId="233"/>
    <cellStyle name="Процент 4 2 3" xfId="317"/>
    <cellStyle name="Процент 4 3" xfId="202"/>
    <cellStyle name="Процент 4 4" xfId="316"/>
    <cellStyle name="Процент 5" xfId="235"/>
    <cellStyle name="Хипервръзка" xfId="2" builtinId="8"/>
    <cellStyle name="Хипервръзка 2" xfId="237"/>
  </cellStyles>
  <dxfs count="3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fgColor auto="1"/>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008000"/>
      <color rgb="FFFF7C80"/>
      <color rgb="FFBCF6C6"/>
      <color rgb="FFCCFFCC"/>
      <color rgb="FFFFCC99"/>
      <color rgb="FFCCFFFF"/>
      <color rgb="FFEAEAEA"/>
      <color rgb="FFFF33CC"/>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3</xdr:col>
      <xdr:colOff>1085850</xdr:colOff>
      <xdr:row>17</xdr:row>
      <xdr:rowOff>0</xdr:rowOff>
    </xdr:from>
    <xdr:to>
      <xdr:col>4</xdr:col>
      <xdr:colOff>0</xdr:colOff>
      <xdr:row>17</xdr:row>
      <xdr:rowOff>0</xdr:rowOff>
    </xdr:to>
    <xdr:sp macro="" textlink="">
      <xdr:nvSpPr>
        <xdr:cNvPr id="2" name="Line 253"/>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3" name="Line 254"/>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4" name="Line 255"/>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5" name="Line 256"/>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0" name="Line 253"/>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1" name="Line 254"/>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2" name="Line 255"/>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3" name="Line 256"/>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2" name="Line 253"/>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3" name="Line 254"/>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4" name="Line 255"/>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5" name="Line 256"/>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1085850</xdr:colOff>
      <xdr:row>14</xdr:row>
      <xdr:rowOff>0</xdr:rowOff>
    </xdr:from>
    <xdr:to>
      <xdr:col>4</xdr:col>
      <xdr:colOff>0</xdr:colOff>
      <xdr:row>14</xdr:row>
      <xdr:rowOff>0</xdr:rowOff>
    </xdr:to>
    <xdr:sp macro="" textlink="">
      <xdr:nvSpPr>
        <xdr:cNvPr id="2" name="Line 253"/>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3" name="Line 254"/>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4" name="Line 255"/>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5" name="Line 256"/>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6" name="Line 253"/>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7" name="Line 254"/>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8" name="Line 255"/>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9" name="Line 256"/>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0" name="Line 253"/>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1" name="Line 254"/>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2" name="Line 255"/>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3" name="Line 256"/>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1085850</xdr:colOff>
      <xdr:row>18</xdr:row>
      <xdr:rowOff>0</xdr:rowOff>
    </xdr:from>
    <xdr:to>
      <xdr:col>4</xdr:col>
      <xdr:colOff>0</xdr:colOff>
      <xdr:row>18</xdr:row>
      <xdr:rowOff>0</xdr:rowOff>
    </xdr:to>
    <xdr:sp macro="" textlink="">
      <xdr:nvSpPr>
        <xdr:cNvPr id="2" name="Line 253"/>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3" name="Line 254"/>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4" name="Line 255"/>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5" name="Line 256"/>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48</xdr:row>
      <xdr:rowOff>9525</xdr:rowOff>
    </xdr:from>
    <xdr:to>
      <xdr:col>2</xdr:col>
      <xdr:colOff>0</xdr:colOff>
      <xdr:row>50</xdr:row>
      <xdr:rowOff>228600</xdr:rowOff>
    </xdr:to>
    <xdr:sp macro="" textlink="">
      <xdr:nvSpPr>
        <xdr:cNvPr id="4" name="Line 32"/>
        <xdr:cNvSpPr>
          <a:spLocks noChangeShapeType="1"/>
        </xdr:cNvSpPr>
      </xdr:nvSpPr>
      <xdr:spPr bwMode="auto">
        <a:xfrm>
          <a:off x="4067175" y="178117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48</xdr:row>
      <xdr:rowOff>0</xdr:rowOff>
    </xdr:from>
    <xdr:to>
      <xdr:col>2</xdr:col>
      <xdr:colOff>0</xdr:colOff>
      <xdr:row>51</xdr:row>
      <xdr:rowOff>0</xdr:rowOff>
    </xdr:to>
    <xdr:sp macro="" textlink="">
      <xdr:nvSpPr>
        <xdr:cNvPr id="5" name="Line 33"/>
        <xdr:cNvSpPr>
          <a:spLocks noChangeShapeType="1"/>
        </xdr:cNvSpPr>
      </xdr:nvSpPr>
      <xdr:spPr bwMode="auto">
        <a:xfrm flipV="1">
          <a:off x="4067175" y="1771650"/>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25</xdr:row>
      <xdr:rowOff>0</xdr:rowOff>
    </xdr:from>
    <xdr:to>
      <xdr:col>3</xdr:col>
      <xdr:colOff>942975</xdr:colOff>
      <xdr:row>25</xdr:row>
      <xdr:rowOff>0</xdr:rowOff>
    </xdr:to>
    <xdr:sp macro="" textlink="">
      <xdr:nvSpPr>
        <xdr:cNvPr id="8" name="Line 8"/>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4</xdr:col>
      <xdr:colOff>0</xdr:colOff>
      <xdr:row>25</xdr:row>
      <xdr:rowOff>0</xdr:rowOff>
    </xdr:to>
    <xdr:sp macro="" textlink="">
      <xdr:nvSpPr>
        <xdr:cNvPr id="9" name="Line 10"/>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25</xdr:row>
      <xdr:rowOff>0</xdr:rowOff>
    </xdr:from>
    <xdr:to>
      <xdr:col>4</xdr:col>
      <xdr:colOff>942975</xdr:colOff>
      <xdr:row>25</xdr:row>
      <xdr:rowOff>0</xdr:rowOff>
    </xdr:to>
    <xdr:sp macro="" textlink="">
      <xdr:nvSpPr>
        <xdr:cNvPr id="10" name="Line 8"/>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5</xdr:col>
      <xdr:colOff>0</xdr:colOff>
      <xdr:row>25</xdr:row>
      <xdr:rowOff>0</xdr:rowOff>
    </xdr:to>
    <xdr:sp macro="" textlink="">
      <xdr:nvSpPr>
        <xdr:cNvPr id="11" name="Line 10"/>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25</xdr:row>
      <xdr:rowOff>0</xdr:rowOff>
    </xdr:from>
    <xdr:to>
      <xdr:col>5</xdr:col>
      <xdr:colOff>942975</xdr:colOff>
      <xdr:row>25</xdr:row>
      <xdr:rowOff>0</xdr:rowOff>
    </xdr:to>
    <xdr:sp macro="" textlink="">
      <xdr:nvSpPr>
        <xdr:cNvPr id="12" name="Line 8"/>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25</xdr:row>
      <xdr:rowOff>0</xdr:rowOff>
    </xdr:from>
    <xdr:to>
      <xdr:col>6</xdr:col>
      <xdr:colOff>0</xdr:colOff>
      <xdr:row>25</xdr:row>
      <xdr:rowOff>0</xdr:rowOff>
    </xdr:to>
    <xdr:sp macro="" textlink="">
      <xdr:nvSpPr>
        <xdr:cNvPr id="13" name="Line 10"/>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25</xdr:row>
      <xdr:rowOff>0</xdr:rowOff>
    </xdr:from>
    <xdr:to>
      <xdr:col>6</xdr:col>
      <xdr:colOff>942975</xdr:colOff>
      <xdr:row>25</xdr:row>
      <xdr:rowOff>0</xdr:rowOff>
    </xdr:to>
    <xdr:sp macro="" textlink="">
      <xdr:nvSpPr>
        <xdr:cNvPr id="14" name="Line 8"/>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25</xdr:row>
      <xdr:rowOff>0</xdr:rowOff>
    </xdr:from>
    <xdr:to>
      <xdr:col>7</xdr:col>
      <xdr:colOff>0</xdr:colOff>
      <xdr:row>25</xdr:row>
      <xdr:rowOff>0</xdr:rowOff>
    </xdr:to>
    <xdr:sp macro="" textlink="">
      <xdr:nvSpPr>
        <xdr:cNvPr id="15" name="Line 10"/>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9525</xdr:colOff>
      <xdr:row>25</xdr:row>
      <xdr:rowOff>0</xdr:rowOff>
    </xdr:from>
    <xdr:to>
      <xdr:col>7</xdr:col>
      <xdr:colOff>942975</xdr:colOff>
      <xdr:row>25</xdr:row>
      <xdr:rowOff>0</xdr:rowOff>
    </xdr:to>
    <xdr:sp macro="" textlink="">
      <xdr:nvSpPr>
        <xdr:cNvPr id="16" name="Line 8"/>
        <xdr:cNvSpPr>
          <a:spLocks noChangeShapeType="1"/>
        </xdr:cNvSpPr>
      </xdr:nvSpPr>
      <xdr:spPr bwMode="auto">
        <a:xfrm>
          <a:off x="159416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25</xdr:row>
      <xdr:rowOff>0</xdr:rowOff>
    </xdr:from>
    <xdr:to>
      <xdr:col>8</xdr:col>
      <xdr:colOff>0</xdr:colOff>
      <xdr:row>25</xdr:row>
      <xdr:rowOff>0</xdr:rowOff>
    </xdr:to>
    <xdr:sp macro="" textlink="">
      <xdr:nvSpPr>
        <xdr:cNvPr id="17" name="Line 10"/>
        <xdr:cNvSpPr>
          <a:spLocks noChangeShapeType="1"/>
        </xdr:cNvSpPr>
      </xdr:nvSpPr>
      <xdr:spPr bwMode="auto">
        <a:xfrm flipV="1">
          <a:off x="159321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Kostadin%20Kolarov_2\My%20Documents\Mobile\New%20Business%20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dk-kpeev\Desktop\UKAZANIQ\BP\Model_BP_Prilojeni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sheetData sheetId="16" refreshError="1">
        <row r="40">
          <cell r="E40">
            <v>151605.31</v>
          </cell>
        </row>
        <row r="43">
          <cell r="M43" t="str">
            <v>Всичко начислени амортизации</v>
          </cell>
          <cell r="N43">
            <v>0</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тикет"/>
      <sheetName val=" 2.  Експлоатационни данни"/>
      <sheetName val="5. Целеви нива"/>
      <sheetName val="2. Производствена програма"/>
      <sheetName val="3. Ремонтна програма"/>
      <sheetName val="4. Намаляване на загубите"/>
      <sheetName val="5. Подобряване на ефективността"/>
      <sheetName val="6. Инвестиции"/>
      <sheetName val="6.1. Инв.пр- доставяне"/>
      <sheetName val="6.2. Инв.пр.-отвеждане"/>
      <sheetName val="6.3.Инв.пр.-пречистване"/>
      <sheetName val="7. Активи"/>
      <sheetName val="7.1. Предст. въвеж. активи"/>
      <sheetName val="8. Амортизационен план "/>
      <sheetName val="9. Ниво на протребление"/>
      <sheetName val="10. Разходи"/>
      <sheetName val="11.Цени и приходи  "/>
      <sheetName val="12.Соц. поносимост"/>
      <sheetName val="13. Персонала"/>
      <sheetName val="13.1.Квалиф. структура"/>
      <sheetName val="14.Соц. програма "/>
      <sheetName val="Sheet4"/>
      <sheetName val="6_ 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Тема на Office">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2:E90"/>
  <sheetViews>
    <sheetView showGridLines="0" view="pageBreakPreview" topLeftCell="A34" zoomScale="78" zoomScaleNormal="70" zoomScaleSheetLayoutView="78" zoomScalePageLayoutView="80" workbookViewId="0">
      <selection activeCell="C38" sqref="C38:D38"/>
    </sheetView>
  </sheetViews>
  <sheetFormatPr defaultColWidth="9.140625" defaultRowHeight="15.75"/>
  <cols>
    <col min="1" max="1" width="6.7109375" style="1740" customWidth="1"/>
    <col min="2" max="2" width="37.28515625" style="1740" customWidth="1"/>
    <col min="3" max="3" width="49.5703125" style="1740" customWidth="1"/>
    <col min="4" max="4" width="63.140625" style="1740" customWidth="1"/>
    <col min="5" max="5" width="15.28515625" style="1740" customWidth="1"/>
    <col min="6" max="6" width="19" style="1740" customWidth="1"/>
    <col min="7" max="7" width="21.140625" style="1740" bestFit="1" customWidth="1"/>
    <col min="8" max="8" width="15" style="1740" customWidth="1"/>
    <col min="9" max="16384" width="9.140625" style="1740"/>
  </cols>
  <sheetData>
    <row r="2" spans="1:5" ht="18.75">
      <c r="A2" s="5029" t="s">
        <v>88</v>
      </c>
      <c r="B2" s="5029"/>
      <c r="C2" s="5029"/>
      <c r="D2" s="5029"/>
      <c r="E2" s="4442"/>
    </row>
    <row r="3" spans="1:5" ht="21.75" customHeight="1">
      <c r="A3" s="5030" t="str">
        <f>"на "&amp;C8&amp;", гр. "&amp;C9</f>
        <v>на "Водоснабдяване и канализаиця"ООД, гр. Перник</v>
      </c>
      <c r="B3" s="5030"/>
      <c r="C3" s="5030"/>
      <c r="D3" s="5030"/>
      <c r="E3" s="4443"/>
    </row>
    <row r="4" spans="1:5" ht="20.25" customHeight="1">
      <c r="A4" s="5030" t="str">
        <f>"ЕИК по БУЛСТАТ: " &amp;C10</f>
        <v>ЕИК по БУЛСТАТ: 823073638</v>
      </c>
      <c r="B4" s="5030"/>
      <c r="C4" s="5030"/>
      <c r="D4" s="5030"/>
      <c r="E4" s="4443"/>
    </row>
    <row r="5" spans="1:5" ht="16.5" thickBot="1"/>
    <row r="6" spans="1:5">
      <c r="A6" s="5031" t="s">
        <v>1</v>
      </c>
      <c r="B6" s="5033" t="s">
        <v>89</v>
      </c>
      <c r="C6" s="5034"/>
      <c r="D6" s="5035"/>
    </row>
    <row r="7" spans="1:5" ht="16.5" thickBot="1">
      <c r="A7" s="5032"/>
      <c r="B7" s="1741" t="s">
        <v>90</v>
      </c>
      <c r="C7" s="5036" t="s">
        <v>91</v>
      </c>
      <c r="D7" s="5037"/>
    </row>
    <row r="8" spans="1:5">
      <c r="A8" s="1742">
        <v>1</v>
      </c>
      <c r="B8" s="1743" t="s">
        <v>92</v>
      </c>
      <c r="C8" s="5038" t="s">
        <v>1959</v>
      </c>
      <c r="D8" s="5039"/>
    </row>
    <row r="9" spans="1:5">
      <c r="A9" s="1744" t="s">
        <v>93</v>
      </c>
      <c r="B9" s="1745" t="s">
        <v>95</v>
      </c>
      <c r="C9" s="5027" t="s">
        <v>1960</v>
      </c>
      <c r="D9" s="5028"/>
    </row>
    <row r="10" spans="1:5">
      <c r="A10" s="1744" t="s">
        <v>94</v>
      </c>
      <c r="B10" s="1745" t="s">
        <v>97</v>
      </c>
      <c r="C10" s="5027" t="s">
        <v>1961</v>
      </c>
      <c r="D10" s="5028"/>
    </row>
    <row r="11" spans="1:5" ht="16.5" thickBot="1">
      <c r="A11" s="1746" t="s">
        <v>98</v>
      </c>
      <c r="B11" s="1747" t="s">
        <v>1307</v>
      </c>
      <c r="C11" s="5010"/>
      <c r="D11" s="5011"/>
    </row>
    <row r="12" spans="1:5" ht="16.5" thickBot="1">
      <c r="A12" s="4408" t="s">
        <v>99</v>
      </c>
      <c r="B12" s="842" t="s">
        <v>1842</v>
      </c>
      <c r="C12" s="5012" t="s">
        <v>119</v>
      </c>
      <c r="D12" s="5013"/>
    </row>
    <row r="13" spans="1:5">
      <c r="A13" s="5020" t="s">
        <v>100</v>
      </c>
      <c r="B13" s="5022" t="s">
        <v>101</v>
      </c>
      <c r="C13" s="5025" t="s">
        <v>729</v>
      </c>
      <c r="D13" s="5026"/>
    </row>
    <row r="14" spans="1:5">
      <c r="A14" s="5003"/>
      <c r="B14" s="5023"/>
      <c r="C14" s="5014" t="s">
        <v>1072</v>
      </c>
      <c r="D14" s="5015"/>
    </row>
    <row r="15" spans="1:5">
      <c r="A15" s="5003"/>
      <c r="B15" s="5023"/>
      <c r="C15" s="5014" t="s">
        <v>1073</v>
      </c>
      <c r="D15" s="5015"/>
    </row>
    <row r="16" spans="1:5">
      <c r="A16" s="5003"/>
      <c r="B16" s="5023"/>
      <c r="C16" s="5014" t="s">
        <v>1074</v>
      </c>
      <c r="D16" s="5015"/>
    </row>
    <row r="17" spans="1:4">
      <c r="A17" s="5003"/>
      <c r="B17" s="5023"/>
      <c r="C17" s="5014" t="s">
        <v>1075</v>
      </c>
      <c r="D17" s="5015"/>
    </row>
    <row r="18" spans="1:4" ht="16.5" thickBot="1">
      <c r="A18" s="5021"/>
      <c r="B18" s="5024"/>
      <c r="C18" s="5016" t="s">
        <v>1076</v>
      </c>
      <c r="D18" s="5017"/>
    </row>
    <row r="19" spans="1:4" ht="16.5" thickBot="1">
      <c r="A19" s="1742" t="s">
        <v>102</v>
      </c>
      <c r="B19" s="1748" t="s">
        <v>696</v>
      </c>
      <c r="C19" s="5018" t="s">
        <v>1962</v>
      </c>
      <c r="D19" s="5019"/>
    </row>
    <row r="20" spans="1:4" s="1775" customFormat="1" ht="16.5" thickBot="1">
      <c r="A20" s="1749" t="s">
        <v>103</v>
      </c>
      <c r="B20" s="1750" t="s">
        <v>1308</v>
      </c>
      <c r="C20" s="1751"/>
      <c r="D20" s="1752"/>
    </row>
    <row r="21" spans="1:4" s="1775" customFormat="1">
      <c r="A21" s="27" t="s">
        <v>104</v>
      </c>
      <c r="B21" s="821" t="s">
        <v>161</v>
      </c>
      <c r="C21" s="5008" t="s">
        <v>1963</v>
      </c>
      <c r="D21" s="5009"/>
    </row>
    <row r="22" spans="1:4" s="1775" customFormat="1">
      <c r="A22" s="28" t="s">
        <v>105</v>
      </c>
      <c r="B22" s="822" t="s">
        <v>162</v>
      </c>
      <c r="C22" s="382"/>
      <c r="D22" s="383"/>
    </row>
    <row r="23" spans="1:4" s="1775" customFormat="1">
      <c r="A23" s="28" t="s">
        <v>1300</v>
      </c>
      <c r="B23" s="1753" t="s">
        <v>698</v>
      </c>
      <c r="C23" s="4990" t="s">
        <v>2028</v>
      </c>
      <c r="D23" s="4991"/>
    </row>
    <row r="24" spans="1:4" s="1775" customFormat="1">
      <c r="A24" s="28"/>
      <c r="B24" s="1754" t="s">
        <v>164</v>
      </c>
      <c r="C24" s="4990" t="s">
        <v>1964</v>
      </c>
      <c r="D24" s="4991"/>
    </row>
    <row r="25" spans="1:4" s="1775" customFormat="1">
      <c r="A25" s="28"/>
      <c r="B25" s="1754" t="s">
        <v>165</v>
      </c>
      <c r="C25" s="4990" t="s">
        <v>1973</v>
      </c>
      <c r="D25" s="4991"/>
    </row>
    <row r="26" spans="1:4" s="1775" customFormat="1">
      <c r="A26" s="28"/>
      <c r="B26" s="1754" t="s">
        <v>166</v>
      </c>
      <c r="C26" s="4990" t="s">
        <v>1965</v>
      </c>
      <c r="D26" s="4991"/>
    </row>
    <row r="27" spans="1:4" s="1775" customFormat="1">
      <c r="A27" s="28"/>
      <c r="B27" s="1754" t="s">
        <v>167</v>
      </c>
      <c r="C27" s="4990" t="s">
        <v>1966</v>
      </c>
      <c r="D27" s="4991"/>
    </row>
    <row r="28" spans="1:4" s="1775" customFormat="1">
      <c r="A28" s="28" t="s">
        <v>1301</v>
      </c>
      <c r="B28" s="1753" t="s">
        <v>699</v>
      </c>
      <c r="C28" s="4990" t="s">
        <v>1968</v>
      </c>
      <c r="D28" s="4991"/>
    </row>
    <row r="29" spans="1:4" s="1775" customFormat="1">
      <c r="A29" s="28"/>
      <c r="B29" s="1754" t="s">
        <v>164</v>
      </c>
      <c r="C29" s="4990" t="s">
        <v>1967</v>
      </c>
      <c r="D29" s="4991"/>
    </row>
    <row r="30" spans="1:4" s="1775" customFormat="1">
      <c r="A30" s="28"/>
      <c r="B30" s="1754" t="s">
        <v>165</v>
      </c>
      <c r="C30" s="4990" t="s">
        <v>1969</v>
      </c>
      <c r="D30" s="4991"/>
    </row>
    <row r="31" spans="1:4" s="1775" customFormat="1">
      <c r="A31" s="28"/>
      <c r="B31" s="1754" t="s">
        <v>166</v>
      </c>
      <c r="C31" s="4990" t="s">
        <v>1965</v>
      </c>
      <c r="D31" s="4991"/>
    </row>
    <row r="32" spans="1:4" s="1775" customFormat="1">
      <c r="A32" s="28"/>
      <c r="B32" s="1754" t="s">
        <v>167</v>
      </c>
      <c r="C32" s="4994" t="s">
        <v>1966</v>
      </c>
      <c r="D32" s="4995"/>
    </row>
    <row r="33" spans="1:4" s="1775" customFormat="1">
      <c r="A33" s="28" t="s">
        <v>1302</v>
      </c>
      <c r="B33" s="1753" t="s">
        <v>700</v>
      </c>
      <c r="C33" s="4990" t="s">
        <v>1970</v>
      </c>
      <c r="D33" s="4991"/>
    </row>
    <row r="34" spans="1:4" s="1775" customFormat="1">
      <c r="A34" s="28"/>
      <c r="B34" s="1754" t="s">
        <v>164</v>
      </c>
      <c r="C34" s="4990" t="s">
        <v>1971</v>
      </c>
      <c r="D34" s="4991"/>
    </row>
    <row r="35" spans="1:4" s="1775" customFormat="1">
      <c r="A35" s="28"/>
      <c r="B35" s="1754" t="s">
        <v>165</v>
      </c>
      <c r="C35" s="4990" t="s">
        <v>1972</v>
      </c>
      <c r="D35" s="4991"/>
    </row>
    <row r="36" spans="1:4" s="1775" customFormat="1">
      <c r="A36" s="28"/>
      <c r="B36" s="1754" t="s">
        <v>166</v>
      </c>
      <c r="C36" s="4990" t="s">
        <v>1965</v>
      </c>
      <c r="D36" s="4991"/>
    </row>
    <row r="37" spans="1:4" s="1775" customFormat="1">
      <c r="A37" s="28"/>
      <c r="B37" s="1754" t="s">
        <v>167</v>
      </c>
      <c r="C37" s="4994" t="s">
        <v>1966</v>
      </c>
      <c r="D37" s="4995"/>
    </row>
    <row r="38" spans="1:4" s="1775" customFormat="1">
      <c r="A38" s="28" t="s">
        <v>1303</v>
      </c>
      <c r="B38" s="1753" t="s">
        <v>1059</v>
      </c>
      <c r="C38" s="4990" t="s">
        <v>2028</v>
      </c>
      <c r="D38" s="4991"/>
    </row>
    <row r="39" spans="1:4" s="1775" customFormat="1">
      <c r="A39" s="28"/>
      <c r="B39" s="1754" t="s">
        <v>164</v>
      </c>
      <c r="C39" s="4990" t="s">
        <v>1964</v>
      </c>
      <c r="D39" s="4991"/>
    </row>
    <row r="40" spans="1:4" s="1775" customFormat="1">
      <c r="A40" s="28"/>
      <c r="B40" s="1754" t="s">
        <v>165</v>
      </c>
      <c r="C40" s="4990" t="s">
        <v>1973</v>
      </c>
      <c r="D40" s="4991"/>
    </row>
    <row r="41" spans="1:4" s="1775" customFormat="1">
      <c r="A41" s="28"/>
      <c r="B41" s="1754" t="s">
        <v>166</v>
      </c>
      <c r="C41" s="4990" t="s">
        <v>1965</v>
      </c>
      <c r="D41" s="4991"/>
    </row>
    <row r="42" spans="1:4" s="1775" customFormat="1">
      <c r="A42" s="28"/>
      <c r="B42" s="1754" t="s">
        <v>167</v>
      </c>
      <c r="C42" s="4994" t="s">
        <v>1966</v>
      </c>
      <c r="D42" s="4995"/>
    </row>
    <row r="43" spans="1:4" s="1775" customFormat="1">
      <c r="A43" s="28" t="s">
        <v>1304</v>
      </c>
      <c r="B43" s="1753" t="s">
        <v>169</v>
      </c>
      <c r="C43" s="4990" t="s">
        <v>1974</v>
      </c>
      <c r="D43" s="4991"/>
    </row>
    <row r="44" spans="1:4" s="1775" customFormat="1">
      <c r="A44" s="28"/>
      <c r="B44" s="1754" t="s">
        <v>164</v>
      </c>
      <c r="C44" s="4990" t="s">
        <v>1971</v>
      </c>
      <c r="D44" s="4991"/>
    </row>
    <row r="45" spans="1:4" s="1775" customFormat="1">
      <c r="A45" s="28"/>
      <c r="B45" s="1754" t="s">
        <v>166</v>
      </c>
      <c r="C45" s="4990" t="s">
        <v>1965</v>
      </c>
      <c r="D45" s="4991"/>
    </row>
    <row r="46" spans="1:4" s="1775" customFormat="1" ht="16.5" thickBot="1">
      <c r="A46" s="1755"/>
      <c r="B46" s="1756" t="s">
        <v>167</v>
      </c>
      <c r="C46" s="4992" t="s">
        <v>1966</v>
      </c>
      <c r="D46" s="4993"/>
    </row>
    <row r="47" spans="1:4">
      <c r="A47" s="1757" t="s">
        <v>107</v>
      </c>
      <c r="B47" s="1758" t="s">
        <v>1309</v>
      </c>
      <c r="C47" s="4986"/>
      <c r="D47" s="4987"/>
    </row>
    <row r="48" spans="1:4">
      <c r="A48" s="19" t="s">
        <v>108</v>
      </c>
      <c r="B48" s="647" t="s">
        <v>109</v>
      </c>
      <c r="C48" s="4984" t="s">
        <v>110</v>
      </c>
      <c r="D48" s="4985"/>
    </row>
    <row r="49" spans="1:4">
      <c r="A49" s="4404"/>
      <c r="B49" s="4405" t="s">
        <v>111</v>
      </c>
      <c r="C49" s="4982" t="s">
        <v>1207</v>
      </c>
      <c r="D49" s="4983"/>
    </row>
    <row r="50" spans="1:4">
      <c r="A50" s="19" t="s">
        <v>112</v>
      </c>
      <c r="B50" s="647" t="s">
        <v>113</v>
      </c>
      <c r="C50" s="4984" t="s">
        <v>114</v>
      </c>
      <c r="D50" s="4985"/>
    </row>
    <row r="51" spans="1:4">
      <c r="A51" s="5002"/>
      <c r="B51" s="4999" t="s">
        <v>111</v>
      </c>
      <c r="C51" s="4982" t="s">
        <v>349</v>
      </c>
      <c r="D51" s="4983"/>
    </row>
    <row r="52" spans="1:4">
      <c r="A52" s="5003"/>
      <c r="B52" s="5000"/>
      <c r="C52" s="4982" t="s">
        <v>350</v>
      </c>
      <c r="D52" s="4983"/>
    </row>
    <row r="53" spans="1:4">
      <c r="A53" s="5003"/>
      <c r="B53" s="5000"/>
      <c r="C53" s="5004" t="s">
        <v>1022</v>
      </c>
      <c r="D53" s="5005"/>
    </row>
    <row r="54" spans="1:4">
      <c r="A54" s="4407"/>
      <c r="B54" s="5000"/>
      <c r="C54" s="4988" t="s">
        <v>1468</v>
      </c>
      <c r="D54" s="4989"/>
    </row>
    <row r="55" spans="1:4">
      <c r="A55" s="4407"/>
      <c r="B55" s="5000"/>
      <c r="C55" s="4988" t="s">
        <v>1208</v>
      </c>
      <c r="D55" s="4989"/>
    </row>
    <row r="56" spans="1:4">
      <c r="A56" s="4407"/>
      <c r="B56" s="5000"/>
      <c r="C56" s="1759" t="s">
        <v>559</v>
      </c>
      <c r="D56" s="4403"/>
    </row>
    <row r="57" spans="1:4">
      <c r="A57" s="4407"/>
      <c r="B57" s="5000"/>
      <c r="C57" s="4982" t="s">
        <v>1012</v>
      </c>
      <c r="D57" s="4983"/>
    </row>
    <row r="58" spans="1:4">
      <c r="A58" s="4407"/>
      <c r="B58" s="5000"/>
      <c r="C58" s="4982" t="s">
        <v>657</v>
      </c>
      <c r="D58" s="4983"/>
    </row>
    <row r="59" spans="1:4">
      <c r="A59" s="4407"/>
      <c r="B59" s="5001"/>
      <c r="C59" s="4982" t="s">
        <v>608</v>
      </c>
      <c r="D59" s="4983"/>
    </row>
    <row r="60" spans="1:4">
      <c r="A60" s="19" t="s">
        <v>86</v>
      </c>
      <c r="B60" s="647" t="s">
        <v>115</v>
      </c>
      <c r="C60" s="4984" t="s">
        <v>116</v>
      </c>
      <c r="D60" s="4985"/>
    </row>
    <row r="61" spans="1:4">
      <c r="A61" s="4996"/>
      <c r="B61" s="4999" t="s">
        <v>111</v>
      </c>
      <c r="C61" s="4982" t="s">
        <v>609</v>
      </c>
      <c r="D61" s="4983"/>
    </row>
    <row r="62" spans="1:4">
      <c r="A62" s="4997"/>
      <c r="B62" s="5000"/>
      <c r="C62" s="4982" t="s">
        <v>610</v>
      </c>
      <c r="D62" s="4983"/>
    </row>
    <row r="63" spans="1:4">
      <c r="A63" s="4997"/>
      <c r="B63" s="5000"/>
      <c r="C63" s="4982" t="s">
        <v>611</v>
      </c>
      <c r="D63" s="4983"/>
    </row>
    <row r="64" spans="1:4">
      <c r="A64" s="4997"/>
      <c r="B64" s="5000"/>
      <c r="C64" s="4982" t="s">
        <v>1543</v>
      </c>
      <c r="D64" s="4983"/>
    </row>
    <row r="65" spans="1:4">
      <c r="A65" s="4997"/>
      <c r="B65" s="5000"/>
      <c r="C65" s="5006" t="s">
        <v>1586</v>
      </c>
      <c r="D65" s="5007"/>
    </row>
    <row r="66" spans="1:4">
      <c r="A66" s="4997"/>
      <c r="B66" s="5000"/>
      <c r="C66" s="5006" t="s">
        <v>615</v>
      </c>
      <c r="D66" s="5007"/>
    </row>
    <row r="67" spans="1:4">
      <c r="A67" s="4997"/>
      <c r="B67" s="5000"/>
      <c r="C67" s="5006" t="s">
        <v>1843</v>
      </c>
      <c r="D67" s="5007"/>
    </row>
    <row r="68" spans="1:4">
      <c r="A68" s="4998"/>
      <c r="B68" s="5001"/>
      <c r="C68" s="5006" t="s">
        <v>1584</v>
      </c>
      <c r="D68" s="5007"/>
    </row>
    <row r="69" spans="1:4">
      <c r="A69" s="19" t="s">
        <v>87</v>
      </c>
      <c r="B69" s="647" t="s">
        <v>117</v>
      </c>
      <c r="C69" s="4984" t="s">
        <v>118</v>
      </c>
      <c r="D69" s="4985"/>
    </row>
    <row r="70" spans="1:4">
      <c r="A70" s="19"/>
      <c r="B70" s="4406" t="s">
        <v>111</v>
      </c>
      <c r="C70" s="4982" t="s">
        <v>616</v>
      </c>
      <c r="D70" s="4983"/>
    </row>
    <row r="71" spans="1:4">
      <c r="A71" s="19" t="s">
        <v>1305</v>
      </c>
      <c r="B71" s="647" t="s">
        <v>346</v>
      </c>
      <c r="C71" s="4984" t="s">
        <v>560</v>
      </c>
      <c r="D71" s="4985"/>
    </row>
    <row r="72" spans="1:4">
      <c r="A72" s="4996"/>
      <c r="B72" s="4999" t="s">
        <v>111</v>
      </c>
      <c r="C72" s="4982" t="s">
        <v>617</v>
      </c>
      <c r="D72" s="4983"/>
    </row>
    <row r="73" spans="1:4">
      <c r="A73" s="4998"/>
      <c r="B73" s="5000"/>
      <c r="C73" s="4982" t="s">
        <v>618</v>
      </c>
      <c r="D73" s="4983"/>
    </row>
    <row r="74" spans="1:4">
      <c r="A74" s="19" t="s">
        <v>1306</v>
      </c>
      <c r="B74" s="647" t="s">
        <v>348</v>
      </c>
      <c r="C74" s="4984" t="s">
        <v>347</v>
      </c>
      <c r="D74" s="4985"/>
    </row>
    <row r="75" spans="1:4">
      <c r="A75" s="4996"/>
      <c r="B75" s="4999" t="s">
        <v>111</v>
      </c>
      <c r="C75" s="1759" t="s">
        <v>619</v>
      </c>
      <c r="D75" s="4403"/>
    </row>
    <row r="76" spans="1:4">
      <c r="A76" s="4997"/>
      <c r="B76" s="5000"/>
      <c r="C76" s="1759" t="s">
        <v>620</v>
      </c>
      <c r="D76" s="4403"/>
    </row>
    <row r="77" spans="1:4">
      <c r="A77" s="4997"/>
      <c r="B77" s="5000"/>
      <c r="C77" s="1759" t="s">
        <v>621</v>
      </c>
      <c r="D77" s="4403"/>
    </row>
    <row r="78" spans="1:4">
      <c r="A78" s="4997"/>
      <c r="B78" s="5000"/>
      <c r="C78" s="1759" t="s">
        <v>1013</v>
      </c>
      <c r="D78" s="4403"/>
    </row>
    <row r="79" spans="1:4" ht="18.75" customHeight="1">
      <c r="A79" s="4998"/>
      <c r="B79" s="5001"/>
      <c r="C79" s="4982" t="s">
        <v>1469</v>
      </c>
      <c r="D79" s="4983"/>
    </row>
    <row r="81" spans="1:5">
      <c r="B81" s="1760" t="str">
        <f>"Дата: "&amp;C19</f>
        <v>Дата: 24 юни 2021 година</v>
      </c>
      <c r="C81" s="1761" t="str">
        <f>B28</f>
        <v xml:space="preserve">Гл. счетоводител/Фин.директор: </v>
      </c>
      <c r="D81" s="1762" t="s">
        <v>4</v>
      </c>
    </row>
    <row r="82" spans="1:5">
      <c r="D82" s="1763" t="s">
        <v>5</v>
      </c>
    </row>
    <row r="83" spans="1:5">
      <c r="D83" s="1764"/>
    </row>
    <row r="84" spans="1:5">
      <c r="D84" s="1764"/>
    </row>
    <row r="85" spans="1:5">
      <c r="C85" s="1765" t="str">
        <f>B23</f>
        <v xml:space="preserve">Управител/Изп.директор: </v>
      </c>
      <c r="D85" s="1766" t="s">
        <v>697</v>
      </c>
    </row>
    <row r="86" spans="1:5">
      <c r="D86" s="1763" t="s">
        <v>6</v>
      </c>
      <c r="E86" s="4444"/>
    </row>
    <row r="87" spans="1:5" hidden="1">
      <c r="C87" s="1767"/>
      <c r="D87" s="1768"/>
    </row>
    <row r="88" spans="1:5">
      <c r="A88" s="1769" t="s">
        <v>561</v>
      </c>
      <c r="C88" s="1770"/>
      <c r="D88" s="1771"/>
    </row>
    <row r="89" spans="1:5" s="1771" customFormat="1">
      <c r="A89" s="1772" t="s">
        <v>192</v>
      </c>
      <c r="B89" s="1773"/>
      <c r="C89" s="1770"/>
      <c r="D89" s="1774"/>
    </row>
    <row r="90" spans="1:5" s="4445" customFormat="1">
      <c r="B90" s="4446"/>
      <c r="C90" s="1740"/>
      <c r="D90" s="1740"/>
      <c r="E90" s="4447"/>
    </row>
  </sheetData>
  <sheetProtection password="EB75" sheet="1" objects="1" scenarios="1" formatCells="0" formatColumns="0" formatRows="0"/>
  <mergeCells count="81">
    <mergeCell ref="C10:D10"/>
    <mergeCell ref="A2:D2"/>
    <mergeCell ref="A3:D3"/>
    <mergeCell ref="A4:D4"/>
    <mergeCell ref="A6:A7"/>
    <mergeCell ref="B6:D6"/>
    <mergeCell ref="C7:D7"/>
    <mergeCell ref="C8:D8"/>
    <mergeCell ref="C9:D9"/>
    <mergeCell ref="A13:A18"/>
    <mergeCell ref="B13:B18"/>
    <mergeCell ref="C13:D13"/>
    <mergeCell ref="C14:D14"/>
    <mergeCell ref="C15:D15"/>
    <mergeCell ref="C16:D16"/>
    <mergeCell ref="C11:D11"/>
    <mergeCell ref="C12:D12"/>
    <mergeCell ref="C17:D17"/>
    <mergeCell ref="C18:D18"/>
    <mergeCell ref="C19:D19"/>
    <mergeCell ref="C30:D30"/>
    <mergeCell ref="C31:D31"/>
    <mergeCell ref="C32:D32"/>
    <mergeCell ref="C27:D27"/>
    <mergeCell ref="C28:D28"/>
    <mergeCell ref="C29:D29"/>
    <mergeCell ref="C21:D21"/>
    <mergeCell ref="C23:D23"/>
    <mergeCell ref="C24:D24"/>
    <mergeCell ref="C25:D25"/>
    <mergeCell ref="C26:D26"/>
    <mergeCell ref="B72:B73"/>
    <mergeCell ref="C54:D54"/>
    <mergeCell ref="A72:A73"/>
    <mergeCell ref="C71:D71"/>
    <mergeCell ref="C66:D66"/>
    <mergeCell ref="C67:D67"/>
    <mergeCell ref="C70:D70"/>
    <mergeCell ref="C72:D72"/>
    <mergeCell ref="C73:D73"/>
    <mergeCell ref="B61:B68"/>
    <mergeCell ref="C68:D68"/>
    <mergeCell ref="C63:D63"/>
    <mergeCell ref="C64:D64"/>
    <mergeCell ref="C65:D65"/>
    <mergeCell ref="A61:A68"/>
    <mergeCell ref="C42:D42"/>
    <mergeCell ref="C36:D36"/>
    <mergeCell ref="C37:D37"/>
    <mergeCell ref="A75:A79"/>
    <mergeCell ref="B75:B79"/>
    <mergeCell ref="A51:A53"/>
    <mergeCell ref="B51:B59"/>
    <mergeCell ref="C60:D60"/>
    <mergeCell ref="C69:D69"/>
    <mergeCell ref="C52:D52"/>
    <mergeCell ref="C53:D53"/>
    <mergeCell ref="C57:D57"/>
    <mergeCell ref="C58:D58"/>
    <mergeCell ref="C59:D59"/>
    <mergeCell ref="C61:D61"/>
    <mergeCell ref="C62:D62"/>
    <mergeCell ref="C39:D39"/>
    <mergeCell ref="C40:D40"/>
    <mergeCell ref="C41:D41"/>
    <mergeCell ref="C38:D38"/>
    <mergeCell ref="C33:D33"/>
    <mergeCell ref="C34:D34"/>
    <mergeCell ref="C35:D35"/>
    <mergeCell ref="C45:D45"/>
    <mergeCell ref="C46:D46"/>
    <mergeCell ref="C51:D51"/>
    <mergeCell ref="C49:D49"/>
    <mergeCell ref="C43:D43"/>
    <mergeCell ref="C44:D44"/>
    <mergeCell ref="C79:D79"/>
    <mergeCell ref="C74:D74"/>
    <mergeCell ref="C47:D47"/>
    <mergeCell ref="C48:D48"/>
    <mergeCell ref="C50:D50"/>
    <mergeCell ref="C55:D55"/>
  </mergeCells>
  <hyperlinks>
    <hyperlink ref="C51" location="'2. Променливи'!A1" display="Справка № 2 - Променливи за изчисление на показателите за качество на предоставяните В и К услуги"/>
    <hyperlink ref="C52" location="'3. Показатели за качество'!A1" display="Справка № 3 - Показатели за качество на предоставяните В и К услуги "/>
    <hyperlink ref="C61" location="'9.Инвестиционна програма'!A1" display="Справка № 9 - Инвестиционна програма"/>
    <hyperlink ref="C63" location="'11. Амортиз. план'!A1" display="Справка № 11 - Амортизационен план на Дълготрайни Активи"/>
    <hyperlink ref="C64" location="'11.1.Амортиз.нови активи'!A1" display="Справка № 10.1 - Амортизация на новоизградени активи, чрез инвестиционната програма"/>
    <hyperlink ref="C76:D76" location="'11.РБА'!A1" display="Справка № 11  - Регулаторна база на активите"/>
    <hyperlink ref="C75:D75" location="'10.Необходими приходи'!A1" display="Справка № 10  - Необходими приходи"/>
    <hyperlink ref="C77:D77" location="'13.HB'!A1" display="Справка № 12  - Оборотен капитал"/>
    <hyperlink ref="C78:D78" location="'13.HB'!A1" display="Справка № 13  - Необходима възвръщаемост"/>
    <hyperlink ref="C62" location="'10. Финансиране на ИП'!A1" display="Справка № 10 - Инвестиции и източници на финансиране"/>
    <hyperlink ref="C70" location="'13. Соц. поносимост'!A1" display="Справка № 12 - Анализ на социалната поносимост на предлаганите цени"/>
    <hyperlink ref="C76" location="'17. РБА'!A1" display="Справка № 16  - Регулаторна база на активите"/>
    <hyperlink ref="C75" location="'16. Необходими приходи'!A1" display="Справка № 15  - Необходими приходи"/>
    <hyperlink ref="C77" location="'18. OK'!A1" display="Справка № 17  - Оборотен капитал"/>
    <hyperlink ref="C78" location="'19. HB'!A1" display="Справка № 18  - Необходима възвръщаемост"/>
    <hyperlink ref="C79" location="'20.Цени за дост.,отв. и преч.'!A1" display="Справка № 19  - Цени за доставяне на вода, отвеждане и пречистване на отпадъчни води"/>
    <hyperlink ref="C56" location="'5. Персонал'!A1" display="Справка № 5 - Персонал"/>
    <hyperlink ref="C57" location="'6. Ел.Енергия'!A1" display="Справка № 6 - Отчет и прогнозно ниво на потребление на ел.енергия за периода на бизнес плана"/>
    <hyperlink ref="C59" location="'8. Ремонтна програма'!A1" display="Справка № 7 - Ремонтна програма"/>
    <hyperlink ref="C72" location="'14. ОПР'!A1" display="Справка № 13  - Прогнозен отчет за приходите и разходите"/>
    <hyperlink ref="C73" location="'15. ОПП'!A1" display="Справка № 14  - Прогнозен отчет за паричния поток"/>
    <hyperlink ref="C58" location="'7. Утайки от ПСОВ'!A1" display="Справка № 7 - Оползотворяване на утойки от ПСОВ"/>
    <hyperlink ref="C53" location="'4. Отчет и прогн. потребление'!A1" display="Справка № 4 -  Отчет и прогнозно ниво на потребление на ВиК услугите  за периода на бизнес плана"/>
    <hyperlink ref="C65" location="'11.2. Нови активи отч.год.'!A1" display="Справка № 11.2 - Новопродобити активи през отчетната година"/>
    <hyperlink ref="C66" location="'12. Разходи'!A1" display="Справка № 12 - Годишни разходи"/>
    <hyperlink ref="C67" location="'12.1.Разходи-увелич.и нам.'!A1" display="Справка № 12.1 - Изменения на годишните разходи спрямо отчетната година"/>
    <hyperlink ref="C54:D54" location="'4.1. Фактурирани количества'!A1" display="Справка № 4.1. Отчет и прогноза на фактурираните количества"/>
    <hyperlink ref="C55:D55" location="'4.2. Продад. и закупени кол-ва'!A1" display="Справка № 4.2. - Отчет и прогноза за продадени и/или закупени водни количества на/от други ВиК оператори"/>
    <hyperlink ref="C68" location="'12.1.Разходи-увелич.и нам.'!A1" display="Справка № 12.1 - Изменения на годишните разходи спрямо отчетната година"/>
    <hyperlink ref="C68:D68" location="'12.2.Нови дейности или обекти'!Print_Area" display="Справка № 12.2 - Бъдещи обекти и/или дейности и допълнителни разходи, включени в коефициент Qр "/>
    <hyperlink ref="C49:D49" location="'1. Обща информация'!Print_Area" display="Справка № 1 - Обща информация"/>
    <hyperlink ref="C65:D65" location="'11.2. ДА за периода'!Print_Area" display="Справка № 11.2. - Дълготрайни активи за периода на бизнес плана"/>
    <hyperlink ref="C67:D67" location="'12.1. Разходи изменение'!Print_Area" display="Справка № 12.1. - Изменения на годишните разходи спрямо базовата година"/>
    <hyperlink ref="C79:D79" location="'20.Цени '!A1" display="Справка № 20  - Цени за регулирани услуги"/>
  </hyperlinks>
  <printOptions horizontalCentered="1"/>
  <pageMargins left="0.78740157480314965" right="0.19685039370078741" top="0.39370078740157483" bottom="0.19685039370078741" header="0.78740157480314965" footer="0"/>
  <pageSetup paperSize="9" scale="58" orientation="portrait" r:id="rId1"/>
  <ignoredErrors>
    <ignoredError sqref="A9:A10 A59 A11:A19 A56:A57 A49 A51:A53 A61"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pageSetUpPr fitToPage="1"/>
  </sheetPr>
  <dimension ref="A1:N56"/>
  <sheetViews>
    <sheetView showGridLines="0" view="pageBreakPreview" topLeftCell="A19" zoomScaleNormal="100" zoomScaleSheetLayoutView="100" workbookViewId="0">
      <selection sqref="A1:J42"/>
    </sheetView>
  </sheetViews>
  <sheetFormatPr defaultRowHeight="12.75"/>
  <cols>
    <col min="1" max="1" width="5.28515625" style="2244" customWidth="1"/>
    <col min="2" max="2" width="44.85546875" style="2244" customWidth="1"/>
    <col min="3" max="3" width="10.28515625" style="2244" customWidth="1"/>
    <col min="4" max="10" width="9.7109375" style="4579" customWidth="1"/>
    <col min="11" max="11" width="9.140625" style="2244"/>
    <col min="12" max="12" width="11.28515625" style="2244" bestFit="1" customWidth="1"/>
    <col min="13" max="13" width="9.7109375" style="2244" bestFit="1" customWidth="1"/>
    <col min="14" max="256" width="9.140625" style="2244"/>
    <col min="257" max="257" width="5.28515625" style="2244" customWidth="1"/>
    <col min="258" max="258" width="56.42578125" style="2244" customWidth="1"/>
    <col min="259" max="259" width="10.28515625" style="2244" customWidth="1"/>
    <col min="260" max="266" width="10.7109375" style="2244" customWidth="1"/>
    <col min="267" max="267" width="9.140625" style="2244"/>
    <col min="268" max="268" width="11.28515625" style="2244" bestFit="1" customWidth="1"/>
    <col min="269" max="269" width="9.7109375" style="2244" bestFit="1" customWidth="1"/>
    <col min="270" max="512" width="9.140625" style="2244"/>
    <col min="513" max="513" width="5.28515625" style="2244" customWidth="1"/>
    <col min="514" max="514" width="56.42578125" style="2244" customWidth="1"/>
    <col min="515" max="515" width="10.28515625" style="2244" customWidth="1"/>
    <col min="516" max="522" width="10.7109375" style="2244" customWidth="1"/>
    <col min="523" max="523" width="9.140625" style="2244"/>
    <col min="524" max="524" width="11.28515625" style="2244" bestFit="1" customWidth="1"/>
    <col min="525" max="525" width="9.7109375" style="2244" bestFit="1" customWidth="1"/>
    <col min="526" max="768" width="9.140625" style="2244"/>
    <col min="769" max="769" width="5.28515625" style="2244" customWidth="1"/>
    <col min="770" max="770" width="56.42578125" style="2244" customWidth="1"/>
    <col min="771" max="771" width="10.28515625" style="2244" customWidth="1"/>
    <col min="772" max="778" width="10.7109375" style="2244" customWidth="1"/>
    <col min="779" max="779" width="9.140625" style="2244"/>
    <col min="780" max="780" width="11.28515625" style="2244" bestFit="1" customWidth="1"/>
    <col min="781" max="781" width="9.7109375" style="2244" bestFit="1" customWidth="1"/>
    <col min="782" max="1024" width="9.140625" style="2244"/>
    <col min="1025" max="1025" width="5.28515625" style="2244" customWidth="1"/>
    <col min="1026" max="1026" width="56.42578125" style="2244" customWidth="1"/>
    <col min="1027" max="1027" width="10.28515625" style="2244" customWidth="1"/>
    <col min="1028" max="1034" width="10.7109375" style="2244" customWidth="1"/>
    <col min="1035" max="1035" width="9.140625" style="2244"/>
    <col min="1036" max="1036" width="11.28515625" style="2244" bestFit="1" customWidth="1"/>
    <col min="1037" max="1037" width="9.7109375" style="2244" bestFit="1" customWidth="1"/>
    <col min="1038" max="1280" width="9.140625" style="2244"/>
    <col min="1281" max="1281" width="5.28515625" style="2244" customWidth="1"/>
    <col min="1282" max="1282" width="56.42578125" style="2244" customWidth="1"/>
    <col min="1283" max="1283" width="10.28515625" style="2244" customWidth="1"/>
    <col min="1284" max="1290" width="10.7109375" style="2244" customWidth="1"/>
    <col min="1291" max="1291" width="9.140625" style="2244"/>
    <col min="1292" max="1292" width="11.28515625" style="2244" bestFit="1" customWidth="1"/>
    <col min="1293" max="1293" width="9.7109375" style="2244" bestFit="1" customWidth="1"/>
    <col min="1294" max="1536" width="9.140625" style="2244"/>
    <col min="1537" max="1537" width="5.28515625" style="2244" customWidth="1"/>
    <col min="1538" max="1538" width="56.42578125" style="2244" customWidth="1"/>
    <col min="1539" max="1539" width="10.28515625" style="2244" customWidth="1"/>
    <col min="1540" max="1546" width="10.7109375" style="2244" customWidth="1"/>
    <col min="1547" max="1547" width="9.140625" style="2244"/>
    <col min="1548" max="1548" width="11.28515625" style="2244" bestFit="1" customWidth="1"/>
    <col min="1549" max="1549" width="9.7109375" style="2244" bestFit="1" customWidth="1"/>
    <col min="1550" max="1792" width="9.140625" style="2244"/>
    <col min="1793" max="1793" width="5.28515625" style="2244" customWidth="1"/>
    <col min="1794" max="1794" width="56.42578125" style="2244" customWidth="1"/>
    <col min="1795" max="1795" width="10.28515625" style="2244" customWidth="1"/>
    <col min="1796" max="1802" width="10.7109375" style="2244" customWidth="1"/>
    <col min="1803" max="1803" width="9.140625" style="2244"/>
    <col min="1804" max="1804" width="11.28515625" style="2244" bestFit="1" customWidth="1"/>
    <col min="1805" max="1805" width="9.7109375" style="2244" bestFit="1" customWidth="1"/>
    <col min="1806" max="2048" width="9.140625" style="2244"/>
    <col min="2049" max="2049" width="5.28515625" style="2244" customWidth="1"/>
    <col min="2050" max="2050" width="56.42578125" style="2244" customWidth="1"/>
    <col min="2051" max="2051" width="10.28515625" style="2244" customWidth="1"/>
    <col min="2052" max="2058" width="10.7109375" style="2244" customWidth="1"/>
    <col min="2059" max="2059" width="9.140625" style="2244"/>
    <col min="2060" max="2060" width="11.28515625" style="2244" bestFit="1" customWidth="1"/>
    <col min="2061" max="2061" width="9.7109375" style="2244" bestFit="1" customWidth="1"/>
    <col min="2062" max="2304" width="9.140625" style="2244"/>
    <col min="2305" max="2305" width="5.28515625" style="2244" customWidth="1"/>
    <col min="2306" max="2306" width="56.42578125" style="2244" customWidth="1"/>
    <col min="2307" max="2307" width="10.28515625" style="2244" customWidth="1"/>
    <col min="2308" max="2314" width="10.7109375" style="2244" customWidth="1"/>
    <col min="2315" max="2315" width="9.140625" style="2244"/>
    <col min="2316" max="2316" width="11.28515625" style="2244" bestFit="1" customWidth="1"/>
    <col min="2317" max="2317" width="9.7109375" style="2244" bestFit="1" customWidth="1"/>
    <col min="2318" max="2560" width="9.140625" style="2244"/>
    <col min="2561" max="2561" width="5.28515625" style="2244" customWidth="1"/>
    <col min="2562" max="2562" width="56.42578125" style="2244" customWidth="1"/>
    <col min="2563" max="2563" width="10.28515625" style="2244" customWidth="1"/>
    <col min="2564" max="2570" width="10.7109375" style="2244" customWidth="1"/>
    <col min="2571" max="2571" width="9.140625" style="2244"/>
    <col min="2572" max="2572" width="11.28515625" style="2244" bestFit="1" customWidth="1"/>
    <col min="2573" max="2573" width="9.7109375" style="2244" bestFit="1" customWidth="1"/>
    <col min="2574" max="2816" width="9.140625" style="2244"/>
    <col min="2817" max="2817" width="5.28515625" style="2244" customWidth="1"/>
    <col min="2818" max="2818" width="56.42578125" style="2244" customWidth="1"/>
    <col min="2819" max="2819" width="10.28515625" style="2244" customWidth="1"/>
    <col min="2820" max="2826" width="10.7109375" style="2244" customWidth="1"/>
    <col min="2827" max="2827" width="9.140625" style="2244"/>
    <col min="2828" max="2828" width="11.28515625" style="2244" bestFit="1" customWidth="1"/>
    <col min="2829" max="2829" width="9.7109375" style="2244" bestFit="1" customWidth="1"/>
    <col min="2830" max="3072" width="9.140625" style="2244"/>
    <col min="3073" max="3073" width="5.28515625" style="2244" customWidth="1"/>
    <col min="3074" max="3074" width="56.42578125" style="2244" customWidth="1"/>
    <col min="3075" max="3075" width="10.28515625" style="2244" customWidth="1"/>
    <col min="3076" max="3082" width="10.7109375" style="2244" customWidth="1"/>
    <col min="3083" max="3083" width="9.140625" style="2244"/>
    <col min="3084" max="3084" width="11.28515625" style="2244" bestFit="1" customWidth="1"/>
    <col min="3085" max="3085" width="9.7109375" style="2244" bestFit="1" customWidth="1"/>
    <col min="3086" max="3328" width="9.140625" style="2244"/>
    <col min="3329" max="3329" width="5.28515625" style="2244" customWidth="1"/>
    <col min="3330" max="3330" width="56.42578125" style="2244" customWidth="1"/>
    <col min="3331" max="3331" width="10.28515625" style="2244" customWidth="1"/>
    <col min="3332" max="3338" width="10.7109375" style="2244" customWidth="1"/>
    <col min="3339" max="3339" width="9.140625" style="2244"/>
    <col min="3340" max="3340" width="11.28515625" style="2244" bestFit="1" customWidth="1"/>
    <col min="3341" max="3341" width="9.7109375" style="2244" bestFit="1" customWidth="1"/>
    <col min="3342" max="3584" width="9.140625" style="2244"/>
    <col min="3585" max="3585" width="5.28515625" style="2244" customWidth="1"/>
    <col min="3586" max="3586" width="56.42578125" style="2244" customWidth="1"/>
    <col min="3587" max="3587" width="10.28515625" style="2244" customWidth="1"/>
    <col min="3588" max="3594" width="10.7109375" style="2244" customWidth="1"/>
    <col min="3595" max="3595" width="9.140625" style="2244"/>
    <col min="3596" max="3596" width="11.28515625" style="2244" bestFit="1" customWidth="1"/>
    <col min="3597" max="3597" width="9.7109375" style="2244" bestFit="1" customWidth="1"/>
    <col min="3598" max="3840" width="9.140625" style="2244"/>
    <col min="3841" max="3841" width="5.28515625" style="2244" customWidth="1"/>
    <col min="3842" max="3842" width="56.42578125" style="2244" customWidth="1"/>
    <col min="3843" max="3843" width="10.28515625" style="2244" customWidth="1"/>
    <col min="3844" max="3850" width="10.7109375" style="2244" customWidth="1"/>
    <col min="3851" max="3851" width="9.140625" style="2244"/>
    <col min="3852" max="3852" width="11.28515625" style="2244" bestFit="1" customWidth="1"/>
    <col min="3853" max="3853" width="9.7109375" style="2244" bestFit="1" customWidth="1"/>
    <col min="3854" max="4096" width="9.140625" style="2244"/>
    <col min="4097" max="4097" width="5.28515625" style="2244" customWidth="1"/>
    <col min="4098" max="4098" width="56.42578125" style="2244" customWidth="1"/>
    <col min="4099" max="4099" width="10.28515625" style="2244" customWidth="1"/>
    <col min="4100" max="4106" width="10.7109375" style="2244" customWidth="1"/>
    <col min="4107" max="4107" width="9.140625" style="2244"/>
    <col min="4108" max="4108" width="11.28515625" style="2244" bestFit="1" customWidth="1"/>
    <col min="4109" max="4109" width="9.7109375" style="2244" bestFit="1" customWidth="1"/>
    <col min="4110" max="4352" width="9.140625" style="2244"/>
    <col min="4353" max="4353" width="5.28515625" style="2244" customWidth="1"/>
    <col min="4354" max="4354" width="56.42578125" style="2244" customWidth="1"/>
    <col min="4355" max="4355" width="10.28515625" style="2244" customWidth="1"/>
    <col min="4356" max="4362" width="10.7109375" style="2244" customWidth="1"/>
    <col min="4363" max="4363" width="9.140625" style="2244"/>
    <col min="4364" max="4364" width="11.28515625" style="2244" bestFit="1" customWidth="1"/>
    <col min="4365" max="4365" width="9.7109375" style="2244" bestFit="1" customWidth="1"/>
    <col min="4366" max="4608" width="9.140625" style="2244"/>
    <col min="4609" max="4609" width="5.28515625" style="2244" customWidth="1"/>
    <col min="4610" max="4610" width="56.42578125" style="2244" customWidth="1"/>
    <col min="4611" max="4611" width="10.28515625" style="2244" customWidth="1"/>
    <col min="4612" max="4618" width="10.7109375" style="2244" customWidth="1"/>
    <col min="4619" max="4619" width="9.140625" style="2244"/>
    <col min="4620" max="4620" width="11.28515625" style="2244" bestFit="1" customWidth="1"/>
    <col min="4621" max="4621" width="9.7109375" style="2244" bestFit="1" customWidth="1"/>
    <col min="4622" max="4864" width="9.140625" style="2244"/>
    <col min="4865" max="4865" width="5.28515625" style="2244" customWidth="1"/>
    <col min="4866" max="4866" width="56.42578125" style="2244" customWidth="1"/>
    <col min="4867" max="4867" width="10.28515625" style="2244" customWidth="1"/>
    <col min="4868" max="4874" width="10.7109375" style="2244" customWidth="1"/>
    <col min="4875" max="4875" width="9.140625" style="2244"/>
    <col min="4876" max="4876" width="11.28515625" style="2244" bestFit="1" customWidth="1"/>
    <col min="4877" max="4877" width="9.7109375" style="2244" bestFit="1" customWidth="1"/>
    <col min="4878" max="5120" width="9.140625" style="2244"/>
    <col min="5121" max="5121" width="5.28515625" style="2244" customWidth="1"/>
    <col min="5122" max="5122" width="56.42578125" style="2244" customWidth="1"/>
    <col min="5123" max="5123" width="10.28515625" style="2244" customWidth="1"/>
    <col min="5124" max="5130" width="10.7109375" style="2244" customWidth="1"/>
    <col min="5131" max="5131" width="9.140625" style="2244"/>
    <col min="5132" max="5132" width="11.28515625" style="2244" bestFit="1" customWidth="1"/>
    <col min="5133" max="5133" width="9.7109375" style="2244" bestFit="1" customWidth="1"/>
    <col min="5134" max="5376" width="9.140625" style="2244"/>
    <col min="5377" max="5377" width="5.28515625" style="2244" customWidth="1"/>
    <col min="5378" max="5378" width="56.42578125" style="2244" customWidth="1"/>
    <col min="5379" max="5379" width="10.28515625" style="2244" customWidth="1"/>
    <col min="5380" max="5386" width="10.7109375" style="2244" customWidth="1"/>
    <col min="5387" max="5387" width="9.140625" style="2244"/>
    <col min="5388" max="5388" width="11.28515625" style="2244" bestFit="1" customWidth="1"/>
    <col min="5389" max="5389" width="9.7109375" style="2244" bestFit="1" customWidth="1"/>
    <col min="5390" max="5632" width="9.140625" style="2244"/>
    <col min="5633" max="5633" width="5.28515625" style="2244" customWidth="1"/>
    <col min="5634" max="5634" width="56.42578125" style="2244" customWidth="1"/>
    <col min="5635" max="5635" width="10.28515625" style="2244" customWidth="1"/>
    <col min="5636" max="5642" width="10.7109375" style="2244" customWidth="1"/>
    <col min="5643" max="5643" width="9.140625" style="2244"/>
    <col min="5644" max="5644" width="11.28515625" style="2244" bestFit="1" customWidth="1"/>
    <col min="5645" max="5645" width="9.7109375" style="2244" bestFit="1" customWidth="1"/>
    <col min="5646" max="5888" width="9.140625" style="2244"/>
    <col min="5889" max="5889" width="5.28515625" style="2244" customWidth="1"/>
    <col min="5890" max="5890" width="56.42578125" style="2244" customWidth="1"/>
    <col min="5891" max="5891" width="10.28515625" style="2244" customWidth="1"/>
    <col min="5892" max="5898" width="10.7109375" style="2244" customWidth="1"/>
    <col min="5899" max="5899" width="9.140625" style="2244"/>
    <col min="5900" max="5900" width="11.28515625" style="2244" bestFit="1" customWidth="1"/>
    <col min="5901" max="5901" width="9.7109375" style="2244" bestFit="1" customWidth="1"/>
    <col min="5902" max="6144" width="9.140625" style="2244"/>
    <col min="6145" max="6145" width="5.28515625" style="2244" customWidth="1"/>
    <col min="6146" max="6146" width="56.42578125" style="2244" customWidth="1"/>
    <col min="6147" max="6147" width="10.28515625" style="2244" customWidth="1"/>
    <col min="6148" max="6154" width="10.7109375" style="2244" customWidth="1"/>
    <col min="6155" max="6155" width="9.140625" style="2244"/>
    <col min="6156" max="6156" width="11.28515625" style="2244" bestFit="1" customWidth="1"/>
    <col min="6157" max="6157" width="9.7109375" style="2244" bestFit="1" customWidth="1"/>
    <col min="6158" max="6400" width="9.140625" style="2244"/>
    <col min="6401" max="6401" width="5.28515625" style="2244" customWidth="1"/>
    <col min="6402" max="6402" width="56.42578125" style="2244" customWidth="1"/>
    <col min="6403" max="6403" width="10.28515625" style="2244" customWidth="1"/>
    <col min="6404" max="6410" width="10.7109375" style="2244" customWidth="1"/>
    <col min="6411" max="6411" width="9.140625" style="2244"/>
    <col min="6412" max="6412" width="11.28515625" style="2244" bestFit="1" customWidth="1"/>
    <col min="6413" max="6413" width="9.7109375" style="2244" bestFit="1" customWidth="1"/>
    <col min="6414" max="6656" width="9.140625" style="2244"/>
    <col min="6657" max="6657" width="5.28515625" style="2244" customWidth="1"/>
    <col min="6658" max="6658" width="56.42578125" style="2244" customWidth="1"/>
    <col min="6659" max="6659" width="10.28515625" style="2244" customWidth="1"/>
    <col min="6660" max="6666" width="10.7109375" style="2244" customWidth="1"/>
    <col min="6667" max="6667" width="9.140625" style="2244"/>
    <col min="6668" max="6668" width="11.28515625" style="2244" bestFit="1" customWidth="1"/>
    <col min="6669" max="6669" width="9.7109375" style="2244" bestFit="1" customWidth="1"/>
    <col min="6670" max="6912" width="9.140625" style="2244"/>
    <col min="6913" max="6913" width="5.28515625" style="2244" customWidth="1"/>
    <col min="6914" max="6914" width="56.42578125" style="2244" customWidth="1"/>
    <col min="6915" max="6915" width="10.28515625" style="2244" customWidth="1"/>
    <col min="6916" max="6922" width="10.7109375" style="2244" customWidth="1"/>
    <col min="6923" max="6923" width="9.140625" style="2244"/>
    <col min="6924" max="6924" width="11.28515625" style="2244" bestFit="1" customWidth="1"/>
    <col min="6925" max="6925" width="9.7109375" style="2244" bestFit="1" customWidth="1"/>
    <col min="6926" max="7168" width="9.140625" style="2244"/>
    <col min="7169" max="7169" width="5.28515625" style="2244" customWidth="1"/>
    <col min="7170" max="7170" width="56.42578125" style="2244" customWidth="1"/>
    <col min="7171" max="7171" width="10.28515625" style="2244" customWidth="1"/>
    <col min="7172" max="7178" width="10.7109375" style="2244" customWidth="1"/>
    <col min="7179" max="7179" width="9.140625" style="2244"/>
    <col min="7180" max="7180" width="11.28515625" style="2244" bestFit="1" customWidth="1"/>
    <col min="7181" max="7181" width="9.7109375" style="2244" bestFit="1" customWidth="1"/>
    <col min="7182" max="7424" width="9.140625" style="2244"/>
    <col min="7425" max="7425" width="5.28515625" style="2244" customWidth="1"/>
    <col min="7426" max="7426" width="56.42578125" style="2244" customWidth="1"/>
    <col min="7427" max="7427" width="10.28515625" style="2244" customWidth="1"/>
    <col min="7428" max="7434" width="10.7109375" style="2244" customWidth="1"/>
    <col min="7435" max="7435" width="9.140625" style="2244"/>
    <col min="7436" max="7436" width="11.28515625" style="2244" bestFit="1" customWidth="1"/>
    <col min="7437" max="7437" width="9.7109375" style="2244" bestFit="1" customWidth="1"/>
    <col min="7438" max="7680" width="9.140625" style="2244"/>
    <col min="7681" max="7681" width="5.28515625" style="2244" customWidth="1"/>
    <col min="7682" max="7682" width="56.42578125" style="2244" customWidth="1"/>
    <col min="7683" max="7683" width="10.28515625" style="2244" customWidth="1"/>
    <col min="7684" max="7690" width="10.7109375" style="2244" customWidth="1"/>
    <col min="7691" max="7691" width="9.140625" style="2244"/>
    <col min="7692" max="7692" width="11.28515625" style="2244" bestFit="1" customWidth="1"/>
    <col min="7693" max="7693" width="9.7109375" style="2244" bestFit="1" customWidth="1"/>
    <col min="7694" max="7936" width="9.140625" style="2244"/>
    <col min="7937" max="7937" width="5.28515625" style="2244" customWidth="1"/>
    <col min="7938" max="7938" width="56.42578125" style="2244" customWidth="1"/>
    <col min="7939" max="7939" width="10.28515625" style="2244" customWidth="1"/>
    <col min="7940" max="7946" width="10.7109375" style="2244" customWidth="1"/>
    <col min="7947" max="7947" width="9.140625" style="2244"/>
    <col min="7948" max="7948" width="11.28515625" style="2244" bestFit="1" customWidth="1"/>
    <col min="7949" max="7949" width="9.7109375" style="2244" bestFit="1" customWidth="1"/>
    <col min="7950" max="8192" width="9.140625" style="2244"/>
    <col min="8193" max="8193" width="5.28515625" style="2244" customWidth="1"/>
    <col min="8194" max="8194" width="56.42578125" style="2244" customWidth="1"/>
    <col min="8195" max="8195" width="10.28515625" style="2244" customWidth="1"/>
    <col min="8196" max="8202" width="10.7109375" style="2244" customWidth="1"/>
    <col min="8203" max="8203" width="9.140625" style="2244"/>
    <col min="8204" max="8204" width="11.28515625" style="2244" bestFit="1" customWidth="1"/>
    <col min="8205" max="8205" width="9.7109375" style="2244" bestFit="1" customWidth="1"/>
    <col min="8206" max="8448" width="9.140625" style="2244"/>
    <col min="8449" max="8449" width="5.28515625" style="2244" customWidth="1"/>
    <col min="8450" max="8450" width="56.42578125" style="2244" customWidth="1"/>
    <col min="8451" max="8451" width="10.28515625" style="2244" customWidth="1"/>
    <col min="8452" max="8458" width="10.7109375" style="2244" customWidth="1"/>
    <col min="8459" max="8459" width="9.140625" style="2244"/>
    <col min="8460" max="8460" width="11.28515625" style="2244" bestFit="1" customWidth="1"/>
    <col min="8461" max="8461" width="9.7109375" style="2244" bestFit="1" customWidth="1"/>
    <col min="8462" max="8704" width="9.140625" style="2244"/>
    <col min="8705" max="8705" width="5.28515625" style="2244" customWidth="1"/>
    <col min="8706" max="8706" width="56.42578125" style="2244" customWidth="1"/>
    <col min="8707" max="8707" width="10.28515625" style="2244" customWidth="1"/>
    <col min="8708" max="8714" width="10.7109375" style="2244" customWidth="1"/>
    <col min="8715" max="8715" width="9.140625" style="2244"/>
    <col min="8716" max="8716" width="11.28515625" style="2244" bestFit="1" customWidth="1"/>
    <col min="8717" max="8717" width="9.7109375" style="2244" bestFit="1" customWidth="1"/>
    <col min="8718" max="8960" width="9.140625" style="2244"/>
    <col min="8961" max="8961" width="5.28515625" style="2244" customWidth="1"/>
    <col min="8962" max="8962" width="56.42578125" style="2244" customWidth="1"/>
    <col min="8963" max="8963" width="10.28515625" style="2244" customWidth="1"/>
    <col min="8964" max="8970" width="10.7109375" style="2244" customWidth="1"/>
    <col min="8971" max="8971" width="9.140625" style="2244"/>
    <col min="8972" max="8972" width="11.28515625" style="2244" bestFit="1" customWidth="1"/>
    <col min="8973" max="8973" width="9.7109375" style="2244" bestFit="1" customWidth="1"/>
    <col min="8974" max="9216" width="9.140625" style="2244"/>
    <col min="9217" max="9217" width="5.28515625" style="2244" customWidth="1"/>
    <col min="9218" max="9218" width="56.42578125" style="2244" customWidth="1"/>
    <col min="9219" max="9219" width="10.28515625" style="2244" customWidth="1"/>
    <col min="9220" max="9226" width="10.7109375" style="2244" customWidth="1"/>
    <col min="9227" max="9227" width="9.140625" style="2244"/>
    <col min="9228" max="9228" width="11.28515625" style="2244" bestFit="1" customWidth="1"/>
    <col min="9229" max="9229" width="9.7109375" style="2244" bestFit="1" customWidth="1"/>
    <col min="9230" max="9472" width="9.140625" style="2244"/>
    <col min="9473" max="9473" width="5.28515625" style="2244" customWidth="1"/>
    <col min="9474" max="9474" width="56.42578125" style="2244" customWidth="1"/>
    <col min="9475" max="9475" width="10.28515625" style="2244" customWidth="1"/>
    <col min="9476" max="9482" width="10.7109375" style="2244" customWidth="1"/>
    <col min="9483" max="9483" width="9.140625" style="2244"/>
    <col min="9484" max="9484" width="11.28515625" style="2244" bestFit="1" customWidth="1"/>
    <col min="9485" max="9485" width="9.7109375" style="2244" bestFit="1" customWidth="1"/>
    <col min="9486" max="9728" width="9.140625" style="2244"/>
    <col min="9729" max="9729" width="5.28515625" style="2244" customWidth="1"/>
    <col min="9730" max="9730" width="56.42578125" style="2244" customWidth="1"/>
    <col min="9731" max="9731" width="10.28515625" style="2244" customWidth="1"/>
    <col min="9732" max="9738" width="10.7109375" style="2244" customWidth="1"/>
    <col min="9739" max="9739" width="9.140625" style="2244"/>
    <col min="9740" max="9740" width="11.28515625" style="2244" bestFit="1" customWidth="1"/>
    <col min="9741" max="9741" width="9.7109375" style="2244" bestFit="1" customWidth="1"/>
    <col min="9742" max="9984" width="9.140625" style="2244"/>
    <col min="9985" max="9985" width="5.28515625" style="2244" customWidth="1"/>
    <col min="9986" max="9986" width="56.42578125" style="2244" customWidth="1"/>
    <col min="9987" max="9987" width="10.28515625" style="2244" customWidth="1"/>
    <col min="9988" max="9994" width="10.7109375" style="2244" customWidth="1"/>
    <col min="9995" max="9995" width="9.140625" style="2244"/>
    <col min="9996" max="9996" width="11.28515625" style="2244" bestFit="1" customWidth="1"/>
    <col min="9997" max="9997" width="9.7109375" style="2244" bestFit="1" customWidth="1"/>
    <col min="9998" max="10240" width="9.140625" style="2244"/>
    <col min="10241" max="10241" width="5.28515625" style="2244" customWidth="1"/>
    <col min="10242" max="10242" width="56.42578125" style="2244" customWidth="1"/>
    <col min="10243" max="10243" width="10.28515625" style="2244" customWidth="1"/>
    <col min="10244" max="10250" width="10.7109375" style="2244" customWidth="1"/>
    <col min="10251" max="10251" width="9.140625" style="2244"/>
    <col min="10252" max="10252" width="11.28515625" style="2244" bestFit="1" customWidth="1"/>
    <col min="10253" max="10253" width="9.7109375" style="2244" bestFit="1" customWidth="1"/>
    <col min="10254" max="10496" width="9.140625" style="2244"/>
    <col min="10497" max="10497" width="5.28515625" style="2244" customWidth="1"/>
    <col min="10498" max="10498" width="56.42578125" style="2244" customWidth="1"/>
    <col min="10499" max="10499" width="10.28515625" style="2244" customWidth="1"/>
    <col min="10500" max="10506" width="10.7109375" style="2244" customWidth="1"/>
    <col min="10507" max="10507" width="9.140625" style="2244"/>
    <col min="10508" max="10508" width="11.28515625" style="2244" bestFit="1" customWidth="1"/>
    <col min="10509" max="10509" width="9.7109375" style="2244" bestFit="1" customWidth="1"/>
    <col min="10510" max="10752" width="9.140625" style="2244"/>
    <col min="10753" max="10753" width="5.28515625" style="2244" customWidth="1"/>
    <col min="10754" max="10754" width="56.42578125" style="2244" customWidth="1"/>
    <col min="10755" max="10755" width="10.28515625" style="2244" customWidth="1"/>
    <col min="10756" max="10762" width="10.7109375" style="2244" customWidth="1"/>
    <col min="10763" max="10763" width="9.140625" style="2244"/>
    <col min="10764" max="10764" width="11.28515625" style="2244" bestFit="1" customWidth="1"/>
    <col min="10765" max="10765" width="9.7109375" style="2244" bestFit="1" customWidth="1"/>
    <col min="10766" max="11008" width="9.140625" style="2244"/>
    <col min="11009" max="11009" width="5.28515625" style="2244" customWidth="1"/>
    <col min="11010" max="11010" width="56.42578125" style="2244" customWidth="1"/>
    <col min="11011" max="11011" width="10.28515625" style="2244" customWidth="1"/>
    <col min="11012" max="11018" width="10.7109375" style="2244" customWidth="1"/>
    <col min="11019" max="11019" width="9.140625" style="2244"/>
    <col min="11020" max="11020" width="11.28515625" style="2244" bestFit="1" customWidth="1"/>
    <col min="11021" max="11021" width="9.7109375" style="2244" bestFit="1" customWidth="1"/>
    <col min="11022" max="11264" width="9.140625" style="2244"/>
    <col min="11265" max="11265" width="5.28515625" style="2244" customWidth="1"/>
    <col min="11266" max="11266" width="56.42578125" style="2244" customWidth="1"/>
    <col min="11267" max="11267" width="10.28515625" style="2244" customWidth="1"/>
    <col min="11268" max="11274" width="10.7109375" style="2244" customWidth="1"/>
    <col min="11275" max="11275" width="9.140625" style="2244"/>
    <col min="11276" max="11276" width="11.28515625" style="2244" bestFit="1" customWidth="1"/>
    <col min="11277" max="11277" width="9.7109375" style="2244" bestFit="1" customWidth="1"/>
    <col min="11278" max="11520" width="9.140625" style="2244"/>
    <col min="11521" max="11521" width="5.28515625" style="2244" customWidth="1"/>
    <col min="11522" max="11522" width="56.42578125" style="2244" customWidth="1"/>
    <col min="11523" max="11523" width="10.28515625" style="2244" customWidth="1"/>
    <col min="11524" max="11530" width="10.7109375" style="2244" customWidth="1"/>
    <col min="11531" max="11531" width="9.140625" style="2244"/>
    <col min="11532" max="11532" width="11.28515625" style="2244" bestFit="1" customWidth="1"/>
    <col min="11533" max="11533" width="9.7109375" style="2244" bestFit="1" customWidth="1"/>
    <col min="11534" max="11776" width="9.140625" style="2244"/>
    <col min="11777" max="11777" width="5.28515625" style="2244" customWidth="1"/>
    <col min="11778" max="11778" width="56.42578125" style="2244" customWidth="1"/>
    <col min="11779" max="11779" width="10.28515625" style="2244" customWidth="1"/>
    <col min="11780" max="11786" width="10.7109375" style="2244" customWidth="1"/>
    <col min="11787" max="11787" width="9.140625" style="2244"/>
    <col min="11788" max="11788" width="11.28515625" style="2244" bestFit="1" customWidth="1"/>
    <col min="11789" max="11789" width="9.7109375" style="2244" bestFit="1" customWidth="1"/>
    <col min="11790" max="12032" width="9.140625" style="2244"/>
    <col min="12033" max="12033" width="5.28515625" style="2244" customWidth="1"/>
    <col min="12034" max="12034" width="56.42578125" style="2244" customWidth="1"/>
    <col min="12035" max="12035" width="10.28515625" style="2244" customWidth="1"/>
    <col min="12036" max="12042" width="10.7109375" style="2244" customWidth="1"/>
    <col min="12043" max="12043" width="9.140625" style="2244"/>
    <col min="12044" max="12044" width="11.28515625" style="2244" bestFit="1" customWidth="1"/>
    <col min="12045" max="12045" width="9.7109375" style="2244" bestFit="1" customWidth="1"/>
    <col min="12046" max="12288" width="9.140625" style="2244"/>
    <col min="12289" max="12289" width="5.28515625" style="2244" customWidth="1"/>
    <col min="12290" max="12290" width="56.42578125" style="2244" customWidth="1"/>
    <col min="12291" max="12291" width="10.28515625" style="2244" customWidth="1"/>
    <col min="12292" max="12298" width="10.7109375" style="2244" customWidth="1"/>
    <col min="12299" max="12299" width="9.140625" style="2244"/>
    <col min="12300" max="12300" width="11.28515625" style="2244" bestFit="1" customWidth="1"/>
    <col min="12301" max="12301" width="9.7109375" style="2244" bestFit="1" customWidth="1"/>
    <col min="12302" max="12544" width="9.140625" style="2244"/>
    <col min="12545" max="12545" width="5.28515625" style="2244" customWidth="1"/>
    <col min="12546" max="12546" width="56.42578125" style="2244" customWidth="1"/>
    <col min="12547" max="12547" width="10.28515625" style="2244" customWidth="1"/>
    <col min="12548" max="12554" width="10.7109375" style="2244" customWidth="1"/>
    <col min="12555" max="12555" width="9.140625" style="2244"/>
    <col min="12556" max="12556" width="11.28515625" style="2244" bestFit="1" customWidth="1"/>
    <col min="12557" max="12557" width="9.7109375" style="2244" bestFit="1" customWidth="1"/>
    <col min="12558" max="12800" width="9.140625" style="2244"/>
    <col min="12801" max="12801" width="5.28515625" style="2244" customWidth="1"/>
    <col min="12802" max="12802" width="56.42578125" style="2244" customWidth="1"/>
    <col min="12803" max="12803" width="10.28515625" style="2244" customWidth="1"/>
    <col min="12804" max="12810" width="10.7109375" style="2244" customWidth="1"/>
    <col min="12811" max="12811" width="9.140625" style="2244"/>
    <col min="12812" max="12812" width="11.28515625" style="2244" bestFit="1" customWidth="1"/>
    <col min="12813" max="12813" width="9.7109375" style="2244" bestFit="1" customWidth="1"/>
    <col min="12814" max="13056" width="9.140625" style="2244"/>
    <col min="13057" max="13057" width="5.28515625" style="2244" customWidth="1"/>
    <col min="13058" max="13058" width="56.42578125" style="2244" customWidth="1"/>
    <col min="13059" max="13059" width="10.28515625" style="2244" customWidth="1"/>
    <col min="13060" max="13066" width="10.7109375" style="2244" customWidth="1"/>
    <col min="13067" max="13067" width="9.140625" style="2244"/>
    <col min="13068" max="13068" width="11.28515625" style="2244" bestFit="1" customWidth="1"/>
    <col min="13069" max="13069" width="9.7109375" style="2244" bestFit="1" customWidth="1"/>
    <col min="13070" max="13312" width="9.140625" style="2244"/>
    <col min="13313" max="13313" width="5.28515625" style="2244" customWidth="1"/>
    <col min="13314" max="13314" width="56.42578125" style="2244" customWidth="1"/>
    <col min="13315" max="13315" width="10.28515625" style="2244" customWidth="1"/>
    <col min="13316" max="13322" width="10.7109375" style="2244" customWidth="1"/>
    <col min="13323" max="13323" width="9.140625" style="2244"/>
    <col min="13324" max="13324" width="11.28515625" style="2244" bestFit="1" customWidth="1"/>
    <col min="13325" max="13325" width="9.7109375" style="2244" bestFit="1" customWidth="1"/>
    <col min="13326" max="13568" width="9.140625" style="2244"/>
    <col min="13569" max="13569" width="5.28515625" style="2244" customWidth="1"/>
    <col min="13570" max="13570" width="56.42578125" style="2244" customWidth="1"/>
    <col min="13571" max="13571" width="10.28515625" style="2244" customWidth="1"/>
    <col min="13572" max="13578" width="10.7109375" style="2244" customWidth="1"/>
    <col min="13579" max="13579" width="9.140625" style="2244"/>
    <col min="13580" max="13580" width="11.28515625" style="2244" bestFit="1" customWidth="1"/>
    <col min="13581" max="13581" width="9.7109375" style="2244" bestFit="1" customWidth="1"/>
    <col min="13582" max="13824" width="9.140625" style="2244"/>
    <col min="13825" max="13825" width="5.28515625" style="2244" customWidth="1"/>
    <col min="13826" max="13826" width="56.42578125" style="2244" customWidth="1"/>
    <col min="13827" max="13827" width="10.28515625" style="2244" customWidth="1"/>
    <col min="13828" max="13834" width="10.7109375" style="2244" customWidth="1"/>
    <col min="13835" max="13835" width="9.140625" style="2244"/>
    <col min="13836" max="13836" width="11.28515625" style="2244" bestFit="1" customWidth="1"/>
    <col min="13837" max="13837" width="9.7109375" style="2244" bestFit="1" customWidth="1"/>
    <col min="13838" max="14080" width="9.140625" style="2244"/>
    <col min="14081" max="14081" width="5.28515625" style="2244" customWidth="1"/>
    <col min="14082" max="14082" width="56.42578125" style="2244" customWidth="1"/>
    <col min="14083" max="14083" width="10.28515625" style="2244" customWidth="1"/>
    <col min="14084" max="14090" width="10.7109375" style="2244" customWidth="1"/>
    <col min="14091" max="14091" width="9.140625" style="2244"/>
    <col min="14092" max="14092" width="11.28515625" style="2244" bestFit="1" customWidth="1"/>
    <col min="14093" max="14093" width="9.7109375" style="2244" bestFit="1" customWidth="1"/>
    <col min="14094" max="14336" width="9.140625" style="2244"/>
    <col min="14337" max="14337" width="5.28515625" style="2244" customWidth="1"/>
    <col min="14338" max="14338" width="56.42578125" style="2244" customWidth="1"/>
    <col min="14339" max="14339" width="10.28515625" style="2244" customWidth="1"/>
    <col min="14340" max="14346" width="10.7109375" style="2244" customWidth="1"/>
    <col min="14347" max="14347" width="9.140625" style="2244"/>
    <col min="14348" max="14348" width="11.28515625" style="2244" bestFit="1" customWidth="1"/>
    <col min="14349" max="14349" width="9.7109375" style="2244" bestFit="1" customWidth="1"/>
    <col min="14350" max="14592" width="9.140625" style="2244"/>
    <col min="14593" max="14593" width="5.28515625" style="2244" customWidth="1"/>
    <col min="14594" max="14594" width="56.42578125" style="2244" customWidth="1"/>
    <col min="14595" max="14595" width="10.28515625" style="2244" customWidth="1"/>
    <col min="14596" max="14602" width="10.7109375" style="2244" customWidth="1"/>
    <col min="14603" max="14603" width="9.140625" style="2244"/>
    <col min="14604" max="14604" width="11.28515625" style="2244" bestFit="1" customWidth="1"/>
    <col min="14605" max="14605" width="9.7109375" style="2244" bestFit="1" customWidth="1"/>
    <col min="14606" max="14848" width="9.140625" style="2244"/>
    <col min="14849" max="14849" width="5.28515625" style="2244" customWidth="1"/>
    <col min="14850" max="14850" width="56.42578125" style="2244" customWidth="1"/>
    <col min="14851" max="14851" width="10.28515625" style="2244" customWidth="1"/>
    <col min="14852" max="14858" width="10.7109375" style="2244" customWidth="1"/>
    <col min="14859" max="14859" width="9.140625" style="2244"/>
    <col min="14860" max="14860" width="11.28515625" style="2244" bestFit="1" customWidth="1"/>
    <col min="14861" max="14861" width="9.7109375" style="2244" bestFit="1" customWidth="1"/>
    <col min="14862" max="15104" width="9.140625" style="2244"/>
    <col min="15105" max="15105" width="5.28515625" style="2244" customWidth="1"/>
    <col min="15106" max="15106" width="56.42578125" style="2244" customWidth="1"/>
    <col min="15107" max="15107" width="10.28515625" style="2244" customWidth="1"/>
    <col min="15108" max="15114" width="10.7109375" style="2244" customWidth="1"/>
    <col min="15115" max="15115" width="9.140625" style="2244"/>
    <col min="15116" max="15116" width="11.28515625" style="2244" bestFit="1" customWidth="1"/>
    <col min="15117" max="15117" width="9.7109375" style="2244" bestFit="1" customWidth="1"/>
    <col min="15118" max="15360" width="9.140625" style="2244"/>
    <col min="15361" max="15361" width="5.28515625" style="2244" customWidth="1"/>
    <col min="15362" max="15362" width="56.42578125" style="2244" customWidth="1"/>
    <col min="15363" max="15363" width="10.28515625" style="2244" customWidth="1"/>
    <col min="15364" max="15370" width="10.7109375" style="2244" customWidth="1"/>
    <col min="15371" max="15371" width="9.140625" style="2244"/>
    <col min="15372" max="15372" width="11.28515625" style="2244" bestFit="1" customWidth="1"/>
    <col min="15373" max="15373" width="9.7109375" style="2244" bestFit="1" customWidth="1"/>
    <col min="15374" max="15616" width="9.140625" style="2244"/>
    <col min="15617" max="15617" width="5.28515625" style="2244" customWidth="1"/>
    <col min="15618" max="15618" width="56.42578125" style="2244" customWidth="1"/>
    <col min="15619" max="15619" width="10.28515625" style="2244" customWidth="1"/>
    <col min="15620" max="15626" width="10.7109375" style="2244" customWidth="1"/>
    <col min="15627" max="15627" width="9.140625" style="2244"/>
    <col min="15628" max="15628" width="11.28515625" style="2244" bestFit="1" customWidth="1"/>
    <col min="15629" max="15629" width="9.7109375" style="2244" bestFit="1" customWidth="1"/>
    <col min="15630" max="15872" width="9.140625" style="2244"/>
    <col min="15873" max="15873" width="5.28515625" style="2244" customWidth="1"/>
    <col min="15874" max="15874" width="56.42578125" style="2244" customWidth="1"/>
    <col min="15875" max="15875" width="10.28515625" style="2244" customWidth="1"/>
    <col min="15876" max="15882" width="10.7109375" style="2244" customWidth="1"/>
    <col min="15883" max="15883" width="9.140625" style="2244"/>
    <col min="15884" max="15884" width="11.28515625" style="2244" bestFit="1" customWidth="1"/>
    <col min="15885" max="15885" width="9.7109375" style="2244" bestFit="1" customWidth="1"/>
    <col min="15886" max="16128" width="9.140625" style="2244"/>
    <col min="16129" max="16129" width="5.28515625" style="2244" customWidth="1"/>
    <col min="16130" max="16130" width="56.42578125" style="2244" customWidth="1"/>
    <col min="16131" max="16131" width="10.28515625" style="2244" customWidth="1"/>
    <col min="16132" max="16138" width="10.7109375" style="2244" customWidth="1"/>
    <col min="16139" max="16139" width="9.140625" style="2244"/>
    <col min="16140" max="16140" width="11.28515625" style="2244" bestFit="1" customWidth="1"/>
    <col min="16141" max="16141" width="9.7109375" style="2244" bestFit="1" customWidth="1"/>
    <col min="16142" max="16384" width="9.140625" style="2244"/>
  </cols>
  <sheetData>
    <row r="1" spans="1:13" ht="19.5" customHeight="1">
      <c r="B1" s="2245"/>
      <c r="C1" s="2245"/>
      <c r="D1" s="2246"/>
      <c r="E1" s="2246"/>
      <c r="F1" s="2246"/>
      <c r="G1" s="2246"/>
      <c r="H1" s="2246"/>
      <c r="I1" s="2246" t="s">
        <v>1058</v>
      </c>
      <c r="J1" s="2246"/>
    </row>
    <row r="2" spans="1:13" ht="19.5" customHeight="1">
      <c r="A2" s="5328" t="s">
        <v>1453</v>
      </c>
      <c r="B2" s="5328"/>
      <c r="C2" s="5328"/>
      <c r="D2" s="5328"/>
      <c r="E2" s="5328"/>
      <c r="F2" s="5328"/>
      <c r="G2" s="5328"/>
      <c r="H2" s="5328"/>
      <c r="I2" s="5328"/>
      <c r="J2" s="5328"/>
    </row>
    <row r="3" spans="1:13" ht="18.75">
      <c r="A3" s="5328" t="s">
        <v>1844</v>
      </c>
      <c r="B3" s="5328"/>
      <c r="C3" s="5328"/>
      <c r="D3" s="5328"/>
      <c r="E3" s="5328"/>
      <c r="F3" s="5328"/>
      <c r="G3" s="5328"/>
      <c r="H3" s="5328"/>
      <c r="I3" s="5328"/>
      <c r="J3" s="5328"/>
    </row>
    <row r="4" spans="1:13" s="4573" customFormat="1" ht="19.5" customHeight="1">
      <c r="A4" s="5319" t="str">
        <f>'1. Обща информация'!A4:D4</f>
        <v>на "Водоснабдяване и канализаиця"ООД, гр. Перник</v>
      </c>
      <c r="B4" s="5319"/>
      <c r="C4" s="5319"/>
      <c r="D4" s="5319"/>
      <c r="E4" s="5319"/>
      <c r="F4" s="5319"/>
      <c r="G4" s="5319"/>
      <c r="H4" s="5319"/>
      <c r="I4" s="5319"/>
      <c r="J4" s="5319"/>
    </row>
    <row r="5" spans="1:13" s="4573" customFormat="1" ht="19.5" customHeight="1">
      <c r="A5" s="5319" t="str">
        <f>'1. Обща информация'!A5:D5</f>
        <v>ЕИК по БУЛСТАТ: 823073638</v>
      </c>
      <c r="B5" s="5319"/>
      <c r="C5" s="5319"/>
      <c r="D5" s="5319"/>
      <c r="E5" s="5319"/>
      <c r="F5" s="5319"/>
      <c r="G5" s="5319"/>
      <c r="H5" s="5319"/>
      <c r="I5" s="5319"/>
      <c r="J5" s="5319"/>
    </row>
    <row r="6" spans="1:13" s="4573" customFormat="1" ht="15.75" customHeight="1" thickBot="1">
      <c r="A6" s="2247"/>
      <c r="B6" s="2247"/>
      <c r="C6" s="2247"/>
      <c r="D6" s="2247"/>
      <c r="E6" s="2247"/>
      <c r="F6" s="2247"/>
      <c r="G6" s="2247"/>
      <c r="H6" s="2247"/>
      <c r="I6" s="2247"/>
      <c r="J6" s="2247"/>
    </row>
    <row r="7" spans="1:13" s="2269" customFormat="1" ht="9.75" customHeight="1">
      <c r="A7" s="5320" t="s">
        <v>1</v>
      </c>
      <c r="B7" s="5322" t="s">
        <v>90</v>
      </c>
      <c r="C7" s="5324" t="s">
        <v>170</v>
      </c>
      <c r="D7" s="5326" t="str">
        <f>'Приложение '!$C12</f>
        <v>2020 г.</v>
      </c>
      <c r="E7" s="5326" t="str">
        <f>'Приложение '!$C13</f>
        <v>2021 г.</v>
      </c>
      <c r="F7" s="5326" t="str">
        <f>'Приложение '!$C14</f>
        <v>2022 г.</v>
      </c>
      <c r="G7" s="5326" t="str">
        <f>'Приложение '!$C15</f>
        <v>2023 г.</v>
      </c>
      <c r="H7" s="5326" t="str">
        <f>'Приложение '!$C16</f>
        <v>2024 г.</v>
      </c>
      <c r="I7" s="5326" t="str">
        <f>'Приложение '!$C17</f>
        <v>2025 г.</v>
      </c>
      <c r="J7" s="5326" t="str">
        <f>'Приложение '!$C18</f>
        <v>2026 г.</v>
      </c>
      <c r="K7" s="2285"/>
      <c r="L7" s="2285"/>
      <c r="M7" s="2285"/>
    </row>
    <row r="8" spans="1:13" s="2269" customFormat="1" thickBot="1">
      <c r="A8" s="5321"/>
      <c r="B8" s="5323"/>
      <c r="C8" s="5325"/>
      <c r="D8" s="5327"/>
      <c r="E8" s="5327"/>
      <c r="F8" s="5327"/>
      <c r="G8" s="5327"/>
      <c r="H8" s="5327"/>
      <c r="I8" s="5327"/>
      <c r="J8" s="5327"/>
    </row>
    <row r="9" spans="1:13" s="2269" customFormat="1" ht="12">
      <c r="A9" s="54" t="s">
        <v>145</v>
      </c>
      <c r="B9" s="55" t="s">
        <v>1008</v>
      </c>
      <c r="C9" s="2248" t="s">
        <v>601</v>
      </c>
      <c r="D9" s="339">
        <f>SUM(D10:D12)</f>
        <v>1564.99</v>
      </c>
      <c r="E9" s="339">
        <f t="shared" ref="E9:J9" si="0">SUM(E10:E12)</f>
        <v>1569.99</v>
      </c>
      <c r="F9" s="339">
        <f t="shared" si="0"/>
        <v>1579.56</v>
      </c>
      <c r="G9" s="339">
        <f t="shared" si="0"/>
        <v>1589.56</v>
      </c>
      <c r="H9" s="339">
        <f t="shared" si="0"/>
        <v>1343.56</v>
      </c>
      <c r="I9" s="339">
        <f t="shared" si="0"/>
        <v>771.56</v>
      </c>
      <c r="J9" s="339">
        <f t="shared" si="0"/>
        <v>178.56</v>
      </c>
      <c r="L9" s="4574"/>
    </row>
    <row r="10" spans="1:13" s="2269" customFormat="1" ht="24">
      <c r="A10" s="56" t="s">
        <v>93</v>
      </c>
      <c r="B10" s="2249" t="s">
        <v>1140</v>
      </c>
      <c r="C10" s="2250" t="s">
        <v>601</v>
      </c>
      <c r="D10" s="269">
        <v>1562</v>
      </c>
      <c r="E10" s="340">
        <f>IF(D25&lt;0,"error",D25)</f>
        <v>1562</v>
      </c>
      <c r="F10" s="341">
        <f>IF(D25&lt;0,"error",D25)</f>
        <v>1562</v>
      </c>
      <c r="G10" s="340">
        <f t="shared" ref="G10:J11" si="1">IF(F25&lt;0,"error",F25)</f>
        <v>1562</v>
      </c>
      <c r="H10" s="340">
        <f t="shared" si="1"/>
        <v>1212</v>
      </c>
      <c r="I10" s="341">
        <f t="shared" si="1"/>
        <v>562</v>
      </c>
      <c r="J10" s="340">
        <f t="shared" si="1"/>
        <v>0</v>
      </c>
    </row>
    <row r="11" spans="1:13" s="2269" customFormat="1" ht="24">
      <c r="A11" s="56" t="s">
        <v>94</v>
      </c>
      <c r="B11" s="2249" t="s">
        <v>1212</v>
      </c>
      <c r="C11" s="2250" t="s">
        <v>601</v>
      </c>
      <c r="D11" s="424"/>
      <c r="E11" s="340">
        <f>IF(D26&lt;0,"error",D26)</f>
        <v>2.99</v>
      </c>
      <c r="F11" s="341">
        <f>IF(E26&lt;0,"error",E26)</f>
        <v>7.99</v>
      </c>
      <c r="G11" s="340">
        <f t="shared" si="1"/>
        <v>17.560000000000002</v>
      </c>
      <c r="H11" s="340">
        <f t="shared" si="1"/>
        <v>19.560000000000002</v>
      </c>
      <c r="I11" s="341">
        <f t="shared" si="1"/>
        <v>90.56</v>
      </c>
      <c r="J11" s="340">
        <f t="shared" si="1"/>
        <v>59.56</v>
      </c>
    </row>
    <row r="12" spans="1:13" s="2269" customFormat="1" ht="12">
      <c r="A12" s="56" t="s">
        <v>96</v>
      </c>
      <c r="B12" s="57" t="s">
        <v>602</v>
      </c>
      <c r="C12" s="2250" t="s">
        <v>601</v>
      </c>
      <c r="D12" s="4929">
        <v>2.99</v>
      </c>
      <c r="E12" s="4930">
        <v>5</v>
      </c>
      <c r="F12" s="4930">
        <v>9.57</v>
      </c>
      <c r="G12" s="4930">
        <v>10</v>
      </c>
      <c r="H12" s="4930">
        <v>112</v>
      </c>
      <c r="I12" s="4930">
        <v>119</v>
      </c>
      <c r="J12" s="4930">
        <v>119</v>
      </c>
    </row>
    <row r="13" spans="1:13" s="2269" customFormat="1" ht="12">
      <c r="A13" s="56" t="s">
        <v>149</v>
      </c>
      <c r="B13" s="57" t="s">
        <v>1043</v>
      </c>
      <c r="C13" s="2250" t="s">
        <v>174</v>
      </c>
      <c r="D13" s="4931">
        <v>0.1</v>
      </c>
      <c r="E13" s="4932">
        <v>0.67</v>
      </c>
      <c r="F13" s="4932">
        <v>0.92</v>
      </c>
      <c r="G13" s="4932">
        <v>0.92</v>
      </c>
      <c r="H13" s="4932">
        <v>0.65</v>
      </c>
      <c r="I13" s="4932">
        <v>0.63</v>
      </c>
      <c r="J13" s="4932">
        <v>0.61</v>
      </c>
    </row>
    <row r="14" spans="1:13" s="2269" customFormat="1" ht="48">
      <c r="A14" s="54" t="s">
        <v>98</v>
      </c>
      <c r="B14" s="58" t="s">
        <v>635</v>
      </c>
      <c r="C14" s="2248" t="s">
        <v>601</v>
      </c>
      <c r="D14" s="339">
        <f>SUM(D15:D17)</f>
        <v>0</v>
      </c>
      <c r="E14" s="339">
        <f t="shared" ref="E14:J14" si="2">SUM(E15:E17)</f>
        <v>0</v>
      </c>
      <c r="F14" s="339">
        <f t="shared" si="2"/>
        <v>0</v>
      </c>
      <c r="G14" s="339">
        <f t="shared" si="2"/>
        <v>358</v>
      </c>
      <c r="H14" s="339">
        <f t="shared" si="2"/>
        <v>691</v>
      </c>
      <c r="I14" s="339">
        <f t="shared" si="2"/>
        <v>712</v>
      </c>
      <c r="J14" s="339">
        <f t="shared" si="2"/>
        <v>119</v>
      </c>
      <c r="L14" s="4574"/>
    </row>
    <row r="15" spans="1:13" s="2269" customFormat="1" ht="12">
      <c r="A15" s="56" t="s">
        <v>99</v>
      </c>
      <c r="B15" s="57" t="s">
        <v>1141</v>
      </c>
      <c r="C15" s="2251" t="s">
        <v>601</v>
      </c>
      <c r="D15" s="69">
        <v>0</v>
      </c>
      <c r="E15" s="4930">
        <v>0</v>
      </c>
      <c r="F15" s="4933">
        <v>0</v>
      </c>
      <c r="G15" s="4930">
        <v>350</v>
      </c>
      <c r="H15" s="4930">
        <v>650</v>
      </c>
      <c r="I15" s="4933">
        <v>562</v>
      </c>
      <c r="J15" s="4930">
        <v>0</v>
      </c>
      <c r="L15" s="4575"/>
    </row>
    <row r="16" spans="1:13" s="2269" customFormat="1" ht="12">
      <c r="A16" s="56" t="s">
        <v>100</v>
      </c>
      <c r="B16" s="57" t="s">
        <v>622</v>
      </c>
      <c r="C16" s="2251" t="s">
        <v>601</v>
      </c>
      <c r="D16" s="424"/>
      <c r="E16" s="4930">
        <v>0</v>
      </c>
      <c r="F16" s="4933">
        <v>0</v>
      </c>
      <c r="G16" s="4930">
        <v>4</v>
      </c>
      <c r="H16" s="4930">
        <v>6</v>
      </c>
      <c r="I16" s="4933">
        <v>70</v>
      </c>
      <c r="J16" s="4930">
        <v>39</v>
      </c>
      <c r="L16" s="4575"/>
    </row>
    <row r="17" spans="1:12" s="2269" customFormat="1" ht="12">
      <c r="A17" s="56" t="s">
        <v>173</v>
      </c>
      <c r="B17" s="57" t="s">
        <v>623</v>
      </c>
      <c r="C17" s="2251" t="s">
        <v>601</v>
      </c>
      <c r="D17" s="69">
        <v>0</v>
      </c>
      <c r="E17" s="4930">
        <v>0</v>
      </c>
      <c r="F17" s="4933">
        <v>0</v>
      </c>
      <c r="G17" s="4930">
        <v>4</v>
      </c>
      <c r="H17" s="4930">
        <v>35</v>
      </c>
      <c r="I17" s="4933">
        <v>80</v>
      </c>
      <c r="J17" s="4930">
        <v>80</v>
      </c>
      <c r="L17" s="4575"/>
    </row>
    <row r="18" spans="1:12" s="2269" customFormat="1" ht="12">
      <c r="A18" s="56" t="s">
        <v>247</v>
      </c>
      <c r="B18" s="57" t="s">
        <v>1044</v>
      </c>
      <c r="C18" s="2250" t="s">
        <v>174</v>
      </c>
      <c r="D18" s="268">
        <v>0</v>
      </c>
      <c r="E18" s="4932">
        <v>0</v>
      </c>
      <c r="F18" s="4932">
        <v>0</v>
      </c>
      <c r="G18" s="4932">
        <v>0.55000000000000004</v>
      </c>
      <c r="H18" s="4932">
        <v>0.54400000000000004</v>
      </c>
      <c r="I18" s="4932">
        <v>0.55600000000000005</v>
      </c>
      <c r="J18" s="4932">
        <v>0.53200000000000003</v>
      </c>
      <c r="L18" s="4575"/>
    </row>
    <row r="19" spans="1:12" s="2269" customFormat="1" ht="12">
      <c r="A19" s="54" t="s">
        <v>102</v>
      </c>
      <c r="B19" s="55" t="s">
        <v>603</v>
      </c>
      <c r="C19" s="2248" t="s">
        <v>601</v>
      </c>
      <c r="D19" s="339">
        <f>SUM(D20:D22)</f>
        <v>0</v>
      </c>
      <c r="E19" s="339">
        <f t="shared" ref="E19:J19" si="3">SUM(E20:E22)</f>
        <v>0</v>
      </c>
      <c r="F19" s="339">
        <f t="shared" si="3"/>
        <v>0</v>
      </c>
      <c r="G19" s="339">
        <f t="shared" si="3"/>
        <v>0</v>
      </c>
      <c r="H19" s="339">
        <f t="shared" si="3"/>
        <v>0</v>
      </c>
      <c r="I19" s="339">
        <f t="shared" si="3"/>
        <v>0</v>
      </c>
      <c r="J19" s="339">
        <f t="shared" si="3"/>
        <v>0</v>
      </c>
      <c r="L19" s="4574"/>
    </row>
    <row r="20" spans="1:12" s="2269" customFormat="1" ht="12">
      <c r="A20" s="59" t="s">
        <v>175</v>
      </c>
      <c r="B20" s="60" t="s">
        <v>1142</v>
      </c>
      <c r="C20" s="2251" t="s">
        <v>601</v>
      </c>
      <c r="D20" s="69">
        <v>0</v>
      </c>
      <c r="E20" s="4927">
        <v>0</v>
      </c>
      <c r="F20" s="4934">
        <v>0</v>
      </c>
      <c r="G20" s="4927">
        <v>0</v>
      </c>
      <c r="H20" s="4927">
        <v>0</v>
      </c>
      <c r="I20" s="4934">
        <v>0</v>
      </c>
      <c r="J20" s="4927">
        <v>0</v>
      </c>
      <c r="L20" s="4574"/>
    </row>
    <row r="21" spans="1:12" s="2269" customFormat="1" ht="12">
      <c r="A21" s="59" t="s">
        <v>176</v>
      </c>
      <c r="B21" s="60" t="s">
        <v>624</v>
      </c>
      <c r="C21" s="2251" t="s">
        <v>601</v>
      </c>
      <c r="D21" s="424"/>
      <c r="E21" s="4927">
        <v>0</v>
      </c>
      <c r="F21" s="4934">
        <v>0</v>
      </c>
      <c r="G21" s="4927">
        <v>0</v>
      </c>
      <c r="H21" s="4927">
        <v>0</v>
      </c>
      <c r="I21" s="4934">
        <v>0</v>
      </c>
      <c r="J21" s="4927">
        <v>0</v>
      </c>
      <c r="L21" s="4574"/>
    </row>
    <row r="22" spans="1:12" s="2269" customFormat="1" ht="12">
      <c r="A22" s="59" t="s">
        <v>625</v>
      </c>
      <c r="B22" s="60" t="s">
        <v>626</v>
      </c>
      <c r="C22" s="2251" t="s">
        <v>601</v>
      </c>
      <c r="D22" s="69">
        <v>0</v>
      </c>
      <c r="E22" s="4927">
        <v>0</v>
      </c>
      <c r="F22" s="4934">
        <v>0</v>
      </c>
      <c r="G22" s="4927">
        <v>0</v>
      </c>
      <c r="H22" s="4927">
        <v>0</v>
      </c>
      <c r="I22" s="4927">
        <v>0</v>
      </c>
      <c r="J22" s="4927">
        <v>0</v>
      </c>
      <c r="L22" s="4574"/>
    </row>
    <row r="23" spans="1:12" s="2269" customFormat="1" ht="12">
      <c r="A23" s="56" t="s">
        <v>1010</v>
      </c>
      <c r="B23" s="57" t="s">
        <v>1045</v>
      </c>
      <c r="C23" s="2250" t="s">
        <v>174</v>
      </c>
      <c r="D23" s="268">
        <v>0</v>
      </c>
      <c r="E23" s="4932">
        <v>0</v>
      </c>
      <c r="F23" s="4932">
        <v>0</v>
      </c>
      <c r="G23" s="4932">
        <v>0</v>
      </c>
      <c r="H23" s="4932">
        <v>0</v>
      </c>
      <c r="I23" s="4932">
        <v>0</v>
      </c>
      <c r="J23" s="4932">
        <v>0</v>
      </c>
      <c r="L23" s="4574"/>
    </row>
    <row r="24" spans="1:12" s="2269" customFormat="1" ht="12">
      <c r="A24" s="54" t="s">
        <v>103</v>
      </c>
      <c r="B24" s="55" t="s">
        <v>604</v>
      </c>
      <c r="C24" s="2248" t="s">
        <v>601</v>
      </c>
      <c r="D24" s="339">
        <f t="shared" ref="D24:J24" si="4">IF(D9-D14-D19&gt;=0,D9-D14-D19,0)</f>
        <v>1564.99</v>
      </c>
      <c r="E24" s="339">
        <f t="shared" si="4"/>
        <v>1569.99</v>
      </c>
      <c r="F24" s="339">
        <f t="shared" si="4"/>
        <v>1579.56</v>
      </c>
      <c r="G24" s="339">
        <f t="shared" si="4"/>
        <v>1231.56</v>
      </c>
      <c r="H24" s="339">
        <f t="shared" si="4"/>
        <v>652.55999999999995</v>
      </c>
      <c r="I24" s="339">
        <f t="shared" si="4"/>
        <v>59.559999999999945</v>
      </c>
      <c r="J24" s="339">
        <f t="shared" si="4"/>
        <v>59.56</v>
      </c>
      <c r="L24" s="4574"/>
    </row>
    <row r="25" spans="1:12" s="2269" customFormat="1" ht="12">
      <c r="A25" s="59" t="s">
        <v>104</v>
      </c>
      <c r="B25" s="60" t="s">
        <v>1209</v>
      </c>
      <c r="C25" s="2251" t="s">
        <v>601</v>
      </c>
      <c r="D25" s="342">
        <f>D10-D15-D20</f>
        <v>1562</v>
      </c>
      <c r="E25" s="340">
        <f>E10-E15-E20</f>
        <v>1562</v>
      </c>
      <c r="F25" s="341">
        <f t="shared" ref="F25:J25" si="5">F10-F15-F20</f>
        <v>1562</v>
      </c>
      <c r="G25" s="340">
        <f t="shared" si="5"/>
        <v>1212</v>
      </c>
      <c r="H25" s="340">
        <f t="shared" si="5"/>
        <v>562</v>
      </c>
      <c r="I25" s="341">
        <f t="shared" si="5"/>
        <v>0</v>
      </c>
      <c r="J25" s="340">
        <f t="shared" si="5"/>
        <v>0</v>
      </c>
      <c r="L25" s="4574"/>
    </row>
    <row r="26" spans="1:12" s="2269" customFormat="1" ht="12">
      <c r="A26" s="59" t="s">
        <v>105</v>
      </c>
      <c r="B26" s="60" t="s">
        <v>1210</v>
      </c>
      <c r="C26" s="2251" t="s">
        <v>601</v>
      </c>
      <c r="D26" s="340">
        <f>D11+D12-D16-D21-D17-D22</f>
        <v>2.99</v>
      </c>
      <c r="E26" s="340">
        <f t="shared" ref="E26:J26" si="6">E11+E12-E16-E21-E17-E22</f>
        <v>7.99</v>
      </c>
      <c r="F26" s="340">
        <f t="shared" si="6"/>
        <v>17.560000000000002</v>
      </c>
      <c r="G26" s="340">
        <f t="shared" si="6"/>
        <v>19.560000000000002</v>
      </c>
      <c r="H26" s="340">
        <f t="shared" si="6"/>
        <v>90.56</v>
      </c>
      <c r="I26" s="340">
        <f t="shared" si="6"/>
        <v>59.56</v>
      </c>
      <c r="J26" s="340">
        <f t="shared" si="6"/>
        <v>59.56</v>
      </c>
      <c r="L26" s="4574"/>
    </row>
    <row r="27" spans="1:12" s="2269" customFormat="1" ht="12">
      <c r="A27" s="54" t="s">
        <v>107</v>
      </c>
      <c r="B27" s="55" t="s">
        <v>627</v>
      </c>
      <c r="C27" s="2248" t="s">
        <v>300</v>
      </c>
      <c r="D27" s="343">
        <f>SUM(D28:D31)</f>
        <v>0</v>
      </c>
      <c r="E27" s="343">
        <f t="shared" ref="E27:J27" si="7">SUM(E28:E31)</f>
        <v>0</v>
      </c>
      <c r="F27" s="343">
        <f t="shared" si="7"/>
        <v>0</v>
      </c>
      <c r="G27" s="343">
        <f t="shared" si="7"/>
        <v>34.380000000000003</v>
      </c>
      <c r="H27" s="343">
        <f t="shared" si="7"/>
        <v>65.344000000000008</v>
      </c>
      <c r="I27" s="343">
        <f t="shared" si="7"/>
        <v>69.168000000000006</v>
      </c>
      <c r="J27" s="343">
        <f t="shared" si="7"/>
        <v>10.94</v>
      </c>
      <c r="L27" s="4574"/>
    </row>
    <row r="28" spans="1:12" s="2269" customFormat="1" ht="12">
      <c r="A28" s="59" t="s">
        <v>108</v>
      </c>
      <c r="B28" s="60" t="s">
        <v>731</v>
      </c>
      <c r="C28" s="2251" t="s">
        <v>300</v>
      </c>
      <c r="D28" s="4928">
        <v>0</v>
      </c>
      <c r="E28" s="4927">
        <v>0</v>
      </c>
      <c r="F28" s="4934">
        <v>0</v>
      </c>
      <c r="G28" s="4927">
        <v>0</v>
      </c>
      <c r="H28" s="4927">
        <v>0</v>
      </c>
      <c r="I28" s="4934">
        <v>0</v>
      </c>
      <c r="J28" s="4927">
        <v>0</v>
      </c>
      <c r="L28" s="4574"/>
    </row>
    <row r="29" spans="1:12" s="2269" customFormat="1" ht="12">
      <c r="A29" s="59" t="s">
        <v>112</v>
      </c>
      <c r="B29" s="60" t="s">
        <v>732</v>
      </c>
      <c r="C29" s="2251" t="s">
        <v>300</v>
      </c>
      <c r="D29" s="4928">
        <v>0</v>
      </c>
      <c r="E29" s="4927">
        <v>0</v>
      </c>
      <c r="F29" s="4934">
        <v>0</v>
      </c>
      <c r="G29" s="4927">
        <v>0.18</v>
      </c>
      <c r="H29" s="4927">
        <v>0.14399999999999999</v>
      </c>
      <c r="I29" s="4934">
        <v>0.16800000000000001</v>
      </c>
      <c r="J29" s="4935">
        <v>0</v>
      </c>
      <c r="L29" s="4574"/>
    </row>
    <row r="30" spans="1:12" s="2269" customFormat="1" ht="12">
      <c r="A30" s="59" t="s">
        <v>86</v>
      </c>
      <c r="B30" s="60" t="s">
        <v>629</v>
      </c>
      <c r="C30" s="2251" t="s">
        <v>300</v>
      </c>
      <c r="D30" s="4928">
        <v>0</v>
      </c>
      <c r="E30" s="4927">
        <v>0</v>
      </c>
      <c r="F30" s="4934">
        <v>0</v>
      </c>
      <c r="G30" s="4927">
        <v>0</v>
      </c>
      <c r="H30" s="4927">
        <v>0</v>
      </c>
      <c r="I30" s="4934">
        <v>0</v>
      </c>
      <c r="J30" s="4927">
        <v>0</v>
      </c>
      <c r="L30" s="4574"/>
    </row>
    <row r="31" spans="1:12" s="2269" customFormat="1" ht="12">
      <c r="A31" s="59" t="s">
        <v>87</v>
      </c>
      <c r="B31" s="60" t="s">
        <v>630</v>
      </c>
      <c r="C31" s="2251" t="s">
        <v>300</v>
      </c>
      <c r="D31" s="4928">
        <v>0</v>
      </c>
      <c r="E31" s="4927">
        <v>0</v>
      </c>
      <c r="F31" s="4934">
        <v>0</v>
      </c>
      <c r="G31" s="4927">
        <v>34.200000000000003</v>
      </c>
      <c r="H31" s="4927">
        <v>65.2</v>
      </c>
      <c r="I31" s="4934">
        <v>69</v>
      </c>
      <c r="J31" s="4927">
        <v>10.94</v>
      </c>
      <c r="L31" s="4574"/>
    </row>
    <row r="32" spans="1:12" s="2269" customFormat="1" thickBot="1">
      <c r="A32" s="54" t="s">
        <v>605</v>
      </c>
      <c r="B32" s="649" t="s">
        <v>628</v>
      </c>
      <c r="C32" s="2248" t="s">
        <v>606</v>
      </c>
      <c r="D32" s="344">
        <f t="shared" ref="D32:J32" si="8">IFERROR(D27*1000/(D14+D19),0)</f>
        <v>0</v>
      </c>
      <c r="E32" s="344">
        <f t="shared" si="8"/>
        <v>0</v>
      </c>
      <c r="F32" s="344">
        <f t="shared" si="8"/>
        <v>0</v>
      </c>
      <c r="G32" s="344">
        <f t="shared" si="8"/>
        <v>96.033519553072622</v>
      </c>
      <c r="H32" s="344">
        <f t="shared" si="8"/>
        <v>94.564399421128812</v>
      </c>
      <c r="I32" s="344">
        <f t="shared" si="8"/>
        <v>97.146067415730343</v>
      </c>
      <c r="J32" s="344">
        <f t="shared" si="8"/>
        <v>91.932773109243698</v>
      </c>
      <c r="L32" s="4574"/>
    </row>
    <row r="33" spans="1:14" s="4576" customFormat="1" ht="12">
      <c r="A33" s="1668" t="s">
        <v>1128</v>
      </c>
      <c r="B33" s="955" t="s">
        <v>1129</v>
      </c>
      <c r="C33" s="2252" t="s">
        <v>1130</v>
      </c>
      <c r="D33" s="2253">
        <f>SUM(D34:D36)</f>
        <v>1738.8777777777777</v>
      </c>
      <c r="E33" s="2254">
        <f>SUM(E34:E36)</f>
        <v>4757.545454545455</v>
      </c>
      <c r="F33" s="2254">
        <f t="shared" ref="F33:J33" si="9">SUM(F34:F36)</f>
        <v>19744.500000000011</v>
      </c>
      <c r="G33" s="2254">
        <f t="shared" si="9"/>
        <v>19869.500000000011</v>
      </c>
      <c r="H33" s="2254">
        <f t="shared" si="9"/>
        <v>3838.7428571428572</v>
      </c>
      <c r="I33" s="2254">
        <f t="shared" si="9"/>
        <v>2085.2972972972975</v>
      </c>
      <c r="J33" s="2253">
        <f t="shared" si="9"/>
        <v>457.84615384615387</v>
      </c>
    </row>
    <row r="34" spans="1:14" s="4576" customFormat="1" ht="24">
      <c r="A34" s="1669" t="s">
        <v>966</v>
      </c>
      <c r="B34" s="956" t="s">
        <v>1139</v>
      </c>
      <c r="C34" s="2255" t="s">
        <v>1130</v>
      </c>
      <c r="D34" s="2256">
        <f>D10/(100%-D13)</f>
        <v>1735.5555555555554</v>
      </c>
      <c r="E34" s="2256">
        <f t="shared" ref="E34:J34" si="10">E10/(100%-E13)</f>
        <v>4733.3333333333339</v>
      </c>
      <c r="F34" s="2256">
        <f t="shared" si="10"/>
        <v>19525.000000000011</v>
      </c>
      <c r="G34" s="2256">
        <f t="shared" si="10"/>
        <v>19525.000000000011</v>
      </c>
      <c r="H34" s="2256">
        <f t="shared" si="10"/>
        <v>3462.8571428571431</v>
      </c>
      <c r="I34" s="2256">
        <f t="shared" si="10"/>
        <v>1518.918918918919</v>
      </c>
      <c r="J34" s="2256">
        <f t="shared" si="10"/>
        <v>0</v>
      </c>
    </row>
    <row r="35" spans="1:14" s="4576" customFormat="1" ht="24">
      <c r="A35" s="1669" t="s">
        <v>967</v>
      </c>
      <c r="B35" s="956" t="s">
        <v>1212</v>
      </c>
      <c r="C35" s="2255" t="s">
        <v>1130</v>
      </c>
      <c r="D35" s="2256">
        <f>D11/(100%-D13)</f>
        <v>0</v>
      </c>
      <c r="E35" s="2256">
        <f t="shared" ref="E35:J35" si="11">E11/(100%-E13)</f>
        <v>9.0606060606060623</v>
      </c>
      <c r="F35" s="2256">
        <f t="shared" si="11"/>
        <v>99.875000000000057</v>
      </c>
      <c r="G35" s="2256">
        <f t="shared" si="11"/>
        <v>219.50000000000014</v>
      </c>
      <c r="H35" s="2256">
        <f t="shared" si="11"/>
        <v>55.885714285714293</v>
      </c>
      <c r="I35" s="2256">
        <f t="shared" si="11"/>
        <v>244.75675675675677</v>
      </c>
      <c r="J35" s="2256">
        <f t="shared" si="11"/>
        <v>152.71794871794873</v>
      </c>
    </row>
    <row r="36" spans="1:14" s="4576" customFormat="1" ht="12">
      <c r="A36" s="1669" t="s">
        <v>968</v>
      </c>
      <c r="B36" s="957" t="s">
        <v>1211</v>
      </c>
      <c r="C36" s="2255" t="s">
        <v>1130</v>
      </c>
      <c r="D36" s="2257">
        <f>D12/(100%-D13)</f>
        <v>3.3222222222222224</v>
      </c>
      <c r="E36" s="2257">
        <f t="shared" ref="E36:J36" si="12">E12/(100%-E13)</f>
        <v>15.151515151515154</v>
      </c>
      <c r="F36" s="2257">
        <f t="shared" si="12"/>
        <v>119.62500000000006</v>
      </c>
      <c r="G36" s="2257">
        <f t="shared" si="12"/>
        <v>125.00000000000006</v>
      </c>
      <c r="H36" s="2257">
        <f t="shared" si="12"/>
        <v>320</v>
      </c>
      <c r="I36" s="2257">
        <f t="shared" si="12"/>
        <v>321.62162162162161</v>
      </c>
      <c r="J36" s="2257">
        <f t="shared" si="12"/>
        <v>305.12820512820514</v>
      </c>
    </row>
    <row r="37" spans="1:14" s="4576" customFormat="1" ht="12">
      <c r="A37" s="1670" t="s">
        <v>1131</v>
      </c>
      <c r="B37" s="958" t="s">
        <v>1132</v>
      </c>
      <c r="C37" s="2258" t="s">
        <v>1130</v>
      </c>
      <c r="D37" s="2259">
        <f>SUM(D38:D39)</f>
        <v>0</v>
      </c>
      <c r="E37" s="2260">
        <f>SUM(E38:E39)</f>
        <v>0</v>
      </c>
      <c r="F37" s="2260">
        <f t="shared" ref="F37:J37" si="13">SUM(F38:F39)</f>
        <v>0</v>
      </c>
      <c r="G37" s="2260">
        <f t="shared" si="13"/>
        <v>795.55555555555566</v>
      </c>
      <c r="H37" s="2260">
        <f t="shared" si="13"/>
        <v>1515.3508771929826</v>
      </c>
      <c r="I37" s="2260">
        <f t="shared" si="13"/>
        <v>1603.6036036036037</v>
      </c>
      <c r="J37" s="2259">
        <f t="shared" si="13"/>
        <v>254.2735042735043</v>
      </c>
    </row>
    <row r="38" spans="1:14" s="4576" customFormat="1" ht="12">
      <c r="A38" s="1669" t="s">
        <v>1133</v>
      </c>
      <c r="B38" s="957" t="s">
        <v>1134</v>
      </c>
      <c r="C38" s="2255" t="s">
        <v>1130</v>
      </c>
      <c r="D38" s="2256">
        <f>D14/(100%-D18)</f>
        <v>0</v>
      </c>
      <c r="E38" s="2256">
        <f t="shared" ref="E38:J38" si="14">E14/(100%-E18)</f>
        <v>0</v>
      </c>
      <c r="F38" s="2256">
        <f t="shared" si="14"/>
        <v>0</v>
      </c>
      <c r="G38" s="2256">
        <f t="shared" si="14"/>
        <v>795.55555555555566</v>
      </c>
      <c r="H38" s="2256">
        <f t="shared" si="14"/>
        <v>1515.3508771929826</v>
      </c>
      <c r="I38" s="2256">
        <f t="shared" si="14"/>
        <v>1603.6036036036037</v>
      </c>
      <c r="J38" s="2256">
        <f t="shared" si="14"/>
        <v>254.2735042735043</v>
      </c>
    </row>
    <row r="39" spans="1:14" s="4576" customFormat="1" ht="12">
      <c r="A39" s="1669" t="s">
        <v>1135</v>
      </c>
      <c r="B39" s="957" t="s">
        <v>1136</v>
      </c>
      <c r="C39" s="2255" t="s">
        <v>1130</v>
      </c>
      <c r="D39" s="2257">
        <f t="shared" ref="D39:J39" si="15">D19/(100%-D23)</f>
        <v>0</v>
      </c>
      <c r="E39" s="2261">
        <f t="shared" si="15"/>
        <v>0</v>
      </c>
      <c r="F39" s="2261">
        <f t="shared" si="15"/>
        <v>0</v>
      </c>
      <c r="G39" s="2261">
        <f t="shared" si="15"/>
        <v>0</v>
      </c>
      <c r="H39" s="2261">
        <f t="shared" si="15"/>
        <v>0</v>
      </c>
      <c r="I39" s="2261">
        <f t="shared" si="15"/>
        <v>0</v>
      </c>
      <c r="J39" s="2261">
        <f t="shared" si="15"/>
        <v>0</v>
      </c>
    </row>
    <row r="40" spans="1:14" s="4576" customFormat="1" ht="12">
      <c r="A40" s="1671" t="s">
        <v>1137</v>
      </c>
      <c r="B40" s="959" t="s">
        <v>627</v>
      </c>
      <c r="C40" s="2262" t="s">
        <v>1138</v>
      </c>
      <c r="D40" s="2259">
        <f>SUM(D41:D42)</f>
        <v>0</v>
      </c>
      <c r="E40" s="2263">
        <f>SUM(E41:E42)</f>
        <v>0</v>
      </c>
      <c r="F40" s="2263">
        <f t="shared" ref="F40:J40" si="16">SUM(F41:F42)</f>
        <v>0</v>
      </c>
      <c r="G40" s="2263">
        <f t="shared" si="16"/>
        <v>42.988826815642454</v>
      </c>
      <c r="H40" s="2263">
        <f t="shared" si="16"/>
        <v>43.026338639652671</v>
      </c>
      <c r="I40" s="2263">
        <f t="shared" si="16"/>
        <v>43.028089887640448</v>
      </c>
      <c r="J40" s="2264">
        <f t="shared" si="16"/>
        <v>43.024537815126045</v>
      </c>
    </row>
    <row r="41" spans="1:14" s="4576" customFormat="1" ht="12">
      <c r="A41" s="1669" t="s">
        <v>969</v>
      </c>
      <c r="B41" s="2249" t="s">
        <v>630</v>
      </c>
      <c r="C41" s="2255" t="s">
        <v>1138</v>
      </c>
      <c r="D41" s="2256">
        <f>IFERROR((D31*1000)/D38,0)</f>
        <v>0</v>
      </c>
      <c r="E41" s="2256">
        <f t="shared" ref="E41:J41" si="17">IFERROR((E31*1000)/E38,0)</f>
        <v>0</v>
      </c>
      <c r="F41" s="2256">
        <f t="shared" si="17"/>
        <v>0</v>
      </c>
      <c r="G41" s="2256">
        <f t="shared" si="17"/>
        <v>42.988826815642454</v>
      </c>
      <c r="H41" s="2256">
        <f t="shared" si="17"/>
        <v>43.026338639652671</v>
      </c>
      <c r="I41" s="2256">
        <f t="shared" si="17"/>
        <v>43.028089887640448</v>
      </c>
      <c r="J41" s="2256">
        <f t="shared" si="17"/>
        <v>43.024537815126045</v>
      </c>
    </row>
    <row r="42" spans="1:14" s="4576" customFormat="1" thickBot="1">
      <c r="A42" s="1672" t="s">
        <v>970</v>
      </c>
      <c r="B42" s="2265" t="s">
        <v>732</v>
      </c>
      <c r="C42" s="2266" t="s">
        <v>1138</v>
      </c>
      <c r="D42" s="2267">
        <f>IFERROR((D29*1000)/D39,0)</f>
        <v>0</v>
      </c>
      <c r="E42" s="2267">
        <f t="shared" ref="E42:J42" si="18">IFERROR((E29*1000)/E39,0)</f>
        <v>0</v>
      </c>
      <c r="F42" s="2267">
        <f t="shared" si="18"/>
        <v>0</v>
      </c>
      <c r="G42" s="2267">
        <f t="shared" si="18"/>
        <v>0</v>
      </c>
      <c r="H42" s="2267">
        <f t="shared" si="18"/>
        <v>0</v>
      </c>
      <c r="I42" s="2267">
        <f t="shared" si="18"/>
        <v>0</v>
      </c>
      <c r="J42" s="2267">
        <f t="shared" si="18"/>
        <v>0</v>
      </c>
    </row>
    <row r="43" spans="1:14" s="2271" customFormat="1" ht="8.25" customHeight="1">
      <c r="A43" s="67"/>
      <c r="B43" s="68"/>
      <c r="C43" s="2268"/>
      <c r="D43" s="345"/>
      <c r="E43" s="345"/>
      <c r="F43" s="345"/>
      <c r="G43" s="345"/>
      <c r="H43" s="345"/>
      <c r="I43" s="345"/>
      <c r="J43" s="345"/>
      <c r="L43" s="4577"/>
    </row>
    <row r="44" spans="1:14" s="2271" customFormat="1" ht="15" customHeight="1">
      <c r="A44" s="67"/>
      <c r="B44" s="68"/>
      <c r="C44" s="2268"/>
      <c r="D44" s="345"/>
      <c r="E44" s="345"/>
      <c r="F44" s="345"/>
      <c r="G44" s="345"/>
      <c r="H44" s="345"/>
      <c r="I44" s="345"/>
      <c r="J44" s="345"/>
      <c r="L44" s="4577"/>
    </row>
    <row r="45" spans="1:14" s="2269" customFormat="1" ht="12">
      <c r="B45" s="2270" t="str">
        <f>'Приложение '!B81</f>
        <v>Дата: 24 юни 2021 година</v>
      </c>
      <c r="C45" s="2271"/>
      <c r="D45" s="2272"/>
      <c r="E45" s="2273" t="str">
        <f>'Приложение '!C81</f>
        <v xml:space="preserve">Гл. счетоводител/Фин.директор: </v>
      </c>
      <c r="F45" s="2274" t="str">
        <f>'Приложение '!D81</f>
        <v>..............................................</v>
      </c>
      <c r="G45" s="2272"/>
      <c r="H45" s="2275"/>
      <c r="L45" s="62"/>
      <c r="M45" s="62"/>
    </row>
    <row r="46" spans="1:14" s="2269" customFormat="1" ht="14.25" customHeight="1">
      <c r="B46" s="2276"/>
      <c r="C46" s="2276"/>
      <c r="D46" s="2277"/>
      <c r="E46" s="2273"/>
      <c r="F46" s="2278" t="str">
        <f>'Приложение '!D82</f>
        <v>(подпис)</v>
      </c>
      <c r="G46" s="2272"/>
      <c r="H46" s="2275"/>
      <c r="I46" s="2279"/>
      <c r="K46" s="61"/>
      <c r="L46" s="62"/>
      <c r="M46" s="62"/>
      <c r="N46" s="61"/>
    </row>
    <row r="47" spans="1:14" s="2269" customFormat="1" ht="12">
      <c r="B47" s="2271"/>
      <c r="C47" s="2271"/>
      <c r="D47" s="2272"/>
      <c r="E47" s="2273"/>
      <c r="F47" s="2274"/>
      <c r="G47" s="2280"/>
      <c r="H47" s="2275"/>
      <c r="I47" s="2275"/>
      <c r="K47" s="61"/>
      <c r="L47" s="62"/>
      <c r="M47" s="62"/>
      <c r="N47" s="61"/>
    </row>
    <row r="48" spans="1:14" s="2269" customFormat="1" ht="12">
      <c r="B48" s="2271"/>
      <c r="C48" s="2271"/>
      <c r="D48" s="2272"/>
      <c r="E48" s="2273"/>
      <c r="F48" s="2274"/>
      <c r="G48" s="2280"/>
      <c r="H48" s="2275"/>
      <c r="I48" s="2275"/>
      <c r="K48" s="61"/>
      <c r="L48" s="62"/>
      <c r="M48" s="62"/>
      <c r="N48" s="61"/>
    </row>
    <row r="49" spans="1:14" s="2269" customFormat="1" ht="12">
      <c r="B49" s="2271"/>
      <c r="C49" s="2271"/>
      <c r="D49" s="2272"/>
      <c r="E49" s="2273" t="str">
        <f>'Приложение '!C85</f>
        <v xml:space="preserve">Управител/Изп.директор: </v>
      </c>
      <c r="F49" s="2274" t="str">
        <f>'Приложение '!D85</f>
        <v>.............................................</v>
      </c>
      <c r="G49" s="2280"/>
      <c r="H49" s="2275"/>
      <c r="I49" s="2275"/>
      <c r="K49" s="61"/>
      <c r="L49" s="62"/>
      <c r="M49" s="62"/>
      <c r="N49" s="61"/>
    </row>
    <row r="50" spans="1:14" s="2269" customFormat="1" ht="12">
      <c r="B50" s="2271"/>
      <c r="C50" s="2271"/>
      <c r="D50" s="2272"/>
      <c r="E50" s="71"/>
      <c r="F50" s="2278" t="str">
        <f>'Приложение '!D86</f>
        <v>(подпис и печат)</v>
      </c>
      <c r="G50" s="2272"/>
      <c r="H50" s="2275"/>
      <c r="I50" s="2275"/>
      <c r="K50" s="63"/>
      <c r="L50" s="62"/>
      <c r="M50" s="62"/>
      <c r="N50" s="63"/>
    </row>
    <row r="51" spans="1:14" s="2269" customFormat="1" ht="12">
      <c r="B51" s="2271"/>
      <c r="C51" s="2271"/>
      <c r="D51" s="2272"/>
      <c r="E51" s="2281"/>
      <c r="F51" s="2274"/>
      <c r="G51" s="2280"/>
      <c r="H51" s="2275"/>
      <c r="I51" s="2275"/>
      <c r="J51" s="71"/>
      <c r="K51" s="63"/>
      <c r="L51" s="62"/>
      <c r="M51" s="62"/>
      <c r="N51" s="63"/>
    </row>
    <row r="52" spans="1:14" s="2269" customFormat="1" ht="12">
      <c r="B52" s="2271"/>
      <c r="C52" s="2271"/>
      <c r="D52" s="2272"/>
      <c r="E52" s="2281"/>
      <c r="F52" s="2275"/>
      <c r="G52" s="2280"/>
      <c r="H52" s="2275"/>
      <c r="I52" s="2275"/>
      <c r="J52" s="71"/>
      <c r="K52" s="63"/>
      <c r="L52" s="62"/>
      <c r="M52" s="62"/>
      <c r="N52" s="63"/>
    </row>
    <row r="53" spans="1:14" s="2269" customFormat="1">
      <c r="A53" s="5317" t="s">
        <v>191</v>
      </c>
      <c r="B53" s="5317"/>
      <c r="C53" s="5317"/>
      <c r="D53" s="5317"/>
      <c r="E53" s="2282"/>
      <c r="F53" s="2283"/>
      <c r="G53" s="2283"/>
      <c r="H53" s="2275"/>
      <c r="I53" s="2275"/>
      <c r="J53" s="2275"/>
    </row>
    <row r="54" spans="1:14" s="149" customFormat="1">
      <c r="A54" s="5318" t="s">
        <v>192</v>
      </c>
      <c r="B54" s="5318"/>
      <c r="C54" s="5318"/>
      <c r="D54" s="5318"/>
      <c r="E54" s="2282"/>
      <c r="F54" s="2283"/>
      <c r="G54" s="2283"/>
      <c r="H54" s="2284"/>
      <c r="I54" s="2284"/>
      <c r="J54" s="2285"/>
      <c r="K54" s="4578"/>
    </row>
    <row r="55" spans="1:14" s="149" customFormat="1">
      <c r="A55" s="5316" t="s">
        <v>1407</v>
      </c>
      <c r="B55" s="5316"/>
      <c r="C55" s="5316"/>
      <c r="D55" s="5316"/>
      <c r="E55" s="5316"/>
      <c r="F55" s="2275"/>
      <c r="G55" s="2275"/>
      <c r="H55" s="2284"/>
      <c r="I55" s="2284"/>
      <c r="J55" s="2285"/>
    </row>
    <row r="56" spans="1:14" s="2269" customFormat="1" ht="12">
      <c r="D56" s="2275"/>
      <c r="E56" s="2275"/>
      <c r="F56" s="2275"/>
      <c r="G56" s="2275"/>
      <c r="H56" s="2275"/>
      <c r="I56" s="2275"/>
      <c r="J56" s="2275"/>
    </row>
  </sheetData>
  <sheetProtection password="EB75" sheet="1" objects="1" scenarios="1" formatCells="0" formatColumns="0" formatRows="0"/>
  <mergeCells count="17">
    <mergeCell ref="A2:J2"/>
    <mergeCell ref="A3:J3"/>
    <mergeCell ref="J7:J8"/>
    <mergeCell ref="A55:E55"/>
    <mergeCell ref="A53:D53"/>
    <mergeCell ref="A54:D54"/>
    <mergeCell ref="A4:J4"/>
    <mergeCell ref="A5:J5"/>
    <mergeCell ref="A7:A8"/>
    <mergeCell ref="B7:B8"/>
    <mergeCell ref="C7:C8"/>
    <mergeCell ref="D7:D8"/>
    <mergeCell ref="E7:E8"/>
    <mergeCell ref="F7:F8"/>
    <mergeCell ref="G7:G8"/>
    <mergeCell ref="H7:H8"/>
    <mergeCell ref="I7:I8"/>
  </mergeCells>
  <printOptions horizontalCentered="1"/>
  <pageMargins left="0.51181102362204722" right="0.11811023622047245" top="0.59055118110236227" bottom="0" header="0.31496062992125984" footer="0.19685039370078741"/>
  <pageSetup paperSize="9" scale="76" orientation="portrait" r:id="rId1"/>
  <headerFooter>
    <oddFooter>&amp;C&amp;A</oddFooter>
  </headerFooter>
  <ignoredErrors>
    <ignoredError sqref="E11:J11 E10 G10:J10" unlockedFormula="1"/>
    <ignoredError sqref="D21 D24:J24" formulaRange="1"/>
    <ignoredError sqref="D25:J26" formulaRange="1" unlockedFormula="1"/>
    <ignoredError sqref="A24:A32 A11:A12 A14:A17 A19:A2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CC"/>
  </sheetPr>
  <dimension ref="A1:V169"/>
  <sheetViews>
    <sheetView showGridLines="0" view="pageBreakPreview" zoomScaleNormal="80" zoomScaleSheetLayoutView="100" workbookViewId="0">
      <pane xSplit="2" ySplit="8" topLeftCell="C92" activePane="bottomRight" state="frozen"/>
      <selection pane="topRight" activeCell="C1" sqref="C1"/>
      <selection pane="bottomLeft" activeCell="A9" sqref="A9"/>
      <selection pane="bottomRight" activeCell="O102" sqref="O102"/>
    </sheetView>
  </sheetViews>
  <sheetFormatPr defaultColWidth="9.140625" defaultRowHeight="12"/>
  <cols>
    <col min="1" max="1" width="5.85546875" style="2286" customWidth="1"/>
    <col min="2" max="2" width="47.28515625" style="2287" customWidth="1"/>
    <col min="3" max="3" width="10.7109375" style="2286" customWidth="1"/>
    <col min="4" max="10" width="8.7109375" style="2286" customWidth="1"/>
    <col min="11" max="11" width="9.7109375" style="2286" customWidth="1"/>
    <col min="12" max="12" width="10" style="2286" customWidth="1"/>
    <col min="13" max="13" width="8.7109375" style="2286" customWidth="1"/>
    <col min="14" max="14" width="9.85546875" style="2286" customWidth="1"/>
    <col min="15" max="15" width="8.7109375" style="2286" customWidth="1"/>
    <col min="16" max="21" width="6.7109375" style="2286" customWidth="1"/>
    <col min="22" max="16384" width="9.140625" style="2286"/>
  </cols>
  <sheetData>
    <row r="1" spans="1:21" ht="13.5">
      <c r="K1" s="2288"/>
      <c r="L1" s="2288"/>
      <c r="M1" s="2288"/>
      <c r="N1" s="5344"/>
      <c r="O1" s="5344"/>
      <c r="P1" s="2288"/>
      <c r="T1" s="5344" t="s">
        <v>0</v>
      </c>
      <c r="U1" s="5344"/>
    </row>
    <row r="2" spans="1:21" s="4507" customFormat="1" ht="19.5" customHeight="1">
      <c r="A2" s="5106" t="s">
        <v>1455</v>
      </c>
      <c r="B2" s="5106"/>
      <c r="C2" s="5106"/>
      <c r="D2" s="5106"/>
      <c r="E2" s="5106"/>
      <c r="F2" s="5106"/>
      <c r="G2" s="5106"/>
      <c r="H2" s="5106"/>
      <c r="I2" s="5106"/>
      <c r="J2" s="5106"/>
      <c r="K2" s="5106"/>
      <c r="L2" s="5106"/>
      <c r="M2" s="5106"/>
      <c r="N2" s="5106"/>
      <c r="O2" s="5106"/>
      <c r="P2" s="5106"/>
      <c r="Q2" s="5106"/>
      <c r="R2" s="5106"/>
      <c r="S2" s="5106"/>
      <c r="T2" s="5106"/>
      <c r="U2" s="5106"/>
    </row>
    <row r="3" spans="1:21" s="4507" customFormat="1" ht="19.5" customHeight="1">
      <c r="A3" s="5106" t="s">
        <v>1454</v>
      </c>
      <c r="B3" s="5106"/>
      <c r="C3" s="5106"/>
      <c r="D3" s="5106"/>
      <c r="E3" s="5106"/>
      <c r="F3" s="5106"/>
      <c r="G3" s="5106"/>
      <c r="H3" s="5106"/>
      <c r="I3" s="5106"/>
      <c r="J3" s="5106"/>
      <c r="K3" s="5106"/>
      <c r="L3" s="5106"/>
      <c r="M3" s="5106"/>
      <c r="N3" s="5106"/>
      <c r="O3" s="5106"/>
      <c r="P3" s="5106"/>
      <c r="Q3" s="5106"/>
      <c r="R3" s="5106"/>
      <c r="S3" s="5106"/>
      <c r="T3" s="5106"/>
      <c r="U3" s="5106"/>
    </row>
    <row r="4" spans="1:21" s="4507" customFormat="1" ht="15.75" customHeight="1">
      <c r="A4" s="5345" t="s">
        <v>1837</v>
      </c>
      <c r="B4" s="5345"/>
      <c r="C4" s="5345"/>
      <c r="D4" s="5345"/>
      <c r="E4" s="5345"/>
      <c r="F4" s="5345"/>
      <c r="G4" s="5345"/>
      <c r="H4" s="5345"/>
      <c r="I4" s="5345"/>
      <c r="J4" s="5345"/>
      <c r="K4" s="5345"/>
      <c r="L4" s="5345"/>
      <c r="M4" s="5345"/>
      <c r="N4" s="5345"/>
      <c r="O4" s="5345"/>
      <c r="P4" s="5345"/>
      <c r="Q4" s="5345"/>
      <c r="R4" s="5345"/>
      <c r="S4" s="5345"/>
      <c r="T4" s="5345"/>
      <c r="U4" s="5345"/>
    </row>
    <row r="5" spans="1:21" s="4507" customFormat="1" ht="19.5" customHeight="1">
      <c r="A5" s="5345" t="s">
        <v>1838</v>
      </c>
      <c r="B5" s="5345"/>
      <c r="C5" s="5345"/>
      <c r="D5" s="5345"/>
      <c r="E5" s="5345"/>
      <c r="F5" s="5345"/>
      <c r="G5" s="5345"/>
      <c r="H5" s="5345"/>
      <c r="I5" s="5345"/>
      <c r="J5" s="5345"/>
      <c r="K5" s="5345"/>
      <c r="L5" s="5345"/>
      <c r="M5" s="5345"/>
      <c r="N5" s="5345"/>
      <c r="O5" s="5345"/>
      <c r="P5" s="5345"/>
      <c r="Q5" s="5345"/>
      <c r="R5" s="5345"/>
      <c r="S5" s="5345"/>
      <c r="T5" s="5345"/>
      <c r="U5" s="5345"/>
    </row>
    <row r="6" spans="1:21" ht="12.75" thickBot="1">
      <c r="A6" s="5329"/>
      <c r="B6" s="5329"/>
      <c r="C6" s="5329"/>
      <c r="D6" s="5329"/>
      <c r="E6" s="5329"/>
      <c r="F6" s="5329"/>
      <c r="G6" s="5329"/>
      <c r="H6" s="5329"/>
      <c r="I6" s="5329"/>
      <c r="J6" s="5329"/>
      <c r="K6" s="4703"/>
      <c r="L6" s="4703"/>
      <c r="M6" s="4703"/>
      <c r="N6" s="4703"/>
      <c r="O6" s="4703"/>
      <c r="P6" s="4703"/>
    </row>
    <row r="7" spans="1:21" ht="37.5" customHeight="1">
      <c r="A7" s="5270" t="s">
        <v>208</v>
      </c>
      <c r="B7" s="5337" t="s">
        <v>466</v>
      </c>
      <c r="C7" s="5339" t="s">
        <v>467</v>
      </c>
      <c r="D7" s="5333" t="s">
        <v>921</v>
      </c>
      <c r="E7" s="5334"/>
      <c r="F7" s="5334"/>
      <c r="G7" s="5334"/>
      <c r="H7" s="5334"/>
      <c r="I7" s="5335"/>
      <c r="J7" s="5346" t="s">
        <v>468</v>
      </c>
      <c r="K7" s="5262"/>
      <c r="L7" s="5262"/>
      <c r="M7" s="5262"/>
      <c r="N7" s="5262"/>
      <c r="O7" s="5263"/>
      <c r="P7" s="5261" t="s">
        <v>1824</v>
      </c>
      <c r="Q7" s="5262"/>
      <c r="R7" s="5262"/>
      <c r="S7" s="5262"/>
      <c r="T7" s="5262"/>
      <c r="U7" s="5263"/>
    </row>
    <row r="8" spans="1:21" ht="12.75" thickBot="1">
      <c r="A8" s="5336"/>
      <c r="B8" s="5338"/>
      <c r="C8" s="5340"/>
      <c r="D8" s="4284" t="s">
        <v>119</v>
      </c>
      <c r="E8" s="4285" t="s">
        <v>1072</v>
      </c>
      <c r="F8" s="4285" t="s">
        <v>1073</v>
      </c>
      <c r="G8" s="4285" t="s">
        <v>1074</v>
      </c>
      <c r="H8" s="4285" t="s">
        <v>1075</v>
      </c>
      <c r="I8" s="4286" t="s">
        <v>1076</v>
      </c>
      <c r="J8" s="4287" t="str">
        <f t="shared" ref="J8:U8" si="0">D8</f>
        <v>2020 г.</v>
      </c>
      <c r="K8" s="4288" t="str">
        <f t="shared" si="0"/>
        <v>2022 г.</v>
      </c>
      <c r="L8" s="4288" t="str">
        <f t="shared" si="0"/>
        <v>2023 г.</v>
      </c>
      <c r="M8" s="4288" t="str">
        <f t="shared" si="0"/>
        <v>2024 г.</v>
      </c>
      <c r="N8" s="4288" t="str">
        <f t="shared" si="0"/>
        <v>2025 г.</v>
      </c>
      <c r="O8" s="4289" t="str">
        <f t="shared" si="0"/>
        <v>2026 г.</v>
      </c>
      <c r="P8" s="4287" t="str">
        <f t="shared" si="0"/>
        <v>2020 г.</v>
      </c>
      <c r="Q8" s="4288" t="str">
        <f t="shared" si="0"/>
        <v>2022 г.</v>
      </c>
      <c r="R8" s="4288" t="str">
        <f t="shared" si="0"/>
        <v>2023 г.</v>
      </c>
      <c r="S8" s="4288" t="str">
        <f t="shared" si="0"/>
        <v>2024 г.</v>
      </c>
      <c r="T8" s="4288" t="str">
        <f t="shared" si="0"/>
        <v>2025 г.</v>
      </c>
      <c r="U8" s="4289" t="str">
        <f t="shared" si="0"/>
        <v>2026 г.</v>
      </c>
    </row>
    <row r="9" spans="1:21" ht="21" customHeight="1" thickBot="1">
      <c r="A9" s="1648">
        <v>1</v>
      </c>
      <c r="B9" s="4290" t="s">
        <v>212</v>
      </c>
      <c r="C9" s="5330"/>
      <c r="D9" s="5330"/>
      <c r="E9" s="5330"/>
      <c r="F9" s="5330"/>
      <c r="G9" s="5330"/>
      <c r="H9" s="5330"/>
      <c r="I9" s="5330"/>
      <c r="J9" s="5330"/>
      <c r="K9" s="5330"/>
      <c r="L9" s="5330"/>
      <c r="M9" s="5330"/>
      <c r="N9" s="5330"/>
      <c r="O9" s="5330"/>
      <c r="P9" s="5330"/>
      <c r="Q9" s="5330"/>
      <c r="R9" s="5330"/>
      <c r="S9" s="5330"/>
      <c r="T9" s="5330"/>
      <c r="U9" s="5332"/>
    </row>
    <row r="10" spans="1:21">
      <c r="A10" s="467" t="s">
        <v>469</v>
      </c>
      <c r="B10" s="1624" t="s">
        <v>470</v>
      </c>
      <c r="C10" s="1587" t="s">
        <v>682</v>
      </c>
      <c r="D10" s="4291">
        <v>30</v>
      </c>
      <c r="E10" s="4292">
        <v>30</v>
      </c>
      <c r="F10" s="4292">
        <v>30</v>
      </c>
      <c r="G10" s="4292">
        <v>30</v>
      </c>
      <c r="H10" s="4292">
        <v>30</v>
      </c>
      <c r="I10" s="4293">
        <v>30</v>
      </c>
      <c r="J10" s="4294">
        <v>6.8233800000000002</v>
      </c>
      <c r="K10" s="4910">
        <v>8</v>
      </c>
      <c r="L10" s="4910">
        <v>8</v>
      </c>
      <c r="M10" s="4910">
        <v>8</v>
      </c>
      <c r="N10" s="4910">
        <v>8</v>
      </c>
      <c r="O10" s="4910">
        <v>8</v>
      </c>
      <c r="P10" s="4580">
        <f t="shared" ref="P10:U22" si="1">ROUND(IFERROR(J10*1000/D10,0),0)</f>
        <v>227</v>
      </c>
      <c r="Q10" s="4581">
        <f t="shared" si="1"/>
        <v>267</v>
      </c>
      <c r="R10" s="4581">
        <f t="shared" si="1"/>
        <v>267</v>
      </c>
      <c r="S10" s="4581">
        <f t="shared" si="1"/>
        <v>267</v>
      </c>
      <c r="T10" s="4581">
        <f t="shared" si="1"/>
        <v>267</v>
      </c>
      <c r="U10" s="4582">
        <f t="shared" si="1"/>
        <v>267</v>
      </c>
    </row>
    <row r="11" spans="1:21">
      <c r="A11" s="468" t="s">
        <v>471</v>
      </c>
      <c r="B11" s="1625" t="s">
        <v>730</v>
      </c>
      <c r="C11" s="340" t="s">
        <v>682</v>
      </c>
      <c r="D11" s="269">
        <v>440</v>
      </c>
      <c r="E11" s="455">
        <v>445</v>
      </c>
      <c r="F11" s="455">
        <v>445</v>
      </c>
      <c r="G11" s="455">
        <v>445</v>
      </c>
      <c r="H11" s="455">
        <v>445</v>
      </c>
      <c r="I11" s="470">
        <v>445</v>
      </c>
      <c r="J11" s="454">
        <v>191.28310999999997</v>
      </c>
      <c r="K11" s="4911">
        <v>254</v>
      </c>
      <c r="L11" s="4911">
        <v>254</v>
      </c>
      <c r="M11" s="4911">
        <v>254</v>
      </c>
      <c r="N11" s="4911">
        <v>254</v>
      </c>
      <c r="O11" s="4911">
        <v>254</v>
      </c>
      <c r="P11" s="4583">
        <f t="shared" si="1"/>
        <v>435</v>
      </c>
      <c r="Q11" s="4584">
        <f t="shared" si="1"/>
        <v>571</v>
      </c>
      <c r="R11" s="4584">
        <f t="shared" si="1"/>
        <v>571</v>
      </c>
      <c r="S11" s="4584">
        <f t="shared" si="1"/>
        <v>571</v>
      </c>
      <c r="T11" s="4584">
        <f t="shared" si="1"/>
        <v>571</v>
      </c>
      <c r="U11" s="4585">
        <f t="shared" si="1"/>
        <v>571</v>
      </c>
    </row>
    <row r="12" spans="1:21">
      <c r="A12" s="468" t="s">
        <v>472</v>
      </c>
      <c r="B12" s="1625" t="s">
        <v>473</v>
      </c>
      <c r="C12" s="340" t="s">
        <v>682</v>
      </c>
      <c r="D12" s="480">
        <v>2328</v>
      </c>
      <c r="E12" s="455">
        <v>1513</v>
      </c>
      <c r="F12" s="455">
        <v>1513</v>
      </c>
      <c r="G12" s="455">
        <v>1513</v>
      </c>
      <c r="H12" s="455">
        <v>1513</v>
      </c>
      <c r="I12" s="470">
        <v>1513</v>
      </c>
      <c r="J12" s="454">
        <v>787.33408000000009</v>
      </c>
      <c r="K12" s="4911">
        <v>1070</v>
      </c>
      <c r="L12" s="4911">
        <v>1118</v>
      </c>
      <c r="M12" s="4911">
        <v>1179</v>
      </c>
      <c r="N12" s="4911">
        <v>1251</v>
      </c>
      <c r="O12" s="4911">
        <v>1251</v>
      </c>
      <c r="P12" s="4583">
        <f t="shared" si="1"/>
        <v>338</v>
      </c>
      <c r="Q12" s="4584">
        <f t="shared" si="1"/>
        <v>707</v>
      </c>
      <c r="R12" s="4584">
        <f t="shared" si="1"/>
        <v>739</v>
      </c>
      <c r="S12" s="4584">
        <f t="shared" si="1"/>
        <v>779</v>
      </c>
      <c r="T12" s="4584">
        <f t="shared" si="1"/>
        <v>827</v>
      </c>
      <c r="U12" s="4585">
        <f t="shared" si="1"/>
        <v>827</v>
      </c>
    </row>
    <row r="13" spans="1:21">
      <c r="A13" s="468" t="s">
        <v>474</v>
      </c>
      <c r="B13" s="1625" t="s">
        <v>475</v>
      </c>
      <c r="C13" s="340" t="s">
        <v>682</v>
      </c>
      <c r="D13" s="480">
        <v>1472</v>
      </c>
      <c r="E13" s="455">
        <v>1329.8329221008107</v>
      </c>
      <c r="F13" s="455">
        <v>1330</v>
      </c>
      <c r="G13" s="455">
        <v>1330</v>
      </c>
      <c r="H13" s="455">
        <v>1330</v>
      </c>
      <c r="I13" s="470">
        <v>1330</v>
      </c>
      <c r="J13" s="454">
        <v>253.19844000000001</v>
      </c>
      <c r="K13" s="4911">
        <v>617</v>
      </c>
      <c r="L13" s="4911">
        <v>617</v>
      </c>
      <c r="M13" s="4911">
        <v>617</v>
      </c>
      <c r="N13" s="4911">
        <v>617</v>
      </c>
      <c r="O13" s="4911">
        <v>617</v>
      </c>
      <c r="P13" s="4583">
        <f t="shared" si="1"/>
        <v>172</v>
      </c>
      <c r="Q13" s="4584">
        <f t="shared" si="1"/>
        <v>464</v>
      </c>
      <c r="R13" s="4584">
        <f t="shared" si="1"/>
        <v>464</v>
      </c>
      <c r="S13" s="4584">
        <f t="shared" si="1"/>
        <v>464</v>
      </c>
      <c r="T13" s="4584">
        <f t="shared" si="1"/>
        <v>464</v>
      </c>
      <c r="U13" s="4585">
        <f t="shared" si="1"/>
        <v>464</v>
      </c>
    </row>
    <row r="14" spans="1:21">
      <c r="A14" s="468" t="s">
        <v>476</v>
      </c>
      <c r="B14" s="1625" t="s">
        <v>477</v>
      </c>
      <c r="C14" s="340" t="s">
        <v>682</v>
      </c>
      <c r="D14" s="480">
        <v>69</v>
      </c>
      <c r="E14" s="455">
        <v>62</v>
      </c>
      <c r="F14" s="455">
        <v>62</v>
      </c>
      <c r="G14" s="455">
        <v>62</v>
      </c>
      <c r="H14" s="455">
        <v>62</v>
      </c>
      <c r="I14" s="470">
        <v>62</v>
      </c>
      <c r="J14" s="454">
        <v>8.9218900000000012</v>
      </c>
      <c r="K14" s="4911">
        <v>13</v>
      </c>
      <c r="L14" s="4911">
        <v>13</v>
      </c>
      <c r="M14" s="4911">
        <v>13</v>
      </c>
      <c r="N14" s="4911">
        <v>13</v>
      </c>
      <c r="O14" s="4911">
        <v>13</v>
      </c>
      <c r="P14" s="4583">
        <f t="shared" si="1"/>
        <v>129</v>
      </c>
      <c r="Q14" s="4584">
        <f t="shared" si="1"/>
        <v>210</v>
      </c>
      <c r="R14" s="4584">
        <f t="shared" si="1"/>
        <v>210</v>
      </c>
      <c r="S14" s="4584">
        <f t="shared" si="1"/>
        <v>210</v>
      </c>
      <c r="T14" s="4584">
        <f t="shared" si="1"/>
        <v>210</v>
      </c>
      <c r="U14" s="4585">
        <f t="shared" si="1"/>
        <v>210</v>
      </c>
    </row>
    <row r="15" spans="1:21">
      <c r="A15" s="468" t="s">
        <v>478</v>
      </c>
      <c r="B15" s="1625" t="s">
        <v>1380</v>
      </c>
      <c r="C15" s="340" t="s">
        <v>682</v>
      </c>
      <c r="D15" s="480">
        <v>53</v>
      </c>
      <c r="E15" s="455">
        <v>23</v>
      </c>
      <c r="F15" s="455">
        <v>23</v>
      </c>
      <c r="G15" s="455">
        <v>23</v>
      </c>
      <c r="H15" s="455">
        <v>23</v>
      </c>
      <c r="I15" s="470">
        <v>23</v>
      </c>
      <c r="J15" s="454">
        <v>12.362260000000003</v>
      </c>
      <c r="K15" s="4911">
        <v>14</v>
      </c>
      <c r="L15" s="4911">
        <v>14</v>
      </c>
      <c r="M15" s="4911">
        <v>14</v>
      </c>
      <c r="N15" s="4911">
        <v>14</v>
      </c>
      <c r="O15" s="4911">
        <v>14</v>
      </c>
      <c r="P15" s="4583">
        <f t="shared" si="1"/>
        <v>233</v>
      </c>
      <c r="Q15" s="4584">
        <f t="shared" si="1"/>
        <v>609</v>
      </c>
      <c r="R15" s="4584">
        <f t="shared" si="1"/>
        <v>609</v>
      </c>
      <c r="S15" s="4584">
        <f t="shared" si="1"/>
        <v>609</v>
      </c>
      <c r="T15" s="4584">
        <f t="shared" si="1"/>
        <v>609</v>
      </c>
      <c r="U15" s="4585">
        <f t="shared" si="1"/>
        <v>609</v>
      </c>
    </row>
    <row r="16" spans="1:21" ht="24">
      <c r="A16" s="468" t="s">
        <v>479</v>
      </c>
      <c r="B16" s="1625" t="s">
        <v>1381</v>
      </c>
      <c r="C16" s="340" t="s">
        <v>682</v>
      </c>
      <c r="D16" s="480">
        <v>27</v>
      </c>
      <c r="E16" s="455">
        <v>25</v>
      </c>
      <c r="F16" s="455">
        <v>25</v>
      </c>
      <c r="G16" s="455">
        <v>23</v>
      </c>
      <c r="H16" s="455">
        <v>22</v>
      </c>
      <c r="I16" s="470">
        <v>20</v>
      </c>
      <c r="J16" s="454">
        <v>9.0168499999999998</v>
      </c>
      <c r="K16" s="4911">
        <v>12</v>
      </c>
      <c r="L16" s="4911">
        <v>12</v>
      </c>
      <c r="M16" s="4911">
        <v>12</v>
      </c>
      <c r="N16" s="4911">
        <v>12</v>
      </c>
      <c r="O16" s="4911">
        <v>12</v>
      </c>
      <c r="P16" s="4583">
        <f t="shared" si="1"/>
        <v>334</v>
      </c>
      <c r="Q16" s="4584">
        <f t="shared" si="1"/>
        <v>480</v>
      </c>
      <c r="R16" s="4584">
        <f t="shared" si="1"/>
        <v>480</v>
      </c>
      <c r="S16" s="4584">
        <f t="shared" si="1"/>
        <v>522</v>
      </c>
      <c r="T16" s="4584">
        <f t="shared" si="1"/>
        <v>545</v>
      </c>
      <c r="U16" s="4585">
        <f t="shared" si="1"/>
        <v>600</v>
      </c>
    </row>
    <row r="17" spans="1:21" ht="23.25" customHeight="1">
      <c r="A17" s="468" t="s">
        <v>480</v>
      </c>
      <c r="B17" s="1625" t="s">
        <v>1382</v>
      </c>
      <c r="C17" s="340" t="s">
        <v>682</v>
      </c>
      <c r="D17" s="480">
        <v>5</v>
      </c>
      <c r="E17" s="455">
        <v>10</v>
      </c>
      <c r="F17" s="455">
        <v>10</v>
      </c>
      <c r="G17" s="455">
        <v>10</v>
      </c>
      <c r="H17" s="455">
        <v>10</v>
      </c>
      <c r="I17" s="470">
        <v>10</v>
      </c>
      <c r="J17" s="454">
        <v>0.89734000000000003</v>
      </c>
      <c r="K17" s="4911">
        <v>3</v>
      </c>
      <c r="L17" s="4911">
        <v>3</v>
      </c>
      <c r="M17" s="4911">
        <v>3</v>
      </c>
      <c r="N17" s="4911">
        <v>3</v>
      </c>
      <c r="O17" s="4911">
        <v>3</v>
      </c>
      <c r="P17" s="4583">
        <f t="shared" si="1"/>
        <v>179</v>
      </c>
      <c r="Q17" s="4584">
        <f t="shared" si="1"/>
        <v>300</v>
      </c>
      <c r="R17" s="4584">
        <f t="shared" si="1"/>
        <v>300</v>
      </c>
      <c r="S17" s="4584">
        <f t="shared" si="1"/>
        <v>300</v>
      </c>
      <c r="T17" s="4584">
        <f t="shared" si="1"/>
        <v>300</v>
      </c>
      <c r="U17" s="4585">
        <f t="shared" si="1"/>
        <v>300</v>
      </c>
    </row>
    <row r="18" spans="1:21">
      <c r="A18" s="468" t="s">
        <v>481</v>
      </c>
      <c r="B18" s="1625" t="s">
        <v>1383</v>
      </c>
      <c r="C18" s="340" t="s">
        <v>682</v>
      </c>
      <c r="D18" s="480">
        <v>7</v>
      </c>
      <c r="E18" s="455">
        <v>7</v>
      </c>
      <c r="F18" s="455">
        <v>7</v>
      </c>
      <c r="G18" s="455">
        <v>7</v>
      </c>
      <c r="H18" s="455">
        <v>7</v>
      </c>
      <c r="I18" s="470">
        <v>7</v>
      </c>
      <c r="J18" s="454">
        <v>2.2487699999999999</v>
      </c>
      <c r="K18" s="4911">
        <v>3.1</v>
      </c>
      <c r="L18" s="4911">
        <v>3.1</v>
      </c>
      <c r="M18" s="4911">
        <v>3.1</v>
      </c>
      <c r="N18" s="4911">
        <v>3.1</v>
      </c>
      <c r="O18" s="4911">
        <v>3.1</v>
      </c>
      <c r="P18" s="4583">
        <f t="shared" si="1"/>
        <v>321</v>
      </c>
      <c r="Q18" s="4584">
        <f t="shared" si="1"/>
        <v>443</v>
      </c>
      <c r="R18" s="4584">
        <f t="shared" si="1"/>
        <v>443</v>
      </c>
      <c r="S18" s="4584">
        <f t="shared" si="1"/>
        <v>443</v>
      </c>
      <c r="T18" s="4584">
        <f t="shared" si="1"/>
        <v>443</v>
      </c>
      <c r="U18" s="4585">
        <f>ROUND(IFERROR(O18*1000/I18,0),0)</f>
        <v>443</v>
      </c>
    </row>
    <row r="19" spans="1:21" ht="24">
      <c r="A19" s="468" t="s">
        <v>482</v>
      </c>
      <c r="B19" s="1625" t="s">
        <v>1465</v>
      </c>
      <c r="C19" s="340" t="s">
        <v>682</v>
      </c>
      <c r="D19" s="480">
        <v>1</v>
      </c>
      <c r="E19" s="455">
        <v>7</v>
      </c>
      <c r="F19" s="455">
        <v>7</v>
      </c>
      <c r="G19" s="455">
        <v>7</v>
      </c>
      <c r="H19" s="455">
        <v>7</v>
      </c>
      <c r="I19" s="470">
        <v>7</v>
      </c>
      <c r="J19" s="454">
        <v>0.21744999999999998</v>
      </c>
      <c r="K19" s="4911">
        <v>3</v>
      </c>
      <c r="L19" s="4911">
        <v>3</v>
      </c>
      <c r="M19" s="4911">
        <v>3</v>
      </c>
      <c r="N19" s="4911">
        <v>3</v>
      </c>
      <c r="O19" s="4911">
        <v>3</v>
      </c>
      <c r="P19" s="4583">
        <f t="shared" si="1"/>
        <v>217</v>
      </c>
      <c r="Q19" s="4584">
        <f t="shared" si="1"/>
        <v>429</v>
      </c>
      <c r="R19" s="4584">
        <f t="shared" si="1"/>
        <v>429</v>
      </c>
      <c r="S19" s="4584">
        <f t="shared" si="1"/>
        <v>429</v>
      </c>
      <c r="T19" s="4584">
        <f t="shared" si="1"/>
        <v>429</v>
      </c>
      <c r="U19" s="4585">
        <f t="shared" si="1"/>
        <v>429</v>
      </c>
    </row>
    <row r="20" spans="1:21">
      <c r="A20" s="468" t="s">
        <v>687</v>
      </c>
      <c r="B20" s="1626" t="s">
        <v>922</v>
      </c>
      <c r="C20" s="340" t="s">
        <v>682</v>
      </c>
      <c r="D20" s="480">
        <v>9</v>
      </c>
      <c r="E20" s="455">
        <v>9</v>
      </c>
      <c r="F20" s="455">
        <v>9</v>
      </c>
      <c r="G20" s="455">
        <v>9</v>
      </c>
      <c r="H20" s="455">
        <v>9</v>
      </c>
      <c r="I20" s="470">
        <v>9</v>
      </c>
      <c r="J20" s="454">
        <v>2.5217099999999997</v>
      </c>
      <c r="K20" s="4911">
        <v>2.52</v>
      </c>
      <c r="L20" s="4911">
        <v>2.52</v>
      </c>
      <c r="M20" s="4911">
        <v>2.52</v>
      </c>
      <c r="N20" s="4911">
        <v>2.52</v>
      </c>
      <c r="O20" s="4911">
        <v>2.52</v>
      </c>
      <c r="P20" s="4583">
        <f t="shared" si="1"/>
        <v>280</v>
      </c>
      <c r="Q20" s="4584">
        <f t="shared" si="1"/>
        <v>280</v>
      </c>
      <c r="R20" s="4584">
        <f t="shared" si="1"/>
        <v>280</v>
      </c>
      <c r="S20" s="4584">
        <f t="shared" si="1"/>
        <v>280</v>
      </c>
      <c r="T20" s="4584">
        <f t="shared" si="1"/>
        <v>280</v>
      </c>
      <c r="U20" s="4585">
        <f t="shared" si="1"/>
        <v>280</v>
      </c>
    </row>
    <row r="21" spans="1:21">
      <c r="A21" s="468" t="s">
        <v>737</v>
      </c>
      <c r="B21" s="1626" t="s">
        <v>923</v>
      </c>
      <c r="C21" s="340" t="s">
        <v>682</v>
      </c>
      <c r="D21" s="480">
        <v>16</v>
      </c>
      <c r="E21" s="455">
        <v>20</v>
      </c>
      <c r="F21" s="455">
        <v>20</v>
      </c>
      <c r="G21" s="455">
        <v>20</v>
      </c>
      <c r="H21" s="455">
        <v>20</v>
      </c>
      <c r="I21" s="470">
        <v>20</v>
      </c>
      <c r="J21" s="454">
        <v>2.79453</v>
      </c>
      <c r="K21" s="4911">
        <v>5</v>
      </c>
      <c r="L21" s="4911">
        <v>5</v>
      </c>
      <c r="M21" s="4911">
        <v>5</v>
      </c>
      <c r="N21" s="4911">
        <v>5</v>
      </c>
      <c r="O21" s="4911">
        <v>5</v>
      </c>
      <c r="P21" s="4583">
        <f t="shared" si="1"/>
        <v>175</v>
      </c>
      <c r="Q21" s="4584">
        <f t="shared" si="1"/>
        <v>250</v>
      </c>
      <c r="R21" s="4584">
        <f t="shared" si="1"/>
        <v>250</v>
      </c>
      <c r="S21" s="4584">
        <f t="shared" si="1"/>
        <v>250</v>
      </c>
      <c r="T21" s="4584">
        <f t="shared" si="1"/>
        <v>250</v>
      </c>
      <c r="U21" s="4585">
        <f t="shared" si="1"/>
        <v>250</v>
      </c>
    </row>
    <row r="22" spans="1:21" ht="26.25" customHeight="1">
      <c r="A22" s="468" t="s">
        <v>738</v>
      </c>
      <c r="B22" s="2289" t="s">
        <v>1384</v>
      </c>
      <c r="C22" s="340" t="s">
        <v>682</v>
      </c>
      <c r="D22" s="480">
        <v>9</v>
      </c>
      <c r="E22" s="455">
        <v>10</v>
      </c>
      <c r="F22" s="455">
        <v>10</v>
      </c>
      <c r="G22" s="455">
        <v>10</v>
      </c>
      <c r="H22" s="455">
        <v>10</v>
      </c>
      <c r="I22" s="470">
        <v>10</v>
      </c>
      <c r="J22" s="454">
        <v>3.4599500000000001</v>
      </c>
      <c r="K22" s="4911">
        <v>5</v>
      </c>
      <c r="L22" s="4911">
        <v>5</v>
      </c>
      <c r="M22" s="4911">
        <v>5</v>
      </c>
      <c r="N22" s="4911">
        <v>5</v>
      </c>
      <c r="O22" s="4911">
        <v>5</v>
      </c>
      <c r="P22" s="4583">
        <f t="shared" si="1"/>
        <v>384</v>
      </c>
      <c r="Q22" s="4584">
        <f t="shared" si="1"/>
        <v>500</v>
      </c>
      <c r="R22" s="4584">
        <f t="shared" si="1"/>
        <v>500</v>
      </c>
      <c r="S22" s="4584">
        <f t="shared" si="1"/>
        <v>500</v>
      </c>
      <c r="T22" s="4584">
        <f t="shared" si="1"/>
        <v>500</v>
      </c>
      <c r="U22" s="4585">
        <f t="shared" si="1"/>
        <v>500</v>
      </c>
    </row>
    <row r="23" spans="1:21" ht="24.75" thickBot="1">
      <c r="A23" s="468" t="s">
        <v>739</v>
      </c>
      <c r="B23" s="1625" t="s">
        <v>1375</v>
      </c>
      <c r="C23" s="340" t="s">
        <v>318</v>
      </c>
      <c r="D23" s="2290"/>
      <c r="E23" s="2291"/>
      <c r="F23" s="2291"/>
      <c r="G23" s="2291"/>
      <c r="H23" s="2291"/>
      <c r="I23" s="2292"/>
      <c r="J23" s="4909">
        <v>623</v>
      </c>
      <c r="K23" s="4916">
        <v>95</v>
      </c>
      <c r="L23" s="4916">
        <v>95</v>
      </c>
      <c r="M23" s="4916">
        <v>95</v>
      </c>
      <c r="N23" s="4916">
        <v>95</v>
      </c>
      <c r="O23" s="4917">
        <v>95</v>
      </c>
      <c r="P23" s="2290"/>
      <c r="Q23" s="2291"/>
      <c r="R23" s="2291"/>
      <c r="S23" s="2291"/>
      <c r="T23" s="2291"/>
      <c r="U23" s="2292"/>
    </row>
    <row r="24" spans="1:21" ht="24.75" thickBot="1">
      <c r="A24" s="4296"/>
      <c r="B24" s="4297" t="s">
        <v>1385</v>
      </c>
      <c r="C24" s="1628"/>
      <c r="D24" s="4298">
        <f t="shared" ref="D24:O24" si="2">SUM(D10:D23)</f>
        <v>4466</v>
      </c>
      <c r="E24" s="350">
        <f t="shared" si="2"/>
        <v>3490.8329221008107</v>
      </c>
      <c r="F24" s="350">
        <f t="shared" si="2"/>
        <v>3491</v>
      </c>
      <c r="G24" s="350">
        <f t="shared" si="2"/>
        <v>3489</v>
      </c>
      <c r="H24" s="350">
        <f t="shared" si="2"/>
        <v>3488</v>
      </c>
      <c r="I24" s="349">
        <f t="shared" si="2"/>
        <v>3486</v>
      </c>
      <c r="J24" s="4298">
        <f t="shared" si="2"/>
        <v>1904.0797599999999</v>
      </c>
      <c r="K24" s="350">
        <f t="shared" si="2"/>
        <v>2104.62</v>
      </c>
      <c r="L24" s="350">
        <f t="shared" si="2"/>
        <v>2152.62</v>
      </c>
      <c r="M24" s="350">
        <f t="shared" si="2"/>
        <v>2213.62</v>
      </c>
      <c r="N24" s="350">
        <f t="shared" si="2"/>
        <v>2285.62</v>
      </c>
      <c r="O24" s="4299">
        <f t="shared" si="2"/>
        <v>2285.62</v>
      </c>
      <c r="P24" s="4300"/>
      <c r="Q24" s="4301"/>
      <c r="R24" s="4301"/>
      <c r="S24" s="4301"/>
      <c r="T24" s="4301"/>
      <c r="U24" s="4302"/>
    </row>
    <row r="25" spans="1:21" ht="12.75" thickBot="1">
      <c r="A25" s="4303"/>
      <c r="B25" s="4304" t="s">
        <v>1485</v>
      </c>
      <c r="C25" s="4358" t="s">
        <v>174</v>
      </c>
      <c r="D25" s="4305"/>
      <c r="E25" s="4306">
        <f>IFERROR((E24-D24)/D24,0)</f>
        <v>-0.21835357767559097</v>
      </c>
      <c r="F25" s="4306">
        <f>IFERROR((F24-E24)/E24,0)</f>
        <v>4.7861900846498114E-5</v>
      </c>
      <c r="G25" s="4306">
        <f>IFERROR((G24-F24)/F24,0)</f>
        <v>-5.7290174735032942E-4</v>
      </c>
      <c r="H25" s="4306">
        <f>IFERROR((H24-G24)/G24,0)</f>
        <v>-2.8661507595299513E-4</v>
      </c>
      <c r="I25" s="4307">
        <f>IFERROR((I24-H24)/H24,0)</f>
        <v>-5.7339449541284407E-4</v>
      </c>
      <c r="J25" s="4308"/>
      <c r="K25" s="4306">
        <f>IFERROR((K24-J24)/J24,0)</f>
        <v>0.10532134431175302</v>
      </c>
      <c r="L25" s="4306">
        <f>IFERROR((L24-K24)/K24,0)</f>
        <v>2.2806967528579983E-2</v>
      </c>
      <c r="M25" s="4306">
        <f>IFERROR((M24-L24)/L24,0)</f>
        <v>2.833756073993552E-2</v>
      </c>
      <c r="N25" s="4306">
        <f>IFERROR((N24-M24)/M24,0)</f>
        <v>3.2525907789051421E-2</v>
      </c>
      <c r="O25" s="4306">
        <f>IFERROR((O24-N24)/N24,0)</f>
        <v>0</v>
      </c>
      <c r="P25" s="4309"/>
      <c r="Q25" s="4310"/>
      <c r="R25" s="4310"/>
      <c r="S25" s="4310"/>
      <c r="T25" s="4310"/>
      <c r="U25" s="4311"/>
    </row>
    <row r="26" spans="1:21" ht="13.5" customHeight="1" thickBot="1">
      <c r="A26" s="4312" t="s">
        <v>1077</v>
      </c>
      <c r="B26" s="1643"/>
      <c r="C26" s="1643"/>
      <c r="D26" s="1643"/>
      <c r="E26" s="1643"/>
      <c r="F26" s="1643"/>
      <c r="G26" s="1643"/>
      <c r="H26" s="1643"/>
      <c r="I26" s="1643"/>
      <c r="J26" s="1643"/>
      <c r="K26" s="1643"/>
      <c r="L26" s="1643"/>
      <c r="M26" s="1643"/>
      <c r="N26" s="1643"/>
      <c r="O26" s="1643"/>
      <c r="P26" s="4313"/>
      <c r="Q26" s="4313"/>
      <c r="R26" s="4313"/>
      <c r="S26" s="4313"/>
      <c r="T26" s="4313"/>
      <c r="U26" s="4314"/>
    </row>
    <row r="27" spans="1:21">
      <c r="A27" s="1478"/>
      <c r="B27" s="1638" t="s">
        <v>1078</v>
      </c>
      <c r="C27" s="4372"/>
      <c r="D27" s="2294"/>
      <c r="E27" s="2295"/>
      <c r="F27" s="2295"/>
      <c r="G27" s="2295"/>
      <c r="H27" s="2295"/>
      <c r="I27" s="2296"/>
      <c r="J27" s="4918">
        <v>172</v>
      </c>
      <c r="K27" s="477">
        <v>192</v>
      </c>
      <c r="L27" s="477">
        <v>192</v>
      </c>
      <c r="M27" s="477">
        <v>192</v>
      </c>
      <c r="N27" s="477">
        <v>192</v>
      </c>
      <c r="O27" s="478">
        <v>192</v>
      </c>
      <c r="P27" s="4315"/>
      <c r="Q27" s="2295"/>
      <c r="R27" s="2295"/>
      <c r="S27" s="2295"/>
      <c r="T27" s="2295"/>
      <c r="U27" s="2296"/>
    </row>
    <row r="28" spans="1:21">
      <c r="A28" s="1478"/>
      <c r="B28" s="4316" t="s">
        <v>1488</v>
      </c>
      <c r="C28" s="4373" t="s">
        <v>174</v>
      </c>
      <c r="D28" s="2297"/>
      <c r="E28" s="2211"/>
      <c r="F28" s="2211"/>
      <c r="G28" s="2211"/>
      <c r="H28" s="2211"/>
      <c r="I28" s="2298"/>
      <c r="J28" s="4919"/>
      <c r="K28" s="4317">
        <f>IFERROR((K27-J27)/J27,0)</f>
        <v>0.11627906976744186</v>
      </c>
      <c r="L28" s="4317">
        <f>IFERROR((L27-K27)/K27,0)</f>
        <v>0</v>
      </c>
      <c r="M28" s="4317">
        <f>IFERROR((M27-L27)/L27,0)</f>
        <v>0</v>
      </c>
      <c r="N28" s="4317">
        <f>IFERROR((N27-M27)/M27,0)</f>
        <v>0</v>
      </c>
      <c r="O28" s="4318">
        <f>IFERROR((O27-N27)/N27,0)</f>
        <v>0</v>
      </c>
      <c r="P28" s="3429"/>
      <c r="Q28" s="2211"/>
      <c r="R28" s="2211"/>
      <c r="S28" s="2211"/>
      <c r="T28" s="2211"/>
      <c r="U28" s="2298"/>
    </row>
    <row r="29" spans="1:21">
      <c r="A29" s="1476"/>
      <c r="B29" s="1631" t="s">
        <v>648</v>
      </c>
      <c r="C29" s="4374"/>
      <c r="D29" s="2297"/>
      <c r="E29" s="2211"/>
      <c r="F29" s="2211"/>
      <c r="G29" s="2211"/>
      <c r="H29" s="2211"/>
      <c r="I29" s="2298"/>
      <c r="J29" s="4920">
        <v>443</v>
      </c>
      <c r="K29" s="461">
        <v>497</v>
      </c>
      <c r="L29" s="461">
        <v>497</v>
      </c>
      <c r="M29" s="461">
        <v>497</v>
      </c>
      <c r="N29" s="461">
        <v>497</v>
      </c>
      <c r="O29" s="462">
        <v>497</v>
      </c>
      <c r="P29" s="3429"/>
      <c r="Q29" s="2211"/>
      <c r="R29" s="2211"/>
      <c r="S29" s="2211"/>
      <c r="T29" s="2211"/>
      <c r="U29" s="2298"/>
    </row>
    <row r="30" spans="1:21">
      <c r="A30" s="1476"/>
      <c r="B30" s="4316" t="s">
        <v>1485</v>
      </c>
      <c r="C30" s="4373" t="s">
        <v>174</v>
      </c>
      <c r="D30" s="2297"/>
      <c r="E30" s="2211"/>
      <c r="F30" s="2211"/>
      <c r="G30" s="2211"/>
      <c r="H30" s="2211"/>
      <c r="I30" s="2298"/>
      <c r="J30" s="4921"/>
      <c r="K30" s="4317">
        <f>IFERROR((K29-J29)/J29,0)</f>
        <v>0.12189616252821671</v>
      </c>
      <c r="L30" s="4317">
        <f>IFERROR((L29-K29)/K29,0)</f>
        <v>0</v>
      </c>
      <c r="M30" s="4317">
        <f>IFERROR((M29-L29)/L29,0)</f>
        <v>0</v>
      </c>
      <c r="N30" s="4317">
        <f>IFERROR((N29-M29)/M29,0)</f>
        <v>0</v>
      </c>
      <c r="O30" s="4318">
        <f>IFERROR((O29-N29)/N29,0)</f>
        <v>0</v>
      </c>
      <c r="P30" s="3429"/>
      <c r="Q30" s="2211"/>
      <c r="R30" s="2211"/>
      <c r="S30" s="2211"/>
      <c r="T30" s="2211"/>
      <c r="U30" s="2298"/>
    </row>
    <row r="31" spans="1:21">
      <c r="A31" s="1476"/>
      <c r="B31" s="1631" t="s">
        <v>647</v>
      </c>
      <c r="C31" s="4374"/>
      <c r="D31" s="2297"/>
      <c r="E31" s="2211"/>
      <c r="F31" s="2211"/>
      <c r="G31" s="2211"/>
      <c r="H31" s="2211"/>
      <c r="I31" s="2298"/>
      <c r="J31" s="4920">
        <v>707</v>
      </c>
      <c r="K31" s="461">
        <v>780</v>
      </c>
      <c r="L31" s="461">
        <v>780</v>
      </c>
      <c r="M31" s="461">
        <v>780</v>
      </c>
      <c r="N31" s="461">
        <v>780</v>
      </c>
      <c r="O31" s="462">
        <v>780</v>
      </c>
      <c r="P31" s="3429"/>
      <c r="Q31" s="2211"/>
      <c r="R31" s="2211"/>
      <c r="S31" s="2211"/>
      <c r="T31" s="2211"/>
      <c r="U31" s="2298"/>
    </row>
    <row r="32" spans="1:21">
      <c r="A32" s="1476"/>
      <c r="B32" s="4316" t="s">
        <v>1488</v>
      </c>
      <c r="C32" s="4373" t="s">
        <v>174</v>
      </c>
      <c r="D32" s="2297"/>
      <c r="E32" s="2211"/>
      <c r="F32" s="2211"/>
      <c r="G32" s="2211"/>
      <c r="H32" s="2211"/>
      <c r="I32" s="2298"/>
      <c r="J32" s="4921"/>
      <c r="K32" s="4317">
        <f>IFERROR((K31-J31)/J31,0)</f>
        <v>0.10325318246110325</v>
      </c>
      <c r="L32" s="4317">
        <f>IFERROR((L31-K31)/K31,0)</f>
        <v>0</v>
      </c>
      <c r="M32" s="4317">
        <f>IFERROR((M31-L31)/L31,0)</f>
        <v>0</v>
      </c>
      <c r="N32" s="4317">
        <f>IFERROR((N31-M31)/M31,0)</f>
        <v>0</v>
      </c>
      <c r="O32" s="4318">
        <f>IFERROR((O31-N31)/N31,0)</f>
        <v>0</v>
      </c>
      <c r="P32" s="3429"/>
      <c r="Q32" s="2211"/>
      <c r="R32" s="2211"/>
      <c r="S32" s="2211"/>
      <c r="T32" s="2211"/>
      <c r="U32" s="2298"/>
    </row>
    <row r="33" spans="1:22">
      <c r="A33" s="1476"/>
      <c r="B33" s="1631" t="s">
        <v>646</v>
      </c>
      <c r="C33" s="4374"/>
      <c r="D33" s="2297"/>
      <c r="E33" s="2211"/>
      <c r="F33" s="2211"/>
      <c r="G33" s="2211"/>
      <c r="H33" s="2211"/>
      <c r="I33" s="2298"/>
      <c r="J33" s="4920">
        <v>455</v>
      </c>
      <c r="K33" s="461">
        <v>500</v>
      </c>
      <c r="L33" s="461">
        <v>540</v>
      </c>
      <c r="M33" s="461">
        <v>590</v>
      </c>
      <c r="N33" s="461">
        <v>650</v>
      </c>
      <c r="O33" s="462">
        <v>650</v>
      </c>
      <c r="P33" s="3429"/>
      <c r="Q33" s="2211"/>
      <c r="R33" s="2211"/>
      <c r="S33" s="2211"/>
      <c r="T33" s="2211"/>
      <c r="U33" s="2298"/>
    </row>
    <row r="34" spans="1:22">
      <c r="A34" s="1476"/>
      <c r="B34" s="4316" t="s">
        <v>1488</v>
      </c>
      <c r="C34" s="4373" t="s">
        <v>174</v>
      </c>
      <c r="D34" s="2297"/>
      <c r="E34" s="2211"/>
      <c r="F34" s="2211"/>
      <c r="G34" s="2211"/>
      <c r="H34" s="2211"/>
      <c r="I34" s="2298"/>
      <c r="J34" s="4922"/>
      <c r="K34" s="4317">
        <f>IFERROR((K33-J33)/J33,0)</f>
        <v>9.8901098901098897E-2</v>
      </c>
      <c r="L34" s="4317">
        <f>IFERROR((L33-K33)/K33,0)</f>
        <v>0.08</v>
      </c>
      <c r="M34" s="4317">
        <f>IFERROR((M33-L33)/L33,0)</f>
        <v>9.2592592592592587E-2</v>
      </c>
      <c r="N34" s="4317">
        <f>IFERROR((N33-M33)/M33,0)</f>
        <v>0.10169491525423729</v>
      </c>
      <c r="O34" s="4318">
        <f>IFERROR((O33-N33)/N33,0)</f>
        <v>0</v>
      </c>
      <c r="P34" s="3429"/>
      <c r="Q34" s="2211"/>
      <c r="R34" s="2211"/>
      <c r="S34" s="2211"/>
      <c r="T34" s="2211"/>
      <c r="U34" s="2298"/>
    </row>
    <row r="35" spans="1:22">
      <c r="A35" s="1476"/>
      <c r="B35" s="1631" t="s">
        <v>645</v>
      </c>
      <c r="C35" s="4374"/>
      <c r="D35" s="2297"/>
      <c r="E35" s="2211"/>
      <c r="F35" s="2211"/>
      <c r="G35" s="2211"/>
      <c r="H35" s="2211"/>
      <c r="I35" s="2298"/>
      <c r="J35" s="4923">
        <v>95</v>
      </c>
      <c r="K35" s="463">
        <v>104</v>
      </c>
      <c r="L35" s="463">
        <v>112</v>
      </c>
      <c r="M35" s="463">
        <v>123</v>
      </c>
      <c r="N35" s="463">
        <v>135</v>
      </c>
      <c r="O35" s="464">
        <v>135</v>
      </c>
      <c r="P35" s="3429"/>
      <c r="Q35" s="2211"/>
      <c r="R35" s="2211"/>
      <c r="S35" s="2211"/>
      <c r="T35" s="2211"/>
      <c r="U35" s="2298"/>
    </row>
    <row r="36" spans="1:22">
      <c r="A36" s="1479"/>
      <c r="B36" s="4316" t="s">
        <v>1485</v>
      </c>
      <c r="C36" s="4373" t="s">
        <v>174</v>
      </c>
      <c r="D36" s="2297"/>
      <c r="E36" s="2211"/>
      <c r="F36" s="2211"/>
      <c r="G36" s="2211"/>
      <c r="H36" s="2211"/>
      <c r="I36" s="2298"/>
      <c r="J36" s="4922"/>
      <c r="K36" s="4317">
        <f>IFERROR((K35-J35)/J35,0)</f>
        <v>9.4736842105263161E-2</v>
      </c>
      <c r="L36" s="4317">
        <f>IFERROR((L35-K35)/K35,0)</f>
        <v>7.6923076923076927E-2</v>
      </c>
      <c r="M36" s="4317">
        <f>IFERROR((M35-L35)/L35,0)</f>
        <v>9.8214285714285712E-2</v>
      </c>
      <c r="N36" s="4317">
        <f>IFERROR((N35-M35)/M35,0)</f>
        <v>9.7560975609756101E-2</v>
      </c>
      <c r="O36" s="4318">
        <f>IFERROR((O35-N35)/N35,0)</f>
        <v>0</v>
      </c>
      <c r="P36" s="3429"/>
      <c r="Q36" s="2211"/>
      <c r="R36" s="2211"/>
      <c r="S36" s="2211"/>
      <c r="T36" s="2211"/>
      <c r="U36" s="2298"/>
    </row>
    <row r="37" spans="1:22" ht="24">
      <c r="A37" s="1479"/>
      <c r="B37" s="1639" t="s">
        <v>644</v>
      </c>
      <c r="C37" s="4374"/>
      <c r="D37" s="2297"/>
      <c r="E37" s="2211"/>
      <c r="F37" s="2211"/>
      <c r="G37" s="2211"/>
      <c r="H37" s="2211"/>
      <c r="I37" s="2298"/>
      <c r="J37" s="4924">
        <f>J24-J27-J29-J31-J33-J35</f>
        <v>32.079759999999851</v>
      </c>
      <c r="K37" s="4338">
        <f>K24-K27-K29-K31-K33-K35</f>
        <v>31.619999999999891</v>
      </c>
      <c r="L37" s="4338">
        <f t="shared" ref="L37:O37" si="3">L24-L27-L29-L31-L33-L35</f>
        <v>31.619999999999891</v>
      </c>
      <c r="M37" s="4338">
        <f t="shared" si="3"/>
        <v>31.619999999999891</v>
      </c>
      <c r="N37" s="4338">
        <f t="shared" si="3"/>
        <v>31.619999999999891</v>
      </c>
      <c r="O37" s="4319">
        <f t="shared" si="3"/>
        <v>31.619999999999891</v>
      </c>
      <c r="P37" s="3429"/>
      <c r="Q37" s="2211"/>
      <c r="R37" s="2211"/>
      <c r="S37" s="2211"/>
      <c r="T37" s="2211"/>
      <c r="U37" s="2298"/>
    </row>
    <row r="38" spans="1:22">
      <c r="A38" s="4320"/>
      <c r="B38" s="4321" t="s">
        <v>1488</v>
      </c>
      <c r="C38" s="4375" t="s">
        <v>174</v>
      </c>
      <c r="D38" s="2297"/>
      <c r="E38" s="2211"/>
      <c r="F38" s="2211"/>
      <c r="G38" s="2211"/>
      <c r="H38" s="2211"/>
      <c r="I38" s="2298"/>
      <c r="J38" s="4322"/>
      <c r="K38" s="4317">
        <f>IFERROR((K37-J37)/J37,0)</f>
        <v>-1.4331778043226082E-2</v>
      </c>
      <c r="L38" s="4317">
        <f>IFERROR((L37-K37)/K37,0)</f>
        <v>0</v>
      </c>
      <c r="M38" s="4317">
        <f>IFERROR((M37-L37)/L37,0)</f>
        <v>0</v>
      </c>
      <c r="N38" s="4317">
        <f>IFERROR((N37-M37)/M37,0)</f>
        <v>0</v>
      </c>
      <c r="O38" s="4318">
        <f>IFERROR((O37-N37)/N37,0)</f>
        <v>0</v>
      </c>
      <c r="P38" s="3429"/>
      <c r="Q38" s="2211"/>
      <c r="R38" s="2211"/>
      <c r="S38" s="2211"/>
      <c r="T38" s="2211"/>
      <c r="U38" s="2298"/>
    </row>
    <row r="39" spans="1:22" ht="12.75" thickBot="1">
      <c r="A39" s="1477"/>
      <c r="B39" s="4323" t="s">
        <v>1362</v>
      </c>
      <c r="C39" s="4376"/>
      <c r="D39" s="2290"/>
      <c r="E39" s="2291"/>
      <c r="F39" s="2291"/>
      <c r="G39" s="2291"/>
      <c r="H39" s="2291"/>
      <c r="I39" s="2292"/>
      <c r="J39" s="1040">
        <f>J24-J27-J29-J31-J33-J35-J37</f>
        <v>0</v>
      </c>
      <c r="K39" s="1038">
        <f t="shared" ref="K39:O39" si="4">K24-K27-K29-K31-K33-K35-K37</f>
        <v>0</v>
      </c>
      <c r="L39" s="1038">
        <f t="shared" si="4"/>
        <v>0</v>
      </c>
      <c r="M39" s="1038">
        <f t="shared" si="4"/>
        <v>0</v>
      </c>
      <c r="N39" s="1038">
        <f t="shared" si="4"/>
        <v>0</v>
      </c>
      <c r="O39" s="1041">
        <f t="shared" si="4"/>
        <v>0</v>
      </c>
      <c r="P39" s="4324"/>
      <c r="Q39" s="2291"/>
      <c r="R39" s="2291"/>
      <c r="S39" s="2291"/>
      <c r="T39" s="2291"/>
      <c r="U39" s="2292"/>
      <c r="V39" s="4586"/>
    </row>
    <row r="40" spans="1:22" ht="18" customHeight="1" thickBot="1">
      <c r="A40" s="1648">
        <v>2</v>
      </c>
      <c r="B40" s="1647" t="s">
        <v>213</v>
      </c>
      <c r="C40" s="5330"/>
      <c r="D40" s="5331"/>
      <c r="E40" s="5331"/>
      <c r="F40" s="5331"/>
      <c r="G40" s="5331"/>
      <c r="H40" s="5331"/>
      <c r="I40" s="5331"/>
      <c r="J40" s="5330"/>
      <c r="K40" s="5330"/>
      <c r="L40" s="5330"/>
      <c r="M40" s="5330"/>
      <c r="N40" s="5330"/>
      <c r="O40" s="5330"/>
      <c r="P40" s="5331"/>
      <c r="Q40" s="5331"/>
      <c r="R40" s="5331"/>
      <c r="S40" s="5331"/>
      <c r="T40" s="5331"/>
      <c r="U40" s="5347"/>
    </row>
    <row r="41" spans="1:22">
      <c r="A41" s="467" t="s">
        <v>483</v>
      </c>
      <c r="B41" s="1624" t="s">
        <v>484</v>
      </c>
      <c r="C41" s="1587" t="s">
        <v>682</v>
      </c>
      <c r="D41" s="4325">
        <v>6</v>
      </c>
      <c r="E41" s="457">
        <v>22</v>
      </c>
      <c r="F41" s="457">
        <v>22</v>
      </c>
      <c r="G41" s="457">
        <v>22</v>
      </c>
      <c r="H41" s="457">
        <v>22</v>
      </c>
      <c r="I41" s="4326">
        <v>22</v>
      </c>
      <c r="J41" s="4325">
        <v>0.627</v>
      </c>
      <c r="K41" s="4912">
        <v>14</v>
      </c>
      <c r="L41" s="4912">
        <v>14</v>
      </c>
      <c r="M41" s="4912">
        <v>14</v>
      </c>
      <c r="N41" s="4912">
        <v>14</v>
      </c>
      <c r="O41" s="4913">
        <v>14</v>
      </c>
      <c r="P41" s="4580">
        <f t="shared" ref="P41:U51" si="5">ROUND(IFERROR(J41*1000/D41,0),0)</f>
        <v>105</v>
      </c>
      <c r="Q41" s="4581">
        <f t="shared" si="5"/>
        <v>636</v>
      </c>
      <c r="R41" s="4581">
        <f t="shared" si="5"/>
        <v>636</v>
      </c>
      <c r="S41" s="4581">
        <f t="shared" si="5"/>
        <v>636</v>
      </c>
      <c r="T41" s="4581">
        <f t="shared" si="5"/>
        <v>636</v>
      </c>
      <c r="U41" s="4582">
        <f t="shared" si="5"/>
        <v>636</v>
      </c>
    </row>
    <row r="42" spans="1:22">
      <c r="A42" s="468" t="s">
        <v>485</v>
      </c>
      <c r="B42" s="1625" t="s">
        <v>486</v>
      </c>
      <c r="C42" s="340" t="s">
        <v>682</v>
      </c>
      <c r="D42" s="454">
        <v>4</v>
      </c>
      <c r="E42" s="455">
        <v>15</v>
      </c>
      <c r="F42" s="455">
        <v>15</v>
      </c>
      <c r="G42" s="455">
        <v>15</v>
      </c>
      <c r="H42" s="455">
        <v>15</v>
      </c>
      <c r="I42" s="470">
        <v>15</v>
      </c>
      <c r="J42" s="454">
        <v>0.37</v>
      </c>
      <c r="K42" s="4914">
        <v>10</v>
      </c>
      <c r="L42" s="4914">
        <v>10</v>
      </c>
      <c r="M42" s="4914">
        <v>10</v>
      </c>
      <c r="N42" s="4914">
        <v>10</v>
      </c>
      <c r="O42" s="4915">
        <v>10</v>
      </c>
      <c r="P42" s="4583">
        <f t="shared" si="5"/>
        <v>93</v>
      </c>
      <c r="Q42" s="4584">
        <f t="shared" si="5"/>
        <v>667</v>
      </c>
      <c r="R42" s="4584">
        <f t="shared" si="5"/>
        <v>667</v>
      </c>
      <c r="S42" s="4584">
        <f t="shared" si="5"/>
        <v>667</v>
      </c>
      <c r="T42" s="4584">
        <f t="shared" si="5"/>
        <v>667</v>
      </c>
      <c r="U42" s="4585">
        <f t="shared" si="5"/>
        <v>667</v>
      </c>
    </row>
    <row r="43" spans="1:22">
      <c r="A43" s="468" t="s">
        <v>487</v>
      </c>
      <c r="B43" s="1625" t="s">
        <v>1386</v>
      </c>
      <c r="C43" s="340" t="s">
        <v>682</v>
      </c>
      <c r="D43" s="480"/>
      <c r="E43" s="455"/>
      <c r="F43" s="455"/>
      <c r="G43" s="455"/>
      <c r="H43" s="455"/>
      <c r="I43" s="470"/>
      <c r="J43" s="454"/>
      <c r="K43" s="4914"/>
      <c r="L43" s="4914"/>
      <c r="M43" s="4914"/>
      <c r="N43" s="4914"/>
      <c r="O43" s="4915"/>
      <c r="P43" s="4583">
        <f t="shared" si="5"/>
        <v>0</v>
      </c>
      <c r="Q43" s="4584">
        <f t="shared" si="5"/>
        <v>0</v>
      </c>
      <c r="R43" s="4584">
        <f t="shared" si="5"/>
        <v>0</v>
      </c>
      <c r="S43" s="4584">
        <f t="shared" si="5"/>
        <v>0</v>
      </c>
      <c r="T43" s="4584">
        <f t="shared" si="5"/>
        <v>0</v>
      </c>
      <c r="U43" s="4585">
        <f t="shared" si="5"/>
        <v>0</v>
      </c>
    </row>
    <row r="44" spans="1:22" ht="24">
      <c r="A44" s="468" t="s">
        <v>488</v>
      </c>
      <c r="B44" s="1625" t="s">
        <v>1387</v>
      </c>
      <c r="C44" s="340" t="s">
        <v>682</v>
      </c>
      <c r="D44" s="480">
        <v>0</v>
      </c>
      <c r="E44" s="455">
        <v>2</v>
      </c>
      <c r="F44" s="455">
        <v>2</v>
      </c>
      <c r="G44" s="455">
        <v>2</v>
      </c>
      <c r="H44" s="455">
        <v>2</v>
      </c>
      <c r="I44" s="470">
        <v>2</v>
      </c>
      <c r="J44" s="454">
        <v>0</v>
      </c>
      <c r="K44" s="4914">
        <v>2</v>
      </c>
      <c r="L44" s="4914">
        <v>2</v>
      </c>
      <c r="M44" s="4914">
        <v>2</v>
      </c>
      <c r="N44" s="4914">
        <v>2</v>
      </c>
      <c r="O44" s="4915">
        <v>2</v>
      </c>
      <c r="P44" s="4583">
        <f t="shared" si="5"/>
        <v>0</v>
      </c>
      <c r="Q44" s="4584">
        <f t="shared" si="5"/>
        <v>1000</v>
      </c>
      <c r="R44" s="4584">
        <f t="shared" si="5"/>
        <v>1000</v>
      </c>
      <c r="S44" s="4584">
        <f t="shared" si="5"/>
        <v>1000</v>
      </c>
      <c r="T44" s="4584">
        <f t="shared" si="5"/>
        <v>1000</v>
      </c>
      <c r="U44" s="4585">
        <f t="shared" si="5"/>
        <v>1000</v>
      </c>
    </row>
    <row r="45" spans="1:22">
      <c r="A45" s="468" t="s">
        <v>489</v>
      </c>
      <c r="B45" s="1625" t="s">
        <v>1388</v>
      </c>
      <c r="C45" s="340" t="s">
        <v>682</v>
      </c>
      <c r="D45" s="480"/>
      <c r="E45" s="455"/>
      <c r="F45" s="455"/>
      <c r="G45" s="455"/>
      <c r="H45" s="455"/>
      <c r="I45" s="470"/>
      <c r="J45" s="454"/>
      <c r="K45" s="4914"/>
      <c r="L45" s="4914"/>
      <c r="M45" s="4914"/>
      <c r="N45" s="4914"/>
      <c r="O45" s="4915"/>
      <c r="P45" s="4583">
        <f t="shared" si="5"/>
        <v>0</v>
      </c>
      <c r="Q45" s="4584">
        <f t="shared" si="5"/>
        <v>0</v>
      </c>
      <c r="R45" s="4584">
        <f t="shared" si="5"/>
        <v>0</v>
      </c>
      <c r="S45" s="4584">
        <f t="shared" si="5"/>
        <v>0</v>
      </c>
      <c r="T45" s="4584">
        <f t="shared" si="5"/>
        <v>0</v>
      </c>
      <c r="U45" s="4585">
        <f t="shared" si="5"/>
        <v>0</v>
      </c>
    </row>
    <row r="46" spans="1:22" ht="24">
      <c r="A46" s="468" t="s">
        <v>490</v>
      </c>
      <c r="B46" s="1634" t="s">
        <v>1389</v>
      </c>
      <c r="C46" s="340" t="s">
        <v>682</v>
      </c>
      <c r="D46" s="480"/>
      <c r="E46" s="455"/>
      <c r="F46" s="455"/>
      <c r="G46" s="455"/>
      <c r="H46" s="455"/>
      <c r="I46" s="470"/>
      <c r="J46" s="454"/>
      <c r="K46" s="4914"/>
      <c r="L46" s="4914"/>
      <c r="M46" s="4914"/>
      <c r="N46" s="4914"/>
      <c r="O46" s="4915"/>
      <c r="P46" s="4583">
        <f t="shared" si="5"/>
        <v>0</v>
      </c>
      <c r="Q46" s="4584">
        <f t="shared" si="5"/>
        <v>0</v>
      </c>
      <c r="R46" s="4584">
        <f t="shared" si="5"/>
        <v>0</v>
      </c>
      <c r="S46" s="4584">
        <f t="shared" si="5"/>
        <v>0</v>
      </c>
      <c r="T46" s="4584">
        <f t="shared" si="5"/>
        <v>0</v>
      </c>
      <c r="U46" s="4585">
        <f t="shared" si="5"/>
        <v>0</v>
      </c>
    </row>
    <row r="47" spans="1:22">
      <c r="A47" s="468" t="s">
        <v>688</v>
      </c>
      <c r="B47" s="1626" t="s">
        <v>1083</v>
      </c>
      <c r="C47" s="340" t="s">
        <v>682</v>
      </c>
      <c r="D47" s="480">
        <v>836</v>
      </c>
      <c r="E47" s="455">
        <v>836</v>
      </c>
      <c r="F47" s="455">
        <v>830</v>
      </c>
      <c r="G47" s="455">
        <v>830</v>
      </c>
      <c r="H47" s="455">
        <v>810</v>
      </c>
      <c r="I47" s="470">
        <v>820</v>
      </c>
      <c r="J47" s="454">
        <v>75</v>
      </c>
      <c r="K47" s="4914">
        <v>258</v>
      </c>
      <c r="L47" s="4914">
        <v>265</v>
      </c>
      <c r="M47" s="4914">
        <v>269</v>
      </c>
      <c r="N47" s="4914">
        <v>275</v>
      </c>
      <c r="O47" s="4915">
        <v>279</v>
      </c>
      <c r="P47" s="4583">
        <f t="shared" si="5"/>
        <v>90</v>
      </c>
      <c r="Q47" s="4584">
        <f t="shared" si="5"/>
        <v>309</v>
      </c>
      <c r="R47" s="4584">
        <f t="shared" si="5"/>
        <v>319</v>
      </c>
      <c r="S47" s="4584">
        <f t="shared" si="5"/>
        <v>324</v>
      </c>
      <c r="T47" s="4584">
        <f t="shared" si="5"/>
        <v>340</v>
      </c>
      <c r="U47" s="4585">
        <f t="shared" si="5"/>
        <v>340</v>
      </c>
    </row>
    <row r="48" spans="1:22" ht="24">
      <c r="A48" s="2293" t="s">
        <v>1079</v>
      </c>
      <c r="B48" s="1641" t="s">
        <v>1080</v>
      </c>
      <c r="C48" s="340" t="s">
        <v>682</v>
      </c>
      <c r="D48" s="454">
        <v>707</v>
      </c>
      <c r="E48" s="455">
        <v>727</v>
      </c>
      <c r="F48" s="455">
        <v>721</v>
      </c>
      <c r="G48" s="455">
        <v>721</v>
      </c>
      <c r="H48" s="455">
        <v>701</v>
      </c>
      <c r="I48" s="470">
        <v>660</v>
      </c>
      <c r="J48" s="454">
        <v>63.63</v>
      </c>
      <c r="K48" s="4914">
        <v>182</v>
      </c>
      <c r="L48" s="4914">
        <v>180</v>
      </c>
      <c r="M48" s="4914">
        <v>180</v>
      </c>
      <c r="N48" s="4914">
        <v>175</v>
      </c>
      <c r="O48" s="4915">
        <v>165</v>
      </c>
      <c r="P48" s="4583">
        <f t="shared" si="5"/>
        <v>90</v>
      </c>
      <c r="Q48" s="4584">
        <f t="shared" si="5"/>
        <v>250</v>
      </c>
      <c r="R48" s="4584">
        <f t="shared" si="5"/>
        <v>250</v>
      </c>
      <c r="S48" s="4584">
        <f t="shared" si="5"/>
        <v>250</v>
      </c>
      <c r="T48" s="4584">
        <f t="shared" si="5"/>
        <v>250</v>
      </c>
      <c r="U48" s="4585">
        <f t="shared" si="5"/>
        <v>250</v>
      </c>
    </row>
    <row r="49" spans="1:21" ht="12.75" thickBot="1">
      <c r="A49" s="2293" t="s">
        <v>1081</v>
      </c>
      <c r="B49" s="1641" t="s">
        <v>1082</v>
      </c>
      <c r="C49" s="340" t="s">
        <v>682</v>
      </c>
      <c r="D49" s="454">
        <v>129</v>
      </c>
      <c r="E49" s="455">
        <v>109</v>
      </c>
      <c r="F49" s="455">
        <v>109</v>
      </c>
      <c r="G49" s="455">
        <v>109</v>
      </c>
      <c r="H49" s="455">
        <v>109</v>
      </c>
      <c r="I49" s="470">
        <v>109</v>
      </c>
      <c r="J49" s="454">
        <v>11</v>
      </c>
      <c r="K49" s="4914">
        <v>16</v>
      </c>
      <c r="L49" s="4914">
        <v>16</v>
      </c>
      <c r="M49" s="4914">
        <v>16</v>
      </c>
      <c r="N49" s="4914">
        <v>16</v>
      </c>
      <c r="O49" s="4915">
        <v>16</v>
      </c>
      <c r="P49" s="4583">
        <f t="shared" si="5"/>
        <v>85</v>
      </c>
      <c r="Q49" s="4584">
        <f t="shared" si="5"/>
        <v>147</v>
      </c>
      <c r="R49" s="4584">
        <f t="shared" si="5"/>
        <v>147</v>
      </c>
      <c r="S49" s="4584">
        <f t="shared" si="5"/>
        <v>147</v>
      </c>
      <c r="T49" s="4584">
        <f t="shared" si="5"/>
        <v>147</v>
      </c>
      <c r="U49" s="4585">
        <f t="shared" si="5"/>
        <v>147</v>
      </c>
    </row>
    <row r="50" spans="1:21">
      <c r="A50" s="468" t="s">
        <v>735</v>
      </c>
      <c r="B50" s="1625" t="s">
        <v>923</v>
      </c>
      <c r="C50" s="340" t="s">
        <v>682</v>
      </c>
      <c r="D50" s="454">
        <v>0</v>
      </c>
      <c r="E50" s="457">
        <v>20</v>
      </c>
      <c r="F50" s="457">
        <v>20</v>
      </c>
      <c r="G50" s="457">
        <v>20</v>
      </c>
      <c r="H50" s="457">
        <v>20</v>
      </c>
      <c r="I50" s="4326">
        <v>20</v>
      </c>
      <c r="J50" s="480"/>
      <c r="K50" s="4914">
        <v>8</v>
      </c>
      <c r="L50" s="4914">
        <v>8</v>
      </c>
      <c r="M50" s="4914">
        <v>8</v>
      </c>
      <c r="N50" s="4914">
        <v>8</v>
      </c>
      <c r="O50" s="4915">
        <v>8</v>
      </c>
      <c r="P50" s="4583">
        <f t="shared" si="5"/>
        <v>0</v>
      </c>
      <c r="Q50" s="4584">
        <f t="shared" si="5"/>
        <v>400</v>
      </c>
      <c r="R50" s="4584">
        <f t="shared" si="5"/>
        <v>400</v>
      </c>
      <c r="S50" s="4584">
        <f t="shared" si="5"/>
        <v>400</v>
      </c>
      <c r="T50" s="4584">
        <f t="shared" si="5"/>
        <v>400</v>
      </c>
      <c r="U50" s="4585">
        <f t="shared" si="5"/>
        <v>400</v>
      </c>
    </row>
    <row r="51" spans="1:21">
      <c r="A51" s="468" t="s">
        <v>740</v>
      </c>
      <c r="B51" s="1634" t="s">
        <v>1390</v>
      </c>
      <c r="C51" s="340" t="s">
        <v>682</v>
      </c>
      <c r="D51" s="454">
        <v>1</v>
      </c>
      <c r="E51" s="455">
        <v>1</v>
      </c>
      <c r="F51" s="455">
        <v>1</v>
      </c>
      <c r="G51" s="455">
        <v>1</v>
      </c>
      <c r="H51" s="455">
        <v>1</v>
      </c>
      <c r="I51" s="470">
        <v>1</v>
      </c>
      <c r="J51" s="480">
        <v>0.53937000000000002</v>
      </c>
      <c r="K51" s="4914">
        <v>0.55500000000000005</v>
      </c>
      <c r="L51" s="4914">
        <v>0.55500000000000005</v>
      </c>
      <c r="M51" s="4914">
        <v>0.55500000000000005</v>
      </c>
      <c r="N51" s="4914">
        <v>0.55500000000000005</v>
      </c>
      <c r="O51" s="4915">
        <v>0.55500000000000005</v>
      </c>
      <c r="P51" s="4583">
        <f t="shared" si="5"/>
        <v>539</v>
      </c>
      <c r="Q51" s="4584">
        <f t="shared" si="5"/>
        <v>555</v>
      </c>
      <c r="R51" s="4584">
        <f t="shared" si="5"/>
        <v>555</v>
      </c>
      <c r="S51" s="4584">
        <f t="shared" si="5"/>
        <v>555</v>
      </c>
      <c r="T51" s="4584">
        <f t="shared" si="5"/>
        <v>555</v>
      </c>
      <c r="U51" s="4585">
        <f t="shared" si="5"/>
        <v>555</v>
      </c>
    </row>
    <row r="52" spans="1:21" ht="24.75" thickBot="1">
      <c r="A52" s="469" t="s">
        <v>925</v>
      </c>
      <c r="B52" s="1635" t="s">
        <v>1376</v>
      </c>
      <c r="C52" s="1636" t="s">
        <v>318</v>
      </c>
      <c r="D52" s="2290"/>
      <c r="E52" s="2291"/>
      <c r="F52" s="2291"/>
      <c r="G52" s="2291"/>
      <c r="H52" s="2291"/>
      <c r="I52" s="2292"/>
      <c r="J52" s="4327">
        <v>18</v>
      </c>
      <c r="K52" s="4925">
        <v>5</v>
      </c>
      <c r="L52" s="4925">
        <v>4</v>
      </c>
      <c r="M52" s="4925">
        <v>4</v>
      </c>
      <c r="N52" s="4925">
        <v>4</v>
      </c>
      <c r="O52" s="4926">
        <v>4</v>
      </c>
      <c r="P52" s="2290"/>
      <c r="Q52" s="2291"/>
      <c r="R52" s="2291"/>
      <c r="S52" s="2291"/>
      <c r="T52" s="2291"/>
      <c r="U52" s="2292"/>
    </row>
    <row r="53" spans="1:21" ht="23.25" customHeight="1" thickBot="1">
      <c r="A53" s="1474"/>
      <c r="B53" s="1627" t="s">
        <v>1084</v>
      </c>
      <c r="C53" s="1628"/>
      <c r="D53" s="456">
        <f>SUM(D41:D52)-D48-D49</f>
        <v>847</v>
      </c>
      <c r="E53" s="347">
        <f t="shared" ref="E53:O53" si="6">SUM(E41:E52)-E48-E49</f>
        <v>896</v>
      </c>
      <c r="F53" s="347">
        <f t="shared" si="6"/>
        <v>890</v>
      </c>
      <c r="G53" s="347">
        <f t="shared" si="6"/>
        <v>890</v>
      </c>
      <c r="H53" s="347">
        <f t="shared" si="6"/>
        <v>870</v>
      </c>
      <c r="I53" s="348">
        <f t="shared" si="6"/>
        <v>880</v>
      </c>
      <c r="J53" s="348">
        <f t="shared" si="6"/>
        <v>94.536370000000005</v>
      </c>
      <c r="K53" s="348">
        <f t="shared" si="6"/>
        <v>297.55500000000001</v>
      </c>
      <c r="L53" s="347">
        <f t="shared" si="6"/>
        <v>303.55500000000001</v>
      </c>
      <c r="M53" s="347">
        <f t="shared" si="6"/>
        <v>307.55500000000001</v>
      </c>
      <c r="N53" s="347">
        <f t="shared" si="6"/>
        <v>313.55500000000001</v>
      </c>
      <c r="O53" s="348">
        <f t="shared" si="6"/>
        <v>317.55500000000001</v>
      </c>
      <c r="P53" s="4328"/>
      <c r="Q53" s="4329"/>
      <c r="R53" s="4329"/>
      <c r="S53" s="4329"/>
      <c r="T53" s="4329"/>
      <c r="U53" s="4330"/>
    </row>
    <row r="54" spans="1:21" ht="12.75" customHeight="1" thickBot="1">
      <c r="A54" s="4303"/>
      <c r="B54" s="4304" t="s">
        <v>1485</v>
      </c>
      <c r="C54" s="4352" t="s">
        <v>174</v>
      </c>
      <c r="D54" s="4305"/>
      <c r="E54" s="4306">
        <f>IFERROR((E53-D53)/D53,0)</f>
        <v>5.7851239669421489E-2</v>
      </c>
      <c r="F54" s="4306">
        <f>IFERROR((F53-E53)/E53,0)</f>
        <v>-6.6964285714285711E-3</v>
      </c>
      <c r="G54" s="4306">
        <f>IFERROR((G53-F53)/F53,0)</f>
        <v>0</v>
      </c>
      <c r="H54" s="4306">
        <f>IFERROR((H53-G53)/G53,0)</f>
        <v>-2.247191011235955E-2</v>
      </c>
      <c r="I54" s="4307">
        <f>IFERROR((I53-H53)/H53,0)</f>
        <v>1.1494252873563218E-2</v>
      </c>
      <c r="J54" s="4308"/>
      <c r="K54" s="4306">
        <f>IFERROR((K53-J53)/J53,0)</f>
        <v>2.1475187803381917</v>
      </c>
      <c r="L54" s="4306">
        <f>IFERROR((L53-K53)/K53,0)</f>
        <v>2.0164339365831528E-2</v>
      </c>
      <c r="M54" s="4306">
        <f>IFERROR((M53-L53)/L53,0)</f>
        <v>1.3177183706412347E-2</v>
      </c>
      <c r="N54" s="4306">
        <f>IFERROR((N53-M53)/M53,0)</f>
        <v>1.9508705759945375E-2</v>
      </c>
      <c r="O54" s="4306">
        <f>IFERROR((O53-N53)/N53,0)</f>
        <v>1.2756932595557397E-2</v>
      </c>
      <c r="P54" s="4309"/>
      <c r="Q54" s="4310"/>
      <c r="R54" s="4310"/>
      <c r="S54" s="4310"/>
      <c r="T54" s="4310"/>
      <c r="U54" s="4311"/>
    </row>
    <row r="55" spans="1:21" ht="13.5" customHeight="1" thickBot="1">
      <c r="A55" s="4331" t="s">
        <v>1085</v>
      </c>
      <c r="B55" s="465"/>
      <c r="C55" s="465"/>
      <c r="D55" s="465"/>
      <c r="E55" s="465"/>
      <c r="F55" s="465"/>
      <c r="G55" s="465"/>
      <c r="H55" s="465"/>
      <c r="I55" s="465"/>
      <c r="J55" s="465"/>
      <c r="K55" s="465"/>
      <c r="L55" s="465"/>
      <c r="M55" s="465"/>
      <c r="N55" s="465"/>
      <c r="O55" s="465"/>
      <c r="P55" s="4332"/>
      <c r="Q55" s="4332"/>
      <c r="R55" s="4332"/>
      <c r="S55" s="4332"/>
      <c r="T55" s="4332"/>
      <c r="U55" s="4333"/>
    </row>
    <row r="56" spans="1:21">
      <c r="A56" s="1475"/>
      <c r="B56" s="1640" t="s">
        <v>1078</v>
      </c>
      <c r="C56" s="4372"/>
      <c r="D56" s="2294"/>
      <c r="E56" s="2295"/>
      <c r="F56" s="2295"/>
      <c r="G56" s="2295"/>
      <c r="H56" s="2295"/>
      <c r="I56" s="2296"/>
      <c r="J56" s="476">
        <v>29</v>
      </c>
      <c r="K56" s="477">
        <v>70</v>
      </c>
      <c r="L56" s="477">
        <v>70</v>
      </c>
      <c r="M56" s="477">
        <v>70</v>
      </c>
      <c r="N56" s="477">
        <v>70</v>
      </c>
      <c r="O56" s="478">
        <v>70</v>
      </c>
      <c r="P56" s="4315"/>
      <c r="Q56" s="2295"/>
      <c r="R56" s="2295"/>
      <c r="S56" s="2295"/>
      <c r="T56" s="2295"/>
      <c r="U56" s="2296"/>
    </row>
    <row r="57" spans="1:21">
      <c r="A57" s="1478"/>
      <c r="B57" s="4354" t="s">
        <v>1485</v>
      </c>
      <c r="C57" s="4373" t="s">
        <v>174</v>
      </c>
      <c r="D57" s="2297"/>
      <c r="E57" s="2211"/>
      <c r="F57" s="2211"/>
      <c r="G57" s="2211"/>
      <c r="H57" s="2211"/>
      <c r="I57" s="2298"/>
      <c r="J57" s="4729"/>
      <c r="K57" s="4317">
        <f>IFERROR((K56-J56)/J56,0)</f>
        <v>1.4137931034482758</v>
      </c>
      <c r="L57" s="4317">
        <f>IFERROR((L56-K56)/K56,0)</f>
        <v>0</v>
      </c>
      <c r="M57" s="4317">
        <f>IFERROR((M56-L56)/L56,0)</f>
        <v>0</v>
      </c>
      <c r="N57" s="4317">
        <f>IFERROR((N56-M56)/M56,0)</f>
        <v>0</v>
      </c>
      <c r="O57" s="4318">
        <f>IFERROR((O56-N56)/N56,0)</f>
        <v>0</v>
      </c>
      <c r="P57" s="3429"/>
      <c r="Q57" s="2211"/>
      <c r="R57" s="2211"/>
      <c r="S57" s="2211"/>
      <c r="T57" s="2211"/>
      <c r="U57" s="2298"/>
    </row>
    <row r="58" spans="1:21">
      <c r="A58" s="1476"/>
      <c r="B58" s="1641" t="s">
        <v>648</v>
      </c>
      <c r="C58" s="4374"/>
      <c r="D58" s="2297"/>
      <c r="E58" s="2211"/>
      <c r="F58" s="2211"/>
      <c r="G58" s="2211"/>
      <c r="H58" s="2211"/>
      <c r="I58" s="2298"/>
      <c r="J58" s="479">
        <v>8</v>
      </c>
      <c r="K58" s="461">
        <v>26</v>
      </c>
      <c r="L58" s="461">
        <v>26</v>
      </c>
      <c r="M58" s="461">
        <v>26</v>
      </c>
      <c r="N58" s="461">
        <v>26</v>
      </c>
      <c r="O58" s="462">
        <v>26</v>
      </c>
      <c r="P58" s="3429"/>
      <c r="Q58" s="2211"/>
      <c r="R58" s="2211"/>
      <c r="S58" s="2211"/>
      <c r="T58" s="2211"/>
      <c r="U58" s="2298"/>
    </row>
    <row r="59" spans="1:21">
      <c r="A59" s="1476"/>
      <c r="B59" s="4354" t="s">
        <v>1485</v>
      </c>
      <c r="C59" s="4373" t="s">
        <v>174</v>
      </c>
      <c r="D59" s="2297"/>
      <c r="E59" s="2211"/>
      <c r="F59" s="2211"/>
      <c r="G59" s="2211"/>
      <c r="H59" s="2211"/>
      <c r="I59" s="2298"/>
      <c r="J59" s="4322"/>
      <c r="K59" s="4317">
        <f>IFERROR((K58-J58)/J58,0)</f>
        <v>2.25</v>
      </c>
      <c r="L59" s="4317">
        <f>IFERROR((L58-K58)/K58,0)</f>
        <v>0</v>
      </c>
      <c r="M59" s="4317">
        <f>IFERROR((M58-L58)/L58,0)</f>
        <v>0</v>
      </c>
      <c r="N59" s="4317">
        <f>IFERROR((N58-M58)/M58,0)</f>
        <v>0</v>
      </c>
      <c r="O59" s="4318">
        <f>IFERROR((O58-N58)/N58,0)</f>
        <v>0</v>
      </c>
      <c r="P59" s="3429"/>
      <c r="Q59" s="2211"/>
      <c r="R59" s="2211"/>
      <c r="S59" s="2211"/>
      <c r="T59" s="2211"/>
      <c r="U59" s="2298"/>
    </row>
    <row r="60" spans="1:21">
      <c r="A60" s="1476"/>
      <c r="B60" s="1641" t="s">
        <v>647</v>
      </c>
      <c r="C60" s="4374"/>
      <c r="D60" s="2297"/>
      <c r="E60" s="2211"/>
      <c r="F60" s="2211"/>
      <c r="G60" s="2211"/>
      <c r="H60" s="2211"/>
      <c r="I60" s="2298"/>
      <c r="J60" s="479">
        <v>25</v>
      </c>
      <c r="K60" s="461">
        <v>164</v>
      </c>
      <c r="L60" s="461">
        <v>164</v>
      </c>
      <c r="M60" s="461">
        <v>164</v>
      </c>
      <c r="N60" s="461">
        <v>164</v>
      </c>
      <c r="O60" s="462">
        <v>164</v>
      </c>
      <c r="P60" s="3429"/>
      <c r="Q60" s="2211"/>
      <c r="R60" s="2211"/>
      <c r="S60" s="2211"/>
      <c r="T60" s="2211"/>
      <c r="U60" s="2298"/>
    </row>
    <row r="61" spans="1:21">
      <c r="A61" s="1476"/>
      <c r="B61" s="4354" t="s">
        <v>1485</v>
      </c>
      <c r="C61" s="4373" t="s">
        <v>174</v>
      </c>
      <c r="D61" s="2297"/>
      <c r="E61" s="2211"/>
      <c r="F61" s="2211"/>
      <c r="G61" s="2211"/>
      <c r="H61" s="2211"/>
      <c r="I61" s="2298"/>
      <c r="J61" s="4322"/>
      <c r="K61" s="4317">
        <f>IFERROR((K60-J60)/J60,0)</f>
        <v>5.56</v>
      </c>
      <c r="L61" s="4317">
        <f>IFERROR((L60-K60)/K60,0)</f>
        <v>0</v>
      </c>
      <c r="M61" s="4317">
        <f>IFERROR((M60-L60)/L60,0)</f>
        <v>0</v>
      </c>
      <c r="N61" s="4317">
        <f>IFERROR((N60-M60)/M60,0)</f>
        <v>0</v>
      </c>
      <c r="O61" s="4318">
        <f>IFERROR((O60-N60)/N60,0)</f>
        <v>0</v>
      </c>
      <c r="P61" s="3429"/>
      <c r="Q61" s="2211"/>
      <c r="R61" s="2211"/>
      <c r="S61" s="2211"/>
      <c r="T61" s="2211"/>
      <c r="U61" s="2298"/>
    </row>
    <row r="62" spans="1:21">
      <c r="A62" s="1476"/>
      <c r="B62" s="1641" t="s">
        <v>646</v>
      </c>
      <c r="C62" s="4374"/>
      <c r="D62" s="2297"/>
      <c r="E62" s="2211"/>
      <c r="F62" s="2211"/>
      <c r="G62" s="2211"/>
      <c r="H62" s="2211"/>
      <c r="I62" s="2298"/>
      <c r="J62" s="479">
        <v>25</v>
      </c>
      <c r="K62" s="461">
        <v>28.75</v>
      </c>
      <c r="L62" s="461">
        <v>33</v>
      </c>
      <c r="M62" s="461">
        <v>36</v>
      </c>
      <c r="N62" s="461">
        <v>41</v>
      </c>
      <c r="O62" s="462">
        <v>45</v>
      </c>
      <c r="P62" s="3429"/>
      <c r="Q62" s="2211"/>
      <c r="R62" s="2211"/>
      <c r="S62" s="2211"/>
      <c r="T62" s="2211"/>
      <c r="U62" s="2298"/>
    </row>
    <row r="63" spans="1:21">
      <c r="A63" s="1476"/>
      <c r="B63" s="4354" t="s">
        <v>1485</v>
      </c>
      <c r="C63" s="4373" t="s">
        <v>174</v>
      </c>
      <c r="D63" s="2297"/>
      <c r="E63" s="2211"/>
      <c r="F63" s="2211"/>
      <c r="G63" s="2211"/>
      <c r="H63" s="2211"/>
      <c r="I63" s="2298"/>
      <c r="J63" s="4730"/>
      <c r="K63" s="4317">
        <f>IFERROR((K62-J62)/J62,0)</f>
        <v>0.15</v>
      </c>
      <c r="L63" s="4317">
        <f>IFERROR((L62-K62)/K62,0)</f>
        <v>0.14782608695652175</v>
      </c>
      <c r="M63" s="4317">
        <f>IFERROR((M62-L62)/L62,0)</f>
        <v>9.0909090909090912E-2</v>
      </c>
      <c r="N63" s="4317">
        <f>IFERROR((N62-M62)/M62,0)</f>
        <v>0.1388888888888889</v>
      </c>
      <c r="O63" s="4318">
        <f>IFERROR((O62-N62)/N62,0)</f>
        <v>9.7560975609756101E-2</v>
      </c>
      <c r="P63" s="3429"/>
      <c r="Q63" s="2211"/>
      <c r="R63" s="2211"/>
      <c r="S63" s="2211"/>
      <c r="T63" s="2211"/>
      <c r="U63" s="2298"/>
    </row>
    <row r="64" spans="1:21">
      <c r="A64" s="1476"/>
      <c r="B64" s="1641" t="s">
        <v>645</v>
      </c>
      <c r="C64" s="4374"/>
      <c r="D64" s="2297"/>
      <c r="E64" s="2211"/>
      <c r="F64" s="2211"/>
      <c r="G64" s="2211"/>
      <c r="H64" s="2211"/>
      <c r="I64" s="2298"/>
      <c r="J64" s="1039">
        <v>5</v>
      </c>
      <c r="K64" s="463">
        <v>5.75</v>
      </c>
      <c r="L64" s="463">
        <v>6.6</v>
      </c>
      <c r="M64" s="463">
        <v>7.2</v>
      </c>
      <c r="N64" s="463">
        <v>8.1999999999999993</v>
      </c>
      <c r="O64" s="464">
        <v>9</v>
      </c>
      <c r="P64" s="3429"/>
      <c r="Q64" s="2211"/>
      <c r="R64" s="2211"/>
      <c r="S64" s="2211"/>
      <c r="T64" s="2211"/>
      <c r="U64" s="2298"/>
    </row>
    <row r="65" spans="1:22">
      <c r="A65" s="1479"/>
      <c r="B65" s="4354" t="s">
        <v>1485</v>
      </c>
      <c r="C65" s="4373" t="s">
        <v>174</v>
      </c>
      <c r="D65" s="2297"/>
      <c r="E65" s="2211"/>
      <c r="F65" s="2211"/>
      <c r="G65" s="2211"/>
      <c r="H65" s="2211"/>
      <c r="I65" s="2298"/>
      <c r="J65" s="4730"/>
      <c r="K65" s="4317">
        <f>IFERROR((K64-J64)/J64,0)</f>
        <v>0.15</v>
      </c>
      <c r="L65" s="4317">
        <f>IFERROR((L64-K64)/K64,0)</f>
        <v>0.14782608695652169</v>
      </c>
      <c r="M65" s="4317">
        <f>IFERROR((M64-L64)/L64,0)</f>
        <v>9.0909090909090995E-2</v>
      </c>
      <c r="N65" s="4317">
        <f>IFERROR((N64-M64)/M64,0)</f>
        <v>0.13888888888888876</v>
      </c>
      <c r="O65" s="4318">
        <f>IFERROR((O64-N64)/N64,0)</f>
        <v>9.7560975609756198E-2</v>
      </c>
      <c r="P65" s="3429"/>
      <c r="Q65" s="2211"/>
      <c r="R65" s="2211"/>
      <c r="S65" s="2211"/>
      <c r="T65" s="2211"/>
      <c r="U65" s="2298"/>
    </row>
    <row r="66" spans="1:22" ht="24">
      <c r="A66" s="1476"/>
      <c r="B66" s="1641" t="s">
        <v>644</v>
      </c>
      <c r="C66" s="4374"/>
      <c r="D66" s="2297"/>
      <c r="E66" s="2211"/>
      <c r="F66" s="2211"/>
      <c r="G66" s="2211"/>
      <c r="H66" s="2211"/>
      <c r="I66" s="2298"/>
      <c r="J66" s="4369">
        <f>J53-J56-J58-J60-J62-J64</f>
        <v>2.5363700000000051</v>
      </c>
      <c r="K66" s="4338">
        <f t="shared" ref="K66:O66" si="7">K53-K56-K58-K60-K62-K64</f>
        <v>3.0550000000000068</v>
      </c>
      <c r="L66" s="4338">
        <f t="shared" si="7"/>
        <v>3.9550000000000072</v>
      </c>
      <c r="M66" s="4338">
        <f t="shared" si="7"/>
        <v>4.3550000000000066</v>
      </c>
      <c r="N66" s="4338">
        <f t="shared" si="7"/>
        <v>4.3550000000000075</v>
      </c>
      <c r="O66" s="4319">
        <f t="shared" si="7"/>
        <v>3.5550000000000068</v>
      </c>
      <c r="P66" s="3429"/>
      <c r="Q66" s="2211"/>
      <c r="R66" s="2211"/>
      <c r="S66" s="2211"/>
      <c r="T66" s="2211"/>
      <c r="U66" s="2298"/>
    </row>
    <row r="67" spans="1:22">
      <c r="A67" s="4341"/>
      <c r="B67" s="4355" t="s">
        <v>1485</v>
      </c>
      <c r="C67" s="4375" t="s">
        <v>174</v>
      </c>
      <c r="D67" s="2297"/>
      <c r="E67" s="2211"/>
      <c r="F67" s="2211"/>
      <c r="G67" s="2211"/>
      <c r="H67" s="2211"/>
      <c r="I67" s="2298"/>
      <c r="J67" s="4322"/>
      <c r="K67" s="4317">
        <f>IFERROR((K66-J66)/J66,0)</f>
        <v>0.20447726475238259</v>
      </c>
      <c r="L67" s="4317">
        <f>IFERROR((L66-K66)/K66,0)</f>
        <v>0.29459901800327276</v>
      </c>
      <c r="M67" s="4317">
        <f>IFERROR((M66-L66)/L66,0)</f>
        <v>0.10113780025284418</v>
      </c>
      <c r="N67" s="4317">
        <f>IFERROR((N66-M66)/M66,0)</f>
        <v>2.0394452805972993E-16</v>
      </c>
      <c r="O67" s="4318">
        <f>IFERROR((O66-N66)/N66,0)</f>
        <v>-0.18369690011481041</v>
      </c>
      <c r="P67" s="3429"/>
      <c r="Q67" s="2211"/>
      <c r="R67" s="2211"/>
      <c r="S67" s="2211"/>
      <c r="T67" s="2211"/>
      <c r="U67" s="2298"/>
    </row>
    <row r="68" spans="1:22" ht="12.75" thickBot="1">
      <c r="A68" s="1477"/>
      <c r="B68" s="4356" t="s">
        <v>1362</v>
      </c>
      <c r="C68" s="4376"/>
      <c r="D68" s="2290"/>
      <c r="E68" s="2291"/>
      <c r="F68" s="2291"/>
      <c r="G68" s="2291"/>
      <c r="H68" s="2291"/>
      <c r="I68" s="2292"/>
      <c r="J68" s="4367">
        <f>J53-J56-J58-J60-J62-J64-J66</f>
        <v>0</v>
      </c>
      <c r="K68" s="4368">
        <f t="shared" ref="K68:O68" si="8">K53-K56-K58-K60-K62-K64-K66</f>
        <v>0</v>
      </c>
      <c r="L68" s="4368">
        <f t="shared" si="8"/>
        <v>0</v>
      </c>
      <c r="M68" s="4368">
        <f t="shared" si="8"/>
        <v>0</v>
      </c>
      <c r="N68" s="4368">
        <f t="shared" si="8"/>
        <v>0</v>
      </c>
      <c r="O68" s="1041">
        <f t="shared" si="8"/>
        <v>0</v>
      </c>
      <c r="P68" s="4339"/>
      <c r="Q68" s="2300"/>
      <c r="R68" s="2300"/>
      <c r="S68" s="2300"/>
      <c r="T68" s="2300"/>
      <c r="U68" s="2301"/>
      <c r="V68" s="4586"/>
    </row>
    <row r="69" spans="1:22" ht="18" customHeight="1" thickBot="1">
      <c r="A69" s="1648">
        <v>3</v>
      </c>
      <c r="B69" s="4336" t="s">
        <v>214</v>
      </c>
      <c r="C69" s="5330"/>
      <c r="D69" s="5330"/>
      <c r="E69" s="5330"/>
      <c r="F69" s="5330"/>
      <c r="G69" s="5330"/>
      <c r="H69" s="5330"/>
      <c r="I69" s="5330"/>
      <c r="J69" s="5331"/>
      <c r="K69" s="5331"/>
      <c r="L69" s="5331"/>
      <c r="M69" s="5331"/>
      <c r="N69" s="5331"/>
      <c r="O69" s="5331"/>
      <c r="P69" s="5330"/>
      <c r="Q69" s="5330"/>
      <c r="R69" s="5330"/>
      <c r="S69" s="5330"/>
      <c r="T69" s="5330"/>
      <c r="U69" s="5332"/>
    </row>
    <row r="70" spans="1:22">
      <c r="A70" s="467" t="s">
        <v>268</v>
      </c>
      <c r="B70" s="1624" t="s">
        <v>1391</v>
      </c>
      <c r="C70" s="1587" t="s">
        <v>682</v>
      </c>
      <c r="D70" s="1585">
        <v>5</v>
      </c>
      <c r="E70" s="1586">
        <v>12</v>
      </c>
      <c r="F70" s="1586">
        <v>12</v>
      </c>
      <c r="G70" s="1586">
        <v>12</v>
      </c>
      <c r="H70" s="1586">
        <v>12</v>
      </c>
      <c r="I70" s="4337">
        <v>12</v>
      </c>
      <c r="J70" s="1585">
        <v>3.4519099999999998</v>
      </c>
      <c r="K70" s="4726">
        <v>5</v>
      </c>
      <c r="L70" s="4726">
        <v>5</v>
      </c>
      <c r="M70" s="4726">
        <v>5</v>
      </c>
      <c r="N70" s="4726">
        <v>5</v>
      </c>
      <c r="O70" s="4727">
        <v>5</v>
      </c>
      <c r="P70" s="4580">
        <f t="shared" ref="P70:U77" si="9">ROUND(IFERROR(J70*1000/D70,0),0)</f>
        <v>690</v>
      </c>
      <c r="Q70" s="4581">
        <f t="shared" si="9"/>
        <v>417</v>
      </c>
      <c r="R70" s="4581">
        <f t="shared" si="9"/>
        <v>417</v>
      </c>
      <c r="S70" s="4581">
        <f t="shared" si="9"/>
        <v>417</v>
      </c>
      <c r="T70" s="4581">
        <f t="shared" si="9"/>
        <v>417</v>
      </c>
      <c r="U70" s="4582">
        <f t="shared" si="9"/>
        <v>417</v>
      </c>
    </row>
    <row r="71" spans="1:22">
      <c r="A71" s="468" t="s">
        <v>269</v>
      </c>
      <c r="B71" s="1625" t="s">
        <v>1392</v>
      </c>
      <c r="C71" s="340" t="s">
        <v>682</v>
      </c>
      <c r="D71" s="454"/>
      <c r="E71" s="455"/>
      <c r="F71" s="455"/>
      <c r="G71" s="455"/>
      <c r="H71" s="455"/>
      <c r="I71" s="470"/>
      <c r="J71" s="454"/>
      <c r="K71" s="4724"/>
      <c r="L71" s="4724"/>
      <c r="M71" s="4724"/>
      <c r="N71" s="4724"/>
      <c r="O71" s="4725"/>
      <c r="P71" s="4583">
        <f t="shared" si="9"/>
        <v>0</v>
      </c>
      <c r="Q71" s="4584">
        <f t="shared" si="9"/>
        <v>0</v>
      </c>
      <c r="R71" s="4584">
        <f t="shared" si="9"/>
        <v>0</v>
      </c>
      <c r="S71" s="4584">
        <f t="shared" si="9"/>
        <v>0</v>
      </c>
      <c r="T71" s="4584">
        <f t="shared" si="9"/>
        <v>0</v>
      </c>
      <c r="U71" s="4585">
        <f t="shared" si="9"/>
        <v>0</v>
      </c>
    </row>
    <row r="72" spans="1:22" ht="24">
      <c r="A72" s="468" t="s">
        <v>491</v>
      </c>
      <c r="B72" s="1625" t="s">
        <v>1393</v>
      </c>
      <c r="C72" s="340" t="s">
        <v>682</v>
      </c>
      <c r="D72" s="480">
        <v>1</v>
      </c>
      <c r="E72" s="455">
        <v>5</v>
      </c>
      <c r="F72" s="455">
        <v>5</v>
      </c>
      <c r="G72" s="455">
        <v>5</v>
      </c>
      <c r="H72" s="455">
        <v>10</v>
      </c>
      <c r="I72" s="470">
        <v>10</v>
      </c>
      <c r="J72" s="454">
        <v>0.15</v>
      </c>
      <c r="K72" s="4724">
        <v>2</v>
      </c>
      <c r="L72" s="4724">
        <v>2</v>
      </c>
      <c r="M72" s="4724">
        <v>2</v>
      </c>
      <c r="N72" s="4724">
        <v>2</v>
      </c>
      <c r="O72" s="4725">
        <v>2</v>
      </c>
      <c r="P72" s="4583">
        <f t="shared" si="9"/>
        <v>150</v>
      </c>
      <c r="Q72" s="4584">
        <f t="shared" si="9"/>
        <v>400</v>
      </c>
      <c r="R72" s="4584">
        <f t="shared" si="9"/>
        <v>400</v>
      </c>
      <c r="S72" s="4584">
        <f t="shared" si="9"/>
        <v>400</v>
      </c>
      <c r="T72" s="4584">
        <f t="shared" si="9"/>
        <v>200</v>
      </c>
      <c r="U72" s="4585">
        <f t="shared" si="9"/>
        <v>200</v>
      </c>
    </row>
    <row r="73" spans="1:22">
      <c r="A73" s="468" t="s">
        <v>492</v>
      </c>
      <c r="B73" s="1625" t="s">
        <v>1394</v>
      </c>
      <c r="C73" s="340" t="s">
        <v>682</v>
      </c>
      <c r="D73" s="480"/>
      <c r="E73" s="455"/>
      <c r="F73" s="455"/>
      <c r="G73" s="455"/>
      <c r="H73" s="455"/>
      <c r="I73" s="470"/>
      <c r="J73" s="454"/>
      <c r="K73" s="4724"/>
      <c r="L73" s="4724"/>
      <c r="M73" s="4724"/>
      <c r="N73" s="4724"/>
      <c r="O73" s="4725"/>
      <c r="P73" s="4583">
        <f t="shared" si="9"/>
        <v>0</v>
      </c>
      <c r="Q73" s="4584">
        <f t="shared" si="9"/>
        <v>0</v>
      </c>
      <c r="R73" s="4584">
        <f t="shared" si="9"/>
        <v>0</v>
      </c>
      <c r="S73" s="4584">
        <f t="shared" si="9"/>
        <v>0</v>
      </c>
      <c r="T73" s="4584">
        <f t="shared" si="9"/>
        <v>0</v>
      </c>
      <c r="U73" s="4585">
        <f t="shared" si="9"/>
        <v>0</v>
      </c>
    </row>
    <row r="74" spans="1:22" ht="24">
      <c r="A74" s="468" t="s">
        <v>493</v>
      </c>
      <c r="B74" s="1625" t="s">
        <v>1466</v>
      </c>
      <c r="C74" s="340" t="s">
        <v>682</v>
      </c>
      <c r="D74" s="480"/>
      <c r="E74" s="455"/>
      <c r="F74" s="455"/>
      <c r="G74" s="455"/>
      <c r="H74" s="455"/>
      <c r="I74" s="470"/>
      <c r="J74" s="454"/>
      <c r="K74" s="4724"/>
      <c r="L74" s="4724"/>
      <c r="M74" s="4724"/>
      <c r="N74" s="4724"/>
      <c r="O74" s="4725"/>
      <c r="P74" s="4583">
        <f t="shared" si="9"/>
        <v>0</v>
      </c>
      <c r="Q74" s="4584">
        <f t="shared" si="9"/>
        <v>0</v>
      </c>
      <c r="R74" s="4584">
        <f t="shared" si="9"/>
        <v>0</v>
      </c>
      <c r="S74" s="4584">
        <f t="shared" si="9"/>
        <v>0</v>
      </c>
      <c r="T74" s="4584">
        <f t="shared" si="9"/>
        <v>0</v>
      </c>
      <c r="U74" s="4585">
        <f t="shared" si="9"/>
        <v>0</v>
      </c>
    </row>
    <row r="75" spans="1:22">
      <c r="A75" s="468" t="s">
        <v>689</v>
      </c>
      <c r="B75" s="1626" t="s">
        <v>922</v>
      </c>
      <c r="C75" s="340" t="s">
        <v>682</v>
      </c>
      <c r="D75" s="480"/>
      <c r="E75" s="455"/>
      <c r="F75" s="455"/>
      <c r="G75" s="455"/>
      <c r="H75" s="455"/>
      <c r="I75" s="470"/>
      <c r="J75" s="454"/>
      <c r="K75" s="4724"/>
      <c r="L75" s="4724"/>
      <c r="M75" s="4724"/>
      <c r="N75" s="4724"/>
      <c r="O75" s="4725"/>
      <c r="P75" s="4583">
        <f t="shared" si="9"/>
        <v>0</v>
      </c>
      <c r="Q75" s="4584">
        <f t="shared" si="9"/>
        <v>0</v>
      </c>
      <c r="R75" s="4584">
        <f t="shared" si="9"/>
        <v>0</v>
      </c>
      <c r="S75" s="4584">
        <f t="shared" si="9"/>
        <v>0</v>
      </c>
      <c r="T75" s="4584">
        <f t="shared" si="9"/>
        <v>0</v>
      </c>
      <c r="U75" s="4585">
        <f t="shared" si="9"/>
        <v>0</v>
      </c>
    </row>
    <row r="76" spans="1:22">
      <c r="A76" s="468" t="s">
        <v>736</v>
      </c>
      <c r="B76" s="1625" t="s">
        <v>923</v>
      </c>
      <c r="C76" s="340" t="s">
        <v>682</v>
      </c>
      <c r="D76" s="480"/>
      <c r="E76" s="455"/>
      <c r="F76" s="455"/>
      <c r="G76" s="455"/>
      <c r="H76" s="455"/>
      <c r="I76" s="470"/>
      <c r="J76" s="454"/>
      <c r="K76" s="4724"/>
      <c r="L76" s="4724"/>
      <c r="M76" s="4724"/>
      <c r="N76" s="4724"/>
      <c r="O76" s="4725"/>
      <c r="P76" s="4583">
        <f t="shared" si="9"/>
        <v>0</v>
      </c>
      <c r="Q76" s="4584">
        <f t="shared" si="9"/>
        <v>0</v>
      </c>
      <c r="R76" s="4584">
        <f t="shared" si="9"/>
        <v>0</v>
      </c>
      <c r="S76" s="4584">
        <f t="shared" si="9"/>
        <v>0</v>
      </c>
      <c r="T76" s="4584">
        <f t="shared" si="9"/>
        <v>0</v>
      </c>
      <c r="U76" s="4585">
        <f t="shared" si="9"/>
        <v>0</v>
      </c>
    </row>
    <row r="77" spans="1:22" ht="24">
      <c r="A77" s="468" t="s">
        <v>741</v>
      </c>
      <c r="B77" s="1634" t="s">
        <v>1395</v>
      </c>
      <c r="C77" s="340" t="s">
        <v>682</v>
      </c>
      <c r="D77" s="454"/>
      <c r="E77" s="455"/>
      <c r="F77" s="455"/>
      <c r="G77" s="455"/>
      <c r="H77" s="455"/>
      <c r="I77" s="470"/>
      <c r="J77" s="454"/>
      <c r="K77" s="4724"/>
      <c r="L77" s="4724"/>
      <c r="M77" s="4724"/>
      <c r="N77" s="4724"/>
      <c r="O77" s="4725"/>
      <c r="P77" s="4583">
        <f t="shared" si="9"/>
        <v>0</v>
      </c>
      <c r="Q77" s="4584">
        <f t="shared" si="9"/>
        <v>0</v>
      </c>
      <c r="R77" s="4584">
        <f t="shared" si="9"/>
        <v>0</v>
      </c>
      <c r="S77" s="4584">
        <f t="shared" si="9"/>
        <v>0</v>
      </c>
      <c r="T77" s="4584">
        <f t="shared" si="9"/>
        <v>0</v>
      </c>
      <c r="U77" s="4585">
        <f t="shared" si="9"/>
        <v>0</v>
      </c>
    </row>
    <row r="78" spans="1:22" ht="24.75" thickBot="1">
      <c r="A78" s="468" t="s">
        <v>927</v>
      </c>
      <c r="B78" s="1625" t="s">
        <v>1377</v>
      </c>
      <c r="C78" s="340" t="s">
        <v>318</v>
      </c>
      <c r="D78" s="2290"/>
      <c r="E78" s="2291"/>
      <c r="F78" s="2291"/>
      <c r="G78" s="2291"/>
      <c r="H78" s="2291"/>
      <c r="I78" s="2292"/>
      <c r="J78" s="4295">
        <v>21</v>
      </c>
      <c r="K78" s="4916">
        <v>23</v>
      </c>
      <c r="L78" s="4916">
        <v>23</v>
      </c>
      <c r="M78" s="4916">
        <v>23</v>
      </c>
      <c r="N78" s="4916">
        <v>23</v>
      </c>
      <c r="O78" s="4917">
        <v>23</v>
      </c>
      <c r="P78" s="2290"/>
      <c r="Q78" s="2291"/>
      <c r="R78" s="2291"/>
      <c r="S78" s="2291"/>
      <c r="T78" s="2291"/>
      <c r="U78" s="2292"/>
    </row>
    <row r="79" spans="1:22" s="2271" customFormat="1" ht="20.100000000000001" customHeight="1" thickBot="1">
      <c r="A79" s="1474"/>
      <c r="B79" s="1627" t="s">
        <v>1086</v>
      </c>
      <c r="C79" s="1628"/>
      <c r="D79" s="346">
        <f>SUM(D70:D78)</f>
        <v>6</v>
      </c>
      <c r="E79" s="347">
        <f t="shared" ref="E79:O79" si="10">SUM(E70:E78)</f>
        <v>17</v>
      </c>
      <c r="F79" s="347">
        <f t="shared" si="10"/>
        <v>17</v>
      </c>
      <c r="G79" s="347">
        <f t="shared" si="10"/>
        <v>17</v>
      </c>
      <c r="H79" s="347">
        <f t="shared" si="10"/>
        <v>22</v>
      </c>
      <c r="I79" s="453">
        <f t="shared" si="10"/>
        <v>22</v>
      </c>
      <c r="J79" s="346">
        <f t="shared" si="10"/>
        <v>24.60191</v>
      </c>
      <c r="K79" s="347">
        <f t="shared" si="10"/>
        <v>30</v>
      </c>
      <c r="L79" s="347">
        <f t="shared" si="10"/>
        <v>30</v>
      </c>
      <c r="M79" s="347">
        <f t="shared" si="10"/>
        <v>30</v>
      </c>
      <c r="N79" s="347">
        <f t="shared" si="10"/>
        <v>30</v>
      </c>
      <c r="O79" s="1045">
        <f t="shared" si="10"/>
        <v>30</v>
      </c>
      <c r="P79" s="4328"/>
      <c r="Q79" s="4329"/>
      <c r="R79" s="4329"/>
      <c r="S79" s="4329"/>
      <c r="T79" s="4329"/>
      <c r="U79" s="4330"/>
    </row>
    <row r="80" spans="1:22" s="2271" customFormat="1" ht="15" customHeight="1" thickBot="1">
      <c r="A80" s="4303"/>
      <c r="B80" s="4304" t="s">
        <v>1488</v>
      </c>
      <c r="C80" s="4351" t="s">
        <v>174</v>
      </c>
      <c r="D80" s="4305"/>
      <c r="E80" s="4306">
        <f>IFERROR((E79-D79)/D79,0)</f>
        <v>1.8333333333333333</v>
      </c>
      <c r="F80" s="4306">
        <f>IFERROR((F79-E79)/E79,0)</f>
        <v>0</v>
      </c>
      <c r="G80" s="4306">
        <f>IFERROR((G79-F79)/F79,0)</f>
        <v>0</v>
      </c>
      <c r="H80" s="4306">
        <f>IFERROR((H79-G79)/G79,0)</f>
        <v>0.29411764705882354</v>
      </c>
      <c r="I80" s="4307">
        <f>IFERROR((I79-H79)/H79,0)</f>
        <v>0</v>
      </c>
      <c r="J80" s="4308"/>
      <c r="K80" s="4306">
        <f>IFERROR((K79-J79)/J79,0)</f>
        <v>0.2194175167700394</v>
      </c>
      <c r="L80" s="4306">
        <f>IFERROR((L79-K79)/K79,0)</f>
        <v>0</v>
      </c>
      <c r="M80" s="4306">
        <f>IFERROR((M79-L79)/L79,0)</f>
        <v>0</v>
      </c>
      <c r="N80" s="4306">
        <f>IFERROR((N79-M79)/M79,0)</f>
        <v>0</v>
      </c>
      <c r="O80" s="4306">
        <f>IFERROR((O79-N79)/N79,0)</f>
        <v>0</v>
      </c>
      <c r="P80" s="4309"/>
      <c r="Q80" s="4310"/>
      <c r="R80" s="4310"/>
      <c r="S80" s="4310"/>
      <c r="T80" s="4310"/>
      <c r="U80" s="4311"/>
    </row>
    <row r="81" spans="1:22" s="2271" customFormat="1" ht="13.5" customHeight="1" thickBot="1">
      <c r="A81" s="4331" t="s">
        <v>1087</v>
      </c>
      <c r="B81" s="465"/>
      <c r="C81" s="465"/>
      <c r="D81" s="465"/>
      <c r="E81" s="465"/>
      <c r="F81" s="465"/>
      <c r="G81" s="465"/>
      <c r="H81" s="465"/>
      <c r="I81" s="465"/>
      <c r="J81" s="465"/>
      <c r="K81" s="465"/>
      <c r="L81" s="465"/>
      <c r="M81" s="465"/>
      <c r="N81" s="465"/>
      <c r="O81" s="465"/>
      <c r="P81" s="465"/>
      <c r="Q81" s="465"/>
      <c r="R81" s="465"/>
      <c r="S81" s="465"/>
      <c r="T81" s="465"/>
      <c r="U81" s="466"/>
    </row>
    <row r="82" spans="1:22" s="2271" customFormat="1">
      <c r="A82" s="1478"/>
      <c r="B82" s="1638" t="s">
        <v>1078</v>
      </c>
      <c r="C82" s="1630"/>
      <c r="D82" s="4315"/>
      <c r="E82" s="2295"/>
      <c r="F82" s="2295"/>
      <c r="G82" s="2295"/>
      <c r="H82" s="2295"/>
      <c r="I82" s="4334"/>
      <c r="J82" s="476">
        <v>0</v>
      </c>
      <c r="K82" s="477">
        <v>1</v>
      </c>
      <c r="L82" s="477">
        <v>1</v>
      </c>
      <c r="M82" s="477">
        <v>1</v>
      </c>
      <c r="N82" s="477">
        <v>1</v>
      </c>
      <c r="O82" s="478">
        <v>1</v>
      </c>
      <c r="P82" s="4315"/>
      <c r="Q82" s="2295"/>
      <c r="R82" s="2295"/>
      <c r="S82" s="2295"/>
      <c r="T82" s="2295"/>
      <c r="U82" s="2296"/>
    </row>
    <row r="83" spans="1:22" s="2271" customFormat="1">
      <c r="A83" s="1478"/>
      <c r="B83" s="4354" t="s">
        <v>1485</v>
      </c>
      <c r="C83" s="4351" t="s">
        <v>174</v>
      </c>
      <c r="D83" s="3429"/>
      <c r="E83" s="2211"/>
      <c r="F83" s="2211"/>
      <c r="G83" s="2211"/>
      <c r="H83" s="2211"/>
      <c r="I83" s="3451"/>
      <c r="J83" s="4729"/>
      <c r="K83" s="4317">
        <f>IFERROR((K82-J82)/J82,0)</f>
        <v>0</v>
      </c>
      <c r="L83" s="4317">
        <f>IFERROR((L82-K82)/K82,0)</f>
        <v>0</v>
      </c>
      <c r="M83" s="4317">
        <f>IFERROR((M82-L82)/L82,0)</f>
        <v>0</v>
      </c>
      <c r="N83" s="4317">
        <f>IFERROR((N82-M82)/M82,0)</f>
        <v>0</v>
      </c>
      <c r="O83" s="4318">
        <f>IFERROR((O82-N82)/N82,0)</f>
        <v>0</v>
      </c>
      <c r="P83" s="3429"/>
      <c r="Q83" s="2211"/>
      <c r="R83" s="2211"/>
      <c r="S83" s="2211"/>
      <c r="T83" s="2211"/>
      <c r="U83" s="2298"/>
    </row>
    <row r="84" spans="1:22" s="2271" customFormat="1">
      <c r="A84" s="1476"/>
      <c r="B84" s="1631" t="s">
        <v>648</v>
      </c>
      <c r="C84" s="1632"/>
      <c r="D84" s="3429"/>
      <c r="E84" s="2211"/>
      <c r="F84" s="2211"/>
      <c r="G84" s="2211"/>
      <c r="H84" s="2211"/>
      <c r="I84" s="3451"/>
      <c r="J84" s="479">
        <v>3.7360000000000002</v>
      </c>
      <c r="K84" s="461">
        <v>5</v>
      </c>
      <c r="L84" s="461">
        <v>5</v>
      </c>
      <c r="M84" s="461">
        <v>5</v>
      </c>
      <c r="N84" s="461">
        <v>5</v>
      </c>
      <c r="O84" s="462">
        <v>5</v>
      </c>
      <c r="P84" s="3429"/>
      <c r="Q84" s="2211"/>
      <c r="R84" s="2211"/>
      <c r="S84" s="2211"/>
      <c r="T84" s="2211"/>
      <c r="U84" s="2298"/>
    </row>
    <row r="85" spans="1:22" s="2271" customFormat="1">
      <c r="A85" s="1476"/>
      <c r="B85" s="4354" t="s">
        <v>1485</v>
      </c>
      <c r="C85" s="4351" t="s">
        <v>174</v>
      </c>
      <c r="D85" s="3429"/>
      <c r="E85" s="2211"/>
      <c r="F85" s="2211"/>
      <c r="G85" s="2211"/>
      <c r="H85" s="2211"/>
      <c r="I85" s="3451"/>
      <c r="J85" s="4322"/>
      <c r="K85" s="4317">
        <f>IFERROR((K84-J84)/J84,0)</f>
        <v>0.3383297644539614</v>
      </c>
      <c r="L85" s="4317">
        <f>IFERROR((L84-K84)/K84,0)</f>
        <v>0</v>
      </c>
      <c r="M85" s="4317">
        <f>IFERROR((M84-L84)/L84,0)</f>
        <v>0</v>
      </c>
      <c r="N85" s="4317">
        <f>IFERROR((N84-M84)/M84,0)</f>
        <v>0</v>
      </c>
      <c r="O85" s="4318">
        <f>IFERROR((O84-N84)/N84,0)</f>
        <v>0</v>
      </c>
      <c r="P85" s="3429"/>
      <c r="Q85" s="2211"/>
      <c r="R85" s="2211"/>
      <c r="S85" s="2211"/>
      <c r="T85" s="2211"/>
      <c r="U85" s="2298"/>
    </row>
    <row r="86" spans="1:22" s="2271" customFormat="1">
      <c r="A86" s="1476"/>
      <c r="B86" s="1631" t="s">
        <v>647</v>
      </c>
      <c r="C86" s="1632"/>
      <c r="D86" s="3429"/>
      <c r="E86" s="2211"/>
      <c r="F86" s="2211"/>
      <c r="G86" s="2211"/>
      <c r="H86" s="2211"/>
      <c r="I86" s="3451"/>
      <c r="J86" s="479">
        <v>18.016999999999999</v>
      </c>
      <c r="K86" s="461">
        <v>20</v>
      </c>
      <c r="L86" s="461">
        <v>20</v>
      </c>
      <c r="M86" s="461">
        <v>20</v>
      </c>
      <c r="N86" s="461">
        <v>20</v>
      </c>
      <c r="O86" s="462">
        <v>20</v>
      </c>
      <c r="P86" s="3429"/>
      <c r="Q86" s="2211"/>
      <c r="R86" s="2211"/>
      <c r="S86" s="2211"/>
      <c r="T86" s="2211"/>
      <c r="U86" s="2298"/>
    </row>
    <row r="87" spans="1:22" s="2271" customFormat="1">
      <c r="A87" s="1476"/>
      <c r="B87" s="4354" t="s">
        <v>1485</v>
      </c>
      <c r="C87" s="4351" t="s">
        <v>174</v>
      </c>
      <c r="D87" s="3429"/>
      <c r="E87" s="2211"/>
      <c r="F87" s="2211"/>
      <c r="G87" s="2211"/>
      <c r="H87" s="2211"/>
      <c r="I87" s="3451"/>
      <c r="J87" s="4322"/>
      <c r="K87" s="4317">
        <f>IFERROR((K86-J86)/J86,0)</f>
        <v>0.11006271854359774</v>
      </c>
      <c r="L87" s="4317">
        <f>IFERROR((L86-K86)/K86,0)</f>
        <v>0</v>
      </c>
      <c r="M87" s="4317">
        <f>IFERROR((M86-L86)/L86,0)</f>
        <v>0</v>
      </c>
      <c r="N87" s="4317">
        <f>IFERROR((N86-M86)/M86,0)</f>
        <v>0</v>
      </c>
      <c r="O87" s="4318">
        <f>IFERROR((O86-N86)/N86,0)</f>
        <v>0</v>
      </c>
      <c r="P87" s="3429"/>
      <c r="Q87" s="2211"/>
      <c r="R87" s="2211"/>
      <c r="S87" s="2211"/>
      <c r="T87" s="2211"/>
      <c r="U87" s="2298"/>
    </row>
    <row r="88" spans="1:22" s="2271" customFormat="1">
      <c r="A88" s="1476"/>
      <c r="B88" s="1631" t="s">
        <v>646</v>
      </c>
      <c r="C88" s="1632"/>
      <c r="D88" s="3429"/>
      <c r="E88" s="2211"/>
      <c r="F88" s="2211"/>
      <c r="G88" s="2211"/>
      <c r="H88" s="2211"/>
      <c r="I88" s="3451"/>
      <c r="J88" s="479">
        <v>1.887</v>
      </c>
      <c r="K88" s="461">
        <v>2.16</v>
      </c>
      <c r="L88" s="461">
        <v>2.16</v>
      </c>
      <c r="M88" s="461">
        <v>2.16</v>
      </c>
      <c r="N88" s="461">
        <v>2.16</v>
      </c>
      <c r="O88" s="462">
        <v>2.16</v>
      </c>
      <c r="P88" s="3429"/>
      <c r="Q88" s="2211"/>
      <c r="R88" s="2211"/>
      <c r="S88" s="2211"/>
      <c r="T88" s="2211"/>
      <c r="U88" s="2298"/>
    </row>
    <row r="89" spans="1:22" s="2271" customFormat="1">
      <c r="A89" s="1476"/>
      <c r="B89" s="4354" t="s">
        <v>1485</v>
      </c>
      <c r="C89" s="4351" t="s">
        <v>174</v>
      </c>
      <c r="D89" s="3429"/>
      <c r="E89" s="2211"/>
      <c r="F89" s="2211"/>
      <c r="G89" s="2211"/>
      <c r="H89" s="2211"/>
      <c r="I89" s="3451"/>
      <c r="J89" s="4730"/>
      <c r="K89" s="4317">
        <f>IFERROR((K88-J88)/J88,0)</f>
        <v>0.14467408585055649</v>
      </c>
      <c r="L89" s="4317">
        <f>IFERROR((L88-K88)/K88,0)</f>
        <v>0</v>
      </c>
      <c r="M89" s="4317">
        <f>IFERROR((M88-L88)/L88,0)</f>
        <v>0</v>
      </c>
      <c r="N89" s="4317">
        <f>IFERROR((N88-M88)/M88,0)</f>
        <v>0</v>
      </c>
      <c r="O89" s="4318">
        <f>IFERROR((O88-N88)/N88,0)</f>
        <v>0</v>
      </c>
      <c r="P89" s="3429"/>
      <c r="Q89" s="2211"/>
      <c r="R89" s="2211"/>
      <c r="S89" s="2211"/>
      <c r="T89" s="2211"/>
      <c r="U89" s="2298"/>
    </row>
    <row r="90" spans="1:22" s="2271" customFormat="1">
      <c r="A90" s="1476"/>
      <c r="B90" s="1631" t="s">
        <v>645</v>
      </c>
      <c r="C90" s="1632"/>
      <c r="D90" s="3429"/>
      <c r="E90" s="2211"/>
      <c r="F90" s="2211"/>
      <c r="G90" s="2211"/>
      <c r="H90" s="2211"/>
      <c r="I90" s="3451"/>
      <c r="J90" s="1039">
        <v>0.53300000000000003</v>
      </c>
      <c r="K90" s="463">
        <v>0.61199999999999999</v>
      </c>
      <c r="L90" s="463">
        <v>0.61199999999999999</v>
      </c>
      <c r="M90" s="463">
        <v>0.61199999999999999</v>
      </c>
      <c r="N90" s="463">
        <v>0.61199999999999999</v>
      </c>
      <c r="O90" s="464">
        <v>0.61199999999999999</v>
      </c>
      <c r="P90" s="3429"/>
      <c r="Q90" s="2211"/>
      <c r="R90" s="2211"/>
      <c r="S90" s="2211"/>
      <c r="T90" s="2211"/>
      <c r="U90" s="2298"/>
    </row>
    <row r="91" spans="1:22" s="2271" customFormat="1">
      <c r="A91" s="1479"/>
      <c r="B91" s="4354" t="s">
        <v>1485</v>
      </c>
      <c r="C91" s="4351" t="s">
        <v>174</v>
      </c>
      <c r="D91" s="3429"/>
      <c r="E91" s="2211"/>
      <c r="F91" s="2211"/>
      <c r="G91" s="2211"/>
      <c r="H91" s="2211"/>
      <c r="I91" s="3451"/>
      <c r="J91" s="4730"/>
      <c r="K91" s="4317">
        <f>IFERROR((K90-J90)/J90,0)</f>
        <v>0.14821763602251398</v>
      </c>
      <c r="L91" s="4317">
        <f>IFERROR((L90-K90)/K90,0)</f>
        <v>0</v>
      </c>
      <c r="M91" s="4317">
        <f>IFERROR((M90-L90)/L90,0)</f>
        <v>0</v>
      </c>
      <c r="N91" s="4317">
        <f>IFERROR((N90-M90)/M90,0)</f>
        <v>0</v>
      </c>
      <c r="O91" s="4318">
        <f>IFERROR((O90-N90)/N90,0)</f>
        <v>0</v>
      </c>
      <c r="P91" s="3429"/>
      <c r="Q91" s="2211"/>
      <c r="R91" s="2211"/>
      <c r="S91" s="2211"/>
      <c r="T91" s="2211"/>
      <c r="U91" s="2298"/>
    </row>
    <row r="92" spans="1:22" s="2271" customFormat="1" ht="22.5" customHeight="1">
      <c r="A92" s="1479"/>
      <c r="B92" s="1639" t="s">
        <v>644</v>
      </c>
      <c r="C92" s="1632"/>
      <c r="D92" s="3429"/>
      <c r="E92" s="2211"/>
      <c r="F92" s="2211"/>
      <c r="G92" s="2211"/>
      <c r="H92" s="2211"/>
      <c r="I92" s="3451"/>
      <c r="J92" s="4370">
        <f>J79-J82-J84-J86-J88-J90</f>
        <v>0.42891000000000001</v>
      </c>
      <c r="K92" s="4338">
        <f t="shared" ref="K92:O92" si="11">K79-K82-K84-K86-K88-K90</f>
        <v>1.2279999999999998</v>
      </c>
      <c r="L92" s="4338">
        <f t="shared" si="11"/>
        <v>1.2279999999999998</v>
      </c>
      <c r="M92" s="4338">
        <f t="shared" si="11"/>
        <v>1.2279999999999998</v>
      </c>
      <c r="N92" s="4338">
        <f t="shared" si="11"/>
        <v>1.2279999999999998</v>
      </c>
      <c r="O92" s="4353">
        <f t="shared" si="11"/>
        <v>1.2279999999999998</v>
      </c>
      <c r="P92" s="3429"/>
      <c r="Q92" s="2211"/>
      <c r="R92" s="2211"/>
      <c r="S92" s="2211"/>
      <c r="T92" s="2211"/>
      <c r="U92" s="2298"/>
    </row>
    <row r="93" spans="1:22" s="2271" customFormat="1">
      <c r="A93" s="4320"/>
      <c r="B93" s="4355" t="s">
        <v>1485</v>
      </c>
      <c r="C93" s="4357" t="s">
        <v>174</v>
      </c>
      <c r="D93" s="3429"/>
      <c r="E93" s="2211"/>
      <c r="F93" s="2211"/>
      <c r="G93" s="2211"/>
      <c r="H93" s="2211"/>
      <c r="I93" s="3451"/>
      <c r="J93" s="4322"/>
      <c r="K93" s="4317">
        <f>IFERROR((K92-J92)/J92,0)</f>
        <v>1.8630715068429267</v>
      </c>
      <c r="L93" s="4317">
        <f>IFERROR((L92-K92)/K92,0)</f>
        <v>0</v>
      </c>
      <c r="M93" s="4317">
        <f>IFERROR((M92-L92)/L92,0)</f>
        <v>0</v>
      </c>
      <c r="N93" s="4317">
        <f>IFERROR((N92-M92)/M92,0)</f>
        <v>0</v>
      </c>
      <c r="O93" s="4318">
        <f>IFERROR((O92-N92)/N92,0)</f>
        <v>0</v>
      </c>
      <c r="P93" s="3429"/>
      <c r="Q93" s="2211"/>
      <c r="R93" s="2211"/>
      <c r="S93" s="2211"/>
      <c r="T93" s="2211"/>
      <c r="U93" s="2298"/>
    </row>
    <row r="94" spans="1:22" s="2271" customFormat="1" ht="12.75" thickBot="1">
      <c r="A94" s="4587"/>
      <c r="B94" s="4588" t="s">
        <v>1362</v>
      </c>
      <c r="C94" s="1633"/>
      <c r="D94" s="4324"/>
      <c r="E94" s="2291"/>
      <c r="F94" s="2291"/>
      <c r="G94" s="2291"/>
      <c r="H94" s="2291"/>
      <c r="I94" s="4335"/>
      <c r="J94" s="4589">
        <f>J79-J82-J84-J86-J88-J90-J92</f>
        <v>0</v>
      </c>
      <c r="K94" s="4368">
        <f t="shared" ref="K94:O94" si="12">K79-K82-K84-K86-K88-K90-K92</f>
        <v>0</v>
      </c>
      <c r="L94" s="4368">
        <f t="shared" si="12"/>
        <v>0</v>
      </c>
      <c r="M94" s="4368">
        <f t="shared" si="12"/>
        <v>0</v>
      </c>
      <c r="N94" s="4368">
        <f t="shared" si="12"/>
        <v>0</v>
      </c>
      <c r="O94" s="4590">
        <f t="shared" si="12"/>
        <v>0</v>
      </c>
      <c r="P94" s="4324"/>
      <c r="Q94" s="2291"/>
      <c r="R94" s="2291"/>
      <c r="S94" s="2291"/>
      <c r="T94" s="2291"/>
      <c r="U94" s="2292"/>
      <c r="V94" s="4586"/>
    </row>
    <row r="95" spans="1:22" s="2271" customFormat="1" ht="20.25" customHeight="1" thickBot="1">
      <c r="A95" s="1648">
        <v>4</v>
      </c>
      <c r="B95" s="1647" t="s">
        <v>1037</v>
      </c>
      <c r="C95" s="5331"/>
      <c r="D95" s="5330"/>
      <c r="E95" s="5330"/>
      <c r="F95" s="5330"/>
      <c r="G95" s="5330"/>
      <c r="H95" s="5330"/>
      <c r="I95" s="5330"/>
      <c r="J95" s="5331"/>
      <c r="K95" s="5331"/>
      <c r="L95" s="5331"/>
      <c r="M95" s="5331"/>
      <c r="N95" s="5331"/>
      <c r="O95" s="5331"/>
      <c r="P95" s="5330"/>
      <c r="Q95" s="5330"/>
      <c r="R95" s="5330"/>
      <c r="S95" s="5330"/>
      <c r="T95" s="5330"/>
      <c r="U95" s="5332"/>
    </row>
    <row r="96" spans="1:22" s="2271" customFormat="1">
      <c r="A96" s="467" t="s">
        <v>572</v>
      </c>
      <c r="B96" s="1624" t="s">
        <v>470</v>
      </c>
      <c r="C96" s="1587" t="s">
        <v>682</v>
      </c>
      <c r="D96" s="473"/>
      <c r="E96" s="474"/>
      <c r="F96" s="474"/>
      <c r="G96" s="474"/>
      <c r="H96" s="474"/>
      <c r="I96" s="475"/>
      <c r="J96" s="1585"/>
      <c r="K96" s="4726"/>
      <c r="L96" s="4726"/>
      <c r="M96" s="4726"/>
      <c r="N96" s="4726"/>
      <c r="O96" s="4728"/>
      <c r="P96" s="4580">
        <f t="shared" ref="P96:U108" si="13">ROUND(IFERROR(J96*1000/D96,0),0)</f>
        <v>0</v>
      </c>
      <c r="Q96" s="4581">
        <f t="shared" si="13"/>
        <v>0</v>
      </c>
      <c r="R96" s="4581">
        <f t="shared" si="13"/>
        <v>0</v>
      </c>
      <c r="S96" s="4581">
        <f t="shared" si="13"/>
        <v>0</v>
      </c>
      <c r="T96" s="4581">
        <f t="shared" si="13"/>
        <v>0</v>
      </c>
      <c r="U96" s="4582">
        <f t="shared" si="13"/>
        <v>0</v>
      </c>
    </row>
    <row r="97" spans="1:21" s="2271" customFormat="1">
      <c r="A97" s="468" t="s">
        <v>573</v>
      </c>
      <c r="B97" s="1625" t="s">
        <v>730</v>
      </c>
      <c r="C97" s="340" t="s">
        <v>682</v>
      </c>
      <c r="D97" s="454"/>
      <c r="E97" s="455"/>
      <c r="F97" s="455"/>
      <c r="G97" s="455"/>
      <c r="H97" s="455"/>
      <c r="I97" s="470"/>
      <c r="J97" s="454"/>
      <c r="K97" s="4726"/>
      <c r="L97" s="4726"/>
      <c r="M97" s="4726"/>
      <c r="N97" s="4726"/>
      <c r="O97" s="4728"/>
      <c r="P97" s="4591">
        <f t="shared" si="13"/>
        <v>0</v>
      </c>
      <c r="Q97" s="4592">
        <f t="shared" si="13"/>
        <v>0</v>
      </c>
      <c r="R97" s="4592">
        <f t="shared" si="13"/>
        <v>0</v>
      </c>
      <c r="S97" s="4592">
        <f t="shared" si="13"/>
        <v>0</v>
      </c>
      <c r="T97" s="4592">
        <f t="shared" si="13"/>
        <v>0</v>
      </c>
      <c r="U97" s="4593">
        <f t="shared" si="13"/>
        <v>0</v>
      </c>
    </row>
    <row r="98" spans="1:21" s="2271" customFormat="1">
      <c r="A98" s="468" t="s">
        <v>1088</v>
      </c>
      <c r="B98" s="1625" t="s">
        <v>473</v>
      </c>
      <c r="C98" s="340" t="s">
        <v>682</v>
      </c>
      <c r="D98" s="454"/>
      <c r="E98" s="455"/>
      <c r="F98" s="455"/>
      <c r="G98" s="455"/>
      <c r="H98" s="455">
        <v>8</v>
      </c>
      <c r="I98" s="470"/>
      <c r="J98" s="454"/>
      <c r="K98" s="4914"/>
      <c r="L98" s="4914"/>
      <c r="M98" s="4914"/>
      <c r="N98" s="4914">
        <v>19</v>
      </c>
      <c r="O98" s="4728">
        <v>12</v>
      </c>
      <c r="P98" s="4591">
        <f t="shared" si="13"/>
        <v>0</v>
      </c>
      <c r="Q98" s="4592">
        <f t="shared" si="13"/>
        <v>0</v>
      </c>
      <c r="R98" s="4592">
        <f t="shared" si="13"/>
        <v>0</v>
      </c>
      <c r="S98" s="4592">
        <f t="shared" si="13"/>
        <v>0</v>
      </c>
      <c r="T98" s="4592">
        <f t="shared" si="13"/>
        <v>2375</v>
      </c>
      <c r="U98" s="4593">
        <f t="shared" si="13"/>
        <v>0</v>
      </c>
    </row>
    <row r="99" spans="1:21" s="2271" customFormat="1">
      <c r="A99" s="468" t="s">
        <v>1089</v>
      </c>
      <c r="B99" s="1625" t="s">
        <v>475</v>
      </c>
      <c r="C99" s="340" t="s">
        <v>682</v>
      </c>
      <c r="D99" s="454"/>
      <c r="E99" s="455"/>
      <c r="F99" s="455"/>
      <c r="G99" s="455"/>
      <c r="H99" s="455"/>
      <c r="I99" s="470"/>
      <c r="J99" s="454"/>
      <c r="K99" s="4914"/>
      <c r="L99" s="4914"/>
      <c r="M99" s="4914"/>
      <c r="N99" s="4914"/>
      <c r="O99" s="4728"/>
      <c r="P99" s="4591">
        <f t="shared" si="13"/>
        <v>0</v>
      </c>
      <c r="Q99" s="4592">
        <f t="shared" si="13"/>
        <v>0</v>
      </c>
      <c r="R99" s="4592">
        <f t="shared" si="13"/>
        <v>0</v>
      </c>
      <c r="S99" s="4592">
        <f t="shared" si="13"/>
        <v>0</v>
      </c>
      <c r="T99" s="4592">
        <f t="shared" si="13"/>
        <v>0</v>
      </c>
      <c r="U99" s="4593">
        <f t="shared" si="13"/>
        <v>0</v>
      </c>
    </row>
    <row r="100" spans="1:21" s="2271" customFormat="1">
      <c r="A100" s="468" t="s">
        <v>1090</v>
      </c>
      <c r="B100" s="1625" t="s">
        <v>477</v>
      </c>
      <c r="C100" s="340" t="s">
        <v>682</v>
      </c>
      <c r="D100" s="454"/>
      <c r="E100" s="455"/>
      <c r="F100" s="455"/>
      <c r="G100" s="455">
        <v>12</v>
      </c>
      <c r="H100" s="455"/>
      <c r="I100" s="470"/>
      <c r="J100" s="454"/>
      <c r="K100" s="4914"/>
      <c r="L100" s="4914"/>
      <c r="M100" s="4914">
        <v>10</v>
      </c>
      <c r="N100" s="4914"/>
      <c r="O100" s="4728"/>
      <c r="P100" s="4591">
        <f t="shared" si="13"/>
        <v>0</v>
      </c>
      <c r="Q100" s="4592">
        <f t="shared" si="13"/>
        <v>0</v>
      </c>
      <c r="R100" s="4592">
        <f t="shared" si="13"/>
        <v>0</v>
      </c>
      <c r="S100" s="4592">
        <f t="shared" si="13"/>
        <v>833</v>
      </c>
      <c r="T100" s="4592">
        <f t="shared" si="13"/>
        <v>0</v>
      </c>
      <c r="U100" s="4593">
        <f t="shared" si="13"/>
        <v>0</v>
      </c>
    </row>
    <row r="101" spans="1:21" s="2271" customFormat="1">
      <c r="A101" s="468" t="s">
        <v>1091</v>
      </c>
      <c r="B101" s="1625" t="s">
        <v>1396</v>
      </c>
      <c r="C101" s="340" t="s">
        <v>682</v>
      </c>
      <c r="D101" s="454"/>
      <c r="E101" s="4874"/>
      <c r="F101" s="4874"/>
      <c r="G101" s="455"/>
      <c r="H101" s="455"/>
      <c r="I101" s="470"/>
      <c r="J101" s="454"/>
      <c r="K101" s="4947"/>
      <c r="L101" s="4948"/>
      <c r="M101" s="4914"/>
      <c r="N101" s="4914"/>
      <c r="O101" s="4728"/>
      <c r="P101" s="4591">
        <f t="shared" si="13"/>
        <v>0</v>
      </c>
      <c r="Q101" s="4592">
        <f t="shared" si="13"/>
        <v>0</v>
      </c>
      <c r="R101" s="4592">
        <f t="shared" si="13"/>
        <v>0</v>
      </c>
      <c r="S101" s="4592">
        <f t="shared" si="13"/>
        <v>0</v>
      </c>
      <c r="T101" s="4592">
        <f t="shared" si="13"/>
        <v>0</v>
      </c>
      <c r="U101" s="4593">
        <f t="shared" si="13"/>
        <v>0</v>
      </c>
    </row>
    <row r="102" spans="1:21" s="2271" customFormat="1" ht="24">
      <c r="A102" s="468" t="s">
        <v>1092</v>
      </c>
      <c r="B102" s="1625" t="s">
        <v>1397</v>
      </c>
      <c r="C102" s="340" t="s">
        <v>682</v>
      </c>
      <c r="D102" s="454"/>
      <c r="E102" s="455"/>
      <c r="F102" s="455">
        <v>6</v>
      </c>
      <c r="G102" s="455">
        <v>5</v>
      </c>
      <c r="H102" s="455">
        <v>3</v>
      </c>
      <c r="I102" s="470">
        <v>2</v>
      </c>
      <c r="J102" s="454"/>
      <c r="K102" s="4914"/>
      <c r="L102" s="4914">
        <v>11</v>
      </c>
      <c r="M102" s="4914">
        <v>9.2650000000000006</v>
      </c>
      <c r="N102" s="4914">
        <v>5.4989999999999997</v>
      </c>
      <c r="O102" s="4728">
        <v>5</v>
      </c>
      <c r="P102" s="4591">
        <f t="shared" si="13"/>
        <v>0</v>
      </c>
      <c r="Q102" s="4592">
        <f t="shared" si="13"/>
        <v>0</v>
      </c>
      <c r="R102" s="4592">
        <f t="shared" si="13"/>
        <v>1833</v>
      </c>
      <c r="S102" s="4592">
        <f t="shared" si="13"/>
        <v>1853</v>
      </c>
      <c r="T102" s="4592">
        <f t="shared" si="13"/>
        <v>1833</v>
      </c>
      <c r="U102" s="4593">
        <f t="shared" si="13"/>
        <v>2500</v>
      </c>
    </row>
    <row r="103" spans="1:21" s="2271" customFormat="1" ht="24">
      <c r="A103" s="468" t="s">
        <v>1093</v>
      </c>
      <c r="B103" s="1625" t="s">
        <v>1398</v>
      </c>
      <c r="C103" s="340" t="s">
        <v>682</v>
      </c>
      <c r="D103" s="454"/>
      <c r="E103" s="455"/>
      <c r="F103" s="455"/>
      <c r="G103" s="455"/>
      <c r="H103" s="455"/>
      <c r="I103" s="470"/>
      <c r="J103" s="454"/>
      <c r="K103" s="4914"/>
      <c r="L103" s="4914"/>
      <c r="M103" s="4914"/>
      <c r="N103" s="4914"/>
      <c r="O103" s="4728"/>
      <c r="P103" s="4591">
        <f t="shared" si="13"/>
        <v>0</v>
      </c>
      <c r="Q103" s="4592">
        <f t="shared" si="13"/>
        <v>0</v>
      </c>
      <c r="R103" s="4592">
        <f t="shared" si="13"/>
        <v>0</v>
      </c>
      <c r="S103" s="4592">
        <f t="shared" si="13"/>
        <v>0</v>
      </c>
      <c r="T103" s="4592">
        <f t="shared" si="13"/>
        <v>0</v>
      </c>
      <c r="U103" s="4593">
        <f t="shared" si="13"/>
        <v>0</v>
      </c>
    </row>
    <row r="104" spans="1:21" s="2271" customFormat="1">
      <c r="A104" s="468" t="s">
        <v>1094</v>
      </c>
      <c r="B104" s="1625" t="s">
        <v>1467</v>
      </c>
      <c r="C104" s="340" t="s">
        <v>682</v>
      </c>
      <c r="D104" s="454"/>
      <c r="E104" s="455"/>
      <c r="F104" s="455"/>
      <c r="G104" s="455"/>
      <c r="H104" s="455"/>
      <c r="I104" s="470"/>
      <c r="J104" s="454"/>
      <c r="K104" s="4914"/>
      <c r="L104" s="4914"/>
      <c r="M104" s="4914"/>
      <c r="N104" s="4914"/>
      <c r="O104" s="4728"/>
      <c r="P104" s="4591">
        <f t="shared" si="13"/>
        <v>0</v>
      </c>
      <c r="Q104" s="4592">
        <f t="shared" si="13"/>
        <v>0</v>
      </c>
      <c r="R104" s="4592">
        <f t="shared" si="13"/>
        <v>0</v>
      </c>
      <c r="S104" s="4592">
        <f t="shared" si="13"/>
        <v>0</v>
      </c>
      <c r="T104" s="4592">
        <f t="shared" si="13"/>
        <v>0</v>
      </c>
      <c r="U104" s="4593">
        <f t="shared" si="13"/>
        <v>0</v>
      </c>
    </row>
    <row r="105" spans="1:21" s="2271" customFormat="1" ht="24">
      <c r="A105" s="468" t="s">
        <v>1095</v>
      </c>
      <c r="B105" s="1625" t="s">
        <v>1399</v>
      </c>
      <c r="C105" s="340" t="s">
        <v>682</v>
      </c>
      <c r="D105" s="454"/>
      <c r="E105" s="455"/>
      <c r="F105" s="455">
        <v>3</v>
      </c>
      <c r="G105" s="455">
        <v>5</v>
      </c>
      <c r="H105" s="455">
        <v>8</v>
      </c>
      <c r="I105" s="470">
        <v>10</v>
      </c>
      <c r="J105" s="454"/>
      <c r="K105" s="4914"/>
      <c r="L105" s="4914">
        <v>1.2</v>
      </c>
      <c r="M105" s="4914">
        <v>2</v>
      </c>
      <c r="N105" s="4914">
        <v>3.2</v>
      </c>
      <c r="O105" s="4728">
        <v>4</v>
      </c>
      <c r="P105" s="4591">
        <f t="shared" si="13"/>
        <v>0</v>
      </c>
      <c r="Q105" s="4592">
        <f t="shared" si="13"/>
        <v>0</v>
      </c>
      <c r="R105" s="4592">
        <f t="shared" si="13"/>
        <v>400</v>
      </c>
      <c r="S105" s="4592">
        <f t="shared" si="13"/>
        <v>400</v>
      </c>
      <c r="T105" s="4592">
        <f t="shared" si="13"/>
        <v>400</v>
      </c>
      <c r="U105" s="4593">
        <f t="shared" si="13"/>
        <v>400</v>
      </c>
    </row>
    <row r="106" spans="1:21" s="2271" customFormat="1">
      <c r="A106" s="468" t="s">
        <v>1096</v>
      </c>
      <c r="B106" s="1626" t="s">
        <v>922</v>
      </c>
      <c r="C106" s="340" t="s">
        <v>682</v>
      </c>
      <c r="D106" s="454"/>
      <c r="E106" s="455"/>
      <c r="F106" s="455"/>
      <c r="G106" s="455"/>
      <c r="H106" s="455"/>
      <c r="I106" s="470"/>
      <c r="J106" s="454"/>
      <c r="K106" s="4914"/>
      <c r="L106" s="4914"/>
      <c r="M106" s="4914"/>
      <c r="N106" s="4914"/>
      <c r="O106" s="4728"/>
      <c r="P106" s="4591">
        <f t="shared" si="13"/>
        <v>0</v>
      </c>
      <c r="Q106" s="4592">
        <f t="shared" si="13"/>
        <v>0</v>
      </c>
      <c r="R106" s="4592">
        <f t="shared" si="13"/>
        <v>0</v>
      </c>
      <c r="S106" s="4592">
        <f t="shared" si="13"/>
        <v>0</v>
      </c>
      <c r="T106" s="4592">
        <f t="shared" si="13"/>
        <v>0</v>
      </c>
      <c r="U106" s="4593">
        <f t="shared" si="13"/>
        <v>0</v>
      </c>
    </row>
    <row r="107" spans="1:21" s="2271" customFormat="1">
      <c r="A107" s="468" t="s">
        <v>1097</v>
      </c>
      <c r="B107" s="1626" t="s">
        <v>923</v>
      </c>
      <c r="C107" s="340" t="s">
        <v>682</v>
      </c>
      <c r="D107" s="454"/>
      <c r="E107" s="455"/>
      <c r="F107" s="455"/>
      <c r="G107" s="455"/>
      <c r="H107" s="455"/>
      <c r="I107" s="470"/>
      <c r="J107" s="454"/>
      <c r="K107" s="4914"/>
      <c r="L107" s="4914"/>
      <c r="M107" s="4914"/>
      <c r="N107" s="4914"/>
      <c r="O107" s="4728"/>
      <c r="P107" s="4591">
        <f t="shared" si="13"/>
        <v>0</v>
      </c>
      <c r="Q107" s="4592">
        <f t="shared" si="13"/>
        <v>0</v>
      </c>
      <c r="R107" s="4592">
        <f t="shared" si="13"/>
        <v>0</v>
      </c>
      <c r="S107" s="4592">
        <f t="shared" si="13"/>
        <v>0</v>
      </c>
      <c r="T107" s="4592">
        <f t="shared" si="13"/>
        <v>0</v>
      </c>
      <c r="U107" s="4593">
        <f t="shared" si="13"/>
        <v>0</v>
      </c>
    </row>
    <row r="108" spans="1:21" s="2271" customFormat="1" ht="24">
      <c r="A108" s="471" t="s">
        <v>1098</v>
      </c>
      <c r="B108" s="2289" t="s">
        <v>1400</v>
      </c>
      <c r="C108" s="342" t="s">
        <v>682</v>
      </c>
      <c r="D108" s="454"/>
      <c r="E108" s="455"/>
      <c r="F108" s="455"/>
      <c r="G108" s="455"/>
      <c r="H108" s="455"/>
      <c r="I108" s="470"/>
      <c r="J108" s="454"/>
      <c r="K108" s="4914"/>
      <c r="L108" s="4914"/>
      <c r="M108" s="4914"/>
      <c r="N108" s="4914"/>
      <c r="O108" s="4728"/>
      <c r="P108" s="4591">
        <f t="shared" si="13"/>
        <v>0</v>
      </c>
      <c r="Q108" s="4592">
        <f t="shared" si="13"/>
        <v>0</v>
      </c>
      <c r="R108" s="4592">
        <f t="shared" si="13"/>
        <v>0</v>
      </c>
      <c r="S108" s="4592">
        <f t="shared" si="13"/>
        <v>0</v>
      </c>
      <c r="T108" s="4592">
        <f t="shared" si="13"/>
        <v>0</v>
      </c>
      <c r="U108" s="4593">
        <f t="shared" si="13"/>
        <v>0</v>
      </c>
    </row>
    <row r="109" spans="1:21" s="2271" customFormat="1" ht="24.75" thickBot="1">
      <c r="A109" s="469" t="s">
        <v>1099</v>
      </c>
      <c r="B109" s="1635" t="s">
        <v>1378</v>
      </c>
      <c r="C109" s="1636" t="s">
        <v>318</v>
      </c>
      <c r="D109" s="2290"/>
      <c r="E109" s="2291"/>
      <c r="F109" s="2291"/>
      <c r="G109" s="2291"/>
      <c r="H109" s="2291"/>
      <c r="I109" s="2292"/>
      <c r="J109" s="454">
        <v>1</v>
      </c>
      <c r="K109" s="4914">
        <v>1</v>
      </c>
      <c r="L109" s="4914">
        <v>1</v>
      </c>
      <c r="M109" s="4914">
        <v>1</v>
      </c>
      <c r="N109" s="4914">
        <v>1</v>
      </c>
      <c r="O109" s="4728">
        <v>1</v>
      </c>
      <c r="P109" s="2290"/>
      <c r="Q109" s="2291"/>
      <c r="R109" s="2291"/>
      <c r="S109" s="2291"/>
      <c r="T109" s="2291"/>
      <c r="U109" s="2292"/>
    </row>
    <row r="110" spans="1:21" s="2271" customFormat="1" ht="24.75" thickBot="1">
      <c r="A110" s="1474"/>
      <c r="B110" s="1627" t="s">
        <v>1100</v>
      </c>
      <c r="C110" s="1642"/>
      <c r="D110" s="346">
        <f>SUM(D96:D109)</f>
        <v>0</v>
      </c>
      <c r="E110" s="347">
        <f t="shared" ref="E110:O110" si="14">SUM(E96:E109)</f>
        <v>0</v>
      </c>
      <c r="F110" s="347">
        <f t="shared" si="14"/>
        <v>9</v>
      </c>
      <c r="G110" s="347">
        <f t="shared" si="14"/>
        <v>22</v>
      </c>
      <c r="H110" s="347">
        <f t="shared" si="14"/>
        <v>19</v>
      </c>
      <c r="I110" s="1045">
        <f t="shared" si="14"/>
        <v>12</v>
      </c>
      <c r="J110" s="346">
        <f t="shared" si="14"/>
        <v>1</v>
      </c>
      <c r="K110" s="347">
        <f t="shared" si="14"/>
        <v>1</v>
      </c>
      <c r="L110" s="347">
        <f t="shared" si="14"/>
        <v>13.2</v>
      </c>
      <c r="M110" s="347">
        <f t="shared" si="14"/>
        <v>22.265000000000001</v>
      </c>
      <c r="N110" s="347">
        <f t="shared" si="14"/>
        <v>28.698999999999998</v>
      </c>
      <c r="O110" s="1045">
        <f t="shared" si="14"/>
        <v>22</v>
      </c>
      <c r="P110" s="4328"/>
      <c r="Q110" s="4329"/>
      <c r="R110" s="4329"/>
      <c r="S110" s="4329"/>
      <c r="T110" s="4329"/>
      <c r="U110" s="4330"/>
    </row>
    <row r="111" spans="1:21" s="2271" customFormat="1" ht="12.75" thickBot="1">
      <c r="A111" s="4303"/>
      <c r="B111" s="4304" t="s">
        <v>1485</v>
      </c>
      <c r="C111" s="4351" t="s">
        <v>174</v>
      </c>
      <c r="D111" s="4305"/>
      <c r="E111" s="4306">
        <f>IFERROR((E110-D110)/D110,0)</f>
        <v>0</v>
      </c>
      <c r="F111" s="4306">
        <f>IFERROR((F110-E110)/E110,0)</f>
        <v>0</v>
      </c>
      <c r="G111" s="4306">
        <f>IFERROR((G110-F110)/F110,0)</f>
        <v>1.4444444444444444</v>
      </c>
      <c r="H111" s="4306">
        <f>IFERROR((H110-G110)/G110,0)</f>
        <v>-0.13636363636363635</v>
      </c>
      <c r="I111" s="4307">
        <f>IFERROR((I110-H110)/H110,0)</f>
        <v>-0.36842105263157893</v>
      </c>
      <c r="J111" s="4308"/>
      <c r="K111" s="4306">
        <f>IFERROR((K110-J110)/J110,0)</f>
        <v>0</v>
      </c>
      <c r="L111" s="4306">
        <f>IFERROR((L110-K110)/K110,0)</f>
        <v>12.2</v>
      </c>
      <c r="M111" s="4306">
        <f>IFERROR((M110-L110)/L110,0)</f>
        <v>0.68674242424242438</v>
      </c>
      <c r="N111" s="4306">
        <f>IFERROR((N110-M110)/M110,0)</f>
        <v>0.28897372557826173</v>
      </c>
      <c r="O111" s="4306">
        <f>IFERROR((O110-N110)/N110,0)</f>
        <v>-0.23342276734380984</v>
      </c>
      <c r="P111" s="4309"/>
      <c r="Q111" s="4310"/>
      <c r="R111" s="4310"/>
      <c r="S111" s="4310"/>
      <c r="T111" s="4310"/>
      <c r="U111" s="4311"/>
    </row>
    <row r="112" spans="1:21" s="2271" customFormat="1" ht="13.5" customHeight="1" thickBot="1">
      <c r="A112" s="4331" t="s">
        <v>1101</v>
      </c>
      <c r="B112" s="465"/>
      <c r="C112" s="465"/>
      <c r="D112" s="465"/>
      <c r="E112" s="465"/>
      <c r="F112" s="465"/>
      <c r="G112" s="465"/>
      <c r="H112" s="465"/>
      <c r="I112" s="465"/>
      <c r="J112" s="465"/>
      <c r="K112" s="465"/>
      <c r="L112" s="465"/>
      <c r="M112" s="465"/>
      <c r="N112" s="465"/>
      <c r="O112" s="465"/>
      <c r="P112" s="465"/>
      <c r="Q112" s="465"/>
      <c r="R112" s="465"/>
      <c r="S112" s="465"/>
      <c r="T112" s="465"/>
      <c r="U112" s="466"/>
    </row>
    <row r="113" spans="1:22" s="2271" customFormat="1">
      <c r="A113" s="1475"/>
      <c r="B113" s="1629" t="s">
        <v>1078</v>
      </c>
      <c r="C113" s="1630"/>
      <c r="D113" s="4315"/>
      <c r="E113" s="2295"/>
      <c r="F113" s="2295"/>
      <c r="G113" s="2295"/>
      <c r="H113" s="2295"/>
      <c r="I113" s="4334"/>
      <c r="J113" s="476">
        <v>0</v>
      </c>
      <c r="K113" s="477">
        <v>0</v>
      </c>
      <c r="L113" s="477">
        <v>2</v>
      </c>
      <c r="M113" s="477">
        <v>1.1000000000000001</v>
      </c>
      <c r="N113" s="477">
        <v>5</v>
      </c>
      <c r="O113" s="478">
        <v>2</v>
      </c>
      <c r="P113" s="4315"/>
      <c r="Q113" s="2295"/>
      <c r="R113" s="2295"/>
      <c r="S113" s="2295"/>
      <c r="T113" s="2295"/>
      <c r="U113" s="2296"/>
    </row>
    <row r="114" spans="1:22" s="2271" customFormat="1">
      <c r="A114" s="1478"/>
      <c r="B114" s="4316" t="s">
        <v>1485</v>
      </c>
      <c r="C114" s="4351" t="s">
        <v>174</v>
      </c>
      <c r="D114" s="3429"/>
      <c r="E114" s="2211"/>
      <c r="F114" s="2211"/>
      <c r="G114" s="2211"/>
      <c r="H114" s="2211"/>
      <c r="I114" s="3451"/>
      <c r="J114" s="4729"/>
      <c r="K114" s="4317">
        <f>IFERROR((K113-J113)/J113,0)</f>
        <v>0</v>
      </c>
      <c r="L114" s="4317">
        <f>IFERROR((L113-K113)/K113,0)</f>
        <v>0</v>
      </c>
      <c r="M114" s="4317">
        <f>IFERROR((M113-L113)/L113,0)</f>
        <v>-0.44999999999999996</v>
      </c>
      <c r="N114" s="4317">
        <f>IFERROR((N113-M113)/M113,0)</f>
        <v>3.545454545454545</v>
      </c>
      <c r="O114" s="4318">
        <f>IFERROR((O113-N113)/N113,0)</f>
        <v>-0.6</v>
      </c>
      <c r="P114" s="3429"/>
      <c r="Q114" s="2211"/>
      <c r="R114" s="2211"/>
      <c r="S114" s="2211"/>
      <c r="T114" s="2211"/>
      <c r="U114" s="2298"/>
    </row>
    <row r="115" spans="1:22" s="2271" customFormat="1">
      <c r="A115" s="1476"/>
      <c r="B115" s="1631" t="s">
        <v>648</v>
      </c>
      <c r="C115" s="1632"/>
      <c r="D115" s="3429"/>
      <c r="E115" s="2211"/>
      <c r="F115" s="2211"/>
      <c r="G115" s="2211"/>
      <c r="H115" s="2211"/>
      <c r="I115" s="3451"/>
      <c r="J115" s="479">
        <v>0.15</v>
      </c>
      <c r="K115" s="461">
        <v>0.15</v>
      </c>
      <c r="L115" s="461">
        <v>2</v>
      </c>
      <c r="M115" s="461">
        <v>3</v>
      </c>
      <c r="N115" s="461">
        <v>10</v>
      </c>
      <c r="O115" s="462">
        <v>13</v>
      </c>
      <c r="P115" s="3429"/>
      <c r="Q115" s="2211"/>
      <c r="R115" s="2211"/>
      <c r="S115" s="2211"/>
      <c r="T115" s="2211"/>
      <c r="U115" s="2298"/>
    </row>
    <row r="116" spans="1:22" s="2271" customFormat="1">
      <c r="A116" s="1476"/>
      <c r="B116" s="4316" t="s">
        <v>1485</v>
      </c>
      <c r="C116" s="4351" t="s">
        <v>174</v>
      </c>
      <c r="D116" s="3429"/>
      <c r="E116" s="2211"/>
      <c r="F116" s="2211"/>
      <c r="G116" s="2211"/>
      <c r="H116" s="2211"/>
      <c r="I116" s="3451"/>
      <c r="J116" s="4322"/>
      <c r="K116" s="4317">
        <f>IFERROR((K115-J115)/J115,0)</f>
        <v>0</v>
      </c>
      <c r="L116" s="4317">
        <f>IFERROR((L115-K115)/K115,0)</f>
        <v>12.333333333333334</v>
      </c>
      <c r="M116" s="4317">
        <f>IFERROR((M115-L115)/L115,0)</f>
        <v>0.5</v>
      </c>
      <c r="N116" s="4317">
        <f>IFERROR((N115-M115)/M115,0)</f>
        <v>2.3333333333333335</v>
      </c>
      <c r="O116" s="4318">
        <f>IFERROR((O115-N115)/N115,0)</f>
        <v>0.3</v>
      </c>
      <c r="P116" s="3429"/>
      <c r="Q116" s="2211"/>
      <c r="R116" s="2211"/>
      <c r="S116" s="2211"/>
      <c r="T116" s="2211"/>
      <c r="U116" s="2298"/>
    </row>
    <row r="117" spans="1:22" s="2271" customFormat="1">
      <c r="A117" s="1476"/>
      <c r="B117" s="1631" t="s">
        <v>647</v>
      </c>
      <c r="C117" s="1632"/>
      <c r="D117" s="3429"/>
      <c r="E117" s="2211"/>
      <c r="F117" s="2211"/>
      <c r="G117" s="2211"/>
      <c r="H117" s="2211"/>
      <c r="I117" s="3451"/>
      <c r="J117" s="479">
        <v>0.72</v>
      </c>
      <c r="K117" s="461">
        <v>0.72</v>
      </c>
      <c r="L117" s="461">
        <v>5</v>
      </c>
      <c r="M117" s="461">
        <v>14</v>
      </c>
      <c r="N117" s="461">
        <v>5</v>
      </c>
      <c r="O117" s="462">
        <v>3</v>
      </c>
      <c r="P117" s="3429"/>
      <c r="Q117" s="2211"/>
      <c r="R117" s="2211"/>
      <c r="S117" s="2211"/>
      <c r="T117" s="2211"/>
      <c r="U117" s="2298"/>
    </row>
    <row r="118" spans="1:22" s="2271" customFormat="1">
      <c r="A118" s="1476"/>
      <c r="B118" s="4316" t="s">
        <v>1488</v>
      </c>
      <c r="C118" s="4351" t="s">
        <v>174</v>
      </c>
      <c r="D118" s="3429"/>
      <c r="E118" s="2211"/>
      <c r="F118" s="2211"/>
      <c r="G118" s="2211"/>
      <c r="H118" s="2211"/>
      <c r="I118" s="3451"/>
      <c r="J118" s="4322"/>
      <c r="K118" s="4317">
        <f>IFERROR((K117-J117)/J117,0)</f>
        <v>0</v>
      </c>
      <c r="L118" s="4317">
        <f>IFERROR((L117-K117)/K117,0)</f>
        <v>5.9444444444444446</v>
      </c>
      <c r="M118" s="4317">
        <f>IFERROR((M117-L117)/L117,0)</f>
        <v>1.8</v>
      </c>
      <c r="N118" s="4317">
        <f>IFERROR((N117-M117)/M117,0)</f>
        <v>-0.6428571428571429</v>
      </c>
      <c r="O118" s="4318">
        <f>IFERROR((O117-N117)/N117,0)</f>
        <v>-0.4</v>
      </c>
      <c r="P118" s="3429"/>
      <c r="Q118" s="2211"/>
      <c r="R118" s="2211"/>
      <c r="S118" s="2211"/>
      <c r="T118" s="2211"/>
      <c r="U118" s="2298"/>
    </row>
    <row r="119" spans="1:22" s="2271" customFormat="1">
      <c r="A119" s="1476"/>
      <c r="B119" s="1631" t="s">
        <v>646</v>
      </c>
      <c r="C119" s="1632"/>
      <c r="D119" s="3429"/>
      <c r="E119" s="2211"/>
      <c r="F119" s="2211"/>
      <c r="G119" s="2211"/>
      <c r="H119" s="2211"/>
      <c r="I119" s="3451"/>
      <c r="J119" s="479">
        <v>0</v>
      </c>
      <c r="K119" s="461">
        <v>0</v>
      </c>
      <c r="L119" s="461">
        <v>2</v>
      </c>
      <c r="M119" s="461">
        <v>2</v>
      </c>
      <c r="N119" s="461">
        <v>7</v>
      </c>
      <c r="O119" s="462">
        <v>2</v>
      </c>
      <c r="P119" s="3429"/>
      <c r="Q119" s="2211"/>
      <c r="R119" s="2211"/>
      <c r="S119" s="2211"/>
      <c r="T119" s="2211"/>
      <c r="U119" s="2298"/>
    </row>
    <row r="120" spans="1:22" s="2271" customFormat="1">
      <c r="A120" s="1476"/>
      <c r="B120" s="4316" t="s">
        <v>1485</v>
      </c>
      <c r="C120" s="4351" t="s">
        <v>174</v>
      </c>
      <c r="D120" s="3429"/>
      <c r="E120" s="2211"/>
      <c r="F120" s="2211"/>
      <c r="G120" s="2211"/>
      <c r="H120" s="2211"/>
      <c r="I120" s="3451"/>
      <c r="J120" s="4730"/>
      <c r="K120" s="4317">
        <f>IFERROR((K119-J119)/J119,0)</f>
        <v>0</v>
      </c>
      <c r="L120" s="4317">
        <f>IFERROR((L119-K119)/K119,0)</f>
        <v>0</v>
      </c>
      <c r="M120" s="4317">
        <f>IFERROR((M119-L119)/L119,0)</f>
        <v>0</v>
      </c>
      <c r="N120" s="4317">
        <f>IFERROR((N119-M119)/M119,0)</f>
        <v>2.5</v>
      </c>
      <c r="O120" s="4318">
        <f>IFERROR((O119-N119)/N119,0)</f>
        <v>-0.7142857142857143</v>
      </c>
      <c r="P120" s="3429"/>
      <c r="Q120" s="2211"/>
      <c r="R120" s="2211"/>
      <c r="S120" s="2211"/>
      <c r="T120" s="2211"/>
      <c r="U120" s="2298"/>
    </row>
    <row r="121" spans="1:22" s="2271" customFormat="1">
      <c r="A121" s="1476"/>
      <c r="B121" s="1631" t="s">
        <v>645</v>
      </c>
      <c r="C121" s="1632"/>
      <c r="D121" s="3429"/>
      <c r="E121" s="2211"/>
      <c r="F121" s="2211"/>
      <c r="G121" s="2211"/>
      <c r="H121" s="2211"/>
      <c r="I121" s="3451"/>
      <c r="J121" s="479">
        <v>0</v>
      </c>
      <c r="K121" s="461">
        <v>0</v>
      </c>
      <c r="L121" s="461">
        <v>1</v>
      </c>
      <c r="M121" s="461">
        <v>0.8</v>
      </c>
      <c r="N121" s="461">
        <v>1</v>
      </c>
      <c r="O121" s="462">
        <v>1</v>
      </c>
      <c r="P121" s="3429"/>
      <c r="Q121" s="2211"/>
      <c r="R121" s="2211"/>
      <c r="S121" s="2211"/>
      <c r="T121" s="2211"/>
      <c r="U121" s="2298"/>
    </row>
    <row r="122" spans="1:22" s="2271" customFormat="1">
      <c r="A122" s="1479"/>
      <c r="B122" s="4316" t="s">
        <v>1485</v>
      </c>
      <c r="C122" s="4351" t="s">
        <v>174</v>
      </c>
      <c r="D122" s="3429"/>
      <c r="E122" s="2211"/>
      <c r="F122" s="2211"/>
      <c r="G122" s="2211"/>
      <c r="H122" s="2211"/>
      <c r="I122" s="3451"/>
      <c r="J122" s="4730"/>
      <c r="K122" s="4317">
        <f>IFERROR((K121-J121)/J121,0)</f>
        <v>0</v>
      </c>
      <c r="L122" s="4317">
        <f>IFERROR((L121-K121)/K121,0)</f>
        <v>0</v>
      </c>
      <c r="M122" s="4317">
        <f>IFERROR((M121-L121)/L121,0)</f>
        <v>-0.19999999999999996</v>
      </c>
      <c r="N122" s="4317">
        <f>IFERROR((N121-M121)/M121,0)</f>
        <v>0.24999999999999994</v>
      </c>
      <c r="O122" s="4318">
        <f>IFERROR((O121-N121)/N121,0)</f>
        <v>0</v>
      </c>
      <c r="P122" s="3429"/>
      <c r="Q122" s="2211"/>
      <c r="R122" s="2211"/>
      <c r="S122" s="2211"/>
      <c r="T122" s="2211"/>
      <c r="U122" s="2298"/>
    </row>
    <row r="123" spans="1:22" s="2271" customFormat="1" ht="24">
      <c r="A123" s="1476"/>
      <c r="B123" s="1667" t="s">
        <v>644</v>
      </c>
      <c r="C123" s="1632"/>
      <c r="D123" s="3429"/>
      <c r="E123" s="2211"/>
      <c r="F123" s="2211"/>
      <c r="G123" s="2211"/>
      <c r="H123" s="2211"/>
      <c r="I123" s="3451"/>
      <c r="J123" s="4370">
        <f>J110-J113-J115-J117-J119-J121</f>
        <v>0.13</v>
      </c>
      <c r="K123" s="4338">
        <f t="shared" ref="K123:O123" si="15">K110-K113-K115-K117-K119-K121</f>
        <v>0.13</v>
      </c>
      <c r="L123" s="4338">
        <f t="shared" si="15"/>
        <v>1.1999999999999993</v>
      </c>
      <c r="M123" s="4338">
        <f t="shared" si="15"/>
        <v>1.3649999999999991</v>
      </c>
      <c r="N123" s="4338">
        <f t="shared" si="15"/>
        <v>0.69899999999999807</v>
      </c>
      <c r="O123" s="4353">
        <f t="shared" si="15"/>
        <v>1</v>
      </c>
      <c r="P123" s="3429"/>
      <c r="Q123" s="2211"/>
      <c r="R123" s="2211"/>
      <c r="S123" s="2211"/>
      <c r="T123" s="2211"/>
      <c r="U123" s="2298"/>
    </row>
    <row r="124" spans="1:22" s="2271" customFormat="1">
      <c r="A124" s="4341"/>
      <c r="B124" s="4321" t="s">
        <v>1485</v>
      </c>
      <c r="C124" s="4357" t="s">
        <v>174</v>
      </c>
      <c r="D124" s="3429"/>
      <c r="E124" s="2211"/>
      <c r="F124" s="2211"/>
      <c r="G124" s="2211"/>
      <c r="H124" s="2211"/>
      <c r="I124" s="3451"/>
      <c r="J124" s="4370"/>
      <c r="K124" s="4317">
        <f>IFERROR((K123-J123)/J123,0)</f>
        <v>0</v>
      </c>
      <c r="L124" s="4317">
        <f>IFERROR((L123-K123)/K123,0)</f>
        <v>8.2307692307692264</v>
      </c>
      <c r="M124" s="4317">
        <f>IFERROR((M123-L123)/L123,0)</f>
        <v>0.13749999999999993</v>
      </c>
      <c r="N124" s="4317">
        <f>IFERROR((N123-M123)/M123,0)</f>
        <v>-0.48791208791208901</v>
      </c>
      <c r="O124" s="4371">
        <f>IFERROR((O123-N123)/N123,0)</f>
        <v>0.43061516452074788</v>
      </c>
      <c r="P124" s="3429"/>
      <c r="Q124" s="2211"/>
      <c r="R124" s="2211"/>
      <c r="S124" s="2211"/>
      <c r="T124" s="2211"/>
      <c r="U124" s="2298"/>
    </row>
    <row r="125" spans="1:22" s="2271" customFormat="1" ht="12.75" thickBot="1">
      <c r="A125" s="1477"/>
      <c r="B125" s="4342" t="s">
        <v>1362</v>
      </c>
      <c r="C125" s="1633"/>
      <c r="D125" s="4339"/>
      <c r="E125" s="2300"/>
      <c r="F125" s="2300"/>
      <c r="G125" s="2300"/>
      <c r="H125" s="2300"/>
      <c r="I125" s="4340"/>
      <c r="J125" s="4367">
        <f>J110-J113-J115-J117-J119-J121-J123</f>
        <v>0</v>
      </c>
      <c r="K125" s="4368">
        <f t="shared" ref="K125:O125" si="16">K110-K113-K115-K117-K119-K121-K123</f>
        <v>0</v>
      </c>
      <c r="L125" s="4368">
        <f t="shared" si="16"/>
        <v>0</v>
      </c>
      <c r="M125" s="4368">
        <f t="shared" si="16"/>
        <v>0</v>
      </c>
      <c r="N125" s="4368">
        <f t="shared" si="16"/>
        <v>0</v>
      </c>
      <c r="O125" s="1041">
        <f t="shared" si="16"/>
        <v>0</v>
      </c>
      <c r="P125" s="4339"/>
      <c r="Q125" s="2300"/>
      <c r="R125" s="2300"/>
      <c r="S125" s="2300"/>
      <c r="T125" s="2300"/>
      <c r="U125" s="2301"/>
      <c r="V125" s="4586"/>
    </row>
    <row r="126" spans="1:22" s="2271" customFormat="1" ht="21.75" customHeight="1" thickBot="1">
      <c r="A126" s="1646">
        <v>5</v>
      </c>
      <c r="B126" s="4343" t="s">
        <v>1102</v>
      </c>
      <c r="C126" s="5330"/>
      <c r="D126" s="5330"/>
      <c r="E126" s="5330"/>
      <c r="F126" s="5330"/>
      <c r="G126" s="5330"/>
      <c r="H126" s="5330"/>
      <c r="I126" s="5330"/>
      <c r="J126" s="5331"/>
      <c r="K126" s="5331"/>
      <c r="L126" s="5331"/>
      <c r="M126" s="5331"/>
      <c r="N126" s="5331"/>
      <c r="O126" s="5331"/>
      <c r="P126" s="5330"/>
      <c r="Q126" s="5330"/>
      <c r="R126" s="5330"/>
      <c r="S126" s="5330"/>
      <c r="T126" s="5330"/>
      <c r="U126" s="5332"/>
    </row>
    <row r="127" spans="1:22" s="2271" customFormat="1">
      <c r="A127" s="467" t="s">
        <v>574</v>
      </c>
      <c r="B127" s="1644" t="s">
        <v>470</v>
      </c>
      <c r="C127" s="340" t="s">
        <v>318</v>
      </c>
      <c r="D127" s="2294"/>
      <c r="E127" s="2295"/>
      <c r="F127" s="2295"/>
      <c r="G127" s="2295"/>
      <c r="H127" s="2295"/>
      <c r="I127" s="2296"/>
      <c r="J127" s="473"/>
      <c r="K127" s="4726"/>
      <c r="L127" s="4726"/>
      <c r="M127" s="4726"/>
      <c r="N127" s="4726"/>
      <c r="O127" s="4726"/>
      <c r="P127" s="2294"/>
      <c r="Q127" s="2295"/>
      <c r="R127" s="2295"/>
      <c r="S127" s="2295"/>
      <c r="T127" s="2295"/>
      <c r="U127" s="2296"/>
    </row>
    <row r="128" spans="1:22" s="2271" customFormat="1">
      <c r="A128" s="468" t="s">
        <v>575</v>
      </c>
      <c r="B128" s="1625" t="s">
        <v>730</v>
      </c>
      <c r="C128" s="342" t="s">
        <v>318</v>
      </c>
      <c r="D128" s="2297"/>
      <c r="E128" s="2211"/>
      <c r="F128" s="2211"/>
      <c r="G128" s="2211"/>
      <c r="H128" s="2211"/>
      <c r="I128" s="2298"/>
      <c r="J128" s="454"/>
      <c r="K128" s="4726"/>
      <c r="L128" s="4726"/>
      <c r="M128" s="4726"/>
      <c r="N128" s="4726"/>
      <c r="O128" s="4726"/>
      <c r="P128" s="2297"/>
      <c r="Q128" s="2211"/>
      <c r="R128" s="2211"/>
      <c r="S128" s="2211"/>
      <c r="T128" s="2211"/>
      <c r="U128" s="2298"/>
    </row>
    <row r="129" spans="1:21" s="2271" customFormat="1">
      <c r="A129" s="468" t="s">
        <v>1103</v>
      </c>
      <c r="B129" s="1625" t="s">
        <v>473</v>
      </c>
      <c r="C129" s="342" t="s">
        <v>318</v>
      </c>
      <c r="D129" s="2297"/>
      <c r="E129" s="2211"/>
      <c r="F129" s="2211"/>
      <c r="G129" s="2211"/>
      <c r="H129" s="2211"/>
      <c r="I129" s="2298"/>
      <c r="J129" s="454"/>
      <c r="K129" s="4726"/>
      <c r="L129" s="4726"/>
      <c r="M129" s="4726"/>
      <c r="N129" s="4726"/>
      <c r="O129" s="4726"/>
      <c r="P129" s="2297"/>
      <c r="Q129" s="2211"/>
      <c r="R129" s="2211"/>
      <c r="S129" s="2211"/>
      <c r="T129" s="2211"/>
      <c r="U129" s="2298"/>
    </row>
    <row r="130" spans="1:21" s="2271" customFormat="1">
      <c r="A130" s="468" t="s">
        <v>1104</v>
      </c>
      <c r="B130" s="1625" t="s">
        <v>475</v>
      </c>
      <c r="C130" s="342" t="s">
        <v>318</v>
      </c>
      <c r="D130" s="2297"/>
      <c r="E130" s="2211"/>
      <c r="F130" s="2211"/>
      <c r="G130" s="2211"/>
      <c r="H130" s="2211"/>
      <c r="I130" s="2298"/>
      <c r="J130" s="454"/>
      <c r="K130" s="4726"/>
      <c r="L130" s="4726"/>
      <c r="M130" s="4726"/>
      <c r="N130" s="4726"/>
      <c r="O130" s="4726"/>
      <c r="P130" s="2297"/>
      <c r="Q130" s="2211"/>
      <c r="R130" s="2211"/>
      <c r="S130" s="2211"/>
      <c r="T130" s="2211"/>
      <c r="U130" s="2298"/>
    </row>
    <row r="131" spans="1:21" s="2271" customFormat="1">
      <c r="A131" s="468" t="s">
        <v>1105</v>
      </c>
      <c r="B131" s="1625" t="s">
        <v>477</v>
      </c>
      <c r="C131" s="342" t="s">
        <v>318</v>
      </c>
      <c r="D131" s="2297"/>
      <c r="E131" s="2211"/>
      <c r="F131" s="2211"/>
      <c r="G131" s="2211"/>
      <c r="H131" s="2211"/>
      <c r="I131" s="2298"/>
      <c r="J131" s="454"/>
      <c r="K131" s="4726"/>
      <c r="L131" s="4726"/>
      <c r="M131" s="4726"/>
      <c r="N131" s="4726"/>
      <c r="O131" s="4726"/>
      <c r="P131" s="2297"/>
      <c r="Q131" s="2211"/>
      <c r="R131" s="2211"/>
      <c r="S131" s="2211"/>
      <c r="T131" s="2211"/>
      <c r="U131" s="2298"/>
    </row>
    <row r="132" spans="1:21" s="2271" customFormat="1">
      <c r="A132" s="468" t="s">
        <v>1106</v>
      </c>
      <c r="B132" s="1625" t="s">
        <v>1401</v>
      </c>
      <c r="C132" s="342" t="s">
        <v>318</v>
      </c>
      <c r="D132" s="2297"/>
      <c r="E132" s="2211"/>
      <c r="F132" s="2211"/>
      <c r="G132" s="2211"/>
      <c r="H132" s="2211"/>
      <c r="I132" s="2298"/>
      <c r="J132" s="454"/>
      <c r="K132" s="4726"/>
      <c r="L132" s="4726"/>
      <c r="M132" s="4726"/>
      <c r="N132" s="4726"/>
      <c r="O132" s="4726"/>
      <c r="P132" s="2297"/>
      <c r="Q132" s="2211"/>
      <c r="R132" s="2211"/>
      <c r="S132" s="2211"/>
      <c r="T132" s="2211"/>
      <c r="U132" s="2298"/>
    </row>
    <row r="133" spans="1:21" s="2271" customFormat="1" ht="24">
      <c r="A133" s="468" t="s">
        <v>1107</v>
      </c>
      <c r="B133" s="1625" t="s">
        <v>1402</v>
      </c>
      <c r="C133" s="342" t="s">
        <v>318</v>
      </c>
      <c r="D133" s="2297"/>
      <c r="E133" s="2211"/>
      <c r="F133" s="2211"/>
      <c r="G133" s="2211"/>
      <c r="H133" s="2211"/>
      <c r="I133" s="2298"/>
      <c r="J133" s="454"/>
      <c r="K133" s="4726"/>
      <c r="L133" s="4726"/>
      <c r="M133" s="4726"/>
      <c r="N133" s="4726"/>
      <c r="O133" s="4726"/>
      <c r="P133" s="2297"/>
      <c r="Q133" s="2211"/>
      <c r="R133" s="2211"/>
      <c r="S133" s="2211"/>
      <c r="T133" s="2211"/>
      <c r="U133" s="2298"/>
    </row>
    <row r="134" spans="1:21" s="2271" customFormat="1" ht="24">
      <c r="A134" s="468" t="s">
        <v>1108</v>
      </c>
      <c r="B134" s="1625" t="s">
        <v>1403</v>
      </c>
      <c r="C134" s="342" t="s">
        <v>318</v>
      </c>
      <c r="D134" s="2297"/>
      <c r="E134" s="2211"/>
      <c r="F134" s="2211"/>
      <c r="G134" s="2211"/>
      <c r="H134" s="2211"/>
      <c r="I134" s="2298"/>
      <c r="J134" s="454"/>
      <c r="K134" s="4726"/>
      <c r="L134" s="4726"/>
      <c r="M134" s="4726"/>
      <c r="N134" s="4726"/>
      <c r="O134" s="4726"/>
      <c r="P134" s="2297"/>
      <c r="Q134" s="2211"/>
      <c r="R134" s="2211"/>
      <c r="S134" s="2211"/>
      <c r="T134" s="2211"/>
      <c r="U134" s="2298"/>
    </row>
    <row r="135" spans="1:21" s="2271" customFormat="1">
      <c r="A135" s="468" t="s">
        <v>1109</v>
      </c>
      <c r="B135" s="1625" t="s">
        <v>1404</v>
      </c>
      <c r="C135" s="342" t="s">
        <v>318</v>
      </c>
      <c r="D135" s="2297"/>
      <c r="E135" s="2211"/>
      <c r="F135" s="2211"/>
      <c r="G135" s="2211"/>
      <c r="H135" s="2211"/>
      <c r="I135" s="2298"/>
      <c r="J135" s="454"/>
      <c r="K135" s="4726"/>
      <c r="L135" s="4726"/>
      <c r="M135" s="4726"/>
      <c r="N135" s="4726"/>
      <c r="O135" s="4726"/>
      <c r="P135" s="2297"/>
      <c r="Q135" s="2211"/>
      <c r="R135" s="2211"/>
      <c r="S135" s="2211"/>
      <c r="T135" s="2211"/>
      <c r="U135" s="2298"/>
    </row>
    <row r="136" spans="1:21" s="2271" customFormat="1" ht="24">
      <c r="A136" s="468" t="s">
        <v>1110</v>
      </c>
      <c r="B136" s="1625" t="s">
        <v>1405</v>
      </c>
      <c r="C136" s="342" t="s">
        <v>318</v>
      </c>
      <c r="D136" s="2297"/>
      <c r="E136" s="2211"/>
      <c r="F136" s="2211"/>
      <c r="G136" s="2211"/>
      <c r="H136" s="2211"/>
      <c r="I136" s="2298"/>
      <c r="J136" s="454"/>
      <c r="K136" s="4726"/>
      <c r="L136" s="4726"/>
      <c r="M136" s="4726"/>
      <c r="N136" s="4726"/>
      <c r="O136" s="4726"/>
      <c r="P136" s="2297"/>
      <c r="Q136" s="2211"/>
      <c r="R136" s="2211"/>
      <c r="S136" s="2211"/>
      <c r="T136" s="2211"/>
      <c r="U136" s="2298"/>
    </row>
    <row r="137" spans="1:21" s="2271" customFormat="1" ht="15" customHeight="1">
      <c r="A137" s="468" t="s">
        <v>1111</v>
      </c>
      <c r="B137" s="1626" t="s">
        <v>1936</v>
      </c>
      <c r="C137" s="342" t="s">
        <v>318</v>
      </c>
      <c r="D137" s="2297"/>
      <c r="E137" s="2211"/>
      <c r="F137" s="2211"/>
      <c r="G137" s="2211"/>
      <c r="H137" s="2211"/>
      <c r="I137" s="2298"/>
      <c r="J137" s="454"/>
      <c r="K137" s="4726"/>
      <c r="L137" s="4726"/>
      <c r="M137" s="4726"/>
      <c r="N137" s="4726"/>
      <c r="O137" s="4726"/>
      <c r="P137" s="2297"/>
      <c r="Q137" s="2211"/>
      <c r="R137" s="2211"/>
      <c r="S137" s="2211"/>
      <c r="T137" s="2211"/>
      <c r="U137" s="2298"/>
    </row>
    <row r="138" spans="1:21" s="2271" customFormat="1" ht="15" customHeight="1">
      <c r="A138" s="471" t="s">
        <v>1112</v>
      </c>
      <c r="B138" s="1626" t="s">
        <v>923</v>
      </c>
      <c r="C138" s="342" t="s">
        <v>318</v>
      </c>
      <c r="D138" s="2297"/>
      <c r="E138" s="2211"/>
      <c r="F138" s="2211"/>
      <c r="G138" s="2211"/>
      <c r="H138" s="2211"/>
      <c r="I138" s="2298"/>
      <c r="J138" s="454"/>
      <c r="K138" s="4726"/>
      <c r="L138" s="4726"/>
      <c r="M138" s="4726"/>
      <c r="N138" s="4726"/>
      <c r="O138" s="4726"/>
      <c r="P138" s="2297"/>
      <c r="Q138" s="2211"/>
      <c r="R138" s="2211"/>
      <c r="S138" s="2211"/>
      <c r="T138" s="2211"/>
      <c r="U138" s="2298"/>
    </row>
    <row r="139" spans="1:21" s="2271" customFormat="1" ht="24">
      <c r="A139" s="471" t="s">
        <v>1113</v>
      </c>
      <c r="B139" s="2289" t="s">
        <v>1406</v>
      </c>
      <c r="C139" s="342" t="s">
        <v>318</v>
      </c>
      <c r="D139" s="2297"/>
      <c r="E139" s="2211"/>
      <c r="F139" s="2211"/>
      <c r="G139" s="2211"/>
      <c r="H139" s="2211"/>
      <c r="I139" s="2298"/>
      <c r="J139" s="454"/>
      <c r="K139" s="4726"/>
      <c r="L139" s="4726"/>
      <c r="M139" s="4726"/>
      <c r="N139" s="4726"/>
      <c r="O139" s="4726"/>
      <c r="P139" s="2297"/>
      <c r="Q139" s="2211"/>
      <c r="R139" s="2211"/>
      <c r="S139" s="2211"/>
      <c r="T139" s="2211"/>
      <c r="U139" s="2298"/>
    </row>
    <row r="140" spans="1:21" s="2271" customFormat="1" ht="24.75" thickBot="1">
      <c r="A140" s="471" t="s">
        <v>1935</v>
      </c>
      <c r="B140" s="1635" t="s">
        <v>1379</v>
      </c>
      <c r="C140" s="342" t="s">
        <v>318</v>
      </c>
      <c r="D140" s="2299"/>
      <c r="E140" s="2300"/>
      <c r="F140" s="2300"/>
      <c r="G140" s="2300"/>
      <c r="H140" s="2300"/>
      <c r="I140" s="2301"/>
      <c r="J140" s="472"/>
      <c r="K140" s="1196"/>
      <c r="L140" s="1196"/>
      <c r="M140" s="1196"/>
      <c r="N140" s="1196"/>
      <c r="O140" s="1197"/>
      <c r="P140" s="2290"/>
      <c r="Q140" s="2291"/>
      <c r="R140" s="2291"/>
      <c r="S140" s="2291"/>
      <c r="T140" s="2291"/>
      <c r="U140" s="2292"/>
    </row>
    <row r="141" spans="1:21" s="2271" customFormat="1" ht="21.6" customHeight="1" thickBot="1">
      <c r="A141" s="1474"/>
      <c r="B141" s="1627" t="s">
        <v>1114</v>
      </c>
      <c r="C141" s="1642"/>
      <c r="D141" s="4364"/>
      <c r="E141" s="4365"/>
      <c r="F141" s="4365"/>
      <c r="G141" s="4365"/>
      <c r="H141" s="4365"/>
      <c r="I141" s="4366"/>
      <c r="J141" s="346">
        <f t="shared" ref="J141:O141" si="17">SUM(J127:J140)</f>
        <v>0</v>
      </c>
      <c r="K141" s="347">
        <f t="shared" si="17"/>
        <v>0</v>
      </c>
      <c r="L141" s="347">
        <f t="shared" si="17"/>
        <v>0</v>
      </c>
      <c r="M141" s="347">
        <f t="shared" si="17"/>
        <v>0</v>
      </c>
      <c r="N141" s="347">
        <f t="shared" si="17"/>
        <v>0</v>
      </c>
      <c r="O141" s="1045">
        <f t="shared" si="17"/>
        <v>0</v>
      </c>
      <c r="P141" s="4328"/>
      <c r="Q141" s="4329"/>
      <c r="R141" s="4329"/>
      <c r="S141" s="4329"/>
      <c r="T141" s="4329"/>
      <c r="U141" s="4330"/>
    </row>
    <row r="142" spans="1:21" s="2271" customFormat="1" ht="13.5" customHeight="1" thickBot="1">
      <c r="A142" s="4303"/>
      <c r="B142" s="4304" t="s">
        <v>1485</v>
      </c>
      <c r="C142" s="4358" t="s">
        <v>174</v>
      </c>
      <c r="D142" s="4305"/>
      <c r="E142" s="4306">
        <f>IFERROR((E141-D141)/D141,0)</f>
        <v>0</v>
      </c>
      <c r="F142" s="4306">
        <f>IFERROR((F141-E141)/E141,0)</f>
        <v>0</v>
      </c>
      <c r="G142" s="4306">
        <f>IFERROR((G141-F141)/F141,0)</f>
        <v>0</v>
      </c>
      <c r="H142" s="4306">
        <f>IFERROR((H141-G141)/G141,0)</f>
        <v>0</v>
      </c>
      <c r="I142" s="4307">
        <f>IFERROR((I141-H141)/H141,0)</f>
        <v>0</v>
      </c>
      <c r="J142" s="4308"/>
      <c r="K142" s="4306">
        <f>IFERROR((K141-J141)/J141,0)</f>
        <v>0</v>
      </c>
      <c r="L142" s="4306">
        <f>IFERROR((L141-K141)/K141,0)</f>
        <v>0</v>
      </c>
      <c r="M142" s="4306">
        <f>IFERROR((M141-L141)/L141,0)</f>
        <v>0</v>
      </c>
      <c r="N142" s="4306">
        <f>IFERROR((N141-M141)/M141,0)</f>
        <v>0</v>
      </c>
      <c r="O142" s="4306">
        <f>IFERROR((O141-N141)/N141,0)</f>
        <v>0</v>
      </c>
      <c r="P142" s="4309"/>
      <c r="Q142" s="4310"/>
      <c r="R142" s="4310"/>
      <c r="S142" s="4310"/>
      <c r="T142" s="4310"/>
      <c r="U142" s="4311"/>
    </row>
    <row r="143" spans="1:21" s="2271" customFormat="1" ht="13.5" customHeight="1" thickBot="1">
      <c r="A143" s="1474"/>
      <c r="B143" s="1637" t="s">
        <v>1115</v>
      </c>
      <c r="C143" s="465"/>
      <c r="D143" s="465"/>
      <c r="E143" s="465"/>
      <c r="F143" s="465"/>
      <c r="G143" s="465"/>
      <c r="H143" s="465"/>
      <c r="I143" s="465"/>
      <c r="J143" s="465"/>
      <c r="K143" s="465"/>
      <c r="L143" s="465"/>
      <c r="M143" s="465"/>
      <c r="N143" s="465"/>
      <c r="O143" s="465"/>
      <c r="P143" s="465"/>
      <c r="Q143" s="465"/>
      <c r="R143" s="465"/>
      <c r="S143" s="465"/>
      <c r="T143" s="465"/>
      <c r="U143" s="466"/>
    </row>
    <row r="144" spans="1:21" s="2271" customFormat="1">
      <c r="A144" s="1475"/>
      <c r="B144" s="4345" t="s">
        <v>1078</v>
      </c>
      <c r="C144" s="1630"/>
      <c r="D144" s="4315"/>
      <c r="E144" s="2295"/>
      <c r="F144" s="2295"/>
      <c r="G144" s="2295"/>
      <c r="H144" s="2295"/>
      <c r="I144" s="4334"/>
      <c r="J144" s="476"/>
      <c r="K144" s="477"/>
      <c r="L144" s="477"/>
      <c r="M144" s="477"/>
      <c r="N144" s="477"/>
      <c r="O144" s="478"/>
      <c r="P144" s="2294"/>
      <c r="Q144" s="2295"/>
      <c r="R144" s="2295"/>
      <c r="S144" s="2295"/>
      <c r="T144" s="2295"/>
      <c r="U144" s="2296"/>
    </row>
    <row r="145" spans="1:22" s="2271" customFormat="1">
      <c r="A145" s="4344"/>
      <c r="B145" s="4316" t="s">
        <v>1485</v>
      </c>
      <c r="C145" s="4351" t="s">
        <v>174</v>
      </c>
      <c r="D145" s="3429"/>
      <c r="E145" s="2211"/>
      <c r="F145" s="2211"/>
      <c r="G145" s="2211"/>
      <c r="H145" s="2211"/>
      <c r="I145" s="3451"/>
      <c r="J145" s="4729"/>
      <c r="K145" s="4317">
        <f>IFERROR((K144-J144)/J144,0)</f>
        <v>0</v>
      </c>
      <c r="L145" s="4317">
        <f>IFERROR((L144-K144)/K144,0)</f>
        <v>0</v>
      </c>
      <c r="M145" s="4317">
        <f>IFERROR((M144-L144)/L144,0)</f>
        <v>0</v>
      </c>
      <c r="N145" s="4317">
        <f>IFERROR((N144-M144)/M144,0)</f>
        <v>0</v>
      </c>
      <c r="O145" s="4318">
        <f>IFERROR((O144-N144)/N144,0)</f>
        <v>0</v>
      </c>
      <c r="P145" s="2297"/>
      <c r="Q145" s="2211"/>
      <c r="R145" s="2211"/>
      <c r="S145" s="2211"/>
      <c r="T145" s="2211"/>
      <c r="U145" s="2298"/>
    </row>
    <row r="146" spans="1:22" s="2271" customFormat="1">
      <c r="A146" s="1476"/>
      <c r="B146" s="4346" t="s">
        <v>648</v>
      </c>
      <c r="C146" s="1632"/>
      <c r="D146" s="3429"/>
      <c r="E146" s="2211"/>
      <c r="F146" s="2211"/>
      <c r="G146" s="2211"/>
      <c r="H146" s="2211"/>
      <c r="I146" s="3451"/>
      <c r="J146" s="479"/>
      <c r="K146" s="461"/>
      <c r="L146" s="461"/>
      <c r="M146" s="461"/>
      <c r="N146" s="461"/>
      <c r="O146" s="462"/>
      <c r="P146" s="2297"/>
      <c r="Q146" s="2211"/>
      <c r="R146" s="2211"/>
      <c r="S146" s="2211"/>
      <c r="T146" s="2211"/>
      <c r="U146" s="2298"/>
    </row>
    <row r="147" spans="1:22" s="2271" customFormat="1">
      <c r="A147" s="1476"/>
      <c r="B147" s="4316" t="s">
        <v>1488</v>
      </c>
      <c r="C147" s="4351" t="s">
        <v>174</v>
      </c>
      <c r="D147" s="3429"/>
      <c r="E147" s="2211"/>
      <c r="F147" s="2211"/>
      <c r="G147" s="2211"/>
      <c r="H147" s="2211"/>
      <c r="I147" s="3451"/>
      <c r="J147" s="4322"/>
      <c r="K147" s="4317">
        <f>IFERROR((K146-J146)/J146,0)</f>
        <v>0</v>
      </c>
      <c r="L147" s="4317">
        <f>IFERROR((L146-K146)/K146,0)</f>
        <v>0</v>
      </c>
      <c r="M147" s="4317">
        <f>IFERROR((M146-L146)/L146,0)</f>
        <v>0</v>
      </c>
      <c r="N147" s="4317">
        <f>IFERROR((N146-M146)/M146,0)</f>
        <v>0</v>
      </c>
      <c r="O147" s="4318">
        <f>IFERROR((O146-N146)/N146,0)</f>
        <v>0</v>
      </c>
      <c r="P147" s="2297"/>
      <c r="Q147" s="2211"/>
      <c r="R147" s="2211"/>
      <c r="S147" s="2211"/>
      <c r="T147" s="2211"/>
      <c r="U147" s="2298"/>
    </row>
    <row r="148" spans="1:22" s="2271" customFormat="1">
      <c r="A148" s="1476"/>
      <c r="B148" s="4346" t="s">
        <v>647</v>
      </c>
      <c r="C148" s="1632"/>
      <c r="D148" s="3429"/>
      <c r="E148" s="2211"/>
      <c r="F148" s="2211"/>
      <c r="G148" s="2211"/>
      <c r="H148" s="2211"/>
      <c r="I148" s="3451"/>
      <c r="J148" s="479"/>
      <c r="K148" s="461"/>
      <c r="L148" s="461"/>
      <c r="M148" s="461"/>
      <c r="N148" s="461"/>
      <c r="O148" s="462"/>
      <c r="P148" s="2297"/>
      <c r="Q148" s="2211"/>
      <c r="R148" s="2211"/>
      <c r="S148" s="2211"/>
      <c r="T148" s="2211"/>
      <c r="U148" s="2298"/>
    </row>
    <row r="149" spans="1:22" s="2271" customFormat="1">
      <c r="A149" s="1476"/>
      <c r="B149" s="4316" t="s">
        <v>1488</v>
      </c>
      <c r="C149" s="4351" t="s">
        <v>174</v>
      </c>
      <c r="D149" s="3429"/>
      <c r="E149" s="2211"/>
      <c r="F149" s="2211"/>
      <c r="G149" s="2211"/>
      <c r="H149" s="2211"/>
      <c r="I149" s="3451"/>
      <c r="J149" s="4322"/>
      <c r="K149" s="4317">
        <f>IFERROR((K148-J148)/J148,0)</f>
        <v>0</v>
      </c>
      <c r="L149" s="4317">
        <f>IFERROR((L148-K148)/K148,0)</f>
        <v>0</v>
      </c>
      <c r="M149" s="4317">
        <f>IFERROR((M148-L148)/L148,0)</f>
        <v>0</v>
      </c>
      <c r="N149" s="4317">
        <f>IFERROR((N148-M148)/M148,0)</f>
        <v>0</v>
      </c>
      <c r="O149" s="4318">
        <f>IFERROR((O148-N148)/N148,0)</f>
        <v>0</v>
      </c>
      <c r="P149" s="2297"/>
      <c r="Q149" s="2211"/>
      <c r="R149" s="2211"/>
      <c r="S149" s="2211"/>
      <c r="T149" s="2211"/>
      <c r="U149" s="2298"/>
    </row>
    <row r="150" spans="1:22" s="2271" customFormat="1">
      <c r="A150" s="1476"/>
      <c r="B150" s="4346" t="s">
        <v>646</v>
      </c>
      <c r="C150" s="1632"/>
      <c r="D150" s="3429"/>
      <c r="E150" s="2211"/>
      <c r="F150" s="2211"/>
      <c r="G150" s="2211"/>
      <c r="H150" s="2211"/>
      <c r="I150" s="3451"/>
      <c r="J150" s="479"/>
      <c r="K150" s="461"/>
      <c r="L150" s="461"/>
      <c r="M150" s="461"/>
      <c r="N150" s="461"/>
      <c r="O150" s="462"/>
      <c r="P150" s="2297"/>
      <c r="Q150" s="2211"/>
      <c r="R150" s="2211"/>
      <c r="S150" s="2211"/>
      <c r="T150" s="2211"/>
      <c r="U150" s="2298"/>
    </row>
    <row r="151" spans="1:22" s="2271" customFormat="1">
      <c r="A151" s="1476"/>
      <c r="B151" s="4316" t="s">
        <v>1485</v>
      </c>
      <c r="C151" s="4351" t="s">
        <v>174</v>
      </c>
      <c r="D151" s="3429"/>
      <c r="E151" s="2211"/>
      <c r="F151" s="2211"/>
      <c r="G151" s="2211"/>
      <c r="H151" s="2211"/>
      <c r="I151" s="3451"/>
      <c r="J151" s="4730"/>
      <c r="K151" s="4317">
        <f>IFERROR((K150-J150)/J150,0)</f>
        <v>0</v>
      </c>
      <c r="L151" s="4317">
        <f>IFERROR((L150-K150)/K150,0)</f>
        <v>0</v>
      </c>
      <c r="M151" s="4317">
        <f>IFERROR((M150-L150)/L150,0)</f>
        <v>0</v>
      </c>
      <c r="N151" s="4317">
        <f>IFERROR((N150-M150)/M150,0)</f>
        <v>0</v>
      </c>
      <c r="O151" s="4318">
        <f>IFERROR((O150-N150)/N150,0)</f>
        <v>0</v>
      </c>
      <c r="P151" s="2297"/>
      <c r="Q151" s="2211"/>
      <c r="R151" s="2211"/>
      <c r="S151" s="2211"/>
      <c r="T151" s="2211"/>
      <c r="U151" s="2298"/>
    </row>
    <row r="152" spans="1:22" s="2271" customFormat="1">
      <c r="A152" s="1476"/>
      <c r="B152" s="4346" t="s">
        <v>645</v>
      </c>
      <c r="C152" s="1632"/>
      <c r="D152" s="3429"/>
      <c r="E152" s="2211"/>
      <c r="F152" s="2211"/>
      <c r="G152" s="2211"/>
      <c r="H152" s="2211"/>
      <c r="I152" s="3451"/>
      <c r="J152" s="1039"/>
      <c r="K152" s="463"/>
      <c r="L152" s="463"/>
      <c r="M152" s="463"/>
      <c r="N152" s="463"/>
      <c r="O152" s="464"/>
      <c r="P152" s="2297"/>
      <c r="Q152" s="2211"/>
      <c r="R152" s="2211"/>
      <c r="S152" s="2211"/>
      <c r="T152" s="2211"/>
      <c r="U152" s="2298"/>
    </row>
    <row r="153" spans="1:22" s="2271" customFormat="1">
      <c r="A153" s="1479"/>
      <c r="B153" s="4316" t="s">
        <v>1485</v>
      </c>
      <c r="C153" s="4351" t="s">
        <v>174</v>
      </c>
      <c r="D153" s="3429"/>
      <c r="E153" s="2211"/>
      <c r="F153" s="2211"/>
      <c r="G153" s="2211"/>
      <c r="H153" s="2211"/>
      <c r="I153" s="3451"/>
      <c r="J153" s="4730"/>
      <c r="K153" s="4317">
        <f>IFERROR((K152-J152)/J152,0)</f>
        <v>0</v>
      </c>
      <c r="L153" s="4317">
        <f>IFERROR((L152-K152)/K152,0)</f>
        <v>0</v>
      </c>
      <c r="M153" s="4317">
        <f>IFERROR((M152-L152)/L152,0)</f>
        <v>0</v>
      </c>
      <c r="N153" s="4317">
        <f>IFERROR((N152-M152)/M152,0)</f>
        <v>0</v>
      </c>
      <c r="O153" s="4318">
        <f>IFERROR((O152-N152)/N152,0)</f>
        <v>0</v>
      </c>
      <c r="P153" s="2297"/>
      <c r="Q153" s="2211"/>
      <c r="R153" s="2211"/>
      <c r="S153" s="2211"/>
      <c r="T153" s="2211"/>
      <c r="U153" s="2298"/>
    </row>
    <row r="154" spans="1:22" s="2271" customFormat="1" ht="21.75" customHeight="1">
      <c r="A154" s="4320"/>
      <c r="B154" s="1667" t="s">
        <v>644</v>
      </c>
      <c r="C154" s="1632"/>
      <c r="D154" s="3429"/>
      <c r="E154" s="2211"/>
      <c r="F154" s="2211"/>
      <c r="G154" s="2211"/>
      <c r="H154" s="2211"/>
      <c r="I154" s="3451"/>
      <c r="J154" s="4369">
        <f>J141-J144-J146-J148-J150-J152</f>
        <v>0</v>
      </c>
      <c r="K154" s="4338">
        <f t="shared" ref="K154:O154" si="18">K141-K144-K146-K148-K150-K152</f>
        <v>0</v>
      </c>
      <c r="L154" s="4338">
        <f t="shared" si="18"/>
        <v>0</v>
      </c>
      <c r="M154" s="4338">
        <f t="shared" si="18"/>
        <v>0</v>
      </c>
      <c r="N154" s="4338">
        <f t="shared" si="18"/>
        <v>0</v>
      </c>
      <c r="O154" s="4319">
        <f t="shared" si="18"/>
        <v>0</v>
      </c>
      <c r="P154" s="2297"/>
      <c r="Q154" s="2211"/>
      <c r="R154" s="2211"/>
      <c r="S154" s="2211"/>
      <c r="T154" s="2211"/>
      <c r="U154" s="2298"/>
    </row>
    <row r="155" spans="1:22" s="2271" customFormat="1" ht="15" customHeight="1">
      <c r="A155" s="4347"/>
      <c r="B155" s="4321" t="s">
        <v>1485</v>
      </c>
      <c r="C155" s="4357" t="s">
        <v>174</v>
      </c>
      <c r="D155" s="3429"/>
      <c r="E155" s="2211"/>
      <c r="F155" s="2211"/>
      <c r="G155" s="2211"/>
      <c r="H155" s="2211"/>
      <c r="I155" s="3451"/>
      <c r="J155" s="4322"/>
      <c r="K155" s="4317">
        <f>IFERROR((K154-J154)/J154,0)</f>
        <v>0</v>
      </c>
      <c r="L155" s="4317">
        <f>IFERROR((L154-K154)/K154,0)</f>
        <v>0</v>
      </c>
      <c r="M155" s="4317">
        <f>IFERROR((M154-L154)/L154,0)</f>
        <v>0</v>
      </c>
      <c r="N155" s="4317">
        <f>IFERROR((N154-M154)/M154,0)</f>
        <v>0</v>
      </c>
      <c r="O155" s="4318">
        <f>IFERROR((O154-N154)/N154,0)</f>
        <v>0</v>
      </c>
      <c r="P155" s="2297"/>
      <c r="Q155" s="2211"/>
      <c r="R155" s="2211"/>
      <c r="S155" s="2211"/>
      <c r="T155" s="2211"/>
      <c r="U155" s="2298"/>
    </row>
    <row r="156" spans="1:22" ht="12.75" thickBot="1">
      <c r="A156" s="1477"/>
      <c r="B156" s="4342" t="s">
        <v>1362</v>
      </c>
      <c r="C156" s="1633"/>
      <c r="D156" s="4324"/>
      <c r="E156" s="2291"/>
      <c r="F156" s="2291"/>
      <c r="G156" s="2291"/>
      <c r="H156" s="2291"/>
      <c r="I156" s="4335"/>
      <c r="J156" s="4367">
        <f>J141-J144-J146-J148-J150-J152-J154</f>
        <v>0</v>
      </c>
      <c r="K156" s="4368">
        <f t="shared" ref="K156:O156" si="19">K141-K144-K146-K148-K150-K152-K154</f>
        <v>0</v>
      </c>
      <c r="L156" s="4368">
        <f t="shared" si="19"/>
        <v>0</v>
      </c>
      <c r="M156" s="4368">
        <f t="shared" si="19"/>
        <v>0</v>
      </c>
      <c r="N156" s="4368">
        <f t="shared" si="19"/>
        <v>0</v>
      </c>
      <c r="O156" s="1041">
        <f t="shared" si="19"/>
        <v>0</v>
      </c>
      <c r="P156" s="2290"/>
      <c r="Q156" s="2291"/>
      <c r="R156" s="2291"/>
      <c r="S156" s="2291"/>
      <c r="T156" s="2291"/>
      <c r="U156" s="2292"/>
      <c r="V156" s="4586"/>
    </row>
    <row r="157" spans="1:22" s="2302" customFormat="1">
      <c r="B157" s="2303"/>
      <c r="C157" s="2223"/>
      <c r="D157" s="2223"/>
      <c r="E157" s="2223"/>
      <c r="F157" s="2223"/>
      <c r="G157" s="2223"/>
      <c r="H157" s="2223"/>
      <c r="I157" s="2223"/>
      <c r="J157" s="2223"/>
      <c r="K157" s="2304"/>
      <c r="L157" s="2304"/>
      <c r="M157" s="2304"/>
      <c r="N157" s="2304"/>
      <c r="O157" s="2304"/>
      <c r="P157" s="2304"/>
    </row>
    <row r="158" spans="1:22" s="2302" customFormat="1">
      <c r="A158" s="2224"/>
      <c r="D158" s="2224"/>
      <c r="E158" s="2224"/>
      <c r="F158" s="2224"/>
      <c r="G158" s="2224"/>
      <c r="J158" s="2223"/>
      <c r="K158" s="2304"/>
      <c r="L158" s="2304"/>
      <c r="M158" s="2304"/>
      <c r="N158" s="2304"/>
      <c r="O158" s="2304"/>
      <c r="P158" s="2304"/>
    </row>
    <row r="159" spans="1:22" s="2302" customFormat="1">
      <c r="A159" s="2305" t="s">
        <v>1839</v>
      </c>
      <c r="D159" s="2239"/>
      <c r="E159" s="2239"/>
      <c r="F159" s="2239"/>
      <c r="G159" s="2239"/>
      <c r="H159" s="2224"/>
      <c r="I159" s="2225" t="s">
        <v>699</v>
      </c>
      <c r="J159" s="2302" t="str">
        <f>'Приложение '!D81</f>
        <v>..............................................</v>
      </c>
      <c r="K159" s="2229"/>
      <c r="L159" s="2229"/>
      <c r="M159" s="2229"/>
      <c r="N159" s="2229"/>
      <c r="O159" s="2229"/>
      <c r="P159" s="2229"/>
    </row>
    <row r="160" spans="1:22" s="2302" customFormat="1">
      <c r="A160" s="2223"/>
      <c r="D160" s="2224"/>
      <c r="E160" s="2224"/>
      <c r="F160" s="2224"/>
      <c r="G160" s="2224"/>
      <c r="H160" s="2239"/>
      <c r="I160" s="2225"/>
      <c r="J160" s="2239" t="str">
        <f>'Приложение '!D82</f>
        <v>(подпис)</v>
      </c>
      <c r="K160" s="2306"/>
      <c r="L160" s="2306"/>
      <c r="M160" s="2306"/>
      <c r="N160" s="2306"/>
      <c r="O160" s="2306"/>
      <c r="P160" s="2306"/>
    </row>
    <row r="161" spans="1:16" s="2302" customFormat="1">
      <c r="A161" s="2223"/>
      <c r="D161" s="2224"/>
      <c r="E161" s="2224"/>
      <c r="F161" s="2224"/>
      <c r="G161" s="2224"/>
      <c r="H161" s="2224"/>
      <c r="I161" s="2225"/>
      <c r="J161" s="2239"/>
      <c r="K161" s="2306"/>
      <c r="L161" s="2306"/>
      <c r="M161" s="2306"/>
      <c r="N161" s="2306"/>
      <c r="O161" s="2306"/>
      <c r="P161" s="2306"/>
    </row>
    <row r="162" spans="1:16" s="2302" customFormat="1">
      <c r="A162" s="2223"/>
      <c r="D162" s="2224"/>
      <c r="E162" s="2224"/>
      <c r="F162" s="2224"/>
      <c r="G162" s="2224"/>
      <c r="H162" s="2224"/>
      <c r="I162" s="2225"/>
      <c r="J162" s="2223"/>
      <c r="K162" s="2304"/>
      <c r="L162" s="2304"/>
      <c r="M162" s="2304"/>
      <c r="N162" s="2304"/>
      <c r="O162" s="2304"/>
      <c r="P162" s="2304"/>
    </row>
    <row r="163" spans="1:16" s="2302" customFormat="1">
      <c r="A163" s="2223"/>
      <c r="D163" s="2239"/>
      <c r="E163" s="2239"/>
      <c r="F163" s="2239"/>
      <c r="G163" s="2239"/>
      <c r="H163" s="2224"/>
      <c r="I163" s="2225" t="s">
        <v>698</v>
      </c>
      <c r="J163" s="2302" t="str">
        <f>'Приложение '!D85</f>
        <v>.............................................</v>
      </c>
      <c r="K163" s="2229"/>
      <c r="L163" s="2229"/>
      <c r="M163" s="2229"/>
      <c r="N163" s="2229"/>
      <c r="O163" s="2229"/>
      <c r="P163" s="2229"/>
    </row>
    <row r="164" spans="1:16" s="2302" customFormat="1">
      <c r="A164" s="2223"/>
      <c r="B164" s="2303"/>
      <c r="C164" s="2223"/>
      <c r="D164" s="2223"/>
      <c r="E164" s="2223"/>
      <c r="F164" s="2223"/>
      <c r="G164" s="2223"/>
      <c r="H164" s="2223"/>
      <c r="I164" s="2223"/>
      <c r="J164" s="4614" t="str">
        <f>'Приложение '!D86</f>
        <v>(подпис и печат)</v>
      </c>
      <c r="K164" s="2307"/>
      <c r="L164" s="2307"/>
      <c r="M164" s="2307"/>
      <c r="N164" s="2307"/>
      <c r="O164" s="2307"/>
      <c r="P164" s="2307"/>
    </row>
    <row r="165" spans="1:16" s="2229" customFormat="1">
      <c r="A165" s="5341"/>
      <c r="B165" s="5341"/>
      <c r="C165" s="5341"/>
      <c r="D165" s="4704"/>
      <c r="E165" s="4704"/>
      <c r="F165" s="4704"/>
      <c r="G165" s="4704"/>
      <c r="H165" s="4704"/>
      <c r="I165" s="4704"/>
      <c r="J165" s="2308"/>
      <c r="K165" s="2308"/>
      <c r="L165" s="2308"/>
      <c r="M165" s="2308"/>
      <c r="N165" s="2308"/>
      <c r="O165" s="2308"/>
      <c r="P165" s="2308"/>
    </row>
    <row r="166" spans="1:16" s="2234" customFormat="1">
      <c r="A166" s="5341" t="s">
        <v>191</v>
      </c>
      <c r="B166" s="5341"/>
      <c r="C166" s="5341"/>
      <c r="D166" s="5341"/>
      <c r="E166" s="2309"/>
      <c r="F166" s="2309"/>
      <c r="G166" s="2309"/>
      <c r="H166" s="2309"/>
      <c r="I166" s="2309"/>
      <c r="J166" s="2308"/>
      <c r="K166" s="2308"/>
      <c r="L166" s="2308"/>
      <c r="M166" s="2308"/>
      <c r="N166" s="2308"/>
      <c r="O166" s="2308"/>
      <c r="P166" s="2308"/>
    </row>
    <row r="167" spans="1:16">
      <c r="A167" s="5342" t="s">
        <v>192</v>
      </c>
      <c r="B167" s="5342"/>
      <c r="C167" s="5342"/>
      <c r="D167" s="5342"/>
    </row>
    <row r="168" spans="1:16">
      <c r="A168" s="4705" t="s">
        <v>1408</v>
      </c>
      <c r="B168" s="4705"/>
      <c r="C168" s="4705"/>
      <c r="D168" s="4705"/>
    </row>
    <row r="169" spans="1:16" ht="30" customHeight="1">
      <c r="A169" s="5343" t="s">
        <v>1908</v>
      </c>
      <c r="B169" s="5343"/>
      <c r="C169" s="5343"/>
      <c r="D169" s="5343"/>
      <c r="E169" s="5343"/>
      <c r="F169" s="5343"/>
      <c r="G169" s="5343"/>
      <c r="H169" s="5343"/>
      <c r="I169" s="5343"/>
      <c r="J169" s="5343"/>
      <c r="K169" s="5343"/>
      <c r="L169" s="5343"/>
      <c r="M169" s="5343"/>
      <c r="N169" s="5343"/>
      <c r="O169" s="5343"/>
      <c r="P169" s="4594"/>
    </row>
  </sheetData>
  <sheetProtection password="EB75" sheet="1" objects="1" scenarios="1" formatCells="0" formatColumns="0" formatRows="0"/>
  <mergeCells count="22">
    <mergeCell ref="A165:C165"/>
    <mergeCell ref="A166:D166"/>
    <mergeCell ref="A167:D167"/>
    <mergeCell ref="A169:O169"/>
    <mergeCell ref="T1:U1"/>
    <mergeCell ref="A2:U2"/>
    <mergeCell ref="A3:U3"/>
    <mergeCell ref="A4:U4"/>
    <mergeCell ref="A5:U5"/>
    <mergeCell ref="N1:O1"/>
    <mergeCell ref="J7:O7"/>
    <mergeCell ref="P7:U7"/>
    <mergeCell ref="C9:U9"/>
    <mergeCell ref="C40:U40"/>
    <mergeCell ref="C69:U69"/>
    <mergeCell ref="C95:U95"/>
    <mergeCell ref="A6:J6"/>
    <mergeCell ref="C126:U126"/>
    <mergeCell ref="D7:I7"/>
    <mergeCell ref="A7:A8"/>
    <mergeCell ref="B7:B8"/>
    <mergeCell ref="C7:C8"/>
  </mergeCells>
  <printOptions horizontalCentered="1"/>
  <pageMargins left="0" right="0" top="0.59055118110236227" bottom="0.19685039370078741" header="0.31496062992125984" footer="0.11811023622047245"/>
  <pageSetup paperSize="9" scale="60" orientation="landscape" r:id="rId1"/>
  <headerFooter alignWithMargins="0">
    <oddFooter>&amp;C&amp;A&amp;RСтр. &amp;P от &amp;N</oddFooter>
  </headerFooter>
  <rowBreaks count="3" manualBreakCount="3">
    <brk id="54" max="20" man="1"/>
    <brk id="94" max="20" man="1"/>
    <brk id="142"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BCF6C6"/>
  </sheetPr>
  <dimension ref="A1:BA170"/>
  <sheetViews>
    <sheetView tabSelected="1" view="pageBreakPreview" topLeftCell="A7" zoomScale="80" zoomScaleNormal="70" zoomScaleSheetLayoutView="80" workbookViewId="0">
      <pane xSplit="5" ySplit="5" topLeftCell="AE12" activePane="bottomRight" state="frozen"/>
      <selection activeCell="A7" sqref="A7"/>
      <selection pane="topRight" activeCell="F7" sqref="F7"/>
      <selection pane="bottomLeft" activeCell="A12" sqref="A12"/>
      <selection pane="bottomRight" activeCell="AN26" sqref="AN26:AR26"/>
    </sheetView>
  </sheetViews>
  <sheetFormatPr defaultColWidth="9.140625" defaultRowHeight="12.75"/>
  <cols>
    <col min="1" max="1" width="3.85546875" style="1367" customWidth="1"/>
    <col min="2" max="2" width="8.7109375" style="1367" customWidth="1"/>
    <col min="3" max="3" width="15.85546875" style="1367" customWidth="1"/>
    <col min="4" max="4" width="5.5703125" style="1368" customWidth="1"/>
    <col min="5" max="5" width="32.7109375" style="1369" customWidth="1"/>
    <col min="6" max="6" width="6" style="1409" customWidth="1"/>
    <col min="7" max="7" width="6.140625" style="1409" customWidth="1"/>
    <col min="8" max="12" width="6.140625" style="1410" customWidth="1"/>
    <col min="13" max="13" width="7.42578125" style="1367" customWidth="1"/>
    <col min="14" max="15" width="6.28515625" style="1370" customWidth="1"/>
    <col min="16" max="20" width="6.28515625" style="1367" customWidth="1"/>
    <col min="21" max="22" width="6.42578125" style="1370" customWidth="1"/>
    <col min="23" max="27" width="6.140625" style="1367" customWidth="1"/>
    <col min="28" max="29" width="6.42578125" style="1370" customWidth="1"/>
    <col min="30" max="34" width="6.140625" style="1367" customWidth="1"/>
    <col min="35" max="35" width="36.140625" style="1371" customWidth="1"/>
    <col min="36" max="36" width="37" style="1369" customWidth="1"/>
    <col min="37" max="37" width="4.28515625" style="1371" customWidth="1"/>
    <col min="38" max="38" width="7.140625" style="1371" customWidth="1"/>
    <col min="39" max="43" width="7.140625" style="1367" customWidth="1"/>
    <col min="44" max="44" width="7.140625" style="1368" customWidth="1"/>
    <col min="45" max="45" width="51.7109375" style="1372" customWidth="1"/>
    <col min="46" max="16384" width="9.140625" style="1368"/>
  </cols>
  <sheetData>
    <row r="1" spans="1:53" ht="13.5">
      <c r="A1" s="2311"/>
      <c r="B1" s="2311"/>
      <c r="C1" s="2311"/>
      <c r="D1" s="2312"/>
      <c r="E1" s="2313"/>
      <c r="F1" s="2314"/>
      <c r="G1" s="2314"/>
      <c r="H1" s="2311"/>
      <c r="I1" s="2311"/>
      <c r="J1" s="2311"/>
      <c r="K1" s="2311"/>
      <c r="L1" s="2311"/>
      <c r="M1" s="2311"/>
      <c r="N1" s="2314"/>
      <c r="O1" s="4429"/>
      <c r="P1" s="4429"/>
      <c r="Q1" s="2311"/>
      <c r="R1" s="2315"/>
      <c r="S1" s="2315"/>
      <c r="T1" s="2315"/>
      <c r="U1" s="2314"/>
      <c r="V1" s="2314"/>
      <c r="W1" s="2311"/>
      <c r="X1" s="2311"/>
      <c r="Y1" s="2311"/>
      <c r="Z1" s="2311"/>
      <c r="AA1" s="2311"/>
      <c r="AB1" s="2316"/>
      <c r="AC1" s="2316"/>
      <c r="AD1" s="2316"/>
      <c r="AE1" s="2316"/>
      <c r="AF1" s="2316"/>
      <c r="AG1" s="4429" t="s">
        <v>193</v>
      </c>
      <c r="AH1" s="2316"/>
      <c r="AI1" s="2317"/>
      <c r="AJ1" s="2318"/>
      <c r="AK1" s="4429"/>
      <c r="AL1" s="2317"/>
      <c r="AM1" s="2311"/>
      <c r="AN1" s="2311"/>
      <c r="AO1" s="2311"/>
      <c r="AP1" s="2311"/>
      <c r="AQ1" s="2311"/>
      <c r="AR1" s="2312"/>
      <c r="AS1" s="2319"/>
    </row>
    <row r="2" spans="1:53" ht="18.75">
      <c r="A2" s="5353" t="s">
        <v>1410</v>
      </c>
      <c r="B2" s="5353"/>
      <c r="C2" s="5353"/>
      <c r="D2" s="5353"/>
      <c r="E2" s="5353"/>
      <c r="F2" s="5353"/>
      <c r="G2" s="5353"/>
      <c r="H2" s="5353"/>
      <c r="I2" s="5353"/>
      <c r="J2" s="5353"/>
      <c r="K2" s="5353"/>
      <c r="L2" s="5353"/>
      <c r="M2" s="5353"/>
      <c r="N2" s="5353"/>
      <c r="O2" s="5353"/>
      <c r="P2" s="5353"/>
      <c r="Q2" s="5353"/>
      <c r="R2" s="5353"/>
      <c r="S2" s="5353"/>
      <c r="T2" s="5353"/>
      <c r="U2" s="5353"/>
      <c r="V2" s="5353"/>
      <c r="W2" s="5353"/>
      <c r="X2" s="5353"/>
      <c r="Y2" s="5353"/>
      <c r="Z2" s="5353"/>
      <c r="AA2" s="5353"/>
      <c r="AB2" s="5353"/>
      <c r="AC2" s="5353"/>
      <c r="AD2" s="5353"/>
      <c r="AE2" s="5353"/>
      <c r="AF2" s="5353"/>
      <c r="AG2" s="5353"/>
      <c r="AH2" s="5353"/>
      <c r="AI2" s="4428"/>
      <c r="AJ2" s="2320"/>
      <c r="AK2" s="4429"/>
      <c r="AL2" s="2317"/>
      <c r="AM2" s="2311"/>
      <c r="AN2" s="2311"/>
      <c r="AO2" s="2311"/>
      <c r="AP2" s="2311"/>
      <c r="AQ2" s="4429"/>
      <c r="AR2" s="2312"/>
      <c r="AS2" s="2319"/>
    </row>
    <row r="3" spans="1:53" ht="18.75">
      <c r="A3" s="5353" t="s">
        <v>1017</v>
      </c>
      <c r="B3" s="5353"/>
      <c r="C3" s="5353"/>
      <c r="D3" s="5353"/>
      <c r="E3" s="5353"/>
      <c r="F3" s="5353"/>
      <c r="G3" s="5353"/>
      <c r="H3" s="5353"/>
      <c r="I3" s="5353"/>
      <c r="J3" s="5353"/>
      <c r="K3" s="5353"/>
      <c r="L3" s="5353"/>
      <c r="M3" s="5353"/>
      <c r="N3" s="5353"/>
      <c r="O3" s="5353"/>
      <c r="P3" s="5353"/>
      <c r="Q3" s="5353"/>
      <c r="R3" s="5353"/>
      <c r="S3" s="5353"/>
      <c r="T3" s="5353"/>
      <c r="U3" s="5353"/>
      <c r="V3" s="5353"/>
      <c r="W3" s="5353"/>
      <c r="X3" s="5353"/>
      <c r="Y3" s="5353"/>
      <c r="Z3" s="5353"/>
      <c r="AA3" s="5353"/>
      <c r="AB3" s="5353"/>
      <c r="AC3" s="5353"/>
      <c r="AD3" s="5353"/>
      <c r="AE3" s="5353"/>
      <c r="AF3" s="5353"/>
      <c r="AG3" s="5353"/>
      <c r="AH3" s="5353"/>
      <c r="AI3" s="4428"/>
      <c r="AJ3" s="2320"/>
      <c r="AK3" s="2311"/>
      <c r="AL3" s="2311"/>
      <c r="AM3" s="2311"/>
      <c r="AN3" s="2311"/>
      <c r="AO3" s="2311"/>
      <c r="AP3" s="2311"/>
      <c r="AQ3" s="2311"/>
      <c r="AR3" s="2312"/>
      <c r="AS3" s="2321"/>
    </row>
    <row r="4" spans="1:53" ht="18.75">
      <c r="A4" s="5354" t="str">
        <f>'1. Обща информация'!A4:D4</f>
        <v>на "Водоснабдяване и канализаиця"ООД, гр. Перник</v>
      </c>
      <c r="B4" s="5354"/>
      <c r="C4" s="5354"/>
      <c r="D4" s="5354"/>
      <c r="E4" s="5354"/>
      <c r="F4" s="5354"/>
      <c r="G4" s="5354"/>
      <c r="H4" s="5354"/>
      <c r="I4" s="5354"/>
      <c r="J4" s="5354"/>
      <c r="K4" s="5354"/>
      <c r="L4" s="5354"/>
      <c r="M4" s="5354"/>
      <c r="N4" s="5354"/>
      <c r="O4" s="5354"/>
      <c r="P4" s="5354"/>
      <c r="Q4" s="5354"/>
      <c r="R4" s="5354"/>
      <c r="S4" s="5354"/>
      <c r="T4" s="5354"/>
      <c r="U4" s="5354"/>
      <c r="V4" s="5354"/>
      <c r="W4" s="5354"/>
      <c r="X4" s="5354"/>
      <c r="Y4" s="5354"/>
      <c r="Z4" s="5354"/>
      <c r="AA4" s="5354"/>
      <c r="AB4" s="5354"/>
      <c r="AC4" s="5354"/>
      <c r="AD4" s="5354"/>
      <c r="AE4" s="5354"/>
      <c r="AF4" s="5354"/>
      <c r="AG4" s="5354"/>
      <c r="AH4" s="5354"/>
      <c r="AI4" s="4430"/>
      <c r="AJ4" s="2322"/>
      <c r="AK4" s="2323"/>
      <c r="AL4" s="2323"/>
      <c r="AM4" s="2323"/>
      <c r="AN4" s="2323"/>
      <c r="AO4" s="2323"/>
      <c r="AP4" s="2323"/>
      <c r="AQ4" s="2323"/>
      <c r="AR4" s="2324"/>
      <c r="AS4" s="2325"/>
      <c r="AT4" s="1373"/>
      <c r="AU4" s="1373"/>
      <c r="AV4" s="1373"/>
      <c r="AW4" s="1373"/>
      <c r="AX4" s="1373"/>
      <c r="AY4" s="1373"/>
      <c r="AZ4" s="1373"/>
      <c r="BA4" s="1373"/>
    </row>
    <row r="5" spans="1:53" ht="18.75">
      <c r="A5" s="5354" t="str">
        <f>'1. Обща информация'!A5:D5</f>
        <v>ЕИК по БУЛСТАТ: 823073638</v>
      </c>
      <c r="B5" s="5354"/>
      <c r="C5" s="5354"/>
      <c r="D5" s="5354"/>
      <c r="E5" s="5354"/>
      <c r="F5" s="5354"/>
      <c r="G5" s="5354"/>
      <c r="H5" s="5354"/>
      <c r="I5" s="5354"/>
      <c r="J5" s="5354"/>
      <c r="K5" s="5354"/>
      <c r="L5" s="5354"/>
      <c r="M5" s="5354"/>
      <c r="N5" s="5354"/>
      <c r="O5" s="5354"/>
      <c r="P5" s="5354"/>
      <c r="Q5" s="5354"/>
      <c r="R5" s="5354"/>
      <c r="S5" s="5354"/>
      <c r="T5" s="5354"/>
      <c r="U5" s="5354"/>
      <c r="V5" s="5354"/>
      <c r="W5" s="5354"/>
      <c r="X5" s="5354"/>
      <c r="Y5" s="5354"/>
      <c r="Z5" s="5354"/>
      <c r="AA5" s="5354"/>
      <c r="AB5" s="5354"/>
      <c r="AC5" s="5354"/>
      <c r="AD5" s="5354"/>
      <c r="AE5" s="5354"/>
      <c r="AF5" s="5354"/>
      <c r="AG5" s="5354"/>
      <c r="AH5" s="5354"/>
      <c r="AI5" s="4430"/>
      <c r="AJ5" s="2322"/>
      <c r="AK5" s="2323"/>
      <c r="AL5" s="2323"/>
      <c r="AM5" s="2323"/>
      <c r="AN5" s="2323"/>
      <c r="AO5" s="2323"/>
      <c r="AP5" s="2323"/>
      <c r="AQ5" s="2323"/>
      <c r="AR5" s="2324"/>
      <c r="AS5" s="2325"/>
      <c r="AT5" s="1373"/>
      <c r="AU5" s="1373"/>
      <c r="AV5" s="1373"/>
      <c r="AW5" s="1373"/>
      <c r="AX5" s="1373"/>
      <c r="AY5" s="1373"/>
      <c r="AZ5" s="1373"/>
      <c r="BA5" s="1373"/>
    </row>
    <row r="6" spans="1:53" ht="13.5" hidden="1">
      <c r="A6" s="2311"/>
      <c r="B6" s="2311"/>
      <c r="C6" s="2311"/>
      <c r="D6" s="2312"/>
      <c r="E6" s="2313"/>
      <c r="F6" s="2314"/>
      <c r="G6" s="2314"/>
      <c r="H6" s="2311"/>
      <c r="I6" s="2311"/>
      <c r="J6" s="2311"/>
      <c r="K6" s="2311"/>
      <c r="L6" s="2311"/>
      <c r="M6" s="2311"/>
      <c r="N6" s="2314"/>
      <c r="O6" s="4429"/>
      <c r="P6" s="4429"/>
      <c r="Q6" s="2311"/>
      <c r="R6" s="2315"/>
      <c r="S6" s="2315"/>
      <c r="T6" s="2315"/>
      <c r="U6" s="2314"/>
      <c r="V6" s="2314"/>
      <c r="W6" s="2311"/>
      <c r="X6" s="2311"/>
      <c r="Y6" s="2311"/>
      <c r="Z6" s="2311"/>
      <c r="AA6" s="2311"/>
      <c r="AB6" s="2316"/>
      <c r="AC6" s="2316"/>
      <c r="AD6" s="2316"/>
      <c r="AE6" s="2316"/>
      <c r="AF6" s="2316"/>
      <c r="AG6" s="2316"/>
      <c r="AH6" s="2316"/>
      <c r="AI6" s="5370"/>
      <c r="AJ6" s="5370"/>
      <c r="AK6" s="2311"/>
      <c r="AL6" s="2311"/>
      <c r="AM6" s="2311"/>
      <c r="AN6" s="2311"/>
      <c r="AO6" s="2311"/>
      <c r="AP6" s="2311"/>
      <c r="AQ6" s="2311"/>
      <c r="AR6" s="2312"/>
      <c r="AS6" s="2319"/>
    </row>
    <row r="7" spans="1:53" ht="13.5" thickBot="1">
      <c r="A7" s="2326"/>
      <c r="B7" s="2326"/>
      <c r="C7" s="2326"/>
      <c r="D7" s="2326"/>
      <c r="E7" s="2326"/>
      <c r="F7" s="2326"/>
      <c r="G7" s="2326"/>
      <c r="H7" s="2326"/>
      <c r="I7" s="2326"/>
      <c r="J7" s="2326"/>
      <c r="K7" s="2326"/>
      <c r="L7" s="2326"/>
      <c r="M7" s="2326"/>
      <c r="N7" s="2326"/>
      <c r="O7" s="2326"/>
      <c r="P7" s="2326"/>
      <c r="Q7" s="2326"/>
      <c r="R7" s="2326"/>
      <c r="S7" s="2326"/>
      <c r="T7" s="2326"/>
      <c r="U7" s="2326"/>
      <c r="V7" s="2326"/>
      <c r="W7" s="2326"/>
      <c r="X7" s="2326"/>
      <c r="Y7" s="2326"/>
      <c r="Z7" s="2326"/>
      <c r="AA7" s="2326"/>
      <c r="AB7" s="2327"/>
      <c r="AC7" s="2327"/>
      <c r="AD7" s="2327"/>
      <c r="AE7" s="2327"/>
      <c r="AF7" s="2327"/>
      <c r="AG7" s="2327"/>
      <c r="AH7" s="2327"/>
      <c r="AI7" s="2328"/>
      <c r="AJ7" s="2326"/>
      <c r="AK7" s="2311"/>
      <c r="AL7" s="2311"/>
      <c r="AM7" s="2311"/>
      <c r="AN7" s="2311"/>
      <c r="AO7" s="2311"/>
      <c r="AP7" s="2311"/>
      <c r="AQ7" s="2311"/>
      <c r="AR7" s="2312"/>
      <c r="AS7" s="2321"/>
    </row>
    <row r="8" spans="1:53" s="1374" customFormat="1" ht="24.75" customHeight="1" thickBot="1">
      <c r="A8" s="5365" t="s">
        <v>208</v>
      </c>
      <c r="B8" s="5351" t="s">
        <v>358</v>
      </c>
      <c r="C8" s="5351" t="s">
        <v>1574</v>
      </c>
      <c r="D8" s="5351" t="s">
        <v>1575</v>
      </c>
      <c r="E8" s="5351" t="s">
        <v>209</v>
      </c>
      <c r="F8" s="5371" t="s">
        <v>338</v>
      </c>
      <c r="G8" s="5372"/>
      <c r="H8" s="5372"/>
      <c r="I8" s="5372"/>
      <c r="J8" s="5372"/>
      <c r="K8" s="5372"/>
      <c r="L8" s="5373"/>
      <c r="M8" s="5351" t="s">
        <v>1417</v>
      </c>
      <c r="N8" s="5355" t="s">
        <v>1367</v>
      </c>
      <c r="O8" s="5356"/>
      <c r="P8" s="5356"/>
      <c r="Q8" s="5356"/>
      <c r="R8" s="5356"/>
      <c r="S8" s="5356"/>
      <c r="T8" s="5357"/>
      <c r="U8" s="5355" t="s">
        <v>1270</v>
      </c>
      <c r="V8" s="5356"/>
      <c r="W8" s="5356"/>
      <c r="X8" s="5356"/>
      <c r="Y8" s="5356"/>
      <c r="Z8" s="5356"/>
      <c r="AA8" s="5357"/>
      <c r="AB8" s="5355" t="s">
        <v>1368</v>
      </c>
      <c r="AC8" s="5356"/>
      <c r="AD8" s="5356"/>
      <c r="AE8" s="5356"/>
      <c r="AF8" s="5356"/>
      <c r="AG8" s="5356"/>
      <c r="AH8" s="5357"/>
      <c r="AI8" s="5358" t="s">
        <v>1056</v>
      </c>
      <c r="AJ8" s="5349" t="s">
        <v>1055</v>
      </c>
      <c r="AK8" s="5367" t="s">
        <v>681</v>
      </c>
      <c r="AL8" s="5368"/>
      <c r="AM8" s="5368"/>
      <c r="AN8" s="5368"/>
      <c r="AO8" s="5368"/>
      <c r="AP8" s="5368"/>
      <c r="AQ8" s="5368"/>
      <c r="AR8" s="5369"/>
      <c r="AS8" s="5351" t="s">
        <v>357</v>
      </c>
    </row>
    <row r="9" spans="1:53" ht="36.75" customHeight="1" thickBot="1">
      <c r="A9" s="5366"/>
      <c r="B9" s="5352"/>
      <c r="C9" s="5352"/>
      <c r="D9" s="5352"/>
      <c r="E9" s="5352"/>
      <c r="F9" s="2329" t="str">
        <f>'Приложение '!$C12</f>
        <v>2020 г.</v>
      </c>
      <c r="G9" s="2330" t="str">
        <f>'Приложение '!$C13</f>
        <v>2021 г.</v>
      </c>
      <c r="H9" s="2331" t="str">
        <f>'Приложение '!$C14</f>
        <v>2022 г.</v>
      </c>
      <c r="I9" s="2332" t="str">
        <f>'Приложение '!$C15</f>
        <v>2023 г.</v>
      </c>
      <c r="J9" s="2332" t="str">
        <f>'Приложение '!$C16</f>
        <v>2024 г.</v>
      </c>
      <c r="K9" s="2332" t="str">
        <f>'Приложение '!$C17</f>
        <v>2025 г.</v>
      </c>
      <c r="L9" s="2333" t="str">
        <f>'Приложение '!$C18</f>
        <v>2026 г.</v>
      </c>
      <c r="M9" s="5352"/>
      <c r="N9" s="2334" t="str">
        <f>F9</f>
        <v>2020 г.</v>
      </c>
      <c r="O9" s="2335" t="str">
        <f t="shared" ref="O9:T9" si="0">G9</f>
        <v>2021 г.</v>
      </c>
      <c r="P9" s="2336" t="str">
        <f t="shared" si="0"/>
        <v>2022 г.</v>
      </c>
      <c r="Q9" s="2337" t="str">
        <f t="shared" si="0"/>
        <v>2023 г.</v>
      </c>
      <c r="R9" s="2337" t="str">
        <f t="shared" si="0"/>
        <v>2024 г.</v>
      </c>
      <c r="S9" s="2337" t="str">
        <f t="shared" si="0"/>
        <v>2025 г.</v>
      </c>
      <c r="T9" s="2338" t="str">
        <f t="shared" si="0"/>
        <v>2026 г.</v>
      </c>
      <c r="U9" s="2339" t="str">
        <f>N9</f>
        <v>2020 г.</v>
      </c>
      <c r="V9" s="2335" t="str">
        <f t="shared" ref="V9:Z9" si="1">O9</f>
        <v>2021 г.</v>
      </c>
      <c r="W9" s="2336" t="str">
        <f t="shared" si="1"/>
        <v>2022 г.</v>
      </c>
      <c r="X9" s="2337" t="str">
        <f t="shared" si="1"/>
        <v>2023 г.</v>
      </c>
      <c r="Y9" s="2337" t="str">
        <f t="shared" si="1"/>
        <v>2024 г.</v>
      </c>
      <c r="Z9" s="2337" t="str">
        <f t="shared" si="1"/>
        <v>2025 г.</v>
      </c>
      <c r="AA9" s="2338" t="str">
        <f>T9</f>
        <v>2026 г.</v>
      </c>
      <c r="AB9" s="2339" t="str">
        <f>N9</f>
        <v>2020 г.</v>
      </c>
      <c r="AC9" s="2335" t="str">
        <f>O9</f>
        <v>2021 г.</v>
      </c>
      <c r="AD9" s="2336" t="str">
        <f>P9</f>
        <v>2022 г.</v>
      </c>
      <c r="AE9" s="2337" t="str">
        <f>Q9</f>
        <v>2023 г.</v>
      </c>
      <c r="AF9" s="2337" t="str">
        <f>R9</f>
        <v>2024 г.</v>
      </c>
      <c r="AG9" s="2337" t="str">
        <f t="shared" ref="AG9" si="2">S9</f>
        <v>2025 г.</v>
      </c>
      <c r="AH9" s="2338" t="str">
        <f t="shared" ref="AH9" si="3">AA9</f>
        <v>2026 г.</v>
      </c>
      <c r="AI9" s="5359"/>
      <c r="AJ9" s="5350"/>
      <c r="AK9" s="2340" t="s">
        <v>754</v>
      </c>
      <c r="AL9" s="2341" t="str">
        <f t="shared" ref="AL9:AR9" si="4">F9</f>
        <v>2020 г.</v>
      </c>
      <c r="AM9" s="2342" t="str">
        <f t="shared" si="4"/>
        <v>2021 г.</v>
      </c>
      <c r="AN9" s="2343" t="str">
        <f t="shared" si="4"/>
        <v>2022 г.</v>
      </c>
      <c r="AO9" s="2343" t="str">
        <f t="shared" si="4"/>
        <v>2023 г.</v>
      </c>
      <c r="AP9" s="2343" t="str">
        <f t="shared" si="4"/>
        <v>2024 г.</v>
      </c>
      <c r="AQ9" s="2343" t="str">
        <f t="shared" si="4"/>
        <v>2025 г.</v>
      </c>
      <c r="AR9" s="2344" t="str">
        <f t="shared" si="4"/>
        <v>2026 г.</v>
      </c>
      <c r="AS9" s="5352"/>
    </row>
    <row r="10" spans="1:53" ht="16.5" thickBot="1">
      <c r="A10" s="5362" t="s">
        <v>1123</v>
      </c>
      <c r="B10" s="5363"/>
      <c r="C10" s="5363"/>
      <c r="D10" s="5363"/>
      <c r="E10" s="5363"/>
      <c r="F10" s="5363"/>
      <c r="G10" s="5363"/>
      <c r="H10" s="5363"/>
      <c r="I10" s="5363"/>
      <c r="J10" s="5363"/>
      <c r="K10" s="5363"/>
      <c r="L10" s="5363"/>
      <c r="M10" s="5363"/>
      <c r="N10" s="5363"/>
      <c r="O10" s="5363"/>
      <c r="P10" s="5363"/>
      <c r="Q10" s="5363"/>
      <c r="R10" s="5363"/>
      <c r="S10" s="5363"/>
      <c r="T10" s="5363"/>
      <c r="U10" s="5363"/>
      <c r="V10" s="5363"/>
      <c r="W10" s="5363"/>
      <c r="X10" s="5363"/>
      <c r="Y10" s="5363"/>
      <c r="Z10" s="5363"/>
      <c r="AA10" s="5363"/>
      <c r="AB10" s="5363"/>
      <c r="AC10" s="5363"/>
      <c r="AD10" s="5363"/>
      <c r="AE10" s="5363"/>
      <c r="AF10" s="5363"/>
      <c r="AG10" s="5363"/>
      <c r="AH10" s="5363"/>
      <c r="AI10" s="5363"/>
      <c r="AJ10" s="5363"/>
      <c r="AK10" s="5363"/>
      <c r="AL10" s="5363"/>
      <c r="AM10" s="5363"/>
      <c r="AN10" s="5363"/>
      <c r="AO10" s="5363"/>
      <c r="AP10" s="5363"/>
      <c r="AQ10" s="5363"/>
      <c r="AR10" s="5363"/>
      <c r="AS10" s="5364"/>
    </row>
    <row r="11" spans="1:53" ht="18.75" customHeight="1" thickBot="1">
      <c r="A11" s="2345">
        <v>1.1000000000000001</v>
      </c>
      <c r="B11" s="2345"/>
      <c r="C11" s="2345"/>
      <c r="D11" s="2346"/>
      <c r="E11" s="2347" t="s">
        <v>212</v>
      </c>
      <c r="F11" s="2348">
        <f>SUM(F12:F35)</f>
        <v>490.40299999999996</v>
      </c>
      <c r="G11" s="2349">
        <f t="shared" ref="G11:AH11" si="5">SUM(G12:G35)</f>
        <v>828.5</v>
      </c>
      <c r="H11" s="2350">
        <f t="shared" si="5"/>
        <v>1710.231</v>
      </c>
      <c r="I11" s="2351">
        <f t="shared" si="5"/>
        <v>2279.098</v>
      </c>
      <c r="J11" s="2351">
        <f t="shared" si="5"/>
        <v>590</v>
      </c>
      <c r="K11" s="2351">
        <f t="shared" si="5"/>
        <v>436.5</v>
      </c>
      <c r="L11" s="2352">
        <f t="shared" si="5"/>
        <v>462</v>
      </c>
      <c r="M11" s="2353">
        <f t="shared" si="5"/>
        <v>5477.8290000000006</v>
      </c>
      <c r="N11" s="2354">
        <f t="shared" si="5"/>
        <v>479.57999999999993</v>
      </c>
      <c r="O11" s="2355">
        <f t="shared" si="5"/>
        <v>790.27</v>
      </c>
      <c r="P11" s="2356">
        <f t="shared" si="5"/>
        <v>544</v>
      </c>
      <c r="Q11" s="2357">
        <f t="shared" si="5"/>
        <v>568.70299999999997</v>
      </c>
      <c r="R11" s="2357">
        <f t="shared" si="5"/>
        <v>590</v>
      </c>
      <c r="S11" s="2357">
        <f t="shared" si="5"/>
        <v>436.5</v>
      </c>
      <c r="T11" s="2358">
        <f t="shared" si="5"/>
        <v>462</v>
      </c>
      <c r="U11" s="2354">
        <f t="shared" si="5"/>
        <v>0</v>
      </c>
      <c r="V11" s="2355">
        <f t="shared" si="5"/>
        <v>0</v>
      </c>
      <c r="W11" s="2356">
        <f t="shared" si="5"/>
        <v>0</v>
      </c>
      <c r="X11" s="2357">
        <f t="shared" si="5"/>
        <v>0</v>
      </c>
      <c r="Y11" s="2357">
        <f t="shared" si="5"/>
        <v>0</v>
      </c>
      <c r="Z11" s="2357">
        <f t="shared" si="5"/>
        <v>0</v>
      </c>
      <c r="AA11" s="2358">
        <f t="shared" si="5"/>
        <v>0</v>
      </c>
      <c r="AB11" s="2354">
        <f t="shared" si="5"/>
        <v>10.823</v>
      </c>
      <c r="AC11" s="2355">
        <f t="shared" si="5"/>
        <v>38.229999999999997</v>
      </c>
      <c r="AD11" s="2356">
        <f t="shared" si="5"/>
        <v>1166.231</v>
      </c>
      <c r="AE11" s="2357">
        <f t="shared" si="5"/>
        <v>1710.395</v>
      </c>
      <c r="AF11" s="2357">
        <f t="shared" si="5"/>
        <v>0</v>
      </c>
      <c r="AG11" s="2357">
        <f t="shared" si="5"/>
        <v>0</v>
      </c>
      <c r="AH11" s="2359">
        <f t="shared" si="5"/>
        <v>0</v>
      </c>
      <c r="AI11" s="2360"/>
      <c r="AJ11" s="2361"/>
      <c r="AK11" s="2362"/>
      <c r="AL11" s="2360"/>
      <c r="AM11" s="2363"/>
      <c r="AN11" s="2363"/>
      <c r="AO11" s="2363"/>
      <c r="AP11" s="2363"/>
      <c r="AQ11" s="2363"/>
      <c r="AR11" s="2364"/>
      <c r="AS11" s="2365"/>
    </row>
    <row r="12" spans="1:53">
      <c r="A12" s="2366"/>
      <c r="B12" s="2367">
        <v>2040201</v>
      </c>
      <c r="C12" s="2367" t="s">
        <v>1852</v>
      </c>
      <c r="D12" s="2368">
        <v>0.02</v>
      </c>
      <c r="E12" s="2369" t="s">
        <v>746</v>
      </c>
      <c r="F12" s="2370">
        <f>N12+U12+AB12</f>
        <v>0</v>
      </c>
      <c r="G12" s="2371">
        <f t="shared" ref="G12:L27" si="6">O12+V12+AC12</f>
        <v>6.3</v>
      </c>
      <c r="H12" s="2372">
        <f t="shared" si="6"/>
        <v>0</v>
      </c>
      <c r="I12" s="2373">
        <f t="shared" si="6"/>
        <v>0</v>
      </c>
      <c r="J12" s="2373">
        <f t="shared" si="6"/>
        <v>0</v>
      </c>
      <c r="K12" s="2373">
        <f t="shared" si="6"/>
        <v>0</v>
      </c>
      <c r="L12" s="2374">
        <f>T12+AA12+AH12</f>
        <v>0</v>
      </c>
      <c r="M12" s="2375">
        <f>SUM(H12:L12)</f>
        <v>0</v>
      </c>
      <c r="N12" s="1375">
        <v>0</v>
      </c>
      <c r="O12" s="1376">
        <v>6.3</v>
      </c>
      <c r="P12" s="1377">
        <v>0</v>
      </c>
      <c r="Q12" s="1378">
        <v>0</v>
      </c>
      <c r="R12" s="1378">
        <v>0</v>
      </c>
      <c r="S12" s="1378">
        <v>0</v>
      </c>
      <c r="T12" s="1378">
        <v>0</v>
      </c>
      <c r="U12" s="1375"/>
      <c r="V12" s="1376"/>
      <c r="W12" s="1377"/>
      <c r="X12" s="1378"/>
      <c r="Y12" s="1378"/>
      <c r="Z12" s="1378"/>
      <c r="AA12" s="1378"/>
      <c r="AB12" s="1375"/>
      <c r="AC12" s="1376"/>
      <c r="AD12" s="1377"/>
      <c r="AE12" s="1378"/>
      <c r="AF12" s="1378"/>
      <c r="AG12" s="1378"/>
      <c r="AH12" s="1379"/>
      <c r="AI12" s="1380"/>
      <c r="AJ12" s="1381"/>
      <c r="AK12" s="2376" t="s">
        <v>682</v>
      </c>
      <c r="AL12" s="1377">
        <v>0</v>
      </c>
      <c r="AM12" s="1376">
        <v>3</v>
      </c>
      <c r="AN12" s="1377"/>
      <c r="AO12" s="1378"/>
      <c r="AP12" s="1378"/>
      <c r="AQ12" s="1378"/>
      <c r="AR12" s="1376"/>
      <c r="AS12" s="2377" t="s">
        <v>359</v>
      </c>
    </row>
    <row r="13" spans="1:53">
      <c r="A13" s="2378"/>
      <c r="B13" s="2379">
        <v>2040202</v>
      </c>
      <c r="C13" s="2379" t="s">
        <v>1853</v>
      </c>
      <c r="D13" s="2380">
        <v>0.02</v>
      </c>
      <c r="E13" s="2381" t="s">
        <v>749</v>
      </c>
      <c r="F13" s="2382">
        <f t="shared" ref="F13:L35" si="7">N13+U13+AB13</f>
        <v>0.45400000000000001</v>
      </c>
      <c r="G13" s="2383">
        <f t="shared" si="6"/>
        <v>1.2</v>
      </c>
      <c r="H13" s="2384">
        <f t="shared" si="6"/>
        <v>1</v>
      </c>
      <c r="I13" s="2385">
        <f t="shared" si="6"/>
        <v>1</v>
      </c>
      <c r="J13" s="2385">
        <f t="shared" si="6"/>
        <v>1</v>
      </c>
      <c r="K13" s="2385">
        <f t="shared" si="6"/>
        <v>1</v>
      </c>
      <c r="L13" s="2386">
        <f t="shared" si="6"/>
        <v>1</v>
      </c>
      <c r="M13" s="2387">
        <f t="shared" ref="M13:M70" si="8">SUM(H13:L13)</f>
        <v>5</v>
      </c>
      <c r="N13" s="1382">
        <v>0.45400000000000001</v>
      </c>
      <c r="O13" s="1383">
        <v>1.2</v>
      </c>
      <c r="P13" s="1384">
        <v>1</v>
      </c>
      <c r="Q13" s="1385">
        <v>1</v>
      </c>
      <c r="R13" s="1385">
        <v>1</v>
      </c>
      <c r="S13" s="1385">
        <v>1</v>
      </c>
      <c r="T13" s="1385">
        <v>1</v>
      </c>
      <c r="U13" s="1382"/>
      <c r="V13" s="1383"/>
      <c r="W13" s="1384"/>
      <c r="X13" s="1385"/>
      <c r="Y13" s="1385"/>
      <c r="Z13" s="1385"/>
      <c r="AA13" s="1385"/>
      <c r="AB13" s="1382"/>
      <c r="AC13" s="1383"/>
      <c r="AD13" s="1384"/>
      <c r="AE13" s="1385"/>
      <c r="AF13" s="1385"/>
      <c r="AG13" s="1385"/>
      <c r="AH13" s="1386"/>
      <c r="AI13" s="1387" t="s">
        <v>1975</v>
      </c>
      <c r="AJ13" s="1388" t="s">
        <v>1976</v>
      </c>
      <c r="AK13" s="2388" t="s">
        <v>682</v>
      </c>
      <c r="AL13" s="1384">
        <v>1</v>
      </c>
      <c r="AM13" s="1383">
        <v>2</v>
      </c>
      <c r="AN13" s="1384">
        <v>1</v>
      </c>
      <c r="AO13" s="1385">
        <v>1</v>
      </c>
      <c r="AP13" s="1385">
        <v>1</v>
      </c>
      <c r="AQ13" s="1385">
        <v>1</v>
      </c>
      <c r="AR13" s="1383">
        <v>1</v>
      </c>
      <c r="AS13" s="2389" t="s">
        <v>359</v>
      </c>
    </row>
    <row r="14" spans="1:53">
      <c r="A14" s="2378"/>
      <c r="B14" s="2379">
        <v>2040204</v>
      </c>
      <c r="C14" s="2379" t="s">
        <v>1854</v>
      </c>
      <c r="D14" s="2380">
        <v>0.02</v>
      </c>
      <c r="E14" s="2381" t="s">
        <v>360</v>
      </c>
      <c r="F14" s="2382">
        <f t="shared" si="7"/>
        <v>0</v>
      </c>
      <c r="G14" s="2383">
        <f t="shared" si="6"/>
        <v>0</v>
      </c>
      <c r="H14" s="2384">
        <f t="shared" si="6"/>
        <v>0</v>
      </c>
      <c r="I14" s="2385">
        <f t="shared" si="6"/>
        <v>0</v>
      </c>
      <c r="J14" s="2385">
        <f t="shared" si="6"/>
        <v>0</v>
      </c>
      <c r="K14" s="2385">
        <f t="shared" si="6"/>
        <v>0</v>
      </c>
      <c r="L14" s="2386">
        <f t="shared" si="6"/>
        <v>0</v>
      </c>
      <c r="M14" s="2387">
        <f>SUM(H14:L14)</f>
        <v>0</v>
      </c>
      <c r="N14" s="1382">
        <v>0</v>
      </c>
      <c r="O14" s="1383">
        <v>0</v>
      </c>
      <c r="P14" s="1384">
        <v>0</v>
      </c>
      <c r="Q14" s="1385">
        <v>0</v>
      </c>
      <c r="R14" s="1385">
        <v>0</v>
      </c>
      <c r="S14" s="1385">
        <v>0</v>
      </c>
      <c r="T14" s="1385">
        <v>0</v>
      </c>
      <c r="U14" s="1382"/>
      <c r="V14" s="1383"/>
      <c r="W14" s="1384"/>
      <c r="X14" s="1385"/>
      <c r="Y14" s="1385"/>
      <c r="Z14" s="1385"/>
      <c r="AA14" s="1385"/>
      <c r="AB14" s="1382"/>
      <c r="AC14" s="1383"/>
      <c r="AD14" s="1384"/>
      <c r="AE14" s="1385"/>
      <c r="AF14" s="1385"/>
      <c r="AG14" s="1385"/>
      <c r="AH14" s="1386"/>
      <c r="AI14" s="1387" t="s">
        <v>1975</v>
      </c>
      <c r="AJ14" s="1388" t="s">
        <v>1976</v>
      </c>
      <c r="AK14" s="2388" t="s">
        <v>682</v>
      </c>
      <c r="AL14" s="1384">
        <v>0</v>
      </c>
      <c r="AM14" s="1383">
        <v>0</v>
      </c>
      <c r="AN14" s="1384">
        <v>20</v>
      </c>
      <c r="AO14" s="1385">
        <v>20</v>
      </c>
      <c r="AP14" s="1385">
        <v>20</v>
      </c>
      <c r="AQ14" s="1385">
        <v>20</v>
      </c>
      <c r="AR14" s="1383">
        <v>20</v>
      </c>
      <c r="AS14" s="2389" t="s">
        <v>359</v>
      </c>
    </row>
    <row r="15" spans="1:53">
      <c r="A15" s="2378"/>
      <c r="B15" s="2379">
        <v>20202</v>
      </c>
      <c r="C15" s="2379" t="s">
        <v>1855</v>
      </c>
      <c r="D15" s="2390">
        <v>0.03</v>
      </c>
      <c r="E15" s="2381" t="s">
        <v>361</v>
      </c>
      <c r="F15" s="2382">
        <f t="shared" si="7"/>
        <v>1.0609999999999999</v>
      </c>
      <c r="G15" s="2383">
        <f t="shared" si="6"/>
        <v>0</v>
      </c>
      <c r="H15" s="2384">
        <f t="shared" si="6"/>
        <v>0</v>
      </c>
      <c r="I15" s="2385">
        <f t="shared" si="6"/>
        <v>0</v>
      </c>
      <c r="J15" s="2385">
        <f t="shared" si="6"/>
        <v>0</v>
      </c>
      <c r="K15" s="2385">
        <f t="shared" si="6"/>
        <v>0</v>
      </c>
      <c r="L15" s="2386">
        <f t="shared" si="6"/>
        <v>0</v>
      </c>
      <c r="M15" s="2387">
        <f t="shared" si="8"/>
        <v>0</v>
      </c>
      <c r="N15" s="1382">
        <v>1.0609999999999999</v>
      </c>
      <c r="O15" s="1383">
        <v>0</v>
      </c>
      <c r="P15" s="1384">
        <v>0</v>
      </c>
      <c r="Q15" s="1385">
        <v>0</v>
      </c>
      <c r="R15" s="1385">
        <v>0</v>
      </c>
      <c r="S15" s="1385">
        <v>0</v>
      </c>
      <c r="T15" s="1385">
        <v>0</v>
      </c>
      <c r="U15" s="1382"/>
      <c r="V15" s="1383"/>
      <c r="W15" s="1384"/>
      <c r="X15" s="1385"/>
      <c r="Y15" s="1385"/>
      <c r="Z15" s="1385"/>
      <c r="AA15" s="1385"/>
      <c r="AB15" s="1382"/>
      <c r="AC15" s="1383"/>
      <c r="AD15" s="1384"/>
      <c r="AE15" s="1385"/>
      <c r="AF15" s="1385"/>
      <c r="AG15" s="1385"/>
      <c r="AH15" s="1386"/>
      <c r="AI15" s="1387" t="s">
        <v>1977</v>
      </c>
      <c r="AJ15" s="1388" t="s">
        <v>1978</v>
      </c>
      <c r="AK15" s="2388" t="s">
        <v>682</v>
      </c>
      <c r="AL15" s="1384">
        <v>3</v>
      </c>
      <c r="AM15" s="1383">
        <v>0</v>
      </c>
      <c r="AN15" s="1384">
        <v>5</v>
      </c>
      <c r="AO15" s="1385">
        <v>5</v>
      </c>
      <c r="AP15" s="1385">
        <v>5</v>
      </c>
      <c r="AQ15" s="1385">
        <v>5</v>
      </c>
      <c r="AR15" s="1383">
        <v>5</v>
      </c>
      <c r="AS15" s="2389" t="s">
        <v>359</v>
      </c>
    </row>
    <row r="16" spans="1:53">
      <c r="A16" s="2378"/>
      <c r="B16" s="2379">
        <v>2040205</v>
      </c>
      <c r="C16" s="2379" t="s">
        <v>1856</v>
      </c>
      <c r="D16" s="2380">
        <v>0.02</v>
      </c>
      <c r="E16" s="4852" t="s">
        <v>362</v>
      </c>
      <c r="F16" s="2382">
        <f t="shared" si="7"/>
        <v>10.183999999999999</v>
      </c>
      <c r="G16" s="2383">
        <f t="shared" si="6"/>
        <v>15</v>
      </c>
      <c r="H16" s="2384">
        <f t="shared" si="6"/>
        <v>148.42400000000001</v>
      </c>
      <c r="I16" s="2385">
        <f t="shared" si="6"/>
        <v>148.423</v>
      </c>
      <c r="J16" s="2385">
        <f t="shared" si="6"/>
        <v>20</v>
      </c>
      <c r="K16" s="2385">
        <f t="shared" si="6"/>
        <v>20</v>
      </c>
      <c r="L16" s="2386">
        <f t="shared" si="6"/>
        <v>20</v>
      </c>
      <c r="M16" s="2387">
        <f t="shared" si="8"/>
        <v>356.84699999999998</v>
      </c>
      <c r="N16" s="1382">
        <v>10.183999999999999</v>
      </c>
      <c r="O16" s="1383">
        <v>15</v>
      </c>
      <c r="P16" s="1384">
        <v>20</v>
      </c>
      <c r="Q16" s="1385">
        <v>20</v>
      </c>
      <c r="R16" s="1385">
        <v>20</v>
      </c>
      <c r="S16" s="1385">
        <v>20</v>
      </c>
      <c r="T16" s="1385">
        <v>20</v>
      </c>
      <c r="U16" s="1382"/>
      <c r="V16" s="1383"/>
      <c r="W16" s="1384"/>
      <c r="X16" s="1385"/>
      <c r="Y16" s="1385"/>
      <c r="Z16" s="1385"/>
      <c r="AA16" s="1385"/>
      <c r="AB16" s="1382"/>
      <c r="AC16" s="1383"/>
      <c r="AD16" s="1384">
        <v>128.42400000000001</v>
      </c>
      <c r="AE16" s="1385">
        <v>128.423</v>
      </c>
      <c r="AF16" s="1385"/>
      <c r="AG16" s="1385"/>
      <c r="AH16" s="1386"/>
      <c r="AI16" s="1387" t="s">
        <v>1975</v>
      </c>
      <c r="AJ16" s="1389" t="s">
        <v>1979</v>
      </c>
      <c r="AK16" s="2388" t="s">
        <v>684</v>
      </c>
      <c r="AL16" s="1384">
        <v>180</v>
      </c>
      <c r="AM16" s="1383">
        <v>236</v>
      </c>
      <c r="AN16" s="4860">
        <v>1540</v>
      </c>
      <c r="AO16" s="4861">
        <v>1540</v>
      </c>
      <c r="AP16" s="450">
        <v>8700</v>
      </c>
      <c r="AQ16" s="450">
        <v>8750</v>
      </c>
      <c r="AR16" s="451">
        <v>8800</v>
      </c>
      <c r="AS16" s="2389" t="s">
        <v>363</v>
      </c>
    </row>
    <row r="17" spans="1:45">
      <c r="A17" s="2378"/>
      <c r="B17" s="2379">
        <v>2040207</v>
      </c>
      <c r="C17" s="2379" t="s">
        <v>1857</v>
      </c>
      <c r="D17" s="2380">
        <v>0.04</v>
      </c>
      <c r="E17" s="2381" t="s">
        <v>364</v>
      </c>
      <c r="F17" s="2382">
        <f t="shared" si="7"/>
        <v>24.146000000000001</v>
      </c>
      <c r="G17" s="2383">
        <f t="shared" si="6"/>
        <v>1</v>
      </c>
      <c r="H17" s="2384">
        <f t="shared" si="6"/>
        <v>5</v>
      </c>
      <c r="I17" s="2385">
        <f t="shared" si="6"/>
        <v>71.411000000000001</v>
      </c>
      <c r="J17" s="2385">
        <f t="shared" si="6"/>
        <v>5</v>
      </c>
      <c r="K17" s="2385">
        <f t="shared" si="6"/>
        <v>5</v>
      </c>
      <c r="L17" s="2386">
        <f t="shared" si="6"/>
        <v>5</v>
      </c>
      <c r="M17" s="2387">
        <f t="shared" si="8"/>
        <v>91.411000000000001</v>
      </c>
      <c r="N17" s="1382">
        <v>24.146000000000001</v>
      </c>
      <c r="O17" s="1383">
        <v>1</v>
      </c>
      <c r="P17" s="1384">
        <v>5</v>
      </c>
      <c r="Q17" s="1385">
        <v>5</v>
      </c>
      <c r="R17" s="1385">
        <v>5</v>
      </c>
      <c r="S17" s="1385">
        <v>5</v>
      </c>
      <c r="T17" s="1385">
        <v>5</v>
      </c>
      <c r="U17" s="1382"/>
      <c r="V17" s="1383"/>
      <c r="W17" s="1384"/>
      <c r="X17" s="1385"/>
      <c r="Y17" s="1385"/>
      <c r="Z17" s="1385"/>
      <c r="AA17" s="1385"/>
      <c r="AB17" s="1382"/>
      <c r="AC17" s="1383"/>
      <c r="AD17" s="1384"/>
      <c r="AE17" s="1385">
        <v>66.411000000000001</v>
      </c>
      <c r="AF17" s="1385"/>
      <c r="AG17" s="1385"/>
      <c r="AH17" s="1386"/>
      <c r="AI17" s="1387" t="s">
        <v>1975</v>
      </c>
      <c r="AJ17" s="1389" t="s">
        <v>1980</v>
      </c>
      <c r="AK17" s="2388" t="s">
        <v>682</v>
      </c>
      <c r="AL17" s="1384">
        <v>24</v>
      </c>
      <c r="AM17" s="1383">
        <v>1</v>
      </c>
      <c r="AN17" s="452">
        <v>1</v>
      </c>
      <c r="AO17" s="450">
        <v>1</v>
      </c>
      <c r="AP17" s="450">
        <v>1</v>
      </c>
      <c r="AQ17" s="450">
        <v>1</v>
      </c>
      <c r="AR17" s="451">
        <v>1</v>
      </c>
      <c r="AS17" s="2389" t="s">
        <v>365</v>
      </c>
    </row>
    <row r="18" spans="1:45">
      <c r="A18" s="2378"/>
      <c r="B18" s="2379">
        <v>2040207</v>
      </c>
      <c r="C18" s="2379" t="s">
        <v>1858</v>
      </c>
      <c r="D18" s="2380">
        <v>0.04</v>
      </c>
      <c r="E18" s="2391" t="s">
        <v>666</v>
      </c>
      <c r="F18" s="2382">
        <f t="shared" si="7"/>
        <v>0.46300000000000002</v>
      </c>
      <c r="G18" s="2383">
        <f t="shared" si="6"/>
        <v>4</v>
      </c>
      <c r="H18" s="2384">
        <f t="shared" si="6"/>
        <v>4</v>
      </c>
      <c r="I18" s="2385">
        <f t="shared" si="6"/>
        <v>495.17</v>
      </c>
      <c r="J18" s="2385">
        <f t="shared" si="6"/>
        <v>4</v>
      </c>
      <c r="K18" s="2385">
        <f>S18+Z18+AG18</f>
        <v>4</v>
      </c>
      <c r="L18" s="2386">
        <f t="shared" si="6"/>
        <v>4</v>
      </c>
      <c r="M18" s="2387">
        <f t="shared" si="8"/>
        <v>511.17</v>
      </c>
      <c r="N18" s="1382">
        <v>0.46300000000000002</v>
      </c>
      <c r="O18" s="1383">
        <v>4</v>
      </c>
      <c r="P18" s="1384">
        <v>4</v>
      </c>
      <c r="Q18" s="1385">
        <v>4</v>
      </c>
      <c r="R18" s="1385">
        <v>4</v>
      </c>
      <c r="S18" s="1385">
        <v>4</v>
      </c>
      <c r="T18" s="1385">
        <v>4</v>
      </c>
      <c r="U18" s="1382"/>
      <c r="V18" s="1383"/>
      <c r="W18" s="1384"/>
      <c r="X18" s="1385"/>
      <c r="Y18" s="1385"/>
      <c r="Z18" s="1385"/>
      <c r="AA18" s="1385"/>
      <c r="AB18" s="1382"/>
      <c r="AC18" s="1383"/>
      <c r="AD18" s="1384"/>
      <c r="AE18" s="1385">
        <v>491.17</v>
      </c>
      <c r="AF18" s="1385"/>
      <c r="AG18" s="1385"/>
      <c r="AH18" s="1386"/>
      <c r="AI18" s="1387" t="s">
        <v>1981</v>
      </c>
      <c r="AJ18" s="1389" t="s">
        <v>1982</v>
      </c>
      <c r="AK18" s="2388" t="s">
        <v>682</v>
      </c>
      <c r="AL18" s="1384">
        <v>1</v>
      </c>
      <c r="AM18" s="1383">
        <v>4</v>
      </c>
      <c r="AN18" s="452">
        <v>1</v>
      </c>
      <c r="AO18" s="450">
        <v>1</v>
      </c>
      <c r="AP18" s="450">
        <v>3</v>
      </c>
      <c r="AQ18" s="1385">
        <v>5</v>
      </c>
      <c r="AR18" s="1383">
        <v>5</v>
      </c>
      <c r="AS18" s="2389" t="s">
        <v>365</v>
      </c>
    </row>
    <row r="19" spans="1:45">
      <c r="A19" s="2378"/>
      <c r="B19" s="2379">
        <v>2040207</v>
      </c>
      <c r="C19" s="2379" t="s">
        <v>1859</v>
      </c>
      <c r="D19" s="2380">
        <v>0.04</v>
      </c>
      <c r="E19" s="2391" t="s">
        <v>667</v>
      </c>
      <c r="F19" s="2382">
        <f t="shared" si="7"/>
        <v>1.5419999999999998</v>
      </c>
      <c r="G19" s="2383">
        <f t="shared" si="6"/>
        <v>0</v>
      </c>
      <c r="H19" s="2384">
        <f t="shared" si="6"/>
        <v>0</v>
      </c>
      <c r="I19" s="2385">
        <f t="shared" si="6"/>
        <v>0</v>
      </c>
      <c r="J19" s="2385">
        <f t="shared" si="6"/>
        <v>0</v>
      </c>
      <c r="K19" s="2385">
        <f t="shared" si="6"/>
        <v>0</v>
      </c>
      <c r="L19" s="2386">
        <f t="shared" si="6"/>
        <v>0</v>
      </c>
      <c r="M19" s="2387">
        <f t="shared" si="8"/>
        <v>0</v>
      </c>
      <c r="N19" s="1382">
        <v>1.5419999999999998</v>
      </c>
      <c r="O19" s="1383">
        <v>0</v>
      </c>
      <c r="P19" s="1384">
        <v>0</v>
      </c>
      <c r="Q19" s="1385">
        <v>0</v>
      </c>
      <c r="R19" s="1385">
        <v>0</v>
      </c>
      <c r="S19" s="1385">
        <v>0</v>
      </c>
      <c r="T19" s="1385">
        <v>0</v>
      </c>
      <c r="U19" s="1382"/>
      <c r="V19" s="1383"/>
      <c r="W19" s="1384"/>
      <c r="X19" s="1385"/>
      <c r="Y19" s="1385"/>
      <c r="Z19" s="1385"/>
      <c r="AA19" s="1385"/>
      <c r="AB19" s="1382"/>
      <c r="AC19" s="1383"/>
      <c r="AD19" s="1384"/>
      <c r="AE19" s="1385"/>
      <c r="AF19" s="1385"/>
      <c r="AG19" s="1385"/>
      <c r="AH19" s="1386"/>
      <c r="AI19" s="1387"/>
      <c r="AJ19" s="1389"/>
      <c r="AK19" s="2388" t="s">
        <v>682</v>
      </c>
      <c r="AL19" s="1384">
        <v>1</v>
      </c>
      <c r="AM19" s="1383">
        <v>0</v>
      </c>
      <c r="AN19" s="452">
        <v>1</v>
      </c>
      <c r="AO19" s="450">
        <v>1</v>
      </c>
      <c r="AP19" s="450">
        <v>1</v>
      </c>
      <c r="AQ19" s="1385">
        <v>1</v>
      </c>
      <c r="AR19" s="1383">
        <v>1</v>
      </c>
      <c r="AS19" s="2389" t="s">
        <v>365</v>
      </c>
    </row>
    <row r="20" spans="1:45">
      <c r="A20" s="2378"/>
      <c r="B20" s="2379">
        <v>2040207</v>
      </c>
      <c r="C20" s="2379" t="s">
        <v>1860</v>
      </c>
      <c r="D20" s="2380">
        <v>0.04</v>
      </c>
      <c r="E20" s="2391" t="s">
        <v>366</v>
      </c>
      <c r="F20" s="2382">
        <f t="shared" si="7"/>
        <v>29.259</v>
      </c>
      <c r="G20" s="2383">
        <f t="shared" si="6"/>
        <v>21</v>
      </c>
      <c r="H20" s="2384">
        <f t="shared" si="6"/>
        <v>10</v>
      </c>
      <c r="I20" s="2385">
        <f t="shared" si="6"/>
        <v>10</v>
      </c>
      <c r="J20" s="2385">
        <f t="shared" si="6"/>
        <v>10</v>
      </c>
      <c r="K20" s="2385">
        <f t="shared" si="6"/>
        <v>10</v>
      </c>
      <c r="L20" s="2386">
        <f t="shared" si="6"/>
        <v>10</v>
      </c>
      <c r="M20" s="2387">
        <f t="shared" si="8"/>
        <v>50</v>
      </c>
      <c r="N20" s="1382">
        <v>29.259</v>
      </c>
      <c r="O20" s="1383">
        <v>21</v>
      </c>
      <c r="P20" s="1384">
        <v>10</v>
      </c>
      <c r="Q20" s="1385">
        <v>10</v>
      </c>
      <c r="R20" s="1385">
        <v>10</v>
      </c>
      <c r="S20" s="1385">
        <v>10</v>
      </c>
      <c r="T20" s="1385">
        <v>10</v>
      </c>
      <c r="U20" s="1382"/>
      <c r="V20" s="1383"/>
      <c r="W20" s="1384"/>
      <c r="X20" s="1385"/>
      <c r="Y20" s="1385"/>
      <c r="Z20" s="1385"/>
      <c r="AA20" s="1385"/>
      <c r="AB20" s="1382"/>
      <c r="AC20" s="1383"/>
      <c r="AD20" s="1384"/>
      <c r="AE20" s="1385"/>
      <c r="AF20" s="1385"/>
      <c r="AG20" s="1385"/>
      <c r="AH20" s="1386"/>
      <c r="AI20" s="1387" t="s">
        <v>1975</v>
      </c>
      <c r="AJ20" s="1388" t="s">
        <v>1983</v>
      </c>
      <c r="AK20" s="2388" t="s">
        <v>682</v>
      </c>
      <c r="AL20" s="1384">
        <v>14</v>
      </c>
      <c r="AM20" s="1383">
        <v>14</v>
      </c>
      <c r="AN20" s="452">
        <v>6</v>
      </c>
      <c r="AO20" s="450">
        <v>8</v>
      </c>
      <c r="AP20" s="450">
        <v>12</v>
      </c>
      <c r="AQ20" s="1385">
        <v>12</v>
      </c>
      <c r="AR20" s="1383">
        <v>12</v>
      </c>
      <c r="AS20" s="2389" t="s">
        <v>365</v>
      </c>
    </row>
    <row r="21" spans="1:45">
      <c r="A21" s="2378"/>
      <c r="B21" s="2379">
        <v>2030401</v>
      </c>
      <c r="C21" s="2379" t="s">
        <v>1861</v>
      </c>
      <c r="D21" s="2392">
        <v>0.1</v>
      </c>
      <c r="E21" s="2391" t="s">
        <v>367</v>
      </c>
      <c r="F21" s="2382">
        <f t="shared" si="7"/>
        <v>0</v>
      </c>
      <c r="G21" s="2383">
        <f t="shared" si="6"/>
        <v>0</v>
      </c>
      <c r="H21" s="2384">
        <f t="shared" si="6"/>
        <v>0</v>
      </c>
      <c r="I21" s="2385">
        <f t="shared" si="6"/>
        <v>0</v>
      </c>
      <c r="J21" s="2385">
        <f t="shared" si="6"/>
        <v>0</v>
      </c>
      <c r="K21" s="2385">
        <f t="shared" si="6"/>
        <v>0</v>
      </c>
      <c r="L21" s="2386">
        <f t="shared" si="6"/>
        <v>0</v>
      </c>
      <c r="M21" s="2387">
        <f t="shared" si="8"/>
        <v>0</v>
      </c>
      <c r="N21" s="1382">
        <v>0</v>
      </c>
      <c r="O21" s="1383">
        <v>0</v>
      </c>
      <c r="P21" s="1384">
        <v>0</v>
      </c>
      <c r="Q21" s="1385">
        <v>0</v>
      </c>
      <c r="R21" s="1385">
        <v>0</v>
      </c>
      <c r="S21" s="1385">
        <v>0</v>
      </c>
      <c r="T21" s="1385">
        <v>0</v>
      </c>
      <c r="U21" s="1382"/>
      <c r="V21" s="1383"/>
      <c r="W21" s="1384"/>
      <c r="X21" s="1385"/>
      <c r="Y21" s="1385"/>
      <c r="Z21" s="1385"/>
      <c r="AA21" s="1385"/>
      <c r="AB21" s="1382"/>
      <c r="AC21" s="1383"/>
      <c r="AD21" s="1384"/>
      <c r="AE21" s="1385"/>
      <c r="AF21" s="1385"/>
      <c r="AG21" s="1385"/>
      <c r="AH21" s="1386"/>
      <c r="AI21" s="1387"/>
      <c r="AJ21" s="1389"/>
      <c r="AK21" s="2388" t="s">
        <v>682</v>
      </c>
      <c r="AL21" s="1384">
        <v>0</v>
      </c>
      <c r="AM21" s="1383">
        <v>0</v>
      </c>
      <c r="AN21" s="452">
        <v>0</v>
      </c>
      <c r="AO21" s="450">
        <v>0</v>
      </c>
      <c r="AP21" s="450">
        <v>0</v>
      </c>
      <c r="AQ21" s="1385">
        <v>0</v>
      </c>
      <c r="AR21" s="1383">
        <v>0</v>
      </c>
      <c r="AS21" s="2389" t="s">
        <v>365</v>
      </c>
    </row>
    <row r="22" spans="1:45" ht="24">
      <c r="A22" s="2378"/>
      <c r="B22" s="2379">
        <v>2040205</v>
      </c>
      <c r="C22" s="2379" t="s">
        <v>1862</v>
      </c>
      <c r="D22" s="2380">
        <v>0.02</v>
      </c>
      <c r="E22" s="4852" t="s">
        <v>368</v>
      </c>
      <c r="F22" s="2382">
        <f t="shared" si="7"/>
        <v>142.45699999999999</v>
      </c>
      <c r="G22" s="2383">
        <f t="shared" si="6"/>
        <v>192</v>
      </c>
      <c r="H22" s="2384">
        <f t="shared" si="6"/>
        <v>1123.7080000000001</v>
      </c>
      <c r="I22" s="2385">
        <f t="shared" si="6"/>
        <v>1115.9950000000001</v>
      </c>
      <c r="J22" s="2385">
        <f t="shared" si="6"/>
        <v>126.5</v>
      </c>
      <c r="K22" s="2385">
        <f t="shared" si="6"/>
        <v>127</v>
      </c>
      <c r="L22" s="2386">
        <f t="shared" si="6"/>
        <v>127</v>
      </c>
      <c r="M22" s="2387">
        <f t="shared" si="8"/>
        <v>2620.2030000000004</v>
      </c>
      <c r="N22" s="1382">
        <f>131.634</f>
        <v>131.63399999999999</v>
      </c>
      <c r="O22" s="1383">
        <f>192-38.23</f>
        <v>153.77000000000001</v>
      </c>
      <c r="P22" s="1384">
        <v>113</v>
      </c>
      <c r="Q22" s="1385">
        <v>118.703</v>
      </c>
      <c r="R22" s="1385">
        <v>126.5</v>
      </c>
      <c r="S22" s="1385">
        <v>127</v>
      </c>
      <c r="T22" s="1385">
        <v>127</v>
      </c>
      <c r="U22" s="1382"/>
      <c r="V22" s="1383"/>
      <c r="W22" s="1384"/>
      <c r="X22" s="1385"/>
      <c r="Y22" s="1385"/>
      <c r="Z22" s="1385"/>
      <c r="AA22" s="1385"/>
      <c r="AB22" s="1382">
        <v>10.823</v>
      </c>
      <c r="AC22" s="1383">
        <v>38.229999999999997</v>
      </c>
      <c r="AD22" s="1384">
        <v>1010.708</v>
      </c>
      <c r="AE22" s="1385">
        <f>1012.292-15</f>
        <v>997.29200000000003</v>
      </c>
      <c r="AF22" s="1385"/>
      <c r="AG22" s="1385"/>
      <c r="AH22" s="1386"/>
      <c r="AI22" s="1387" t="s">
        <v>1984</v>
      </c>
      <c r="AJ22" s="1389" t="s">
        <v>1985</v>
      </c>
      <c r="AK22" s="2388" t="s">
        <v>684</v>
      </c>
      <c r="AL22" s="1384">
        <v>6256</v>
      </c>
      <c r="AM22" s="1383">
        <v>8</v>
      </c>
      <c r="AN22" s="4860">
        <v>12129.5</v>
      </c>
      <c r="AO22" s="4861">
        <v>12310</v>
      </c>
      <c r="AP22" s="450">
        <v>5500</v>
      </c>
      <c r="AQ22" s="1385">
        <v>6200</v>
      </c>
      <c r="AR22" s="1383">
        <v>7780</v>
      </c>
      <c r="AS22" s="2389" t="s">
        <v>369</v>
      </c>
    </row>
    <row r="23" spans="1:45">
      <c r="A23" s="2378"/>
      <c r="B23" s="2379">
        <v>2040205</v>
      </c>
      <c r="C23" s="2379" t="s">
        <v>1863</v>
      </c>
      <c r="D23" s="2380">
        <v>0.02</v>
      </c>
      <c r="E23" s="4852" t="s">
        <v>370</v>
      </c>
      <c r="F23" s="2382">
        <f t="shared" si="7"/>
        <v>137.27799999999999</v>
      </c>
      <c r="G23" s="2383">
        <f t="shared" si="6"/>
        <v>171</v>
      </c>
      <c r="H23" s="2384">
        <f t="shared" si="6"/>
        <v>167.09899999999999</v>
      </c>
      <c r="I23" s="2385">
        <f t="shared" si="6"/>
        <v>172.09899999999999</v>
      </c>
      <c r="J23" s="2385">
        <f t="shared" si="6"/>
        <v>150</v>
      </c>
      <c r="K23" s="2385">
        <f t="shared" si="6"/>
        <v>0</v>
      </c>
      <c r="L23" s="2386">
        <f t="shared" si="6"/>
        <v>0</v>
      </c>
      <c r="M23" s="2387">
        <f t="shared" si="8"/>
        <v>489.19799999999998</v>
      </c>
      <c r="N23" s="1382">
        <v>137.27799999999999</v>
      </c>
      <c r="O23" s="1383">
        <v>171</v>
      </c>
      <c r="P23" s="1384">
        <v>140</v>
      </c>
      <c r="Q23" s="1385">
        <v>145</v>
      </c>
      <c r="R23" s="1385">
        <v>150</v>
      </c>
      <c r="S23" s="1385"/>
      <c r="T23" s="1385"/>
      <c r="U23" s="1382"/>
      <c r="V23" s="1383"/>
      <c r="W23" s="1384"/>
      <c r="X23" s="1385"/>
      <c r="Y23" s="1385"/>
      <c r="Z23" s="1385"/>
      <c r="AA23" s="1385"/>
      <c r="AB23" s="1382"/>
      <c r="AC23" s="1383"/>
      <c r="AD23" s="1384">
        <v>27.099</v>
      </c>
      <c r="AE23" s="1385">
        <v>27.099</v>
      </c>
      <c r="AF23" s="1385"/>
      <c r="AG23" s="1385"/>
      <c r="AH23" s="1386"/>
      <c r="AI23" s="1387"/>
      <c r="AJ23" s="1389"/>
      <c r="AK23" s="2388" t="s">
        <v>682</v>
      </c>
      <c r="AL23" s="1384">
        <v>323</v>
      </c>
      <c r="AM23" s="1383">
        <v>391</v>
      </c>
      <c r="AN23" s="452">
        <v>340</v>
      </c>
      <c r="AO23" s="450">
        <v>400</v>
      </c>
      <c r="AP23" s="450">
        <v>560</v>
      </c>
      <c r="AQ23" s="1385"/>
      <c r="AR23" s="1383"/>
      <c r="AS23" s="2389" t="s">
        <v>371</v>
      </c>
    </row>
    <row r="24" spans="1:45" ht="36">
      <c r="A24" s="2378"/>
      <c r="B24" s="2379">
        <v>2030502</v>
      </c>
      <c r="C24" s="2379" t="s">
        <v>1864</v>
      </c>
      <c r="D24" s="2380">
        <v>0.1</v>
      </c>
      <c r="E24" s="2381" t="s">
        <v>372</v>
      </c>
      <c r="F24" s="2382">
        <f t="shared" si="7"/>
        <v>96.677999999999997</v>
      </c>
      <c r="G24" s="2383">
        <f t="shared" si="6"/>
        <v>62</v>
      </c>
      <c r="H24" s="2384">
        <f t="shared" si="6"/>
        <v>40</v>
      </c>
      <c r="I24" s="2385">
        <f t="shared" si="6"/>
        <v>40</v>
      </c>
      <c r="J24" s="2385">
        <f t="shared" si="6"/>
        <v>40</v>
      </c>
      <c r="K24" s="2385">
        <f t="shared" si="6"/>
        <v>40</v>
      </c>
      <c r="L24" s="2386">
        <f t="shared" si="6"/>
        <v>40</v>
      </c>
      <c r="M24" s="2387">
        <f t="shared" si="8"/>
        <v>200</v>
      </c>
      <c r="N24" s="1382">
        <v>96.677999999999997</v>
      </c>
      <c r="O24" s="1383">
        <v>62</v>
      </c>
      <c r="P24" s="1384">
        <v>40</v>
      </c>
      <c r="Q24" s="1385">
        <v>40</v>
      </c>
      <c r="R24" s="1385">
        <v>40</v>
      </c>
      <c r="S24" s="1385">
        <v>40</v>
      </c>
      <c r="T24" s="1385">
        <v>40</v>
      </c>
      <c r="U24" s="1382"/>
      <c r="V24" s="1383"/>
      <c r="W24" s="1384"/>
      <c r="X24" s="1385"/>
      <c r="Y24" s="1385"/>
      <c r="Z24" s="1385"/>
      <c r="AA24" s="1385"/>
      <c r="AB24" s="1382"/>
      <c r="AC24" s="1383"/>
      <c r="AD24" s="1384"/>
      <c r="AE24" s="1385"/>
      <c r="AF24" s="1385"/>
      <c r="AG24" s="1385"/>
      <c r="AH24" s="1386"/>
      <c r="AI24" s="1387" t="s">
        <v>1977</v>
      </c>
      <c r="AJ24" s="1388" t="s">
        <v>1986</v>
      </c>
      <c r="AK24" s="2388" t="s">
        <v>682</v>
      </c>
      <c r="AL24" s="1384">
        <v>93</v>
      </c>
      <c r="AM24" s="1383">
        <v>102</v>
      </c>
      <c r="AN24" s="452">
        <v>95</v>
      </c>
      <c r="AO24" s="450">
        <v>95</v>
      </c>
      <c r="AP24" s="450">
        <v>95</v>
      </c>
      <c r="AQ24" s="1385">
        <v>95</v>
      </c>
      <c r="AR24" s="1383">
        <v>95</v>
      </c>
      <c r="AS24" s="2393" t="s">
        <v>1038</v>
      </c>
    </row>
    <row r="25" spans="1:45" ht="24">
      <c r="A25" s="2378"/>
      <c r="B25" s="2379">
        <v>2030501</v>
      </c>
      <c r="C25" s="2379" t="s">
        <v>1865</v>
      </c>
      <c r="D25" s="2392">
        <v>0.1</v>
      </c>
      <c r="E25" s="2391" t="s">
        <v>658</v>
      </c>
      <c r="F25" s="2382">
        <f t="shared" si="7"/>
        <v>1.526</v>
      </c>
      <c r="G25" s="2383">
        <f t="shared" si="6"/>
        <v>4</v>
      </c>
      <c r="H25" s="2384">
        <f t="shared" si="6"/>
        <v>5</v>
      </c>
      <c r="I25" s="2385">
        <f t="shared" si="6"/>
        <v>5</v>
      </c>
      <c r="J25" s="2385">
        <f t="shared" si="6"/>
        <v>5</v>
      </c>
      <c r="K25" s="2385">
        <f t="shared" si="6"/>
        <v>5</v>
      </c>
      <c r="L25" s="2386">
        <f t="shared" si="6"/>
        <v>5</v>
      </c>
      <c r="M25" s="2387">
        <f t="shared" si="8"/>
        <v>25</v>
      </c>
      <c r="N25" s="1382">
        <v>1.526</v>
      </c>
      <c r="O25" s="1383">
        <v>4</v>
      </c>
      <c r="P25" s="1384">
        <v>5</v>
      </c>
      <c r="Q25" s="1385">
        <v>5</v>
      </c>
      <c r="R25" s="1385">
        <v>5</v>
      </c>
      <c r="S25" s="1385">
        <v>5</v>
      </c>
      <c r="T25" s="1385">
        <v>5</v>
      </c>
      <c r="U25" s="1382"/>
      <c r="V25" s="1383"/>
      <c r="W25" s="1384"/>
      <c r="X25" s="1385"/>
      <c r="Y25" s="1385"/>
      <c r="Z25" s="1385"/>
      <c r="AA25" s="1385"/>
      <c r="AB25" s="1382"/>
      <c r="AC25" s="1383"/>
      <c r="AD25" s="1384"/>
      <c r="AE25" s="1385"/>
      <c r="AF25" s="1385"/>
      <c r="AG25" s="1385"/>
      <c r="AH25" s="1386"/>
      <c r="AI25" s="1387" t="s">
        <v>1984</v>
      </c>
      <c r="AJ25" s="1388" t="s">
        <v>1987</v>
      </c>
      <c r="AK25" s="2388" t="s">
        <v>682</v>
      </c>
      <c r="AL25" s="1384">
        <v>3</v>
      </c>
      <c r="AM25" s="1383">
        <v>3</v>
      </c>
      <c r="AN25" s="1384">
        <v>2</v>
      </c>
      <c r="AO25" s="1385">
        <v>5</v>
      </c>
      <c r="AP25" s="1385">
        <v>15</v>
      </c>
      <c r="AQ25" s="1385">
        <v>20</v>
      </c>
      <c r="AR25" s="1383">
        <v>20</v>
      </c>
      <c r="AS25" s="2394" t="s">
        <v>716</v>
      </c>
    </row>
    <row r="26" spans="1:45" ht="24">
      <c r="A26" s="2378"/>
      <c r="B26" s="2379">
        <v>2030501</v>
      </c>
      <c r="C26" s="2379" t="s">
        <v>1866</v>
      </c>
      <c r="D26" s="2392">
        <v>0.1</v>
      </c>
      <c r="E26" s="2381" t="s">
        <v>659</v>
      </c>
      <c r="F26" s="2382">
        <f t="shared" si="7"/>
        <v>1.6439999999999999</v>
      </c>
      <c r="G26" s="2383">
        <f t="shared" si="6"/>
        <v>5</v>
      </c>
      <c r="H26" s="2384">
        <f t="shared" si="6"/>
        <v>5</v>
      </c>
      <c r="I26" s="2385">
        <f t="shared" si="6"/>
        <v>5</v>
      </c>
      <c r="J26" s="2385">
        <f t="shared" si="6"/>
        <v>5</v>
      </c>
      <c r="K26" s="2385">
        <f t="shared" si="6"/>
        <v>5</v>
      </c>
      <c r="L26" s="2386">
        <f t="shared" si="6"/>
        <v>5</v>
      </c>
      <c r="M26" s="2387">
        <f t="shared" si="8"/>
        <v>25</v>
      </c>
      <c r="N26" s="1382">
        <v>1.6439999999999999</v>
      </c>
      <c r="O26" s="1383">
        <v>5</v>
      </c>
      <c r="P26" s="1384">
        <v>5</v>
      </c>
      <c r="Q26" s="1385">
        <v>5</v>
      </c>
      <c r="R26" s="1385">
        <v>5</v>
      </c>
      <c r="S26" s="1385">
        <v>5</v>
      </c>
      <c r="T26" s="1385">
        <v>5</v>
      </c>
      <c r="U26" s="1382"/>
      <c r="V26" s="1383"/>
      <c r="W26" s="1384"/>
      <c r="X26" s="1385"/>
      <c r="Y26" s="1385"/>
      <c r="Z26" s="1385"/>
      <c r="AA26" s="1385"/>
      <c r="AB26" s="1382"/>
      <c r="AC26" s="1383"/>
      <c r="AD26" s="1384"/>
      <c r="AE26" s="1385"/>
      <c r="AF26" s="1385"/>
      <c r="AG26" s="1385"/>
      <c r="AH26" s="1386"/>
      <c r="AI26" s="1387" t="s">
        <v>1984</v>
      </c>
      <c r="AJ26" s="1388" t="s">
        <v>1988</v>
      </c>
      <c r="AK26" s="2388" t="s">
        <v>682</v>
      </c>
      <c r="AL26" s="1384">
        <v>1</v>
      </c>
      <c r="AM26" s="1383">
        <v>3</v>
      </c>
      <c r="AN26" s="4860">
        <v>3</v>
      </c>
      <c r="AO26" s="4861">
        <v>6</v>
      </c>
      <c r="AP26" s="4861">
        <v>10</v>
      </c>
      <c r="AQ26" s="4861">
        <v>15</v>
      </c>
      <c r="AR26" s="4862">
        <v>18</v>
      </c>
      <c r="AS26" s="2394" t="s">
        <v>660</v>
      </c>
    </row>
    <row r="27" spans="1:45">
      <c r="A27" s="2378"/>
      <c r="B27" s="2379">
        <v>2030502</v>
      </c>
      <c r="C27" s="2379" t="s">
        <v>1867</v>
      </c>
      <c r="D27" s="2392">
        <v>0.1</v>
      </c>
      <c r="E27" s="2391" t="s">
        <v>373</v>
      </c>
      <c r="F27" s="2382">
        <f t="shared" si="7"/>
        <v>5.1109999999999998</v>
      </c>
      <c r="G27" s="2383">
        <f t="shared" si="6"/>
        <v>3</v>
      </c>
      <c r="H27" s="2384">
        <f t="shared" si="6"/>
        <v>3</v>
      </c>
      <c r="I27" s="2385">
        <f t="shared" si="6"/>
        <v>3</v>
      </c>
      <c r="J27" s="2385">
        <f t="shared" si="6"/>
        <v>3</v>
      </c>
      <c r="K27" s="2385">
        <f t="shared" si="6"/>
        <v>3</v>
      </c>
      <c r="L27" s="2386">
        <f t="shared" si="6"/>
        <v>3</v>
      </c>
      <c r="M27" s="2387">
        <f t="shared" si="8"/>
        <v>15</v>
      </c>
      <c r="N27" s="1382">
        <v>5.1109999999999998</v>
      </c>
      <c r="O27" s="1383">
        <v>3</v>
      </c>
      <c r="P27" s="1384">
        <v>3</v>
      </c>
      <c r="Q27" s="1385">
        <v>3</v>
      </c>
      <c r="R27" s="1385">
        <v>3</v>
      </c>
      <c r="S27" s="1385">
        <v>3</v>
      </c>
      <c r="T27" s="1385">
        <v>3</v>
      </c>
      <c r="U27" s="1382"/>
      <c r="V27" s="1383"/>
      <c r="W27" s="1384"/>
      <c r="X27" s="1385"/>
      <c r="Y27" s="1385"/>
      <c r="Z27" s="1385"/>
      <c r="AA27" s="1385"/>
      <c r="AB27" s="1382"/>
      <c r="AC27" s="1383"/>
      <c r="AD27" s="1384"/>
      <c r="AE27" s="1385"/>
      <c r="AF27" s="1385"/>
      <c r="AG27" s="1385"/>
      <c r="AH27" s="1386"/>
      <c r="AI27" s="1387" t="s">
        <v>1984</v>
      </c>
      <c r="AJ27" s="1389" t="s">
        <v>1989</v>
      </c>
      <c r="AK27" s="2388" t="s">
        <v>682</v>
      </c>
      <c r="AL27" s="1384">
        <v>2</v>
      </c>
      <c r="AM27" s="1383">
        <v>2</v>
      </c>
      <c r="AN27" s="1384">
        <v>5</v>
      </c>
      <c r="AO27" s="1385">
        <v>5</v>
      </c>
      <c r="AP27" s="1385">
        <v>5</v>
      </c>
      <c r="AQ27" s="1385">
        <v>5</v>
      </c>
      <c r="AR27" s="1383">
        <v>5</v>
      </c>
      <c r="AS27" s="2394" t="s">
        <v>715</v>
      </c>
    </row>
    <row r="28" spans="1:45" ht="24">
      <c r="A28" s="2378"/>
      <c r="B28" s="2379">
        <v>215</v>
      </c>
      <c r="C28" s="2379" t="s">
        <v>1868</v>
      </c>
      <c r="D28" s="2390">
        <v>0.2</v>
      </c>
      <c r="E28" s="2381" t="s">
        <v>374</v>
      </c>
      <c r="F28" s="2382">
        <f t="shared" si="7"/>
        <v>0</v>
      </c>
      <c r="G28" s="2383">
        <f t="shared" si="7"/>
        <v>0</v>
      </c>
      <c r="H28" s="2384">
        <f t="shared" si="7"/>
        <v>0</v>
      </c>
      <c r="I28" s="2385">
        <f t="shared" si="7"/>
        <v>0</v>
      </c>
      <c r="J28" s="2385">
        <f t="shared" si="7"/>
        <v>0</v>
      </c>
      <c r="K28" s="2385">
        <f t="shared" si="7"/>
        <v>0</v>
      </c>
      <c r="L28" s="2386">
        <f t="shared" si="7"/>
        <v>0</v>
      </c>
      <c r="M28" s="2387">
        <f t="shared" si="8"/>
        <v>0</v>
      </c>
      <c r="N28" s="1382">
        <v>0</v>
      </c>
      <c r="O28" s="1383">
        <v>0</v>
      </c>
      <c r="P28" s="1384">
        <v>0</v>
      </c>
      <c r="Q28" s="1385">
        <v>0</v>
      </c>
      <c r="R28" s="1385">
        <v>0</v>
      </c>
      <c r="S28" s="1385">
        <v>0</v>
      </c>
      <c r="T28" s="1385">
        <v>0</v>
      </c>
      <c r="U28" s="1382"/>
      <c r="V28" s="1383"/>
      <c r="W28" s="1384"/>
      <c r="X28" s="1385"/>
      <c r="Y28" s="1385"/>
      <c r="Z28" s="1385"/>
      <c r="AA28" s="1385"/>
      <c r="AB28" s="1382"/>
      <c r="AC28" s="1383"/>
      <c r="AD28" s="1384"/>
      <c r="AE28" s="1385"/>
      <c r="AF28" s="1385"/>
      <c r="AG28" s="1385"/>
      <c r="AH28" s="1386"/>
      <c r="AI28" s="1387" t="s">
        <v>1984</v>
      </c>
      <c r="AJ28" s="1389" t="s">
        <v>1990</v>
      </c>
      <c r="AK28" s="2395" t="s">
        <v>318</v>
      </c>
      <c r="AL28" s="1384"/>
      <c r="AM28" s="1383">
        <v>0</v>
      </c>
      <c r="AN28" s="1384">
        <v>2</v>
      </c>
      <c r="AO28" s="1385">
        <v>2</v>
      </c>
      <c r="AP28" s="1385">
        <v>2</v>
      </c>
      <c r="AQ28" s="1385">
        <v>2</v>
      </c>
      <c r="AR28" s="1383">
        <v>2</v>
      </c>
      <c r="AS28" s="2389" t="s">
        <v>375</v>
      </c>
    </row>
    <row r="29" spans="1:45">
      <c r="A29" s="2378"/>
      <c r="B29" s="2379">
        <v>2030503</v>
      </c>
      <c r="C29" s="2379" t="s">
        <v>1869</v>
      </c>
      <c r="D29" s="2380">
        <v>0.1</v>
      </c>
      <c r="E29" s="2381" t="s">
        <v>670</v>
      </c>
      <c r="F29" s="2382">
        <f t="shared" si="7"/>
        <v>15.878</v>
      </c>
      <c r="G29" s="2383">
        <f t="shared" si="7"/>
        <v>12</v>
      </c>
      <c r="H29" s="2384">
        <f t="shared" si="7"/>
        <v>0</v>
      </c>
      <c r="I29" s="2385">
        <f t="shared" si="7"/>
        <v>5</v>
      </c>
      <c r="J29" s="2385">
        <f t="shared" si="7"/>
        <v>5</v>
      </c>
      <c r="K29" s="2385">
        <f t="shared" si="7"/>
        <v>5</v>
      </c>
      <c r="L29" s="2386">
        <f t="shared" si="7"/>
        <v>5</v>
      </c>
      <c r="M29" s="2387">
        <f t="shared" si="8"/>
        <v>20</v>
      </c>
      <c r="N29" s="1382">
        <v>15.878</v>
      </c>
      <c r="O29" s="1383">
        <v>12</v>
      </c>
      <c r="P29" s="1384">
        <v>0</v>
      </c>
      <c r="Q29" s="1385">
        <v>5</v>
      </c>
      <c r="R29" s="1385">
        <v>5</v>
      </c>
      <c r="S29" s="1385">
        <v>5</v>
      </c>
      <c r="T29" s="1385">
        <v>5</v>
      </c>
      <c r="U29" s="1382"/>
      <c r="V29" s="1383"/>
      <c r="W29" s="1384"/>
      <c r="X29" s="1385"/>
      <c r="Y29" s="1385"/>
      <c r="Z29" s="1385"/>
      <c r="AA29" s="1385"/>
      <c r="AB29" s="1382"/>
      <c r="AC29" s="1383"/>
      <c r="AD29" s="1384"/>
      <c r="AE29" s="1385"/>
      <c r="AF29" s="1385"/>
      <c r="AG29" s="1385"/>
      <c r="AH29" s="1386"/>
      <c r="AI29" s="1387" t="s">
        <v>1984</v>
      </c>
      <c r="AJ29" s="1388" t="s">
        <v>1991</v>
      </c>
      <c r="AK29" s="2388" t="s">
        <v>682</v>
      </c>
      <c r="AL29" s="1384">
        <v>10</v>
      </c>
      <c r="AM29" s="1383">
        <v>7</v>
      </c>
      <c r="AN29" s="1384">
        <v>5</v>
      </c>
      <c r="AO29" s="1385">
        <v>5</v>
      </c>
      <c r="AP29" s="1385">
        <v>5</v>
      </c>
      <c r="AQ29" s="1385">
        <v>5</v>
      </c>
      <c r="AR29" s="1383">
        <v>5</v>
      </c>
      <c r="AS29" s="2389" t="s">
        <v>376</v>
      </c>
    </row>
    <row r="30" spans="1:45">
      <c r="A30" s="2396"/>
      <c r="B30" s="2379">
        <v>20302</v>
      </c>
      <c r="C30" s="2379" t="s">
        <v>1870</v>
      </c>
      <c r="D30" s="2380">
        <v>0.1</v>
      </c>
      <c r="E30" s="2381" t="s">
        <v>377</v>
      </c>
      <c r="F30" s="2382">
        <f t="shared" si="7"/>
        <v>0</v>
      </c>
      <c r="G30" s="2383">
        <f t="shared" si="7"/>
        <v>0</v>
      </c>
      <c r="H30" s="2384">
        <f t="shared" si="7"/>
        <v>6</v>
      </c>
      <c r="I30" s="2385">
        <f t="shared" si="7"/>
        <v>6</v>
      </c>
      <c r="J30" s="2385">
        <f t="shared" si="7"/>
        <v>7</v>
      </c>
      <c r="K30" s="2385">
        <f t="shared" si="7"/>
        <v>7</v>
      </c>
      <c r="L30" s="2386">
        <f t="shared" si="7"/>
        <v>7</v>
      </c>
      <c r="M30" s="2387">
        <f t="shared" si="8"/>
        <v>33</v>
      </c>
      <c r="N30" s="1382">
        <v>0</v>
      </c>
      <c r="O30" s="1383">
        <v>0</v>
      </c>
      <c r="P30" s="1384">
        <v>6</v>
      </c>
      <c r="Q30" s="1385">
        <v>6</v>
      </c>
      <c r="R30" s="1385">
        <v>7</v>
      </c>
      <c r="S30" s="1385">
        <v>7</v>
      </c>
      <c r="T30" s="1385">
        <v>7</v>
      </c>
      <c r="U30" s="1382"/>
      <c r="V30" s="1383"/>
      <c r="W30" s="1384"/>
      <c r="X30" s="1385"/>
      <c r="Y30" s="1385"/>
      <c r="Z30" s="1385"/>
      <c r="AA30" s="1385"/>
      <c r="AB30" s="1382"/>
      <c r="AC30" s="1383"/>
      <c r="AD30" s="1384"/>
      <c r="AE30" s="1385"/>
      <c r="AF30" s="1385"/>
      <c r="AG30" s="1385"/>
      <c r="AH30" s="1386"/>
      <c r="AI30" s="1387" t="s">
        <v>1984</v>
      </c>
      <c r="AJ30" s="1388" t="s">
        <v>1992</v>
      </c>
      <c r="AK30" s="2388" t="s">
        <v>682</v>
      </c>
      <c r="AL30" s="1384">
        <v>0</v>
      </c>
      <c r="AM30" s="1383">
        <v>0</v>
      </c>
      <c r="AN30" s="1384">
        <v>1</v>
      </c>
      <c r="AO30" s="1385">
        <v>1</v>
      </c>
      <c r="AP30" s="1385">
        <v>1</v>
      </c>
      <c r="AQ30" s="1385">
        <v>1</v>
      </c>
      <c r="AR30" s="1383">
        <v>1</v>
      </c>
      <c r="AS30" s="2389" t="s">
        <v>378</v>
      </c>
    </row>
    <row r="31" spans="1:45" ht="24">
      <c r="A31" s="2396"/>
      <c r="B31" s="2379">
        <v>20502</v>
      </c>
      <c r="C31" s="2379" t="s">
        <v>1871</v>
      </c>
      <c r="D31" s="2380">
        <v>0.1</v>
      </c>
      <c r="E31" s="2381" t="s">
        <v>379</v>
      </c>
      <c r="F31" s="2382">
        <f t="shared" si="7"/>
        <v>11.71</v>
      </c>
      <c r="G31" s="2383">
        <f t="shared" si="7"/>
        <v>5</v>
      </c>
      <c r="H31" s="2384">
        <f t="shared" si="7"/>
        <v>20</v>
      </c>
      <c r="I31" s="2385">
        <f t="shared" si="7"/>
        <v>16</v>
      </c>
      <c r="J31" s="2385">
        <f t="shared" si="7"/>
        <v>24</v>
      </c>
      <c r="K31" s="2385">
        <f t="shared" si="7"/>
        <v>28</v>
      </c>
      <c r="L31" s="2386">
        <f t="shared" si="7"/>
        <v>28.5</v>
      </c>
      <c r="M31" s="2387">
        <f t="shared" si="8"/>
        <v>116.5</v>
      </c>
      <c r="N31" s="1382">
        <v>11.71</v>
      </c>
      <c r="O31" s="1383">
        <v>5</v>
      </c>
      <c r="P31" s="1384">
        <v>20</v>
      </c>
      <c r="Q31" s="1385">
        <v>16</v>
      </c>
      <c r="R31" s="1385">
        <v>24</v>
      </c>
      <c r="S31" s="1385">
        <v>28</v>
      </c>
      <c r="T31" s="1385">
        <v>28.5</v>
      </c>
      <c r="U31" s="1382"/>
      <c r="V31" s="1383"/>
      <c r="W31" s="1384"/>
      <c r="X31" s="1385"/>
      <c r="Y31" s="1385"/>
      <c r="Z31" s="1385"/>
      <c r="AA31" s="1385"/>
      <c r="AB31" s="1382"/>
      <c r="AC31" s="1383"/>
      <c r="AD31" s="1384"/>
      <c r="AE31" s="1385"/>
      <c r="AF31" s="1385"/>
      <c r="AG31" s="1385"/>
      <c r="AH31" s="1386"/>
      <c r="AI31" s="1387" t="s">
        <v>1984</v>
      </c>
      <c r="AJ31" s="1389" t="s">
        <v>1993</v>
      </c>
      <c r="AK31" s="2388" t="s">
        <v>682</v>
      </c>
      <c r="AL31" s="1384">
        <v>4</v>
      </c>
      <c r="AM31" s="1383">
        <v>1</v>
      </c>
      <c r="AN31" s="1384">
        <v>0</v>
      </c>
      <c r="AO31" s="1385">
        <v>3</v>
      </c>
      <c r="AP31" s="1385">
        <v>3</v>
      </c>
      <c r="AQ31" s="1385">
        <v>3</v>
      </c>
      <c r="AR31" s="1383">
        <v>3</v>
      </c>
      <c r="AS31" s="2389" t="s">
        <v>380</v>
      </c>
    </row>
    <row r="32" spans="1:45" ht="24">
      <c r="A32" s="2396"/>
      <c r="B32" s="2379">
        <v>20501</v>
      </c>
      <c r="C32" s="2379" t="s">
        <v>1872</v>
      </c>
      <c r="D32" s="2380">
        <v>0.08</v>
      </c>
      <c r="E32" s="2381" t="s">
        <v>381</v>
      </c>
      <c r="F32" s="2382">
        <f t="shared" si="7"/>
        <v>0</v>
      </c>
      <c r="G32" s="2383">
        <f t="shared" si="7"/>
        <v>97</v>
      </c>
      <c r="H32" s="2384">
        <f t="shared" si="7"/>
        <v>40</v>
      </c>
      <c r="I32" s="2385">
        <f t="shared" si="7"/>
        <v>40</v>
      </c>
      <c r="J32" s="2385">
        <f t="shared" si="7"/>
        <v>37.5</v>
      </c>
      <c r="K32" s="2385">
        <f t="shared" si="7"/>
        <v>17</v>
      </c>
      <c r="L32" s="2386">
        <f t="shared" si="7"/>
        <v>39</v>
      </c>
      <c r="M32" s="2387">
        <f t="shared" si="8"/>
        <v>173.5</v>
      </c>
      <c r="N32" s="1382">
        <v>0</v>
      </c>
      <c r="O32" s="1383">
        <v>97</v>
      </c>
      <c r="P32" s="1384">
        <v>40</v>
      </c>
      <c r="Q32" s="1385">
        <v>40</v>
      </c>
      <c r="R32" s="1385">
        <v>37.5</v>
      </c>
      <c r="S32" s="1385">
        <v>17</v>
      </c>
      <c r="T32" s="1385">
        <v>39</v>
      </c>
      <c r="U32" s="1382"/>
      <c r="V32" s="1383"/>
      <c r="W32" s="1384"/>
      <c r="X32" s="1385"/>
      <c r="Y32" s="1385"/>
      <c r="Z32" s="1385"/>
      <c r="AA32" s="1385"/>
      <c r="AB32" s="1382"/>
      <c r="AC32" s="1383"/>
      <c r="AD32" s="1384"/>
      <c r="AE32" s="1385"/>
      <c r="AF32" s="1385"/>
      <c r="AG32" s="1385"/>
      <c r="AH32" s="1386"/>
      <c r="AI32" s="1387" t="s">
        <v>1984</v>
      </c>
      <c r="AJ32" s="1389" t="s">
        <v>1982</v>
      </c>
      <c r="AK32" s="2388" t="s">
        <v>682</v>
      </c>
      <c r="AL32" s="1384">
        <v>0</v>
      </c>
      <c r="AM32" s="1383">
        <v>2</v>
      </c>
      <c r="AN32" s="1384">
        <v>1</v>
      </c>
      <c r="AO32" s="1385">
        <v>1</v>
      </c>
      <c r="AP32" s="1385">
        <v>1</v>
      </c>
      <c r="AQ32" s="1385">
        <v>2</v>
      </c>
      <c r="AR32" s="1383">
        <v>1</v>
      </c>
      <c r="AS32" s="2389" t="s">
        <v>380</v>
      </c>
    </row>
    <row r="33" spans="1:45">
      <c r="A33" s="2396"/>
      <c r="B33" s="2379">
        <v>20503</v>
      </c>
      <c r="C33" s="2379" t="s">
        <v>1873</v>
      </c>
      <c r="D33" s="2380">
        <v>0.1</v>
      </c>
      <c r="E33" s="2391" t="s">
        <v>680</v>
      </c>
      <c r="F33" s="2382">
        <f t="shared" si="7"/>
        <v>0</v>
      </c>
      <c r="G33" s="2383">
        <f t="shared" si="7"/>
        <v>0</v>
      </c>
      <c r="H33" s="2384">
        <f t="shared" si="7"/>
        <v>12</v>
      </c>
      <c r="I33" s="2385">
        <f t="shared" si="7"/>
        <v>11</v>
      </c>
      <c r="J33" s="2385">
        <f t="shared" si="7"/>
        <v>16</v>
      </c>
      <c r="K33" s="2385">
        <f t="shared" si="7"/>
        <v>28</v>
      </c>
      <c r="L33" s="2386">
        <f t="shared" si="7"/>
        <v>26</v>
      </c>
      <c r="M33" s="2387">
        <f t="shared" si="8"/>
        <v>93</v>
      </c>
      <c r="N33" s="1382">
        <v>0</v>
      </c>
      <c r="O33" s="1383">
        <v>0</v>
      </c>
      <c r="P33" s="1384">
        <v>12</v>
      </c>
      <c r="Q33" s="1385">
        <v>11</v>
      </c>
      <c r="R33" s="1385">
        <v>16</v>
      </c>
      <c r="S33" s="1385">
        <v>28</v>
      </c>
      <c r="T33" s="1385">
        <v>26</v>
      </c>
      <c r="U33" s="1382"/>
      <c r="V33" s="1383"/>
      <c r="W33" s="1384"/>
      <c r="X33" s="1385"/>
      <c r="Y33" s="1385"/>
      <c r="Z33" s="1385"/>
      <c r="AA33" s="1385"/>
      <c r="AB33" s="1382"/>
      <c r="AC33" s="1383"/>
      <c r="AD33" s="1384"/>
      <c r="AE33" s="1385"/>
      <c r="AF33" s="1385"/>
      <c r="AG33" s="1385"/>
      <c r="AH33" s="1386"/>
      <c r="AI33" s="1387" t="s">
        <v>1984</v>
      </c>
      <c r="AJ33" s="1388" t="s">
        <v>1982</v>
      </c>
      <c r="AK33" s="2388" t="s">
        <v>682</v>
      </c>
      <c r="AL33" s="1384">
        <v>0</v>
      </c>
      <c r="AM33" s="1383">
        <v>0</v>
      </c>
      <c r="AN33" s="1384">
        <v>0</v>
      </c>
      <c r="AO33" s="1385">
        <v>0</v>
      </c>
      <c r="AP33" s="1385">
        <v>5</v>
      </c>
      <c r="AQ33" s="1385">
        <v>7</v>
      </c>
      <c r="AR33" s="1383">
        <v>7</v>
      </c>
      <c r="AS33" s="2389" t="s">
        <v>380</v>
      </c>
    </row>
    <row r="34" spans="1:45" ht="24">
      <c r="A34" s="2396"/>
      <c r="B34" s="2379">
        <v>20303</v>
      </c>
      <c r="C34" s="2379" t="s">
        <v>1874</v>
      </c>
      <c r="D34" s="2380">
        <v>0.1</v>
      </c>
      <c r="E34" s="2381" t="s">
        <v>382</v>
      </c>
      <c r="F34" s="2382">
        <f t="shared" si="7"/>
        <v>0</v>
      </c>
      <c r="G34" s="2383">
        <f t="shared" si="7"/>
        <v>176</v>
      </c>
      <c r="H34" s="2384">
        <f t="shared" si="7"/>
        <v>120</v>
      </c>
      <c r="I34" s="2385">
        <f t="shared" si="7"/>
        <v>120</v>
      </c>
      <c r="J34" s="2385">
        <f t="shared" si="7"/>
        <v>120</v>
      </c>
      <c r="K34" s="2385">
        <f t="shared" si="7"/>
        <v>120</v>
      </c>
      <c r="L34" s="2386">
        <f t="shared" si="7"/>
        <v>120</v>
      </c>
      <c r="M34" s="2387">
        <f t="shared" si="8"/>
        <v>600</v>
      </c>
      <c r="N34" s="1382">
        <v>0</v>
      </c>
      <c r="O34" s="1383">
        <v>176</v>
      </c>
      <c r="P34" s="1384">
        <v>120</v>
      </c>
      <c r="Q34" s="1385">
        <v>120</v>
      </c>
      <c r="R34" s="1385">
        <v>120</v>
      </c>
      <c r="S34" s="1385">
        <v>120</v>
      </c>
      <c r="T34" s="1385">
        <v>120</v>
      </c>
      <c r="U34" s="1382"/>
      <c r="V34" s="1383"/>
      <c r="W34" s="1384"/>
      <c r="X34" s="1385"/>
      <c r="Y34" s="1385"/>
      <c r="Z34" s="1385"/>
      <c r="AA34" s="1385"/>
      <c r="AB34" s="1382"/>
      <c r="AC34" s="1383"/>
      <c r="AD34" s="1384"/>
      <c r="AE34" s="1385"/>
      <c r="AF34" s="1385"/>
      <c r="AG34" s="1385"/>
      <c r="AH34" s="1386"/>
      <c r="AI34" s="1387" t="s">
        <v>1984</v>
      </c>
      <c r="AJ34" s="1388" t="s">
        <v>1994</v>
      </c>
      <c r="AK34" s="2388" t="s">
        <v>682</v>
      </c>
      <c r="AL34" s="1384">
        <v>0</v>
      </c>
      <c r="AM34" s="1383">
        <v>2</v>
      </c>
      <c r="AN34" s="1384">
        <v>0</v>
      </c>
      <c r="AO34" s="1385">
        <v>0</v>
      </c>
      <c r="AP34" s="1385">
        <v>6</v>
      </c>
      <c r="AQ34" s="1385">
        <v>6</v>
      </c>
      <c r="AR34" s="1383">
        <v>6</v>
      </c>
      <c r="AS34" s="2389" t="s">
        <v>380</v>
      </c>
    </row>
    <row r="35" spans="1:45" ht="24.75" thickBot="1">
      <c r="A35" s="4595"/>
      <c r="B35" s="4596">
        <v>20306</v>
      </c>
      <c r="C35" s="4596" t="s">
        <v>1875</v>
      </c>
      <c r="D35" s="4597">
        <v>0.1</v>
      </c>
      <c r="E35" s="4598" t="s">
        <v>719</v>
      </c>
      <c r="F35" s="4599">
        <f t="shared" si="7"/>
        <v>11.012</v>
      </c>
      <c r="G35" s="4600">
        <f t="shared" si="7"/>
        <v>53</v>
      </c>
      <c r="H35" s="4601">
        <f t="shared" si="7"/>
        <v>0</v>
      </c>
      <c r="I35" s="4602">
        <f t="shared" si="7"/>
        <v>14</v>
      </c>
      <c r="J35" s="4602">
        <f t="shared" si="7"/>
        <v>11</v>
      </c>
      <c r="K35" s="4602">
        <f t="shared" si="7"/>
        <v>11.5</v>
      </c>
      <c r="L35" s="4603">
        <f t="shared" si="7"/>
        <v>16.5</v>
      </c>
      <c r="M35" s="2401">
        <f t="shared" si="8"/>
        <v>53</v>
      </c>
      <c r="N35" s="1405">
        <v>11.012</v>
      </c>
      <c r="O35" s="1406">
        <v>53</v>
      </c>
      <c r="P35" s="1407">
        <v>0</v>
      </c>
      <c r="Q35" s="4604">
        <v>14</v>
      </c>
      <c r="R35" s="4604">
        <v>11</v>
      </c>
      <c r="S35" s="4604">
        <v>11.5</v>
      </c>
      <c r="T35" s="4604">
        <v>16.5</v>
      </c>
      <c r="U35" s="1405"/>
      <c r="V35" s="1406"/>
      <c r="W35" s="1407"/>
      <c r="X35" s="4604"/>
      <c r="Y35" s="4604"/>
      <c r="Z35" s="4604"/>
      <c r="AA35" s="4604"/>
      <c r="AB35" s="1405"/>
      <c r="AC35" s="1406"/>
      <c r="AD35" s="1407"/>
      <c r="AE35" s="4604"/>
      <c r="AF35" s="4604"/>
      <c r="AG35" s="4604"/>
      <c r="AH35" s="4605"/>
      <c r="AI35" s="1403" t="s">
        <v>1984</v>
      </c>
      <c r="AJ35" s="4606" t="s">
        <v>1995</v>
      </c>
      <c r="AK35" s="2455" t="s">
        <v>682</v>
      </c>
      <c r="AL35" s="1407">
        <v>7</v>
      </c>
      <c r="AM35" s="1406">
        <v>36</v>
      </c>
      <c r="AN35" s="1407">
        <v>0</v>
      </c>
      <c r="AO35" s="4604">
        <v>0</v>
      </c>
      <c r="AP35" s="4604">
        <v>3</v>
      </c>
      <c r="AQ35" s="4604">
        <v>3</v>
      </c>
      <c r="AR35" s="1406">
        <v>3</v>
      </c>
      <c r="AS35" s="4607" t="s">
        <v>672</v>
      </c>
    </row>
    <row r="36" spans="1:45" ht="13.5" thickBot="1">
      <c r="A36" s="2345">
        <v>1.2</v>
      </c>
      <c r="B36" s="2345"/>
      <c r="C36" s="2345"/>
      <c r="D36" s="2346"/>
      <c r="E36" s="2347" t="s">
        <v>213</v>
      </c>
      <c r="F36" s="2348">
        <f t="shared" ref="F36:AH36" si="9">SUM(F37:F47)</f>
        <v>110.137</v>
      </c>
      <c r="G36" s="2349">
        <f t="shared" si="9"/>
        <v>98</v>
      </c>
      <c r="H36" s="2350">
        <f t="shared" si="9"/>
        <v>539.34</v>
      </c>
      <c r="I36" s="2351">
        <f t="shared" si="9"/>
        <v>2907.4349999999999</v>
      </c>
      <c r="J36" s="2351">
        <f t="shared" si="9"/>
        <v>104.1</v>
      </c>
      <c r="K36" s="2351">
        <f t="shared" si="9"/>
        <v>82.9</v>
      </c>
      <c r="L36" s="2404">
        <f t="shared" si="9"/>
        <v>79.8</v>
      </c>
      <c r="M36" s="2405">
        <f t="shared" si="9"/>
        <v>3713.5749999999998</v>
      </c>
      <c r="N36" s="2354">
        <f t="shared" si="9"/>
        <v>91.747</v>
      </c>
      <c r="O36" s="2355">
        <f t="shared" si="9"/>
        <v>33.043999999999997</v>
      </c>
      <c r="P36" s="2356">
        <f t="shared" si="9"/>
        <v>59.34</v>
      </c>
      <c r="Q36" s="2357">
        <f t="shared" si="9"/>
        <v>97</v>
      </c>
      <c r="R36" s="2357">
        <f t="shared" si="9"/>
        <v>104.1</v>
      </c>
      <c r="S36" s="2357">
        <f t="shared" si="9"/>
        <v>82.9</v>
      </c>
      <c r="T36" s="2358">
        <f t="shared" si="9"/>
        <v>79.8</v>
      </c>
      <c r="U36" s="2354">
        <f t="shared" si="9"/>
        <v>0</v>
      </c>
      <c r="V36" s="2355">
        <f t="shared" si="9"/>
        <v>0</v>
      </c>
      <c r="W36" s="2356">
        <f t="shared" si="9"/>
        <v>0</v>
      </c>
      <c r="X36" s="2357">
        <f t="shared" si="9"/>
        <v>0</v>
      </c>
      <c r="Y36" s="2357">
        <f t="shared" si="9"/>
        <v>0</v>
      </c>
      <c r="Z36" s="2357">
        <f t="shared" si="9"/>
        <v>0</v>
      </c>
      <c r="AA36" s="2358">
        <f t="shared" si="9"/>
        <v>0</v>
      </c>
      <c r="AB36" s="2354">
        <f t="shared" si="9"/>
        <v>18.39</v>
      </c>
      <c r="AC36" s="2355">
        <f t="shared" si="9"/>
        <v>64.956000000000003</v>
      </c>
      <c r="AD36" s="2356">
        <f>SUM(AD37:AD47)</f>
        <v>480</v>
      </c>
      <c r="AE36" s="2357">
        <f>SUM(AE37:AE47)</f>
        <v>2810.4349999999999</v>
      </c>
      <c r="AF36" s="2357">
        <f t="shared" si="9"/>
        <v>0</v>
      </c>
      <c r="AG36" s="2357">
        <f t="shared" si="9"/>
        <v>0</v>
      </c>
      <c r="AH36" s="2359">
        <f t="shared" si="9"/>
        <v>0</v>
      </c>
      <c r="AI36" s="2406"/>
      <c r="AJ36" s="2407"/>
      <c r="AK36" s="2406"/>
      <c r="AL36" s="2408"/>
      <c r="AM36" s="2408"/>
      <c r="AN36" s="2409"/>
      <c r="AO36" s="2409"/>
      <c r="AP36" s="2409"/>
      <c r="AQ36" s="2409"/>
      <c r="AR36" s="2410"/>
      <c r="AS36" s="2411"/>
    </row>
    <row r="37" spans="1:45">
      <c r="A37" s="2412"/>
      <c r="B37" s="2413">
        <v>2040207</v>
      </c>
      <c r="C37" s="2413" t="s">
        <v>1876</v>
      </c>
      <c r="D37" s="2368">
        <v>0.04</v>
      </c>
      <c r="E37" s="2414" t="s">
        <v>383</v>
      </c>
      <c r="F37" s="2382">
        <f t="shared" ref="F37:L47" si="10">N37+U37+AB37</f>
        <v>0</v>
      </c>
      <c r="G37" s="2383">
        <f t="shared" si="10"/>
        <v>0</v>
      </c>
      <c r="H37" s="2384">
        <f>P37+W37+AD37</f>
        <v>0</v>
      </c>
      <c r="I37" s="2385">
        <f>Q37+X37+AE37</f>
        <v>226.346</v>
      </c>
      <c r="J37" s="2385">
        <f t="shared" si="10"/>
        <v>0</v>
      </c>
      <c r="K37" s="2385">
        <f t="shared" si="10"/>
        <v>0</v>
      </c>
      <c r="L37" s="2385">
        <f t="shared" si="10"/>
        <v>0</v>
      </c>
      <c r="M37" s="2415">
        <f t="shared" si="8"/>
        <v>226.346</v>
      </c>
      <c r="N37" s="1375">
        <v>0</v>
      </c>
      <c r="O37" s="1376">
        <v>0</v>
      </c>
      <c r="P37" s="1377"/>
      <c r="Q37" s="1378"/>
      <c r="R37" s="1378"/>
      <c r="S37" s="1378"/>
      <c r="T37" s="1378"/>
      <c r="U37" s="1375"/>
      <c r="V37" s="1376"/>
      <c r="W37" s="1377"/>
      <c r="X37" s="1378"/>
      <c r="Y37" s="1378"/>
      <c r="Z37" s="1378"/>
      <c r="AA37" s="1378"/>
      <c r="AB37" s="1375"/>
      <c r="AC37" s="1376"/>
      <c r="AD37" s="1377"/>
      <c r="AE37" s="1378">
        <v>226.346</v>
      </c>
      <c r="AF37" s="1378"/>
      <c r="AG37" s="1378"/>
      <c r="AH37" s="1379"/>
      <c r="AI37" s="1380"/>
      <c r="AJ37" s="1381"/>
      <c r="AK37" s="2376" t="s">
        <v>682</v>
      </c>
      <c r="AL37" s="1377">
        <v>0</v>
      </c>
      <c r="AM37" s="1376">
        <v>0</v>
      </c>
      <c r="AN37" s="1377">
        <v>1</v>
      </c>
      <c r="AO37" s="1378">
        <v>1</v>
      </c>
      <c r="AP37" s="1378">
        <v>0</v>
      </c>
      <c r="AQ37" s="1378">
        <v>0</v>
      </c>
      <c r="AR37" s="1376">
        <v>0</v>
      </c>
      <c r="AS37" s="2416" t="s">
        <v>1034</v>
      </c>
    </row>
    <row r="38" spans="1:45" ht="36">
      <c r="A38" s="2417"/>
      <c r="B38" s="2418">
        <v>2040206</v>
      </c>
      <c r="C38" s="2418" t="s">
        <v>1877</v>
      </c>
      <c r="D38" s="2392">
        <v>0.02</v>
      </c>
      <c r="E38" s="4853" t="s">
        <v>661</v>
      </c>
      <c r="F38" s="2382">
        <f t="shared" si="10"/>
        <v>0.57199999999999995</v>
      </c>
      <c r="G38" s="2383">
        <f t="shared" si="10"/>
        <v>0</v>
      </c>
      <c r="H38" s="2384">
        <f>P38+W38+AD38</f>
        <v>0</v>
      </c>
      <c r="I38" s="2385">
        <f>Q38+X38+AE38</f>
        <v>1201.904</v>
      </c>
      <c r="J38" s="2385">
        <f t="shared" si="10"/>
        <v>2</v>
      </c>
      <c r="K38" s="2385">
        <f t="shared" si="10"/>
        <v>2</v>
      </c>
      <c r="L38" s="2385">
        <f t="shared" si="10"/>
        <v>3</v>
      </c>
      <c r="M38" s="2420">
        <f t="shared" si="8"/>
        <v>1208.904</v>
      </c>
      <c r="N38" s="1382">
        <v>0.57199999999999995</v>
      </c>
      <c r="O38" s="1383">
        <v>0</v>
      </c>
      <c r="P38" s="1384"/>
      <c r="Q38" s="1385"/>
      <c r="R38" s="1385">
        <v>2</v>
      </c>
      <c r="S38" s="1385">
        <v>2</v>
      </c>
      <c r="T38" s="1385">
        <v>3</v>
      </c>
      <c r="U38" s="1382"/>
      <c r="V38" s="1383"/>
      <c r="W38" s="1384"/>
      <c r="X38" s="1385"/>
      <c r="Y38" s="1385"/>
      <c r="Z38" s="1385"/>
      <c r="AA38" s="1385"/>
      <c r="AB38" s="1382"/>
      <c r="AC38" s="1383"/>
      <c r="AD38" s="1384"/>
      <c r="AE38" s="1385">
        <v>1201.904</v>
      </c>
      <c r="AF38" s="1385"/>
      <c r="AG38" s="1385"/>
      <c r="AH38" s="1386"/>
      <c r="AI38" s="1387"/>
      <c r="AJ38" s="1389"/>
      <c r="AK38" s="2388" t="s">
        <v>683</v>
      </c>
      <c r="AL38" s="1384">
        <v>3</v>
      </c>
      <c r="AM38" s="1383">
        <v>1</v>
      </c>
      <c r="AN38" s="1384">
        <v>4011</v>
      </c>
      <c r="AO38" s="1385">
        <v>4011</v>
      </c>
      <c r="AP38" s="1385">
        <v>4</v>
      </c>
      <c r="AQ38" s="1385">
        <v>5</v>
      </c>
      <c r="AR38" s="1383">
        <v>7</v>
      </c>
      <c r="AS38" s="2394" t="s">
        <v>671</v>
      </c>
    </row>
    <row r="39" spans="1:45" ht="24">
      <c r="A39" s="2417"/>
      <c r="B39" s="2418">
        <v>2040206</v>
      </c>
      <c r="C39" s="2418" t="s">
        <v>1878</v>
      </c>
      <c r="D39" s="2392">
        <v>0.02</v>
      </c>
      <c r="E39" s="4853" t="s">
        <v>384</v>
      </c>
      <c r="F39" s="2382">
        <f t="shared" si="10"/>
        <v>39.525999999999996</v>
      </c>
      <c r="G39" s="2383">
        <f t="shared" si="10"/>
        <v>94</v>
      </c>
      <c r="H39" s="2384">
        <f t="shared" si="10"/>
        <v>400</v>
      </c>
      <c r="I39" s="2385">
        <f t="shared" si="10"/>
        <v>1231.2940000000001</v>
      </c>
      <c r="J39" s="2385">
        <f t="shared" si="10"/>
        <v>25</v>
      </c>
      <c r="K39" s="2385">
        <f t="shared" si="10"/>
        <v>25</v>
      </c>
      <c r="L39" s="2385">
        <f t="shared" si="10"/>
        <v>25</v>
      </c>
      <c r="M39" s="2420">
        <f t="shared" si="8"/>
        <v>1706.2940000000001</v>
      </c>
      <c r="N39" s="1382">
        <f>21.136</f>
        <v>21.135999999999999</v>
      </c>
      <c r="O39" s="1383">
        <f>94-64.956</f>
        <v>29.043999999999997</v>
      </c>
      <c r="P39" s="1384"/>
      <c r="Q39" s="4898">
        <v>20</v>
      </c>
      <c r="R39" s="1385">
        <v>25</v>
      </c>
      <c r="S39" s="1385">
        <v>25</v>
      </c>
      <c r="T39" s="1385">
        <v>25</v>
      </c>
      <c r="U39" s="1382"/>
      <c r="V39" s="1383"/>
      <c r="W39" s="1384"/>
      <c r="X39" s="1385"/>
      <c r="Y39" s="1385"/>
      <c r="Z39" s="1385"/>
      <c r="AA39" s="1385"/>
      <c r="AB39" s="1382">
        <v>18.39</v>
      </c>
      <c r="AC39" s="1383">
        <v>64.956000000000003</v>
      </c>
      <c r="AD39" s="1384">
        <v>400</v>
      </c>
      <c r="AE39" s="1385">
        <f>1294.64-83.346</f>
        <v>1211.2940000000001</v>
      </c>
      <c r="AF39" s="1385"/>
      <c r="AG39" s="1385"/>
      <c r="AH39" s="1386"/>
      <c r="AI39" s="1387" t="s">
        <v>1996</v>
      </c>
      <c r="AJ39" s="1389" t="s">
        <v>1997</v>
      </c>
      <c r="AK39" s="2388" t="s">
        <v>683</v>
      </c>
      <c r="AL39" s="1384">
        <v>108</v>
      </c>
      <c r="AM39" s="1383">
        <v>120</v>
      </c>
      <c r="AN39" s="1384">
        <v>17985</v>
      </c>
      <c r="AO39" s="1385">
        <v>17985</v>
      </c>
      <c r="AP39" s="1385">
        <v>110</v>
      </c>
      <c r="AQ39" s="1385">
        <v>125</v>
      </c>
      <c r="AR39" s="1383">
        <v>150</v>
      </c>
      <c r="AS39" s="2389" t="s">
        <v>385</v>
      </c>
    </row>
    <row r="40" spans="1:45">
      <c r="A40" s="2417"/>
      <c r="B40" s="2418">
        <v>2040206</v>
      </c>
      <c r="C40" s="2418" t="s">
        <v>1879</v>
      </c>
      <c r="D40" s="2392">
        <v>0.02</v>
      </c>
      <c r="E40" s="4854" t="s">
        <v>386</v>
      </c>
      <c r="F40" s="2382">
        <f t="shared" si="10"/>
        <v>1.006</v>
      </c>
      <c r="G40" s="2383">
        <f t="shared" si="10"/>
        <v>1</v>
      </c>
      <c r="H40" s="2384">
        <f t="shared" si="10"/>
        <v>80.34</v>
      </c>
      <c r="I40" s="2385">
        <f t="shared" si="10"/>
        <v>171.39099999999999</v>
      </c>
      <c r="J40" s="2385">
        <f t="shared" si="10"/>
        <v>0.6</v>
      </c>
      <c r="K40" s="2385">
        <f t="shared" si="10"/>
        <v>0.9</v>
      </c>
      <c r="L40" s="2385">
        <f t="shared" si="10"/>
        <v>1.3</v>
      </c>
      <c r="M40" s="2420">
        <f t="shared" si="8"/>
        <v>254.53100000000001</v>
      </c>
      <c r="N40" s="1382">
        <v>1.006</v>
      </c>
      <c r="O40" s="1383">
        <v>1</v>
      </c>
      <c r="P40" s="1384">
        <v>0.34</v>
      </c>
      <c r="Q40" s="1385">
        <v>0.5</v>
      </c>
      <c r="R40" s="1385">
        <v>0.6</v>
      </c>
      <c r="S40" s="1385">
        <v>0.9</v>
      </c>
      <c r="T40" s="1385">
        <v>1.3</v>
      </c>
      <c r="U40" s="1382"/>
      <c r="V40" s="1383"/>
      <c r="W40" s="1384"/>
      <c r="X40" s="1385"/>
      <c r="Y40" s="1385"/>
      <c r="Z40" s="1385"/>
      <c r="AA40" s="1385"/>
      <c r="AB40" s="1382"/>
      <c r="AC40" s="1383"/>
      <c r="AD40" s="1384">
        <v>80</v>
      </c>
      <c r="AE40" s="1385">
        <v>170.89099999999999</v>
      </c>
      <c r="AF40" s="1385"/>
      <c r="AG40" s="1385"/>
      <c r="AH40" s="1386"/>
      <c r="AI40" s="1387"/>
      <c r="AJ40" s="1388"/>
      <c r="AK40" s="2388" t="s">
        <v>682</v>
      </c>
      <c r="AL40" s="1384">
        <v>5</v>
      </c>
      <c r="AM40" s="1383">
        <v>2</v>
      </c>
      <c r="AN40" s="1384">
        <v>1116</v>
      </c>
      <c r="AO40" s="1385">
        <v>1117</v>
      </c>
      <c r="AP40" s="1385">
        <v>5</v>
      </c>
      <c r="AQ40" s="1385">
        <v>7</v>
      </c>
      <c r="AR40" s="1383">
        <v>10</v>
      </c>
      <c r="AS40" s="2389" t="s">
        <v>371</v>
      </c>
    </row>
    <row r="41" spans="1:45">
      <c r="A41" s="2417"/>
      <c r="B41" s="2379">
        <v>2030503</v>
      </c>
      <c r="C41" s="2379" t="s">
        <v>1880</v>
      </c>
      <c r="D41" s="2380">
        <v>0.1</v>
      </c>
      <c r="E41" s="2421" t="s">
        <v>669</v>
      </c>
      <c r="F41" s="2382">
        <f t="shared" si="10"/>
        <v>0</v>
      </c>
      <c r="G41" s="2383">
        <f t="shared" si="10"/>
        <v>0</v>
      </c>
      <c r="H41" s="2384">
        <f t="shared" si="10"/>
        <v>0</v>
      </c>
      <c r="I41" s="2385">
        <f t="shared" si="10"/>
        <v>10</v>
      </c>
      <c r="J41" s="2385">
        <f t="shared" si="10"/>
        <v>6</v>
      </c>
      <c r="K41" s="2385">
        <f t="shared" si="10"/>
        <v>0</v>
      </c>
      <c r="L41" s="2385">
        <f t="shared" si="10"/>
        <v>0</v>
      </c>
      <c r="M41" s="2420">
        <f t="shared" si="8"/>
        <v>16</v>
      </c>
      <c r="N41" s="1382">
        <v>0</v>
      </c>
      <c r="O41" s="1383">
        <v>0</v>
      </c>
      <c r="P41" s="1384"/>
      <c r="Q41" s="1385">
        <v>10</v>
      </c>
      <c r="R41" s="1385">
        <v>6</v>
      </c>
      <c r="S41" s="1385"/>
      <c r="T41" s="1385"/>
      <c r="U41" s="1382"/>
      <c r="V41" s="1383"/>
      <c r="W41" s="1384"/>
      <c r="X41" s="1385"/>
      <c r="Y41" s="1385"/>
      <c r="Z41" s="1385"/>
      <c r="AA41" s="1385"/>
      <c r="AB41" s="1382"/>
      <c r="AC41" s="1383"/>
      <c r="AD41" s="1384"/>
      <c r="AE41" s="1385"/>
      <c r="AF41" s="1385"/>
      <c r="AG41" s="1385"/>
      <c r="AH41" s="1386"/>
      <c r="AI41" s="1387"/>
      <c r="AJ41" s="1389"/>
      <c r="AK41" s="2388" t="s">
        <v>682</v>
      </c>
      <c r="AL41" s="1384">
        <v>0</v>
      </c>
      <c r="AM41" s="1383">
        <v>0</v>
      </c>
      <c r="AN41" s="1384">
        <v>0</v>
      </c>
      <c r="AO41" s="1385">
        <v>0</v>
      </c>
      <c r="AP41" s="1385">
        <v>2</v>
      </c>
      <c r="AQ41" s="1385">
        <v>0</v>
      </c>
      <c r="AR41" s="1383">
        <v>0</v>
      </c>
      <c r="AS41" s="2389" t="s">
        <v>376</v>
      </c>
    </row>
    <row r="42" spans="1:45" ht="24">
      <c r="A42" s="2417"/>
      <c r="B42" s="2379">
        <v>215</v>
      </c>
      <c r="C42" s="2379" t="s">
        <v>1881</v>
      </c>
      <c r="D42" s="2390">
        <v>0.2</v>
      </c>
      <c r="E42" s="2421" t="s">
        <v>387</v>
      </c>
      <c r="F42" s="2382">
        <f t="shared" si="10"/>
        <v>0</v>
      </c>
      <c r="G42" s="2383">
        <f t="shared" si="10"/>
        <v>0</v>
      </c>
      <c r="H42" s="2384">
        <f t="shared" si="10"/>
        <v>0</v>
      </c>
      <c r="I42" s="2385">
        <f t="shared" si="10"/>
        <v>0</v>
      </c>
      <c r="J42" s="2385">
        <f t="shared" si="10"/>
        <v>0</v>
      </c>
      <c r="K42" s="2385">
        <f t="shared" si="10"/>
        <v>0</v>
      </c>
      <c r="L42" s="2385">
        <f t="shared" si="10"/>
        <v>0</v>
      </c>
      <c r="M42" s="2420">
        <f t="shared" si="8"/>
        <v>0</v>
      </c>
      <c r="N42" s="1382">
        <v>0</v>
      </c>
      <c r="O42" s="1383">
        <v>0</v>
      </c>
      <c r="P42" s="1384"/>
      <c r="Q42" s="1385"/>
      <c r="R42" s="1385"/>
      <c r="S42" s="1385"/>
      <c r="T42" s="1385"/>
      <c r="U42" s="1382"/>
      <c r="V42" s="1383"/>
      <c r="W42" s="1384"/>
      <c r="X42" s="1385"/>
      <c r="Y42" s="1385"/>
      <c r="Z42" s="1385"/>
      <c r="AA42" s="1385"/>
      <c r="AB42" s="1382"/>
      <c r="AC42" s="1383"/>
      <c r="AD42" s="1384"/>
      <c r="AE42" s="1385"/>
      <c r="AF42" s="1385"/>
      <c r="AG42" s="1385"/>
      <c r="AH42" s="1386"/>
      <c r="AI42" s="1387" t="s">
        <v>1981</v>
      </c>
      <c r="AJ42" s="1389" t="s">
        <v>1998</v>
      </c>
      <c r="AK42" s="2395" t="s">
        <v>318</v>
      </c>
      <c r="AL42" s="2422"/>
      <c r="AM42" s="2423"/>
      <c r="AN42" s="2424"/>
      <c r="AO42" s="2425"/>
      <c r="AP42" s="2425"/>
      <c r="AQ42" s="2425"/>
      <c r="AR42" s="2426"/>
      <c r="AS42" s="2389" t="s">
        <v>375</v>
      </c>
    </row>
    <row r="43" spans="1:45">
      <c r="A43" s="2427"/>
      <c r="B43" s="2418">
        <v>20502</v>
      </c>
      <c r="C43" s="2418" t="s">
        <v>1882</v>
      </c>
      <c r="D43" s="2392">
        <v>0.1</v>
      </c>
      <c r="E43" s="2421" t="s">
        <v>388</v>
      </c>
      <c r="F43" s="2382">
        <f t="shared" si="10"/>
        <v>0</v>
      </c>
      <c r="G43" s="2383">
        <f t="shared" si="10"/>
        <v>0</v>
      </c>
      <c r="H43" s="2384">
        <f t="shared" si="10"/>
        <v>6</v>
      </c>
      <c r="I43" s="2385">
        <f t="shared" si="10"/>
        <v>0</v>
      </c>
      <c r="J43" s="2385">
        <f t="shared" si="10"/>
        <v>0</v>
      </c>
      <c r="K43" s="2385">
        <f t="shared" si="10"/>
        <v>0</v>
      </c>
      <c r="L43" s="2385">
        <f t="shared" si="10"/>
        <v>26.5</v>
      </c>
      <c r="M43" s="2420">
        <f t="shared" si="8"/>
        <v>32.5</v>
      </c>
      <c r="N43" s="1382">
        <v>0</v>
      </c>
      <c r="O43" s="1383">
        <v>0</v>
      </c>
      <c r="P43" s="1384">
        <v>6</v>
      </c>
      <c r="Q43" s="1385"/>
      <c r="R43" s="1385"/>
      <c r="S43" s="1385"/>
      <c r="T43" s="1385">
        <v>26.5</v>
      </c>
      <c r="U43" s="1382"/>
      <c r="V43" s="1383"/>
      <c r="W43" s="1384"/>
      <c r="X43" s="1385"/>
      <c r="Y43" s="1385"/>
      <c r="Z43" s="1385"/>
      <c r="AA43" s="1385"/>
      <c r="AB43" s="1382"/>
      <c r="AC43" s="1383"/>
      <c r="AD43" s="1384"/>
      <c r="AE43" s="1385"/>
      <c r="AF43" s="1385"/>
      <c r="AG43" s="1385"/>
      <c r="AH43" s="1386"/>
      <c r="AI43" s="1387"/>
      <c r="AJ43" s="1389"/>
      <c r="AK43" s="2388" t="s">
        <v>682</v>
      </c>
      <c r="AL43" s="1384">
        <v>0</v>
      </c>
      <c r="AM43" s="1383">
        <v>0</v>
      </c>
      <c r="AN43" s="1384">
        <v>1</v>
      </c>
      <c r="AO43" s="1385">
        <v>0</v>
      </c>
      <c r="AP43" s="1385">
        <v>0</v>
      </c>
      <c r="AQ43" s="1385">
        <v>0</v>
      </c>
      <c r="AR43" s="1383">
        <v>1</v>
      </c>
      <c r="AS43" s="2389" t="s">
        <v>380</v>
      </c>
    </row>
    <row r="44" spans="1:45" ht="24">
      <c r="A44" s="2427"/>
      <c r="B44" s="2418">
        <v>20501</v>
      </c>
      <c r="C44" s="2418" t="s">
        <v>1883</v>
      </c>
      <c r="D44" s="2392">
        <v>0.08</v>
      </c>
      <c r="E44" s="2421" t="s">
        <v>389</v>
      </c>
      <c r="F44" s="2382">
        <f t="shared" si="10"/>
        <v>0</v>
      </c>
      <c r="G44" s="2383">
        <f t="shared" si="10"/>
        <v>0</v>
      </c>
      <c r="H44" s="2384">
        <f t="shared" si="10"/>
        <v>52</v>
      </c>
      <c r="I44" s="2385">
        <f t="shared" si="10"/>
        <v>0</v>
      </c>
      <c r="J44" s="2385">
        <f t="shared" si="10"/>
        <v>66</v>
      </c>
      <c r="K44" s="2385">
        <f t="shared" si="10"/>
        <v>0</v>
      </c>
      <c r="L44" s="2385">
        <f t="shared" si="10"/>
        <v>0</v>
      </c>
      <c r="M44" s="2420">
        <f t="shared" si="8"/>
        <v>118</v>
      </c>
      <c r="N44" s="1382">
        <v>0</v>
      </c>
      <c r="O44" s="1383">
        <v>0</v>
      </c>
      <c r="P44" s="1384">
        <v>52</v>
      </c>
      <c r="Q44" s="1385"/>
      <c r="R44" s="1385">
        <v>66</v>
      </c>
      <c r="S44" s="1385"/>
      <c r="T44" s="1385"/>
      <c r="U44" s="1382"/>
      <c r="V44" s="1383"/>
      <c r="W44" s="1384"/>
      <c r="X44" s="1385"/>
      <c r="Y44" s="1385"/>
      <c r="Z44" s="1385"/>
      <c r="AA44" s="1385"/>
      <c r="AB44" s="1382"/>
      <c r="AC44" s="1383"/>
      <c r="AD44" s="1384"/>
      <c r="AE44" s="1385"/>
      <c r="AF44" s="1385"/>
      <c r="AG44" s="1385"/>
      <c r="AH44" s="1386"/>
      <c r="AI44" s="1387" t="s">
        <v>1984</v>
      </c>
      <c r="AJ44" s="1389" t="s">
        <v>1999</v>
      </c>
      <c r="AK44" s="2388" t="s">
        <v>682</v>
      </c>
      <c r="AL44" s="1384">
        <v>0</v>
      </c>
      <c r="AM44" s="1383">
        <v>0</v>
      </c>
      <c r="AN44" s="1384">
        <v>1</v>
      </c>
      <c r="AO44" s="1385">
        <v>1</v>
      </c>
      <c r="AP44" s="1385">
        <v>0</v>
      </c>
      <c r="AQ44" s="1385">
        <v>0</v>
      </c>
      <c r="AR44" s="1383">
        <v>1</v>
      </c>
      <c r="AS44" s="2389" t="s">
        <v>380</v>
      </c>
    </row>
    <row r="45" spans="1:45">
      <c r="A45" s="2427"/>
      <c r="B45" s="2418">
        <v>20503</v>
      </c>
      <c r="C45" s="2418" t="s">
        <v>1884</v>
      </c>
      <c r="D45" s="2392">
        <v>0.1</v>
      </c>
      <c r="E45" s="2421" t="s">
        <v>678</v>
      </c>
      <c r="F45" s="2382">
        <f t="shared" si="10"/>
        <v>0</v>
      </c>
      <c r="G45" s="2383">
        <f t="shared" si="10"/>
        <v>0</v>
      </c>
      <c r="H45" s="2384">
        <f t="shared" si="10"/>
        <v>0</v>
      </c>
      <c r="I45" s="2385">
        <f t="shared" si="10"/>
        <v>0</v>
      </c>
      <c r="J45" s="2385">
        <f t="shared" si="10"/>
        <v>0</v>
      </c>
      <c r="K45" s="2385">
        <f t="shared" si="10"/>
        <v>0</v>
      </c>
      <c r="L45" s="2385">
        <f t="shared" si="10"/>
        <v>0</v>
      </c>
      <c r="M45" s="2420">
        <f t="shared" si="8"/>
        <v>0</v>
      </c>
      <c r="N45" s="1382">
        <v>0</v>
      </c>
      <c r="O45" s="1383">
        <v>0</v>
      </c>
      <c r="P45" s="1384"/>
      <c r="Q45" s="1385"/>
      <c r="R45" s="1385"/>
      <c r="S45" s="1385"/>
      <c r="T45" s="1385"/>
      <c r="U45" s="1382"/>
      <c r="V45" s="1383"/>
      <c r="W45" s="1384"/>
      <c r="X45" s="1385"/>
      <c r="Y45" s="1385"/>
      <c r="Z45" s="1385"/>
      <c r="AA45" s="1385"/>
      <c r="AB45" s="1382"/>
      <c r="AC45" s="1383"/>
      <c r="AD45" s="1384"/>
      <c r="AE45" s="1385"/>
      <c r="AF45" s="1385"/>
      <c r="AG45" s="1385"/>
      <c r="AH45" s="1386"/>
      <c r="AI45" s="1387"/>
      <c r="AJ45" s="1389"/>
      <c r="AK45" s="2388" t="s">
        <v>682</v>
      </c>
      <c r="AL45" s="1384">
        <v>0</v>
      </c>
      <c r="AM45" s="1383">
        <v>0</v>
      </c>
      <c r="AN45" s="1384">
        <v>0</v>
      </c>
      <c r="AO45" s="1385">
        <v>0</v>
      </c>
      <c r="AP45" s="1385">
        <v>0</v>
      </c>
      <c r="AQ45" s="1385">
        <v>0</v>
      </c>
      <c r="AR45" s="1383">
        <v>0</v>
      </c>
      <c r="AS45" s="2389" t="s">
        <v>380</v>
      </c>
    </row>
    <row r="46" spans="1:45" ht="24">
      <c r="A46" s="2427"/>
      <c r="B46" s="2418">
        <v>20303</v>
      </c>
      <c r="C46" s="2418" t="s">
        <v>1885</v>
      </c>
      <c r="D46" s="2380">
        <v>0.1</v>
      </c>
      <c r="E46" s="2419" t="s">
        <v>662</v>
      </c>
      <c r="F46" s="2382">
        <f t="shared" si="10"/>
        <v>68.900000000000006</v>
      </c>
      <c r="G46" s="2383">
        <f t="shared" si="10"/>
        <v>0</v>
      </c>
      <c r="H46" s="2384">
        <f t="shared" si="10"/>
        <v>0</v>
      </c>
      <c r="I46" s="2385">
        <f t="shared" si="10"/>
        <v>62.5</v>
      </c>
      <c r="J46" s="2385">
        <f t="shared" si="10"/>
        <v>0</v>
      </c>
      <c r="K46" s="2385">
        <f t="shared" si="10"/>
        <v>53.5</v>
      </c>
      <c r="L46" s="2385">
        <f t="shared" si="10"/>
        <v>0</v>
      </c>
      <c r="M46" s="2420">
        <f t="shared" si="8"/>
        <v>116</v>
      </c>
      <c r="N46" s="1382">
        <v>68.900000000000006</v>
      </c>
      <c r="O46" s="1383">
        <v>0</v>
      </c>
      <c r="P46" s="1384"/>
      <c r="Q46" s="1385">
        <v>62.5</v>
      </c>
      <c r="R46" s="1385"/>
      <c r="S46" s="1385">
        <v>53.5</v>
      </c>
      <c r="T46" s="1385"/>
      <c r="U46" s="1382"/>
      <c r="V46" s="1383"/>
      <c r="W46" s="1384"/>
      <c r="X46" s="1385"/>
      <c r="Y46" s="1385"/>
      <c r="Z46" s="1385"/>
      <c r="AA46" s="1385"/>
      <c r="AB46" s="1382"/>
      <c r="AC46" s="1383"/>
      <c r="AD46" s="1384"/>
      <c r="AE46" s="1385"/>
      <c r="AF46" s="1385"/>
      <c r="AG46" s="1385"/>
      <c r="AH46" s="1386"/>
      <c r="AI46" s="1387" t="s">
        <v>1981</v>
      </c>
      <c r="AJ46" s="1389" t="s">
        <v>2000</v>
      </c>
      <c r="AK46" s="2388" t="s">
        <v>682</v>
      </c>
      <c r="AL46" s="1384">
        <v>1</v>
      </c>
      <c r="AM46" s="1383">
        <v>0</v>
      </c>
      <c r="AN46" s="1384">
        <v>1</v>
      </c>
      <c r="AO46" s="1385">
        <v>0</v>
      </c>
      <c r="AP46" s="1385">
        <v>0</v>
      </c>
      <c r="AQ46" s="1385">
        <v>0</v>
      </c>
      <c r="AR46" s="1383">
        <v>1</v>
      </c>
      <c r="AS46" s="2394" t="s">
        <v>1033</v>
      </c>
    </row>
    <row r="47" spans="1:45" ht="24.75" thickBot="1">
      <c r="A47" s="4611"/>
      <c r="B47" s="4612">
        <v>20306</v>
      </c>
      <c r="C47" s="4612" t="s">
        <v>1886</v>
      </c>
      <c r="D47" s="4597">
        <v>0.1</v>
      </c>
      <c r="E47" s="4613" t="s">
        <v>718</v>
      </c>
      <c r="F47" s="4599">
        <f t="shared" si="10"/>
        <v>0.13300000000000001</v>
      </c>
      <c r="G47" s="4600">
        <f t="shared" si="10"/>
        <v>3</v>
      </c>
      <c r="H47" s="4601">
        <f t="shared" si="10"/>
        <v>1</v>
      </c>
      <c r="I47" s="4602">
        <f t="shared" si="10"/>
        <v>4</v>
      </c>
      <c r="J47" s="4602">
        <f t="shared" si="10"/>
        <v>4.5</v>
      </c>
      <c r="K47" s="4602">
        <f t="shared" si="10"/>
        <v>1.5</v>
      </c>
      <c r="L47" s="4602">
        <f t="shared" si="10"/>
        <v>24</v>
      </c>
      <c r="M47" s="2616">
        <f t="shared" si="8"/>
        <v>35</v>
      </c>
      <c r="N47" s="1405">
        <v>0.13300000000000001</v>
      </c>
      <c r="O47" s="1406">
        <v>3</v>
      </c>
      <c r="P47" s="1407">
        <v>1</v>
      </c>
      <c r="Q47" s="4604">
        <v>4</v>
      </c>
      <c r="R47" s="4604">
        <v>4.5</v>
      </c>
      <c r="S47" s="4604">
        <v>1.5</v>
      </c>
      <c r="T47" s="4604">
        <v>24</v>
      </c>
      <c r="U47" s="1405"/>
      <c r="V47" s="1406"/>
      <c r="W47" s="1407"/>
      <c r="X47" s="4604"/>
      <c r="Y47" s="4604"/>
      <c r="Z47" s="4604"/>
      <c r="AA47" s="4604"/>
      <c r="AB47" s="1405"/>
      <c r="AC47" s="1406"/>
      <c r="AD47" s="1407"/>
      <c r="AE47" s="4604"/>
      <c r="AF47" s="4604"/>
      <c r="AG47" s="4604"/>
      <c r="AH47" s="4605"/>
      <c r="AI47" s="1403" t="s">
        <v>1981</v>
      </c>
      <c r="AJ47" s="1404" t="s">
        <v>2000</v>
      </c>
      <c r="AK47" s="2455" t="s">
        <v>682</v>
      </c>
      <c r="AL47" s="1407">
        <v>2</v>
      </c>
      <c r="AM47" s="1406">
        <v>1</v>
      </c>
      <c r="AN47" s="1407">
        <v>2</v>
      </c>
      <c r="AO47" s="4604">
        <v>2</v>
      </c>
      <c r="AP47" s="4604">
        <v>2</v>
      </c>
      <c r="AQ47" s="4604">
        <v>0</v>
      </c>
      <c r="AR47" s="1406">
        <v>3</v>
      </c>
      <c r="AS47" s="4607" t="s">
        <v>1032</v>
      </c>
    </row>
    <row r="48" spans="1:45" ht="13.5" thickBot="1">
      <c r="A48" s="2345">
        <v>1.3</v>
      </c>
      <c r="B48" s="2345"/>
      <c r="C48" s="2345"/>
      <c r="D48" s="2346"/>
      <c r="E48" s="2347" t="s">
        <v>214</v>
      </c>
      <c r="F48" s="2348">
        <f t="shared" ref="F48:AH48" si="11">SUM(F49:F56)</f>
        <v>0</v>
      </c>
      <c r="G48" s="2349">
        <f t="shared" si="11"/>
        <v>6</v>
      </c>
      <c r="H48" s="2350">
        <f t="shared" si="11"/>
        <v>1055.7249999999999</v>
      </c>
      <c r="I48" s="2351">
        <f t="shared" si="11"/>
        <v>1103.125</v>
      </c>
      <c r="J48" s="2351">
        <f t="shared" si="11"/>
        <v>51</v>
      </c>
      <c r="K48" s="2351">
        <f t="shared" si="11"/>
        <v>0</v>
      </c>
      <c r="L48" s="2404">
        <f t="shared" si="11"/>
        <v>0</v>
      </c>
      <c r="M48" s="2405">
        <f t="shared" si="11"/>
        <v>2209.85</v>
      </c>
      <c r="N48" s="2354">
        <f t="shared" si="11"/>
        <v>0</v>
      </c>
      <c r="O48" s="2355">
        <f t="shared" si="11"/>
        <v>6</v>
      </c>
      <c r="P48" s="2356">
        <f t="shared" si="11"/>
        <v>7</v>
      </c>
      <c r="Q48" s="2357">
        <f t="shared" si="11"/>
        <v>54.4</v>
      </c>
      <c r="R48" s="2357">
        <f t="shared" si="11"/>
        <v>51</v>
      </c>
      <c r="S48" s="2357">
        <f t="shared" si="11"/>
        <v>0</v>
      </c>
      <c r="T48" s="2358">
        <f t="shared" si="11"/>
        <v>0</v>
      </c>
      <c r="U48" s="2354">
        <f t="shared" si="11"/>
        <v>0</v>
      </c>
      <c r="V48" s="2355">
        <f t="shared" si="11"/>
        <v>0</v>
      </c>
      <c r="W48" s="2356">
        <f t="shared" si="11"/>
        <v>0</v>
      </c>
      <c r="X48" s="2357">
        <f t="shared" si="11"/>
        <v>0</v>
      </c>
      <c r="Y48" s="2357">
        <f t="shared" si="11"/>
        <v>0</v>
      </c>
      <c r="Z48" s="2357">
        <f t="shared" si="11"/>
        <v>0</v>
      </c>
      <c r="AA48" s="2358">
        <f t="shared" si="11"/>
        <v>0</v>
      </c>
      <c r="AB48" s="2354">
        <f t="shared" si="11"/>
        <v>0</v>
      </c>
      <c r="AC48" s="2355">
        <f t="shared" si="11"/>
        <v>0</v>
      </c>
      <c r="AD48" s="2356">
        <f t="shared" si="11"/>
        <v>1048.7249999999999</v>
      </c>
      <c r="AE48" s="2357">
        <f t="shared" si="11"/>
        <v>1048.7249999999999</v>
      </c>
      <c r="AF48" s="2357">
        <f t="shared" si="11"/>
        <v>0</v>
      </c>
      <c r="AG48" s="2357">
        <f t="shared" si="11"/>
        <v>0</v>
      </c>
      <c r="AH48" s="2359">
        <f t="shared" si="11"/>
        <v>0</v>
      </c>
      <c r="AI48" s="2406"/>
      <c r="AJ48" s="2407"/>
      <c r="AK48" s="2406"/>
      <c r="AL48" s="2408"/>
      <c r="AM48" s="2408"/>
      <c r="AN48" s="2409"/>
      <c r="AO48" s="2409"/>
      <c r="AP48" s="2409"/>
      <c r="AQ48" s="2409"/>
      <c r="AR48" s="2410"/>
      <c r="AS48" s="2411"/>
    </row>
    <row r="49" spans="1:45" ht="17.25" customHeight="1">
      <c r="A49" s="2366"/>
      <c r="B49" s="2413">
        <v>2040207</v>
      </c>
      <c r="C49" s="2413" t="s">
        <v>1887</v>
      </c>
      <c r="D49" s="2368">
        <v>0.04</v>
      </c>
      <c r="E49" s="2432" t="s">
        <v>390</v>
      </c>
      <c r="F49" s="2433">
        <f t="shared" ref="F49:L56" si="12">N49+U49+AB49</f>
        <v>0</v>
      </c>
      <c r="G49" s="2434">
        <f t="shared" si="12"/>
        <v>6</v>
      </c>
      <c r="H49" s="2435">
        <f t="shared" si="12"/>
        <v>1055.7249999999999</v>
      </c>
      <c r="I49" s="2436">
        <f t="shared" si="12"/>
        <v>1102.7249999999999</v>
      </c>
      <c r="J49" s="2436">
        <f t="shared" si="12"/>
        <v>51</v>
      </c>
      <c r="K49" s="2436">
        <f t="shared" si="12"/>
        <v>0</v>
      </c>
      <c r="L49" s="2436">
        <f t="shared" si="12"/>
        <v>0</v>
      </c>
      <c r="M49" s="2415">
        <f t="shared" si="8"/>
        <v>2209.4499999999998</v>
      </c>
      <c r="N49" s="1375">
        <v>0</v>
      </c>
      <c r="O49" s="1376">
        <v>6</v>
      </c>
      <c r="P49" s="4904">
        <v>7</v>
      </c>
      <c r="Q49" s="4899">
        <v>54</v>
      </c>
      <c r="R49" s="4899">
        <v>51</v>
      </c>
      <c r="S49" s="1378"/>
      <c r="T49" s="1378"/>
      <c r="U49" s="1375"/>
      <c r="V49" s="1376"/>
      <c r="W49" s="1377"/>
      <c r="X49" s="1378"/>
      <c r="Y49" s="1378"/>
      <c r="Z49" s="1378"/>
      <c r="AA49" s="1378"/>
      <c r="AB49" s="1375"/>
      <c r="AC49" s="1376"/>
      <c r="AD49" s="4880">
        <v>1048.7249999999999</v>
      </c>
      <c r="AE49" s="4881">
        <v>1048.7249999999999</v>
      </c>
      <c r="AF49" s="1378"/>
      <c r="AG49" s="1378"/>
      <c r="AH49" s="1379"/>
      <c r="AI49" s="1380" t="s">
        <v>1981</v>
      </c>
      <c r="AJ49" s="1397" t="s">
        <v>2001</v>
      </c>
      <c r="AK49" s="2376" t="s">
        <v>682</v>
      </c>
      <c r="AL49" s="1377">
        <v>0</v>
      </c>
      <c r="AM49" s="1376">
        <v>5</v>
      </c>
      <c r="AN49" s="1377">
        <v>0</v>
      </c>
      <c r="AO49" s="1378">
        <v>0</v>
      </c>
      <c r="AP49" s="1378">
        <v>1</v>
      </c>
      <c r="AQ49" s="1378">
        <v>0</v>
      </c>
      <c r="AR49" s="1376">
        <v>1</v>
      </c>
      <c r="AS49" s="2416" t="s">
        <v>1035</v>
      </c>
    </row>
    <row r="50" spans="1:45">
      <c r="A50" s="2396"/>
      <c r="B50" s="2418">
        <v>20302</v>
      </c>
      <c r="C50" s="2418" t="s">
        <v>1888</v>
      </c>
      <c r="D50" s="2380">
        <v>0.1</v>
      </c>
      <c r="E50" s="2421" t="s">
        <v>391</v>
      </c>
      <c r="F50" s="2437">
        <f t="shared" si="12"/>
        <v>0</v>
      </c>
      <c r="G50" s="2438">
        <f t="shared" si="12"/>
        <v>0</v>
      </c>
      <c r="H50" s="2439">
        <f t="shared" si="12"/>
        <v>0</v>
      </c>
      <c r="I50" s="2440">
        <f t="shared" si="12"/>
        <v>0</v>
      </c>
      <c r="J50" s="2440">
        <f t="shared" si="12"/>
        <v>0</v>
      </c>
      <c r="K50" s="2440">
        <f t="shared" si="12"/>
        <v>0</v>
      </c>
      <c r="L50" s="2440">
        <f t="shared" si="12"/>
        <v>0</v>
      </c>
      <c r="M50" s="2420">
        <f t="shared" si="8"/>
        <v>0</v>
      </c>
      <c r="N50" s="1382">
        <v>0</v>
      </c>
      <c r="O50" s="1383">
        <v>0</v>
      </c>
      <c r="P50" s="4903"/>
      <c r="Q50" s="4898"/>
      <c r="R50" s="4898"/>
      <c r="S50" s="4898"/>
      <c r="T50" s="1385"/>
      <c r="U50" s="1382"/>
      <c r="V50" s="1383"/>
      <c r="W50" s="1384"/>
      <c r="X50" s="1385"/>
      <c r="Y50" s="1385"/>
      <c r="Z50" s="1385"/>
      <c r="AA50" s="1385"/>
      <c r="AB50" s="1382"/>
      <c r="AC50" s="1383"/>
      <c r="AD50" s="1384"/>
      <c r="AE50" s="1385"/>
      <c r="AF50" s="1385"/>
      <c r="AG50" s="1385"/>
      <c r="AH50" s="1386"/>
      <c r="AI50" s="1387" t="s">
        <v>1981</v>
      </c>
      <c r="AJ50" s="1388" t="s">
        <v>128</v>
      </c>
      <c r="AK50" s="2388" t="s">
        <v>682</v>
      </c>
      <c r="AL50" s="1384">
        <v>0</v>
      </c>
      <c r="AM50" s="1383">
        <v>0</v>
      </c>
      <c r="AN50" s="1384">
        <v>1</v>
      </c>
      <c r="AO50" s="1385">
        <v>1</v>
      </c>
      <c r="AP50" s="1385">
        <v>0</v>
      </c>
      <c r="AQ50" s="1385">
        <v>0</v>
      </c>
      <c r="AR50" s="1383">
        <v>1</v>
      </c>
      <c r="AS50" s="2394" t="s">
        <v>378</v>
      </c>
    </row>
    <row r="51" spans="1:45">
      <c r="A51" s="2378"/>
      <c r="B51" s="2379">
        <v>2030503</v>
      </c>
      <c r="C51" s="2379" t="s">
        <v>1889</v>
      </c>
      <c r="D51" s="2380">
        <v>0.1</v>
      </c>
      <c r="E51" s="2421" t="s">
        <v>673</v>
      </c>
      <c r="F51" s="2437">
        <f t="shared" si="12"/>
        <v>0</v>
      </c>
      <c r="G51" s="2438">
        <f t="shared" si="12"/>
        <v>0</v>
      </c>
      <c r="H51" s="2439">
        <f t="shared" si="12"/>
        <v>0</v>
      </c>
      <c r="I51" s="2440">
        <f t="shared" si="12"/>
        <v>0</v>
      </c>
      <c r="J51" s="2440">
        <f t="shared" si="12"/>
        <v>0</v>
      </c>
      <c r="K51" s="2440">
        <f t="shared" si="12"/>
        <v>0</v>
      </c>
      <c r="L51" s="2440">
        <f t="shared" si="12"/>
        <v>0</v>
      </c>
      <c r="M51" s="2420">
        <f t="shared" si="8"/>
        <v>0</v>
      </c>
      <c r="N51" s="1382">
        <v>0</v>
      </c>
      <c r="O51" s="1383">
        <v>0</v>
      </c>
      <c r="P51" s="1384"/>
      <c r="Q51" s="1385"/>
      <c r="R51" s="1385"/>
      <c r="S51" s="1385"/>
      <c r="T51" s="1385"/>
      <c r="U51" s="1382"/>
      <c r="V51" s="1383"/>
      <c r="W51" s="1384"/>
      <c r="X51" s="1385"/>
      <c r="Y51" s="1385"/>
      <c r="Z51" s="1385"/>
      <c r="AA51" s="1385"/>
      <c r="AB51" s="1382"/>
      <c r="AC51" s="1383"/>
      <c r="AD51" s="1384"/>
      <c r="AE51" s="1385"/>
      <c r="AF51" s="1385"/>
      <c r="AG51" s="1385"/>
      <c r="AH51" s="1386"/>
      <c r="AI51" s="1387"/>
      <c r="AJ51" s="1388"/>
      <c r="AK51" s="2388" t="s">
        <v>682</v>
      </c>
      <c r="AL51" s="1384">
        <v>0</v>
      </c>
      <c r="AM51" s="1383">
        <v>0</v>
      </c>
      <c r="AN51" s="1384">
        <v>0</v>
      </c>
      <c r="AO51" s="1385">
        <v>0</v>
      </c>
      <c r="AP51" s="1385">
        <v>0</v>
      </c>
      <c r="AQ51" s="1385">
        <v>0</v>
      </c>
      <c r="AR51" s="1383">
        <v>0</v>
      </c>
      <c r="AS51" s="2394" t="s">
        <v>376</v>
      </c>
    </row>
    <row r="52" spans="1:45">
      <c r="A52" s="2396"/>
      <c r="B52" s="2418">
        <v>20502</v>
      </c>
      <c r="C52" s="2418" t="s">
        <v>1890</v>
      </c>
      <c r="D52" s="2380">
        <v>0.1</v>
      </c>
      <c r="E52" s="2421" t="s">
        <v>392</v>
      </c>
      <c r="F52" s="2437">
        <f t="shared" si="12"/>
        <v>0</v>
      </c>
      <c r="G52" s="2438">
        <f t="shared" si="12"/>
        <v>0</v>
      </c>
      <c r="H52" s="2439">
        <f t="shared" si="12"/>
        <v>0</v>
      </c>
      <c r="I52" s="2440">
        <f t="shared" si="12"/>
        <v>0</v>
      </c>
      <c r="J52" s="2440">
        <f t="shared" si="12"/>
        <v>0</v>
      </c>
      <c r="K52" s="2440">
        <f t="shared" si="12"/>
        <v>0</v>
      </c>
      <c r="L52" s="2440">
        <f t="shared" si="12"/>
        <v>0</v>
      </c>
      <c r="M52" s="2420">
        <f t="shared" si="8"/>
        <v>0</v>
      </c>
      <c r="N52" s="1382">
        <v>0</v>
      </c>
      <c r="O52" s="1383">
        <v>0</v>
      </c>
      <c r="P52" s="1384"/>
      <c r="Q52" s="1385"/>
      <c r="R52" s="1385"/>
      <c r="S52" s="1385"/>
      <c r="T52" s="1385"/>
      <c r="U52" s="1382"/>
      <c r="V52" s="1383"/>
      <c r="W52" s="1384"/>
      <c r="X52" s="1385"/>
      <c r="Y52" s="1385"/>
      <c r="Z52" s="1385"/>
      <c r="AA52" s="1385"/>
      <c r="AB52" s="1382"/>
      <c r="AC52" s="1383"/>
      <c r="AD52" s="1384"/>
      <c r="AE52" s="1385"/>
      <c r="AF52" s="1385"/>
      <c r="AG52" s="1385"/>
      <c r="AH52" s="1386"/>
      <c r="AI52" s="1387" t="s">
        <v>1981</v>
      </c>
      <c r="AJ52" s="1389" t="s">
        <v>128</v>
      </c>
      <c r="AK52" s="2388" t="s">
        <v>682</v>
      </c>
      <c r="AL52" s="1384">
        <v>0</v>
      </c>
      <c r="AM52" s="1383">
        <v>0</v>
      </c>
      <c r="AN52" s="1384">
        <v>1</v>
      </c>
      <c r="AO52" s="1385">
        <v>0</v>
      </c>
      <c r="AP52" s="1385">
        <v>0</v>
      </c>
      <c r="AQ52" s="1385">
        <v>1</v>
      </c>
      <c r="AR52" s="1383">
        <v>2</v>
      </c>
      <c r="AS52" s="2394" t="s">
        <v>380</v>
      </c>
    </row>
    <row r="53" spans="1:45">
      <c r="A53" s="2396"/>
      <c r="B53" s="2418">
        <v>20501</v>
      </c>
      <c r="C53" s="2418" t="s">
        <v>1891</v>
      </c>
      <c r="D53" s="2380">
        <v>0.08</v>
      </c>
      <c r="E53" s="2419" t="s">
        <v>393</v>
      </c>
      <c r="F53" s="2437">
        <f t="shared" si="12"/>
        <v>0</v>
      </c>
      <c r="G53" s="2438">
        <f t="shared" si="12"/>
        <v>0</v>
      </c>
      <c r="H53" s="2439">
        <f t="shared" si="12"/>
        <v>0</v>
      </c>
      <c r="I53" s="2440">
        <f t="shared" si="12"/>
        <v>0</v>
      </c>
      <c r="J53" s="2440">
        <f t="shared" si="12"/>
        <v>0</v>
      </c>
      <c r="K53" s="2440">
        <f t="shared" si="12"/>
        <v>0</v>
      </c>
      <c r="L53" s="2440">
        <f t="shared" si="12"/>
        <v>0</v>
      </c>
      <c r="M53" s="2420">
        <f t="shared" si="8"/>
        <v>0</v>
      </c>
      <c r="N53" s="1382">
        <v>0</v>
      </c>
      <c r="O53" s="1383">
        <v>0</v>
      </c>
      <c r="P53" s="1384"/>
      <c r="Q53" s="1385"/>
      <c r="R53" s="1385"/>
      <c r="S53" s="1385"/>
      <c r="T53" s="1385"/>
      <c r="U53" s="1382"/>
      <c r="V53" s="1383"/>
      <c r="W53" s="1384"/>
      <c r="X53" s="1385"/>
      <c r="Y53" s="1385"/>
      <c r="Z53" s="1385"/>
      <c r="AA53" s="1385"/>
      <c r="AB53" s="1382"/>
      <c r="AC53" s="1383"/>
      <c r="AD53" s="1384"/>
      <c r="AE53" s="1385"/>
      <c r="AF53" s="1385"/>
      <c r="AG53" s="1385"/>
      <c r="AH53" s="1386"/>
      <c r="AI53" s="1387" t="s">
        <v>1981</v>
      </c>
      <c r="AJ53" s="1389" t="s">
        <v>2002</v>
      </c>
      <c r="AK53" s="2388" t="s">
        <v>682</v>
      </c>
      <c r="AL53" s="1384">
        <v>0</v>
      </c>
      <c r="AM53" s="1383">
        <v>0</v>
      </c>
      <c r="AN53" s="1384">
        <v>2</v>
      </c>
      <c r="AO53" s="1385">
        <v>2</v>
      </c>
      <c r="AP53" s="1385">
        <v>2</v>
      </c>
      <c r="AQ53" s="1385">
        <v>0</v>
      </c>
      <c r="AR53" s="1383">
        <v>3</v>
      </c>
      <c r="AS53" s="2389" t="s">
        <v>380</v>
      </c>
    </row>
    <row r="54" spans="1:45">
      <c r="A54" s="2396"/>
      <c r="B54" s="2418">
        <v>20503</v>
      </c>
      <c r="C54" s="2418" t="s">
        <v>1892</v>
      </c>
      <c r="D54" s="2380">
        <v>0.1</v>
      </c>
      <c r="E54" s="2419" t="s">
        <v>679</v>
      </c>
      <c r="F54" s="2437">
        <f t="shared" si="12"/>
        <v>0</v>
      </c>
      <c r="G54" s="2438">
        <f t="shared" si="12"/>
        <v>0</v>
      </c>
      <c r="H54" s="2439">
        <f t="shared" si="12"/>
        <v>0</v>
      </c>
      <c r="I54" s="2440">
        <f t="shared" si="12"/>
        <v>0</v>
      </c>
      <c r="J54" s="2440">
        <f t="shared" si="12"/>
        <v>0</v>
      </c>
      <c r="K54" s="2440">
        <f t="shared" si="12"/>
        <v>0</v>
      </c>
      <c r="L54" s="2440">
        <f t="shared" si="12"/>
        <v>0</v>
      </c>
      <c r="M54" s="2420">
        <f t="shared" si="8"/>
        <v>0</v>
      </c>
      <c r="N54" s="1382">
        <v>0</v>
      </c>
      <c r="O54" s="1383">
        <v>0</v>
      </c>
      <c r="P54" s="1384"/>
      <c r="Q54" s="1385"/>
      <c r="R54" s="1385"/>
      <c r="S54" s="1385"/>
      <c r="T54" s="1385"/>
      <c r="U54" s="1382"/>
      <c r="V54" s="1383"/>
      <c r="W54" s="1384"/>
      <c r="X54" s="1385"/>
      <c r="Y54" s="1385"/>
      <c r="Z54" s="1385"/>
      <c r="AA54" s="1385"/>
      <c r="AB54" s="1382"/>
      <c r="AC54" s="1383"/>
      <c r="AD54" s="1384"/>
      <c r="AE54" s="1385"/>
      <c r="AF54" s="1385"/>
      <c r="AG54" s="1385"/>
      <c r="AH54" s="1386"/>
      <c r="AI54" s="1387" t="s">
        <v>1981</v>
      </c>
      <c r="AJ54" s="1389" t="s">
        <v>2003</v>
      </c>
      <c r="AK54" s="2388" t="s">
        <v>682</v>
      </c>
      <c r="AL54" s="1384">
        <v>0</v>
      </c>
      <c r="AM54" s="1383">
        <v>0</v>
      </c>
      <c r="AN54" s="1384">
        <v>3</v>
      </c>
      <c r="AO54" s="1385">
        <v>1</v>
      </c>
      <c r="AP54" s="1385">
        <v>1</v>
      </c>
      <c r="AQ54" s="1385">
        <v>1</v>
      </c>
      <c r="AR54" s="1383">
        <v>1</v>
      </c>
      <c r="AS54" s="2389" t="s">
        <v>380</v>
      </c>
    </row>
    <row r="55" spans="1:45" ht="24">
      <c r="A55" s="2396"/>
      <c r="B55" s="2418">
        <v>20303</v>
      </c>
      <c r="C55" s="2418" t="s">
        <v>1893</v>
      </c>
      <c r="D55" s="2380">
        <v>0.1</v>
      </c>
      <c r="E55" s="2419" t="s">
        <v>394</v>
      </c>
      <c r="F55" s="2437">
        <f t="shared" si="12"/>
        <v>0</v>
      </c>
      <c r="G55" s="2438">
        <f t="shared" si="12"/>
        <v>0</v>
      </c>
      <c r="H55" s="2439">
        <f t="shared" si="12"/>
        <v>0</v>
      </c>
      <c r="I55" s="2440">
        <f t="shared" si="12"/>
        <v>0</v>
      </c>
      <c r="J55" s="2440">
        <f t="shared" si="12"/>
        <v>0</v>
      </c>
      <c r="K55" s="2440">
        <f t="shared" si="12"/>
        <v>0</v>
      </c>
      <c r="L55" s="2440">
        <f t="shared" si="12"/>
        <v>0</v>
      </c>
      <c r="M55" s="2420">
        <f t="shared" si="8"/>
        <v>0</v>
      </c>
      <c r="N55" s="1382">
        <v>0</v>
      </c>
      <c r="O55" s="1383">
        <v>0</v>
      </c>
      <c r="P55" s="1384"/>
      <c r="Q55" s="1385"/>
      <c r="R55" s="1385"/>
      <c r="S55" s="1385"/>
      <c r="T55" s="1385"/>
      <c r="U55" s="1382"/>
      <c r="V55" s="1383"/>
      <c r="W55" s="1384"/>
      <c r="X55" s="1385"/>
      <c r="Y55" s="1385"/>
      <c r="Z55" s="1385"/>
      <c r="AA55" s="1385"/>
      <c r="AB55" s="1382"/>
      <c r="AC55" s="1383"/>
      <c r="AD55" s="1384"/>
      <c r="AE55" s="1385"/>
      <c r="AF55" s="1385"/>
      <c r="AG55" s="1385"/>
      <c r="AH55" s="1386"/>
      <c r="AI55" s="1387" t="s">
        <v>1981</v>
      </c>
      <c r="AJ55" s="1389" t="s">
        <v>133</v>
      </c>
      <c r="AK55" s="2388" t="s">
        <v>682</v>
      </c>
      <c r="AL55" s="1384">
        <v>0</v>
      </c>
      <c r="AM55" s="1383">
        <v>0</v>
      </c>
      <c r="AN55" s="1384">
        <v>3</v>
      </c>
      <c r="AO55" s="1385">
        <v>2</v>
      </c>
      <c r="AP55" s="1385">
        <v>2</v>
      </c>
      <c r="AQ55" s="1385">
        <v>4</v>
      </c>
      <c r="AR55" s="1383">
        <v>3</v>
      </c>
      <c r="AS55" s="2389" t="s">
        <v>380</v>
      </c>
    </row>
    <row r="56" spans="1:45" ht="24.75" thickBot="1">
      <c r="A56" s="2397"/>
      <c r="B56" s="2429">
        <v>20306</v>
      </c>
      <c r="C56" s="2429" t="s">
        <v>1894</v>
      </c>
      <c r="D56" s="2399">
        <v>0.1</v>
      </c>
      <c r="E56" s="2430" t="s">
        <v>717</v>
      </c>
      <c r="F56" s="2441">
        <f t="shared" si="12"/>
        <v>0</v>
      </c>
      <c r="G56" s="2442">
        <f t="shared" si="12"/>
        <v>0</v>
      </c>
      <c r="H56" s="2443">
        <f t="shared" si="12"/>
        <v>0</v>
      </c>
      <c r="I56" s="2444">
        <f t="shared" si="12"/>
        <v>0.4</v>
      </c>
      <c r="J56" s="2444">
        <f t="shared" si="12"/>
        <v>0</v>
      </c>
      <c r="K56" s="2444">
        <f t="shared" si="12"/>
        <v>0</v>
      </c>
      <c r="L56" s="2444">
        <f t="shared" si="12"/>
        <v>0</v>
      </c>
      <c r="M56" s="2431">
        <f t="shared" si="8"/>
        <v>0.4</v>
      </c>
      <c r="N56" s="1390">
        <v>0</v>
      </c>
      <c r="O56" s="1391">
        <v>0</v>
      </c>
      <c r="P56" s="1392"/>
      <c r="Q56" s="1393">
        <v>0.4</v>
      </c>
      <c r="R56" s="1393"/>
      <c r="S56" s="1393"/>
      <c r="T56" s="1393"/>
      <c r="U56" s="1390"/>
      <c r="V56" s="1391"/>
      <c r="W56" s="1392"/>
      <c r="X56" s="1393"/>
      <c r="Y56" s="1393"/>
      <c r="Z56" s="1393"/>
      <c r="AA56" s="1393"/>
      <c r="AB56" s="1390"/>
      <c r="AC56" s="1391"/>
      <c r="AD56" s="1392"/>
      <c r="AE56" s="1393"/>
      <c r="AF56" s="1393"/>
      <c r="AG56" s="1393"/>
      <c r="AH56" s="1394"/>
      <c r="AI56" s="1395" t="s">
        <v>1981</v>
      </c>
      <c r="AJ56" s="1396" t="s">
        <v>2004</v>
      </c>
      <c r="AK56" s="2402" t="s">
        <v>682</v>
      </c>
      <c r="AL56" s="1392">
        <v>0</v>
      </c>
      <c r="AM56" s="1391">
        <v>1</v>
      </c>
      <c r="AN56" s="1392">
        <v>4</v>
      </c>
      <c r="AO56" s="1393">
        <v>0</v>
      </c>
      <c r="AP56" s="1393">
        <v>3</v>
      </c>
      <c r="AQ56" s="1393">
        <v>3</v>
      </c>
      <c r="AR56" s="1391">
        <v>3</v>
      </c>
      <c r="AS56" s="2403" t="s">
        <v>380</v>
      </c>
    </row>
    <row r="57" spans="1:45" ht="13.5" thickBot="1">
      <c r="A57" s="2345">
        <v>1.4</v>
      </c>
      <c r="B57" s="2345"/>
      <c r="C57" s="2345"/>
      <c r="D57" s="2346"/>
      <c r="E57" s="2347" t="s">
        <v>1232</v>
      </c>
      <c r="F57" s="2348">
        <f t="shared" ref="F57:AH57" si="13">SUM(F58:F59)</f>
        <v>55.731999999999999</v>
      </c>
      <c r="G57" s="2349">
        <f t="shared" si="13"/>
        <v>65</v>
      </c>
      <c r="H57" s="2350">
        <f t="shared" si="13"/>
        <v>63</v>
      </c>
      <c r="I57" s="2351">
        <f t="shared" si="13"/>
        <v>67</v>
      </c>
      <c r="J57" s="2351">
        <f t="shared" si="13"/>
        <v>67</v>
      </c>
      <c r="K57" s="2351">
        <f t="shared" si="13"/>
        <v>67</v>
      </c>
      <c r="L57" s="2404">
        <f t="shared" si="13"/>
        <v>67</v>
      </c>
      <c r="M57" s="2405">
        <f t="shared" si="13"/>
        <v>331</v>
      </c>
      <c r="N57" s="2354">
        <f t="shared" si="13"/>
        <v>55.731999999999999</v>
      </c>
      <c r="O57" s="2355">
        <f t="shared" si="13"/>
        <v>65</v>
      </c>
      <c r="P57" s="2356">
        <f t="shared" si="13"/>
        <v>63</v>
      </c>
      <c r="Q57" s="2357">
        <f t="shared" si="13"/>
        <v>67</v>
      </c>
      <c r="R57" s="2357">
        <f t="shared" si="13"/>
        <v>67</v>
      </c>
      <c r="S57" s="2357">
        <f t="shared" si="13"/>
        <v>67</v>
      </c>
      <c r="T57" s="2358">
        <f t="shared" si="13"/>
        <v>67</v>
      </c>
      <c r="U57" s="2354">
        <f t="shared" si="13"/>
        <v>0</v>
      </c>
      <c r="V57" s="2355">
        <f t="shared" si="13"/>
        <v>0</v>
      </c>
      <c r="W57" s="2356">
        <f t="shared" si="13"/>
        <v>0</v>
      </c>
      <c r="X57" s="2357">
        <f t="shared" si="13"/>
        <v>0</v>
      </c>
      <c r="Y57" s="2357">
        <f t="shared" si="13"/>
        <v>0</v>
      </c>
      <c r="Z57" s="2357">
        <f t="shared" si="13"/>
        <v>0</v>
      </c>
      <c r="AA57" s="2358">
        <f t="shared" si="13"/>
        <v>0</v>
      </c>
      <c r="AB57" s="2354">
        <f t="shared" si="13"/>
        <v>0</v>
      </c>
      <c r="AC57" s="2355">
        <f t="shared" si="13"/>
        <v>0</v>
      </c>
      <c r="AD57" s="2356">
        <f t="shared" si="13"/>
        <v>0</v>
      </c>
      <c r="AE57" s="2357">
        <f t="shared" si="13"/>
        <v>0</v>
      </c>
      <c r="AF57" s="2357">
        <f t="shared" si="13"/>
        <v>0</v>
      </c>
      <c r="AG57" s="2357">
        <f t="shared" si="13"/>
        <v>0</v>
      </c>
      <c r="AH57" s="2359">
        <f t="shared" si="13"/>
        <v>0</v>
      </c>
      <c r="AI57" s="2406"/>
      <c r="AJ57" s="2407"/>
      <c r="AK57" s="2406"/>
      <c r="AL57" s="2408"/>
      <c r="AM57" s="2408"/>
      <c r="AN57" s="2409"/>
      <c r="AO57" s="2409"/>
      <c r="AP57" s="2409"/>
      <c r="AQ57" s="2409"/>
      <c r="AR57" s="2410"/>
      <c r="AS57" s="2411"/>
    </row>
    <row r="58" spans="1:45" ht="24">
      <c r="A58" s="2412"/>
      <c r="B58" s="2413">
        <v>2030501</v>
      </c>
      <c r="C58" s="2413" t="s">
        <v>1895</v>
      </c>
      <c r="D58" s="2445">
        <v>0.1</v>
      </c>
      <c r="E58" s="2432" t="s">
        <v>395</v>
      </c>
      <c r="F58" s="2382">
        <f t="shared" ref="F58:L59" si="14">N58+U58+AB58</f>
        <v>55.731999999999999</v>
      </c>
      <c r="G58" s="2383">
        <f t="shared" si="14"/>
        <v>65</v>
      </c>
      <c r="H58" s="2384">
        <f t="shared" si="14"/>
        <v>60</v>
      </c>
      <c r="I58" s="2385">
        <f t="shared" si="14"/>
        <v>60</v>
      </c>
      <c r="J58" s="2385">
        <f t="shared" si="14"/>
        <v>60</v>
      </c>
      <c r="K58" s="2385">
        <f t="shared" si="14"/>
        <v>60</v>
      </c>
      <c r="L58" s="2385">
        <f t="shared" si="14"/>
        <v>60</v>
      </c>
      <c r="M58" s="2415">
        <f t="shared" si="8"/>
        <v>300</v>
      </c>
      <c r="N58" s="1375">
        <v>55.731999999999999</v>
      </c>
      <c r="O58" s="1376">
        <v>65</v>
      </c>
      <c r="P58" s="1377">
        <v>60</v>
      </c>
      <c r="Q58" s="1378">
        <v>60</v>
      </c>
      <c r="R58" s="1378">
        <v>60</v>
      </c>
      <c r="S58" s="1378">
        <v>60</v>
      </c>
      <c r="T58" s="1378">
        <v>60</v>
      </c>
      <c r="U58" s="1375"/>
      <c r="V58" s="1376"/>
      <c r="W58" s="1377"/>
      <c r="X58" s="1378"/>
      <c r="Y58" s="1378"/>
      <c r="Z58" s="1378"/>
      <c r="AA58" s="1378"/>
      <c r="AB58" s="1375"/>
      <c r="AC58" s="1376"/>
      <c r="AD58" s="1377"/>
      <c r="AE58" s="1378"/>
      <c r="AF58" s="1378"/>
      <c r="AG58" s="1378"/>
      <c r="AH58" s="1379"/>
      <c r="AI58" s="1380" t="s">
        <v>1981</v>
      </c>
      <c r="AJ58" s="1381" t="s">
        <v>2005</v>
      </c>
      <c r="AK58" s="2376" t="s">
        <v>682</v>
      </c>
      <c r="AL58" s="1377">
        <v>1399</v>
      </c>
      <c r="AM58" s="1398">
        <v>1050</v>
      </c>
      <c r="AN58" s="1377">
        <v>2500</v>
      </c>
      <c r="AO58" s="1378">
        <v>2500</v>
      </c>
      <c r="AP58" s="1378">
        <v>2500</v>
      </c>
      <c r="AQ58" s="1378">
        <v>2500</v>
      </c>
      <c r="AR58" s="1376">
        <v>2500</v>
      </c>
      <c r="AS58" s="2446" t="s">
        <v>663</v>
      </c>
    </row>
    <row r="59" spans="1:45" ht="24.75" thickBot="1">
      <c r="A59" s="2447"/>
      <c r="B59" s="2429">
        <v>2030501</v>
      </c>
      <c r="C59" s="2429" t="s">
        <v>1896</v>
      </c>
      <c r="D59" s="2448">
        <v>0.1</v>
      </c>
      <c r="E59" s="2449" t="s">
        <v>396</v>
      </c>
      <c r="F59" s="2382">
        <f t="shared" si="14"/>
        <v>0</v>
      </c>
      <c r="G59" s="2383">
        <f t="shared" si="14"/>
        <v>0</v>
      </c>
      <c r="H59" s="2384">
        <f t="shared" si="14"/>
        <v>3</v>
      </c>
      <c r="I59" s="2385">
        <f t="shared" si="14"/>
        <v>7</v>
      </c>
      <c r="J59" s="2385">
        <f t="shared" si="14"/>
        <v>7</v>
      </c>
      <c r="K59" s="2385">
        <f t="shared" si="14"/>
        <v>7</v>
      </c>
      <c r="L59" s="2385">
        <f t="shared" si="14"/>
        <v>7</v>
      </c>
      <c r="M59" s="2431">
        <f t="shared" si="8"/>
        <v>31</v>
      </c>
      <c r="N59" s="1390">
        <v>0</v>
      </c>
      <c r="O59" s="1391">
        <v>0</v>
      </c>
      <c r="P59" s="1392">
        <v>3</v>
      </c>
      <c r="Q59" s="1393">
        <v>7</v>
      </c>
      <c r="R59" s="1393">
        <v>7</v>
      </c>
      <c r="S59" s="1393">
        <v>7</v>
      </c>
      <c r="T59" s="1393">
        <v>7</v>
      </c>
      <c r="U59" s="1390"/>
      <c r="V59" s="1391"/>
      <c r="W59" s="1392"/>
      <c r="X59" s="1393"/>
      <c r="Y59" s="1393"/>
      <c r="Z59" s="1393"/>
      <c r="AA59" s="1393"/>
      <c r="AB59" s="1390"/>
      <c r="AC59" s="1391"/>
      <c r="AD59" s="1392"/>
      <c r="AE59" s="1393"/>
      <c r="AF59" s="1393"/>
      <c r="AG59" s="1393"/>
      <c r="AH59" s="1394"/>
      <c r="AI59" s="1395" t="s">
        <v>1981</v>
      </c>
      <c r="AJ59" s="1399" t="s">
        <v>2005</v>
      </c>
      <c r="AK59" s="2402" t="s">
        <v>682</v>
      </c>
      <c r="AL59" s="1392">
        <v>0</v>
      </c>
      <c r="AM59" s="1400">
        <v>0</v>
      </c>
      <c r="AN59" s="1392">
        <v>10</v>
      </c>
      <c r="AO59" s="1393">
        <v>20</v>
      </c>
      <c r="AP59" s="1393">
        <v>20</v>
      </c>
      <c r="AQ59" s="1393">
        <v>20</v>
      </c>
      <c r="AR59" s="1391">
        <v>20</v>
      </c>
      <c r="AS59" s="2403" t="s">
        <v>664</v>
      </c>
    </row>
    <row r="60" spans="1:45" ht="13.5" thickBot="1">
      <c r="A60" s="2345">
        <v>1.5</v>
      </c>
      <c r="B60" s="2345"/>
      <c r="C60" s="2345"/>
      <c r="D60" s="2346"/>
      <c r="E60" s="2347" t="s">
        <v>1233</v>
      </c>
      <c r="F60" s="2348">
        <f t="shared" ref="F60:AH60" si="15">SUM(F61:F71)</f>
        <v>50.027999999999999</v>
      </c>
      <c r="G60" s="2349">
        <f t="shared" si="15"/>
        <v>124</v>
      </c>
      <c r="H60" s="2350">
        <f t="shared" si="15"/>
        <v>153.62700000000001</v>
      </c>
      <c r="I60" s="2351">
        <f t="shared" si="15"/>
        <v>54</v>
      </c>
      <c r="J60" s="2351">
        <f t="shared" si="15"/>
        <v>56</v>
      </c>
      <c r="K60" s="2351">
        <f t="shared" si="15"/>
        <v>48.5</v>
      </c>
      <c r="L60" s="2404">
        <f t="shared" si="15"/>
        <v>49.5</v>
      </c>
      <c r="M60" s="2405">
        <f t="shared" si="15"/>
        <v>361.62700000000001</v>
      </c>
      <c r="N60" s="2354">
        <f t="shared" si="15"/>
        <v>50.027999999999999</v>
      </c>
      <c r="O60" s="2355">
        <f t="shared" si="15"/>
        <v>124</v>
      </c>
      <c r="P60" s="2356">
        <f t="shared" si="15"/>
        <v>50</v>
      </c>
      <c r="Q60" s="2357">
        <f t="shared" si="15"/>
        <v>54</v>
      </c>
      <c r="R60" s="2357">
        <f t="shared" si="15"/>
        <v>56</v>
      </c>
      <c r="S60" s="2357">
        <f t="shared" si="15"/>
        <v>48.5</v>
      </c>
      <c r="T60" s="2358">
        <f t="shared" si="15"/>
        <v>49.5</v>
      </c>
      <c r="U60" s="2354">
        <f t="shared" si="15"/>
        <v>0</v>
      </c>
      <c r="V60" s="2355">
        <f t="shared" si="15"/>
        <v>0</v>
      </c>
      <c r="W60" s="2356">
        <f t="shared" si="15"/>
        <v>0</v>
      </c>
      <c r="X60" s="2357">
        <f t="shared" si="15"/>
        <v>0</v>
      </c>
      <c r="Y60" s="2357">
        <f t="shared" si="15"/>
        <v>0</v>
      </c>
      <c r="Z60" s="2357">
        <f t="shared" si="15"/>
        <v>0</v>
      </c>
      <c r="AA60" s="2358">
        <f t="shared" si="15"/>
        <v>0</v>
      </c>
      <c r="AB60" s="2354">
        <f t="shared" si="15"/>
        <v>0</v>
      </c>
      <c r="AC60" s="2355">
        <f t="shared" si="15"/>
        <v>0</v>
      </c>
      <c r="AD60" s="2356">
        <f t="shared" si="15"/>
        <v>103.627</v>
      </c>
      <c r="AE60" s="2357">
        <f t="shared" si="15"/>
        <v>0</v>
      </c>
      <c r="AF60" s="2357">
        <f t="shared" si="15"/>
        <v>0</v>
      </c>
      <c r="AG60" s="2357">
        <f t="shared" si="15"/>
        <v>0</v>
      </c>
      <c r="AH60" s="2359">
        <f t="shared" si="15"/>
        <v>0</v>
      </c>
      <c r="AI60" s="2406"/>
      <c r="AJ60" s="2407"/>
      <c r="AK60" s="2406"/>
      <c r="AL60" s="2408"/>
      <c r="AM60" s="2408"/>
      <c r="AN60" s="2409"/>
      <c r="AO60" s="2409"/>
      <c r="AP60" s="2409"/>
      <c r="AQ60" s="2409"/>
      <c r="AR60" s="2410"/>
      <c r="AS60" s="2411"/>
    </row>
    <row r="61" spans="1:45" ht="24">
      <c r="A61" s="2450"/>
      <c r="B61" s="2413">
        <v>20201</v>
      </c>
      <c r="C61" s="2413" t="s">
        <v>1897</v>
      </c>
      <c r="D61" s="2451">
        <v>0.03</v>
      </c>
      <c r="E61" s="2414" t="s">
        <v>397</v>
      </c>
      <c r="F61" s="2382">
        <f t="shared" ref="F61:L71" si="16">N61+U61+AB61</f>
        <v>4.0460000000000003</v>
      </c>
      <c r="G61" s="2383">
        <f t="shared" si="16"/>
        <v>15</v>
      </c>
      <c r="H61" s="2384">
        <f t="shared" si="16"/>
        <v>8</v>
      </c>
      <c r="I61" s="2385">
        <f t="shared" si="16"/>
        <v>17</v>
      </c>
      <c r="J61" s="2385">
        <f t="shared" si="16"/>
        <v>13</v>
      </c>
      <c r="K61" s="2385">
        <f t="shared" si="16"/>
        <v>2</v>
      </c>
      <c r="L61" s="2385">
        <f t="shared" si="16"/>
        <v>16</v>
      </c>
      <c r="M61" s="2415">
        <f t="shared" si="8"/>
        <v>56</v>
      </c>
      <c r="N61" s="1375">
        <v>4.0460000000000003</v>
      </c>
      <c r="O61" s="1376">
        <v>15</v>
      </c>
      <c r="P61" s="1377">
        <v>8</v>
      </c>
      <c r="Q61" s="1378">
        <v>17</v>
      </c>
      <c r="R61" s="1378">
        <v>13</v>
      </c>
      <c r="S61" s="1378">
        <v>2</v>
      </c>
      <c r="T61" s="1378">
        <v>16</v>
      </c>
      <c r="U61" s="1375"/>
      <c r="V61" s="1376"/>
      <c r="W61" s="1377"/>
      <c r="X61" s="1378"/>
      <c r="Y61" s="1378"/>
      <c r="Z61" s="1378"/>
      <c r="AA61" s="1378"/>
      <c r="AB61" s="1375"/>
      <c r="AC61" s="1376"/>
      <c r="AD61" s="1377"/>
      <c r="AE61" s="1378"/>
      <c r="AF61" s="1378"/>
      <c r="AG61" s="1378"/>
      <c r="AH61" s="1379"/>
      <c r="AI61" s="1380" t="s">
        <v>1984</v>
      </c>
      <c r="AJ61" s="1381"/>
      <c r="AK61" s="2376" t="s">
        <v>682</v>
      </c>
      <c r="AL61" s="1377">
        <v>1</v>
      </c>
      <c r="AM61" s="1376">
        <v>1</v>
      </c>
      <c r="AN61" s="1377">
        <v>1</v>
      </c>
      <c r="AO61" s="1378">
        <v>1</v>
      </c>
      <c r="AP61" s="1378">
        <v>1</v>
      </c>
      <c r="AQ61" s="1378">
        <v>1</v>
      </c>
      <c r="AR61" s="1376">
        <v>1</v>
      </c>
      <c r="AS61" s="2377" t="s">
        <v>398</v>
      </c>
    </row>
    <row r="62" spans="1:45">
      <c r="A62" s="2427"/>
      <c r="B62" s="2418">
        <v>20601</v>
      </c>
      <c r="C62" s="2418" t="s">
        <v>1898</v>
      </c>
      <c r="D62" s="2390">
        <v>0.1</v>
      </c>
      <c r="E62" s="2419" t="s">
        <v>399</v>
      </c>
      <c r="F62" s="2382">
        <f t="shared" si="16"/>
        <v>16.34</v>
      </c>
      <c r="G62" s="2383">
        <f t="shared" si="16"/>
        <v>14</v>
      </c>
      <c r="H62" s="2384">
        <f t="shared" si="16"/>
        <v>10</v>
      </c>
      <c r="I62" s="2385">
        <f t="shared" si="16"/>
        <v>8</v>
      </c>
      <c r="J62" s="2385">
        <f t="shared" si="16"/>
        <v>15</v>
      </c>
      <c r="K62" s="2385">
        <f t="shared" si="16"/>
        <v>10</v>
      </c>
      <c r="L62" s="2385">
        <f t="shared" si="16"/>
        <v>0</v>
      </c>
      <c r="M62" s="2420">
        <f t="shared" si="8"/>
        <v>43</v>
      </c>
      <c r="N62" s="1382">
        <f>16.208+0.132</f>
        <v>16.34</v>
      </c>
      <c r="O62" s="1383">
        <v>14</v>
      </c>
      <c r="P62" s="1384">
        <v>10</v>
      </c>
      <c r="Q62" s="1385">
        <v>8</v>
      </c>
      <c r="R62" s="1385">
        <v>15</v>
      </c>
      <c r="S62" s="1385">
        <v>10</v>
      </c>
      <c r="T62" s="1385"/>
      <c r="U62" s="1382"/>
      <c r="V62" s="1383"/>
      <c r="W62" s="1384"/>
      <c r="X62" s="1385"/>
      <c r="Y62" s="1385"/>
      <c r="Z62" s="1385"/>
      <c r="AA62" s="1385"/>
      <c r="AB62" s="1382"/>
      <c r="AC62" s="1383"/>
      <c r="AD62" s="1384"/>
      <c r="AE62" s="1385"/>
      <c r="AF62" s="1385"/>
      <c r="AG62" s="1385"/>
      <c r="AH62" s="1386"/>
      <c r="AI62" s="1387" t="s">
        <v>1984</v>
      </c>
      <c r="AJ62" s="1389"/>
      <c r="AK62" s="2388" t="s">
        <v>682</v>
      </c>
      <c r="AL62" s="1384">
        <v>6</v>
      </c>
      <c r="AM62" s="1383">
        <v>34</v>
      </c>
      <c r="AN62" s="1384">
        <v>1</v>
      </c>
      <c r="AO62" s="1385">
        <v>1</v>
      </c>
      <c r="AP62" s="1385">
        <v>1</v>
      </c>
      <c r="AQ62" s="1385">
        <v>1</v>
      </c>
      <c r="AR62" s="1383">
        <v>1</v>
      </c>
      <c r="AS62" s="2389" t="s">
        <v>400</v>
      </c>
    </row>
    <row r="63" spans="1:45">
      <c r="A63" s="2427"/>
      <c r="B63" s="2418">
        <v>20502</v>
      </c>
      <c r="C63" s="2418" t="s">
        <v>1899</v>
      </c>
      <c r="D63" s="2390">
        <v>0.1</v>
      </c>
      <c r="E63" s="2421" t="s">
        <v>675</v>
      </c>
      <c r="F63" s="2382">
        <f t="shared" si="16"/>
        <v>3.81</v>
      </c>
      <c r="G63" s="2383">
        <f t="shared" si="16"/>
        <v>7</v>
      </c>
      <c r="H63" s="2384">
        <f t="shared" si="16"/>
        <v>4</v>
      </c>
      <c r="I63" s="2385">
        <f t="shared" si="16"/>
        <v>4</v>
      </c>
      <c r="J63" s="2385">
        <f t="shared" si="16"/>
        <v>4</v>
      </c>
      <c r="K63" s="2385">
        <f t="shared" si="16"/>
        <v>8</v>
      </c>
      <c r="L63" s="2385">
        <f t="shared" si="16"/>
        <v>6</v>
      </c>
      <c r="M63" s="2420">
        <f t="shared" si="8"/>
        <v>26</v>
      </c>
      <c r="N63" s="1382">
        <v>3.81</v>
      </c>
      <c r="O63" s="1383">
        <v>7</v>
      </c>
      <c r="P63" s="1384">
        <v>4</v>
      </c>
      <c r="Q63" s="1385">
        <v>4</v>
      </c>
      <c r="R63" s="1385">
        <v>4</v>
      </c>
      <c r="S63" s="1385">
        <v>8</v>
      </c>
      <c r="T63" s="1385">
        <v>6</v>
      </c>
      <c r="U63" s="1382"/>
      <c r="V63" s="1383"/>
      <c r="W63" s="1384"/>
      <c r="X63" s="1385"/>
      <c r="Y63" s="1385"/>
      <c r="Z63" s="1385"/>
      <c r="AA63" s="1385"/>
      <c r="AB63" s="1382"/>
      <c r="AC63" s="1383"/>
      <c r="AD63" s="1384"/>
      <c r="AE63" s="1385"/>
      <c r="AF63" s="1385"/>
      <c r="AG63" s="1385"/>
      <c r="AH63" s="1386"/>
      <c r="AI63" s="1387" t="s">
        <v>1984</v>
      </c>
      <c r="AJ63" s="1389"/>
      <c r="AK63" s="2388" t="s">
        <v>682</v>
      </c>
      <c r="AL63" s="1384">
        <v>0</v>
      </c>
      <c r="AM63" s="1383">
        <v>1</v>
      </c>
      <c r="AN63" s="1384">
        <v>1</v>
      </c>
      <c r="AO63" s="1385">
        <v>1</v>
      </c>
      <c r="AP63" s="1385">
        <v>1</v>
      </c>
      <c r="AQ63" s="1385">
        <v>2</v>
      </c>
      <c r="AR63" s="1383">
        <v>2</v>
      </c>
      <c r="AS63" s="2389" t="s">
        <v>380</v>
      </c>
    </row>
    <row r="64" spans="1:45">
      <c r="A64" s="2427"/>
      <c r="B64" s="2452">
        <v>20501</v>
      </c>
      <c r="C64" s="2452" t="s">
        <v>1900</v>
      </c>
      <c r="D64" s="2453">
        <v>0.08</v>
      </c>
      <c r="E64" s="2454" t="s">
        <v>1235</v>
      </c>
      <c r="F64" s="2382">
        <f t="shared" si="16"/>
        <v>0</v>
      </c>
      <c r="G64" s="2383">
        <f t="shared" si="16"/>
        <v>67</v>
      </c>
      <c r="H64" s="2384">
        <f t="shared" si="16"/>
        <v>0</v>
      </c>
      <c r="I64" s="2385">
        <f t="shared" si="16"/>
        <v>0</v>
      </c>
      <c r="J64" s="2385">
        <f t="shared" si="16"/>
        <v>0</v>
      </c>
      <c r="K64" s="2385">
        <f t="shared" si="16"/>
        <v>0</v>
      </c>
      <c r="L64" s="2385">
        <f t="shared" si="16"/>
        <v>0</v>
      </c>
      <c r="M64" s="2420">
        <f t="shared" si="8"/>
        <v>0</v>
      </c>
      <c r="N64" s="1382"/>
      <c r="O64" s="1383">
        <v>67</v>
      </c>
      <c r="P64" s="1384"/>
      <c r="Q64" s="1385"/>
      <c r="R64" s="1385"/>
      <c r="S64" s="1385"/>
      <c r="T64" s="1385"/>
      <c r="U64" s="1382"/>
      <c r="V64" s="1383"/>
      <c r="W64" s="1384"/>
      <c r="X64" s="1385"/>
      <c r="Y64" s="1385"/>
      <c r="Z64" s="1385"/>
      <c r="AA64" s="1385"/>
      <c r="AB64" s="1382"/>
      <c r="AC64" s="1383"/>
      <c r="AD64" s="1384"/>
      <c r="AE64" s="1385"/>
      <c r="AF64" s="1385"/>
      <c r="AG64" s="1385"/>
      <c r="AH64" s="1386"/>
      <c r="AI64" s="1387" t="s">
        <v>1984</v>
      </c>
      <c r="AJ64" s="1389"/>
      <c r="AK64" s="2388"/>
      <c r="AL64" s="1401"/>
      <c r="AM64" s="1402">
        <v>2</v>
      </c>
      <c r="AN64" s="1384">
        <v>1</v>
      </c>
      <c r="AO64" s="1385">
        <v>1</v>
      </c>
      <c r="AP64" s="1385">
        <v>1</v>
      </c>
      <c r="AQ64" s="1385">
        <v>3</v>
      </c>
      <c r="AR64" s="1383">
        <v>3</v>
      </c>
      <c r="AS64" s="2389"/>
    </row>
    <row r="65" spans="1:45">
      <c r="A65" s="2427"/>
      <c r="B65" s="2452">
        <v>20503</v>
      </c>
      <c r="C65" s="2452" t="s">
        <v>1901</v>
      </c>
      <c r="D65" s="2390">
        <v>0.1</v>
      </c>
      <c r="E65" s="2421" t="s">
        <v>674</v>
      </c>
      <c r="F65" s="2382">
        <f t="shared" si="16"/>
        <v>10.9</v>
      </c>
      <c r="G65" s="2383">
        <f t="shared" si="16"/>
        <v>0</v>
      </c>
      <c r="H65" s="2384">
        <f t="shared" si="16"/>
        <v>4</v>
      </c>
      <c r="I65" s="2385">
        <f t="shared" si="16"/>
        <v>4</v>
      </c>
      <c r="J65" s="2385">
        <f t="shared" si="16"/>
        <v>4</v>
      </c>
      <c r="K65" s="2385">
        <f t="shared" si="16"/>
        <v>5</v>
      </c>
      <c r="L65" s="2385">
        <f t="shared" si="16"/>
        <v>5</v>
      </c>
      <c r="M65" s="2420">
        <f t="shared" si="8"/>
        <v>22</v>
      </c>
      <c r="N65" s="1382">
        <v>10.9</v>
      </c>
      <c r="O65" s="1383">
        <v>0</v>
      </c>
      <c r="P65" s="1384">
        <v>4</v>
      </c>
      <c r="Q65" s="1385">
        <v>4</v>
      </c>
      <c r="R65" s="1385">
        <v>4</v>
      </c>
      <c r="S65" s="1385">
        <v>5</v>
      </c>
      <c r="T65" s="1385">
        <v>5</v>
      </c>
      <c r="U65" s="1382"/>
      <c r="V65" s="1383"/>
      <c r="W65" s="1384"/>
      <c r="X65" s="1385"/>
      <c r="Y65" s="1385"/>
      <c r="Z65" s="1385"/>
      <c r="AA65" s="1385"/>
      <c r="AB65" s="1382"/>
      <c r="AC65" s="1383"/>
      <c r="AD65" s="1384"/>
      <c r="AE65" s="1385"/>
      <c r="AF65" s="1385"/>
      <c r="AG65" s="1385"/>
      <c r="AH65" s="1386"/>
      <c r="AI65" s="1387" t="s">
        <v>1984</v>
      </c>
      <c r="AJ65" s="1389"/>
      <c r="AK65" s="2388" t="s">
        <v>682</v>
      </c>
      <c r="AL65" s="1384">
        <v>0</v>
      </c>
      <c r="AM65" s="1383">
        <v>0</v>
      </c>
      <c r="AN65" s="1384">
        <v>1</v>
      </c>
      <c r="AO65" s="1385">
        <v>1</v>
      </c>
      <c r="AP65" s="1385">
        <v>1</v>
      </c>
      <c r="AQ65" s="1385">
        <v>1</v>
      </c>
      <c r="AR65" s="1383">
        <v>1</v>
      </c>
      <c r="AS65" s="2394" t="s">
        <v>380</v>
      </c>
    </row>
    <row r="66" spans="1:45" ht="19.5" customHeight="1">
      <c r="A66" s="2427"/>
      <c r="B66" s="2452">
        <v>20303</v>
      </c>
      <c r="C66" s="2452" t="s">
        <v>1902</v>
      </c>
      <c r="D66" s="2453">
        <v>0.1</v>
      </c>
      <c r="E66" s="2419" t="s">
        <v>411</v>
      </c>
      <c r="F66" s="2382">
        <f t="shared" si="16"/>
        <v>0</v>
      </c>
      <c r="G66" s="2383">
        <f t="shared" si="16"/>
        <v>0</v>
      </c>
      <c r="H66" s="2384">
        <f t="shared" si="16"/>
        <v>0</v>
      </c>
      <c r="I66" s="2385">
        <f t="shared" si="16"/>
        <v>0</v>
      </c>
      <c r="J66" s="2385">
        <f t="shared" si="16"/>
        <v>0</v>
      </c>
      <c r="K66" s="2385">
        <f t="shared" si="16"/>
        <v>0</v>
      </c>
      <c r="L66" s="2385">
        <f t="shared" si="16"/>
        <v>0</v>
      </c>
      <c r="M66" s="2420">
        <f t="shared" si="8"/>
        <v>0</v>
      </c>
      <c r="N66" s="1382"/>
      <c r="O66" s="1383">
        <v>0</v>
      </c>
      <c r="P66" s="1384"/>
      <c r="Q66" s="1385"/>
      <c r="R66" s="1385"/>
      <c r="S66" s="1385"/>
      <c r="T66" s="1385"/>
      <c r="U66" s="1382"/>
      <c r="V66" s="1383"/>
      <c r="W66" s="1384"/>
      <c r="X66" s="1385"/>
      <c r="Y66" s="1385"/>
      <c r="Z66" s="1385"/>
      <c r="AA66" s="1385"/>
      <c r="AB66" s="1382"/>
      <c r="AC66" s="1383"/>
      <c r="AD66" s="1384"/>
      <c r="AE66" s="1385"/>
      <c r="AF66" s="1385"/>
      <c r="AG66" s="1385"/>
      <c r="AH66" s="1386"/>
      <c r="AI66" s="1387" t="s">
        <v>1984</v>
      </c>
      <c r="AJ66" s="1389"/>
      <c r="AK66" s="2388"/>
      <c r="AL66" s="1401"/>
      <c r="AM66" s="1402">
        <v>0</v>
      </c>
      <c r="AN66" s="1384">
        <v>1</v>
      </c>
      <c r="AO66" s="1385">
        <v>1</v>
      </c>
      <c r="AP66" s="1385">
        <v>1</v>
      </c>
      <c r="AQ66" s="1385">
        <v>1</v>
      </c>
      <c r="AR66" s="1383">
        <v>1</v>
      </c>
      <c r="AS66" s="2394"/>
    </row>
    <row r="67" spans="1:45">
      <c r="A67" s="2427"/>
      <c r="B67" s="2452">
        <v>20306</v>
      </c>
      <c r="C67" s="2452" t="s">
        <v>1903</v>
      </c>
      <c r="D67" s="2453">
        <v>0.1</v>
      </c>
      <c r="E67" s="2454" t="s">
        <v>1040</v>
      </c>
      <c r="F67" s="2382">
        <f t="shared" si="16"/>
        <v>0</v>
      </c>
      <c r="G67" s="2383">
        <f t="shared" si="16"/>
        <v>0</v>
      </c>
      <c r="H67" s="2384">
        <f t="shared" si="16"/>
        <v>8</v>
      </c>
      <c r="I67" s="2385">
        <f t="shared" si="16"/>
        <v>9</v>
      </c>
      <c r="J67" s="2385">
        <f t="shared" si="16"/>
        <v>9</v>
      </c>
      <c r="K67" s="2385">
        <f t="shared" si="16"/>
        <v>10</v>
      </c>
      <c r="L67" s="2385">
        <f t="shared" si="16"/>
        <v>9</v>
      </c>
      <c r="M67" s="2420">
        <f t="shared" si="8"/>
        <v>45</v>
      </c>
      <c r="N67" s="1382"/>
      <c r="O67" s="1383">
        <v>0</v>
      </c>
      <c r="P67" s="1384">
        <v>8</v>
      </c>
      <c r="Q67" s="1385">
        <v>9</v>
      </c>
      <c r="R67" s="1385">
        <v>9</v>
      </c>
      <c r="S67" s="1385">
        <v>10</v>
      </c>
      <c r="T67" s="1385">
        <v>9</v>
      </c>
      <c r="U67" s="1382"/>
      <c r="V67" s="1383"/>
      <c r="W67" s="1384"/>
      <c r="X67" s="1385"/>
      <c r="Y67" s="1385"/>
      <c r="Z67" s="1385"/>
      <c r="AA67" s="1385"/>
      <c r="AB67" s="1382"/>
      <c r="AC67" s="1383"/>
      <c r="AD67" s="1384"/>
      <c r="AE67" s="1385"/>
      <c r="AF67" s="1385"/>
      <c r="AG67" s="1385"/>
      <c r="AH67" s="1386"/>
      <c r="AI67" s="1387" t="s">
        <v>1984</v>
      </c>
      <c r="AJ67" s="1389"/>
      <c r="AK67" s="2388"/>
      <c r="AL67" s="1401"/>
      <c r="AM67" s="1402">
        <v>0</v>
      </c>
      <c r="AN67" s="1384">
        <v>1</v>
      </c>
      <c r="AO67" s="1385">
        <v>1</v>
      </c>
      <c r="AP67" s="1385">
        <v>1</v>
      </c>
      <c r="AQ67" s="1385">
        <v>1</v>
      </c>
      <c r="AR67" s="1383">
        <v>1</v>
      </c>
      <c r="AS67" s="2394"/>
    </row>
    <row r="68" spans="1:45" ht="24">
      <c r="A68" s="2427"/>
      <c r="B68" s="2418">
        <v>212</v>
      </c>
      <c r="C68" s="2418" t="s">
        <v>1904</v>
      </c>
      <c r="D68" s="2390">
        <v>0.2</v>
      </c>
      <c r="E68" s="2421" t="s">
        <v>992</v>
      </c>
      <c r="F68" s="2382">
        <f t="shared" si="16"/>
        <v>14.932</v>
      </c>
      <c r="G68" s="2383">
        <f t="shared" si="16"/>
        <v>1</v>
      </c>
      <c r="H68" s="2384">
        <f t="shared" si="16"/>
        <v>3</v>
      </c>
      <c r="I68" s="2385">
        <f t="shared" si="16"/>
        <v>3</v>
      </c>
      <c r="J68" s="2385">
        <f t="shared" si="16"/>
        <v>3</v>
      </c>
      <c r="K68" s="2385">
        <f t="shared" si="16"/>
        <v>3.5</v>
      </c>
      <c r="L68" s="2385">
        <f t="shared" si="16"/>
        <v>3.5</v>
      </c>
      <c r="M68" s="2420">
        <f t="shared" si="8"/>
        <v>16</v>
      </c>
      <c r="N68" s="1382">
        <f>11.432+3.5</f>
        <v>14.932</v>
      </c>
      <c r="O68" s="1383">
        <v>1</v>
      </c>
      <c r="P68" s="1384">
        <v>3</v>
      </c>
      <c r="Q68" s="1385">
        <v>3</v>
      </c>
      <c r="R68" s="1385">
        <v>3</v>
      </c>
      <c r="S68" s="1385">
        <v>3.5</v>
      </c>
      <c r="T68" s="1385">
        <v>3.5</v>
      </c>
      <c r="U68" s="1382"/>
      <c r="V68" s="1383"/>
      <c r="W68" s="1384"/>
      <c r="X68" s="1385"/>
      <c r="Y68" s="1385"/>
      <c r="Z68" s="1385"/>
      <c r="AA68" s="1385"/>
      <c r="AB68" s="1382"/>
      <c r="AC68" s="1383"/>
      <c r="AD68" s="1384"/>
      <c r="AE68" s="1385"/>
      <c r="AF68" s="1385"/>
      <c r="AG68" s="1385"/>
      <c r="AH68" s="1386"/>
      <c r="AI68" s="1387" t="s">
        <v>1984</v>
      </c>
      <c r="AJ68" s="1388"/>
      <c r="AK68" s="2388" t="s">
        <v>682</v>
      </c>
      <c r="AL68" s="1384">
        <v>0</v>
      </c>
      <c r="AM68" s="1383">
        <v>0</v>
      </c>
      <c r="AN68" s="1384">
        <v>1</v>
      </c>
      <c r="AO68" s="1385">
        <v>1</v>
      </c>
      <c r="AP68" s="1385">
        <v>1</v>
      </c>
      <c r="AQ68" s="1385">
        <v>1</v>
      </c>
      <c r="AR68" s="1383">
        <v>1</v>
      </c>
      <c r="AS68" s="2394" t="s">
        <v>401</v>
      </c>
    </row>
    <row r="69" spans="1:45" ht="24.75" thickBot="1">
      <c r="A69" s="2417"/>
      <c r="B69" s="2418">
        <v>215</v>
      </c>
      <c r="C69" s="2418" t="s">
        <v>1905</v>
      </c>
      <c r="D69" s="2390">
        <v>0.2</v>
      </c>
      <c r="E69" s="2421" t="s">
        <v>993</v>
      </c>
      <c r="F69" s="2382">
        <f t="shared" si="16"/>
        <v>0</v>
      </c>
      <c r="G69" s="2383">
        <f t="shared" si="16"/>
        <v>0</v>
      </c>
      <c r="H69" s="2384">
        <f t="shared" si="16"/>
        <v>4</v>
      </c>
      <c r="I69" s="2385">
        <f t="shared" si="16"/>
        <v>4</v>
      </c>
      <c r="J69" s="2385">
        <f t="shared" si="16"/>
        <v>4</v>
      </c>
      <c r="K69" s="2385">
        <f t="shared" si="16"/>
        <v>4</v>
      </c>
      <c r="L69" s="2385">
        <f t="shared" si="16"/>
        <v>4</v>
      </c>
      <c r="M69" s="2420">
        <f t="shared" si="8"/>
        <v>20</v>
      </c>
      <c r="N69" s="1382">
        <v>0</v>
      </c>
      <c r="O69" s="1383">
        <v>0</v>
      </c>
      <c r="P69" s="1384">
        <v>4</v>
      </c>
      <c r="Q69" s="1385">
        <v>4</v>
      </c>
      <c r="R69" s="1385">
        <v>4</v>
      </c>
      <c r="S69" s="1385">
        <v>4</v>
      </c>
      <c r="T69" s="1385">
        <v>4</v>
      </c>
      <c r="U69" s="1382"/>
      <c r="V69" s="1383"/>
      <c r="W69" s="1384"/>
      <c r="X69" s="1385"/>
      <c r="Y69" s="1385"/>
      <c r="Z69" s="1385"/>
      <c r="AA69" s="1385"/>
      <c r="AB69" s="1382"/>
      <c r="AC69" s="1383"/>
      <c r="AD69" s="1384"/>
      <c r="AE69" s="1385"/>
      <c r="AF69" s="1385"/>
      <c r="AG69" s="1385"/>
      <c r="AH69" s="1386"/>
      <c r="AI69" s="1387" t="s">
        <v>1984</v>
      </c>
      <c r="AJ69" s="1388"/>
      <c r="AK69" s="2455" t="s">
        <v>682</v>
      </c>
      <c r="AL69" s="1384">
        <v>0</v>
      </c>
      <c r="AM69" s="1383">
        <v>0</v>
      </c>
      <c r="AN69" s="1384">
        <v>1</v>
      </c>
      <c r="AO69" s="1385">
        <v>1</v>
      </c>
      <c r="AP69" s="1385">
        <v>1</v>
      </c>
      <c r="AQ69" s="1385">
        <v>1</v>
      </c>
      <c r="AR69" s="1383">
        <v>1</v>
      </c>
      <c r="AS69" s="2394" t="s">
        <v>676</v>
      </c>
    </row>
    <row r="70" spans="1:45" ht="24">
      <c r="A70" s="2417"/>
      <c r="B70" s="2418">
        <v>215</v>
      </c>
      <c r="C70" s="2418" t="s">
        <v>1906</v>
      </c>
      <c r="D70" s="2390">
        <v>0.2</v>
      </c>
      <c r="E70" s="2421" t="s">
        <v>665</v>
      </c>
      <c r="F70" s="2382">
        <f t="shared" si="16"/>
        <v>0</v>
      </c>
      <c r="G70" s="2383">
        <f t="shared" si="16"/>
        <v>0</v>
      </c>
      <c r="H70" s="2384">
        <f t="shared" si="16"/>
        <v>103.627</v>
      </c>
      <c r="I70" s="2385">
        <f t="shared" si="16"/>
        <v>0</v>
      </c>
      <c r="J70" s="2385">
        <f t="shared" si="16"/>
        <v>0</v>
      </c>
      <c r="K70" s="2385">
        <f t="shared" si="16"/>
        <v>0</v>
      </c>
      <c r="L70" s="2385">
        <f t="shared" si="16"/>
        <v>0</v>
      </c>
      <c r="M70" s="2420">
        <f t="shared" si="8"/>
        <v>103.627</v>
      </c>
      <c r="N70" s="1382">
        <v>0</v>
      </c>
      <c r="O70" s="1383">
        <v>0</v>
      </c>
      <c r="P70" s="1384"/>
      <c r="Q70" s="1385"/>
      <c r="R70" s="1385"/>
      <c r="S70" s="1385"/>
      <c r="T70" s="1385"/>
      <c r="U70" s="1382"/>
      <c r="V70" s="1383"/>
      <c r="W70" s="1384"/>
      <c r="X70" s="1385"/>
      <c r="Y70" s="1385"/>
      <c r="Z70" s="1385"/>
      <c r="AA70" s="1385"/>
      <c r="AB70" s="1382"/>
      <c r="AC70" s="1383"/>
      <c r="AD70" s="4879">
        <v>103.627</v>
      </c>
      <c r="AE70" s="1385"/>
      <c r="AF70" s="1385"/>
      <c r="AG70" s="1385"/>
      <c r="AH70" s="1386"/>
      <c r="AI70" s="1387" t="s">
        <v>1984</v>
      </c>
      <c r="AJ70" s="1388"/>
      <c r="AK70" s="2456" t="s">
        <v>318</v>
      </c>
      <c r="AL70" s="2424"/>
      <c r="AM70" s="2423"/>
      <c r="AN70" s="2424"/>
      <c r="AO70" s="2425"/>
      <c r="AP70" s="2425"/>
      <c r="AQ70" s="2425"/>
      <c r="AR70" s="2426"/>
      <c r="AS70" s="2394" t="s">
        <v>677</v>
      </c>
    </row>
    <row r="71" spans="1:45" ht="13.5" thickBot="1">
      <c r="A71" s="2428"/>
      <c r="B71" s="2429">
        <v>208</v>
      </c>
      <c r="C71" s="2429" t="s">
        <v>1907</v>
      </c>
      <c r="D71" s="2399">
        <v>0.2</v>
      </c>
      <c r="E71" s="2430" t="s">
        <v>402</v>
      </c>
      <c r="F71" s="2382">
        <f t="shared" si="16"/>
        <v>0</v>
      </c>
      <c r="G71" s="2383">
        <f t="shared" si="16"/>
        <v>20</v>
      </c>
      <c r="H71" s="2384">
        <f t="shared" si="16"/>
        <v>9</v>
      </c>
      <c r="I71" s="2385">
        <f t="shared" si="16"/>
        <v>5</v>
      </c>
      <c r="J71" s="2385">
        <f t="shared" si="16"/>
        <v>4</v>
      </c>
      <c r="K71" s="2385">
        <f t="shared" si="16"/>
        <v>6</v>
      </c>
      <c r="L71" s="2385">
        <f t="shared" si="16"/>
        <v>6</v>
      </c>
      <c r="M71" s="2431">
        <f>SUM(H71:L71)</f>
        <v>30</v>
      </c>
      <c r="N71" s="1390">
        <v>0</v>
      </c>
      <c r="O71" s="1391">
        <v>20</v>
      </c>
      <c r="P71" s="1392">
        <v>9</v>
      </c>
      <c r="Q71" s="1393">
        <v>5</v>
      </c>
      <c r="R71" s="1393">
        <v>4</v>
      </c>
      <c r="S71" s="1393">
        <v>6</v>
      </c>
      <c r="T71" s="1393">
        <v>6</v>
      </c>
      <c r="U71" s="1390"/>
      <c r="V71" s="1391"/>
      <c r="W71" s="1392"/>
      <c r="X71" s="1393"/>
      <c r="Y71" s="1393"/>
      <c r="Z71" s="1393"/>
      <c r="AA71" s="1393"/>
      <c r="AB71" s="1390"/>
      <c r="AC71" s="1391"/>
      <c r="AD71" s="1392"/>
      <c r="AE71" s="1393"/>
      <c r="AF71" s="1393"/>
      <c r="AG71" s="1393"/>
      <c r="AH71" s="1394"/>
      <c r="AI71" s="1403" t="s">
        <v>1984</v>
      </c>
      <c r="AJ71" s="1404"/>
      <c r="AK71" s="2455" t="s">
        <v>682</v>
      </c>
      <c r="AL71" s="1405">
        <v>10</v>
      </c>
      <c r="AM71" s="1406">
        <v>0</v>
      </c>
      <c r="AN71" s="1407">
        <v>4</v>
      </c>
      <c r="AO71" s="1407">
        <v>2</v>
      </c>
      <c r="AP71" s="1407">
        <v>2</v>
      </c>
      <c r="AQ71" s="1407">
        <v>3</v>
      </c>
      <c r="AR71" s="1407">
        <v>3</v>
      </c>
      <c r="AS71" s="2457" t="s">
        <v>400</v>
      </c>
    </row>
    <row r="72" spans="1:45" ht="16.5" thickBot="1">
      <c r="A72" s="5362" t="s">
        <v>1234</v>
      </c>
      <c r="B72" s="5363"/>
      <c r="C72" s="5363"/>
      <c r="D72" s="5363"/>
      <c r="E72" s="5363"/>
      <c r="F72" s="5363"/>
      <c r="G72" s="5363"/>
      <c r="H72" s="5363"/>
      <c r="I72" s="5363"/>
      <c r="J72" s="5363"/>
      <c r="K72" s="5363"/>
      <c r="L72" s="5363"/>
      <c r="M72" s="5363"/>
      <c r="N72" s="5363"/>
      <c r="O72" s="5363"/>
      <c r="P72" s="5363"/>
      <c r="Q72" s="5363"/>
      <c r="R72" s="5363"/>
      <c r="S72" s="5363"/>
      <c r="T72" s="5363"/>
      <c r="U72" s="5363"/>
      <c r="V72" s="5363"/>
      <c r="W72" s="5363"/>
      <c r="X72" s="5363"/>
      <c r="Y72" s="5363"/>
      <c r="Z72" s="5363"/>
      <c r="AA72" s="5363"/>
      <c r="AB72" s="5363"/>
      <c r="AC72" s="5363"/>
      <c r="AD72" s="5363"/>
      <c r="AE72" s="5363"/>
      <c r="AF72" s="5363"/>
      <c r="AG72" s="5363"/>
      <c r="AH72" s="5363"/>
      <c r="AI72" s="5363"/>
      <c r="AJ72" s="5363"/>
      <c r="AK72" s="5363"/>
      <c r="AL72" s="5363"/>
      <c r="AM72" s="5363"/>
      <c r="AN72" s="5363"/>
      <c r="AO72" s="5363"/>
      <c r="AP72" s="5363"/>
      <c r="AQ72" s="5363"/>
      <c r="AR72" s="5363"/>
      <c r="AS72" s="5364"/>
    </row>
    <row r="73" spans="1:45" ht="24.75" thickBot="1">
      <c r="A73" s="2345">
        <v>1.6</v>
      </c>
      <c r="B73" s="2345"/>
      <c r="C73" s="2345"/>
      <c r="D73" s="2346"/>
      <c r="E73" s="2347" t="s">
        <v>1037</v>
      </c>
      <c r="F73" s="2458">
        <f>SUM(F74:F97)</f>
        <v>0</v>
      </c>
      <c r="G73" s="2459">
        <f t="shared" ref="G73:AH73" si="17">SUM(G74:G97)</f>
        <v>0</v>
      </c>
      <c r="H73" s="2460">
        <f t="shared" si="17"/>
        <v>1</v>
      </c>
      <c r="I73" s="2461">
        <f t="shared" si="17"/>
        <v>1</v>
      </c>
      <c r="J73" s="2461">
        <f t="shared" si="17"/>
        <v>0</v>
      </c>
      <c r="K73" s="2461">
        <f t="shared" si="17"/>
        <v>0</v>
      </c>
      <c r="L73" s="2462">
        <f t="shared" si="17"/>
        <v>0</v>
      </c>
      <c r="M73" s="2353">
        <f t="shared" si="17"/>
        <v>2</v>
      </c>
      <c r="N73" s="2354">
        <f t="shared" si="17"/>
        <v>0</v>
      </c>
      <c r="O73" s="2355">
        <f t="shared" si="17"/>
        <v>0</v>
      </c>
      <c r="P73" s="2356">
        <f t="shared" si="17"/>
        <v>1</v>
      </c>
      <c r="Q73" s="2357">
        <f t="shared" si="17"/>
        <v>1</v>
      </c>
      <c r="R73" s="2357">
        <f t="shared" si="17"/>
        <v>0</v>
      </c>
      <c r="S73" s="2357">
        <f t="shared" si="17"/>
        <v>0</v>
      </c>
      <c r="T73" s="2358">
        <f t="shared" si="17"/>
        <v>0</v>
      </c>
      <c r="U73" s="2354">
        <f t="shared" si="17"/>
        <v>0</v>
      </c>
      <c r="V73" s="2355">
        <f t="shared" si="17"/>
        <v>0</v>
      </c>
      <c r="W73" s="2356">
        <f t="shared" si="17"/>
        <v>0</v>
      </c>
      <c r="X73" s="2357">
        <f t="shared" si="17"/>
        <v>0</v>
      </c>
      <c r="Y73" s="2357">
        <f t="shared" si="17"/>
        <v>0</v>
      </c>
      <c r="Z73" s="2357">
        <f t="shared" si="17"/>
        <v>0</v>
      </c>
      <c r="AA73" s="2358">
        <f t="shared" si="17"/>
        <v>0</v>
      </c>
      <c r="AB73" s="2354">
        <f t="shared" si="17"/>
        <v>0</v>
      </c>
      <c r="AC73" s="2355">
        <f t="shared" si="17"/>
        <v>0</v>
      </c>
      <c r="AD73" s="2356">
        <f t="shared" si="17"/>
        <v>0</v>
      </c>
      <c r="AE73" s="2357">
        <f t="shared" si="17"/>
        <v>0</v>
      </c>
      <c r="AF73" s="2357">
        <f t="shared" si="17"/>
        <v>0</v>
      </c>
      <c r="AG73" s="2357">
        <f t="shared" si="17"/>
        <v>0</v>
      </c>
      <c r="AH73" s="2359">
        <f t="shared" si="17"/>
        <v>0</v>
      </c>
      <c r="AI73" s="2360"/>
      <c r="AJ73" s="2361"/>
      <c r="AK73" s="2362"/>
      <c r="AL73" s="2463"/>
      <c r="AM73" s="2464"/>
      <c r="AN73" s="2363"/>
      <c r="AO73" s="2363"/>
      <c r="AP73" s="2363"/>
      <c r="AQ73" s="2363"/>
      <c r="AR73" s="2364"/>
      <c r="AS73" s="2365"/>
    </row>
    <row r="74" spans="1:45">
      <c r="A74" s="2366"/>
      <c r="B74" s="2367">
        <v>2040201</v>
      </c>
      <c r="C74" s="2367">
        <v>2070101</v>
      </c>
      <c r="D74" s="2368">
        <v>0.02</v>
      </c>
      <c r="E74" s="2369" t="s">
        <v>746</v>
      </c>
      <c r="F74" s="2370">
        <f t="shared" ref="F74:L97" si="18">N74+U74+AB74</f>
        <v>0</v>
      </c>
      <c r="G74" s="2371">
        <f t="shared" si="18"/>
        <v>0</v>
      </c>
      <c r="H74" s="2372">
        <f t="shared" si="18"/>
        <v>0</v>
      </c>
      <c r="I74" s="2373">
        <f t="shared" si="18"/>
        <v>0</v>
      </c>
      <c r="J74" s="2373">
        <f t="shared" si="18"/>
        <v>0</v>
      </c>
      <c r="K74" s="2373">
        <f t="shared" si="18"/>
        <v>0</v>
      </c>
      <c r="L74" s="2374">
        <f t="shared" si="18"/>
        <v>0</v>
      </c>
      <c r="M74" s="2375">
        <f>SUM(H74:L74)</f>
        <v>0</v>
      </c>
      <c r="N74" s="1375">
        <v>0</v>
      </c>
      <c r="O74" s="1376">
        <v>0</v>
      </c>
      <c r="P74" s="1377"/>
      <c r="Q74" s="1378"/>
      <c r="R74" s="1378"/>
      <c r="S74" s="1378"/>
      <c r="T74" s="1378"/>
      <c r="U74" s="1375"/>
      <c r="V74" s="1376"/>
      <c r="W74" s="1377"/>
      <c r="X74" s="1378"/>
      <c r="Y74" s="1378"/>
      <c r="Z74" s="1378"/>
      <c r="AA74" s="1378"/>
      <c r="AB74" s="1375"/>
      <c r="AC74" s="1376"/>
      <c r="AD74" s="1377"/>
      <c r="AE74" s="1378"/>
      <c r="AF74" s="1378"/>
      <c r="AG74" s="1378"/>
      <c r="AH74" s="1379"/>
      <c r="AI74" s="1380"/>
      <c r="AJ74" s="1381"/>
      <c r="AK74" s="2376" t="s">
        <v>682</v>
      </c>
      <c r="AL74" s="1377">
        <v>0</v>
      </c>
      <c r="AM74" s="1376">
        <v>0</v>
      </c>
      <c r="AN74" s="1377"/>
      <c r="AO74" s="1378"/>
      <c r="AP74" s="1378"/>
      <c r="AQ74" s="1378"/>
      <c r="AR74" s="1376"/>
      <c r="AS74" s="2377" t="s">
        <v>359</v>
      </c>
    </row>
    <row r="75" spans="1:45">
      <c r="A75" s="2378"/>
      <c r="B75" s="2379">
        <v>2040202</v>
      </c>
      <c r="C75" s="2379">
        <v>2070102</v>
      </c>
      <c r="D75" s="2380">
        <v>0.02</v>
      </c>
      <c r="E75" s="2381" t="s">
        <v>749</v>
      </c>
      <c r="F75" s="2382">
        <f t="shared" si="18"/>
        <v>0</v>
      </c>
      <c r="G75" s="2383">
        <f t="shared" si="18"/>
        <v>0</v>
      </c>
      <c r="H75" s="2384">
        <f t="shared" si="18"/>
        <v>0</v>
      </c>
      <c r="I75" s="2385">
        <f t="shared" si="18"/>
        <v>0</v>
      </c>
      <c r="J75" s="2385">
        <f t="shared" si="18"/>
        <v>0</v>
      </c>
      <c r="K75" s="2385">
        <f t="shared" si="18"/>
        <v>0</v>
      </c>
      <c r="L75" s="2386">
        <f t="shared" si="18"/>
        <v>0</v>
      </c>
      <c r="M75" s="2387">
        <f>SUM(H75:L75)</f>
        <v>0</v>
      </c>
      <c r="N75" s="1382">
        <v>0</v>
      </c>
      <c r="O75" s="1383">
        <v>0</v>
      </c>
      <c r="P75" s="1384"/>
      <c r="Q75" s="1385"/>
      <c r="R75" s="1385"/>
      <c r="S75" s="1385"/>
      <c r="T75" s="1385"/>
      <c r="U75" s="1382"/>
      <c r="V75" s="1383"/>
      <c r="W75" s="1384"/>
      <c r="X75" s="1385"/>
      <c r="Y75" s="1385"/>
      <c r="Z75" s="1385"/>
      <c r="AA75" s="1385"/>
      <c r="AB75" s="1382"/>
      <c r="AC75" s="1383"/>
      <c r="AD75" s="1384"/>
      <c r="AE75" s="1385"/>
      <c r="AF75" s="1385"/>
      <c r="AG75" s="1385"/>
      <c r="AH75" s="1386"/>
      <c r="AI75" s="1387"/>
      <c r="AJ75" s="1388"/>
      <c r="AK75" s="2388" t="s">
        <v>682</v>
      </c>
      <c r="AL75" s="1384">
        <v>0</v>
      </c>
      <c r="AM75" s="1383">
        <v>0</v>
      </c>
      <c r="AN75" s="1384"/>
      <c r="AO75" s="1385"/>
      <c r="AP75" s="1385"/>
      <c r="AQ75" s="1385"/>
      <c r="AR75" s="1383"/>
      <c r="AS75" s="2389" t="s">
        <v>359</v>
      </c>
    </row>
    <row r="76" spans="1:45">
      <c r="A76" s="2378"/>
      <c r="B76" s="2379">
        <v>2040204</v>
      </c>
      <c r="C76" s="2367">
        <v>2070103</v>
      </c>
      <c r="D76" s="2380">
        <v>0.02</v>
      </c>
      <c r="E76" s="2381" t="s">
        <v>360</v>
      </c>
      <c r="F76" s="2382">
        <f t="shared" si="18"/>
        <v>0</v>
      </c>
      <c r="G76" s="2383">
        <f t="shared" si="18"/>
        <v>0</v>
      </c>
      <c r="H76" s="2384">
        <f t="shared" si="18"/>
        <v>0</v>
      </c>
      <c r="I76" s="2385">
        <f t="shared" si="18"/>
        <v>0</v>
      </c>
      <c r="J76" s="2385">
        <f t="shared" si="18"/>
        <v>0</v>
      </c>
      <c r="K76" s="2385">
        <f t="shared" si="18"/>
        <v>0</v>
      </c>
      <c r="L76" s="2386">
        <f t="shared" si="18"/>
        <v>0</v>
      </c>
      <c r="M76" s="2387">
        <f t="shared" ref="M76:M97" si="19">SUM(H76:L76)</f>
        <v>0</v>
      </c>
      <c r="N76" s="1382">
        <v>0</v>
      </c>
      <c r="O76" s="1383">
        <v>0</v>
      </c>
      <c r="P76" s="1384"/>
      <c r="Q76" s="1385"/>
      <c r="R76" s="1385"/>
      <c r="S76" s="1385"/>
      <c r="T76" s="1385"/>
      <c r="U76" s="1382"/>
      <c r="V76" s="1383"/>
      <c r="W76" s="1384"/>
      <c r="X76" s="1385"/>
      <c r="Y76" s="1385"/>
      <c r="Z76" s="1385"/>
      <c r="AA76" s="1385"/>
      <c r="AB76" s="1382"/>
      <c r="AC76" s="1383"/>
      <c r="AD76" s="1384"/>
      <c r="AE76" s="1385"/>
      <c r="AF76" s="1385"/>
      <c r="AG76" s="1385"/>
      <c r="AH76" s="1386"/>
      <c r="AI76" s="1387"/>
      <c r="AJ76" s="1388"/>
      <c r="AK76" s="2388" t="s">
        <v>682</v>
      </c>
      <c r="AL76" s="1384">
        <v>0</v>
      </c>
      <c r="AM76" s="1383">
        <v>0</v>
      </c>
      <c r="AN76" s="1384"/>
      <c r="AO76" s="1385"/>
      <c r="AP76" s="1385"/>
      <c r="AQ76" s="1385"/>
      <c r="AR76" s="1383"/>
      <c r="AS76" s="2389" t="s">
        <v>359</v>
      </c>
    </row>
    <row r="77" spans="1:45">
      <c r="A77" s="2378"/>
      <c r="B77" s="2379">
        <v>20202</v>
      </c>
      <c r="C77" s="2379">
        <v>2070104</v>
      </c>
      <c r="D77" s="2390">
        <v>0.03</v>
      </c>
      <c r="E77" s="2381" t="s">
        <v>361</v>
      </c>
      <c r="F77" s="2382">
        <f t="shared" si="18"/>
        <v>0</v>
      </c>
      <c r="G77" s="2383">
        <f t="shared" si="18"/>
        <v>0</v>
      </c>
      <c r="H77" s="2384">
        <f t="shared" si="18"/>
        <v>0</v>
      </c>
      <c r="I77" s="2385">
        <f t="shared" si="18"/>
        <v>0</v>
      </c>
      <c r="J77" s="2385">
        <f t="shared" si="18"/>
        <v>0</v>
      </c>
      <c r="K77" s="2385">
        <f>S77+Z77+AG77</f>
        <v>0</v>
      </c>
      <c r="L77" s="2386">
        <f t="shared" si="18"/>
        <v>0</v>
      </c>
      <c r="M77" s="2387">
        <f t="shared" si="19"/>
        <v>0</v>
      </c>
      <c r="N77" s="1382">
        <v>0</v>
      </c>
      <c r="O77" s="1383">
        <v>0</v>
      </c>
      <c r="P77" s="1384"/>
      <c r="Q77" s="1385"/>
      <c r="R77" s="1385"/>
      <c r="S77" s="1385"/>
      <c r="T77" s="1385"/>
      <c r="U77" s="1382"/>
      <c r="V77" s="1383"/>
      <c r="W77" s="1384"/>
      <c r="X77" s="1385"/>
      <c r="Y77" s="1385"/>
      <c r="Z77" s="1385"/>
      <c r="AA77" s="1385"/>
      <c r="AB77" s="1382"/>
      <c r="AC77" s="1383"/>
      <c r="AD77" s="1384"/>
      <c r="AE77" s="1385"/>
      <c r="AF77" s="1385"/>
      <c r="AG77" s="1385"/>
      <c r="AH77" s="1386"/>
      <c r="AI77" s="1387"/>
      <c r="AJ77" s="1388"/>
      <c r="AK77" s="2388" t="s">
        <v>682</v>
      </c>
      <c r="AL77" s="1384">
        <v>0</v>
      </c>
      <c r="AM77" s="1383">
        <v>0</v>
      </c>
      <c r="AN77" s="1384"/>
      <c r="AO77" s="1385"/>
      <c r="AP77" s="1385"/>
      <c r="AQ77" s="1385"/>
      <c r="AR77" s="1383"/>
      <c r="AS77" s="2389" t="s">
        <v>359</v>
      </c>
    </row>
    <row r="78" spans="1:45">
      <c r="A78" s="2378"/>
      <c r="B78" s="2379">
        <v>2040205</v>
      </c>
      <c r="C78" s="2367">
        <v>2070105</v>
      </c>
      <c r="D78" s="2380">
        <v>0.02</v>
      </c>
      <c r="E78" s="2381" t="s">
        <v>362</v>
      </c>
      <c r="F78" s="2382">
        <f t="shared" si="18"/>
        <v>0</v>
      </c>
      <c r="G78" s="2383">
        <f t="shared" si="18"/>
        <v>0</v>
      </c>
      <c r="H78" s="2384">
        <f t="shared" si="18"/>
        <v>0</v>
      </c>
      <c r="I78" s="2385">
        <f t="shared" si="18"/>
        <v>0</v>
      </c>
      <c r="J78" s="2385">
        <f t="shared" si="18"/>
        <v>0</v>
      </c>
      <c r="K78" s="2385">
        <f t="shared" si="18"/>
        <v>0</v>
      </c>
      <c r="L78" s="2386">
        <f t="shared" si="18"/>
        <v>0</v>
      </c>
      <c r="M78" s="2387">
        <f t="shared" si="19"/>
        <v>0</v>
      </c>
      <c r="N78" s="1382">
        <v>0</v>
      </c>
      <c r="O78" s="1383">
        <v>0</v>
      </c>
      <c r="P78" s="1384"/>
      <c r="Q78" s="1385"/>
      <c r="R78" s="1385"/>
      <c r="S78" s="1385"/>
      <c r="T78" s="1385"/>
      <c r="U78" s="1382"/>
      <c r="V78" s="1383"/>
      <c r="W78" s="1384"/>
      <c r="X78" s="1385"/>
      <c r="Y78" s="1385"/>
      <c r="Z78" s="1385"/>
      <c r="AA78" s="1385"/>
      <c r="AB78" s="1382"/>
      <c r="AC78" s="1383"/>
      <c r="AD78" s="1384"/>
      <c r="AE78" s="1385"/>
      <c r="AF78" s="1385"/>
      <c r="AG78" s="1385"/>
      <c r="AH78" s="1386"/>
      <c r="AI78" s="1387"/>
      <c r="AJ78" s="1389"/>
      <c r="AK78" s="2388" t="s">
        <v>684</v>
      </c>
      <c r="AL78" s="1384">
        <v>0</v>
      </c>
      <c r="AM78" s="1383">
        <v>0</v>
      </c>
      <c r="AN78" s="1384"/>
      <c r="AO78" s="1385"/>
      <c r="AP78" s="1385"/>
      <c r="AQ78" s="1385"/>
      <c r="AR78" s="1383"/>
      <c r="AS78" s="2389" t="s">
        <v>363</v>
      </c>
    </row>
    <row r="79" spans="1:45">
      <c r="A79" s="2378"/>
      <c r="B79" s="2379">
        <v>2040207</v>
      </c>
      <c r="C79" s="2379">
        <v>2070106</v>
      </c>
      <c r="D79" s="2380">
        <v>0.04</v>
      </c>
      <c r="E79" s="2381" t="s">
        <v>364</v>
      </c>
      <c r="F79" s="2382">
        <f t="shared" si="18"/>
        <v>0</v>
      </c>
      <c r="G79" s="2383">
        <f t="shared" si="18"/>
        <v>0</v>
      </c>
      <c r="H79" s="2384">
        <f t="shared" si="18"/>
        <v>0</v>
      </c>
      <c r="I79" s="2385">
        <f t="shared" si="18"/>
        <v>0</v>
      </c>
      <c r="J79" s="2385">
        <f t="shared" si="18"/>
        <v>0</v>
      </c>
      <c r="K79" s="2385">
        <f t="shared" si="18"/>
        <v>0</v>
      </c>
      <c r="L79" s="2386">
        <f t="shared" si="18"/>
        <v>0</v>
      </c>
      <c r="M79" s="2387">
        <f t="shared" si="19"/>
        <v>0</v>
      </c>
      <c r="N79" s="1382">
        <v>0</v>
      </c>
      <c r="O79" s="1383">
        <v>0</v>
      </c>
      <c r="P79" s="1384"/>
      <c r="Q79" s="1385"/>
      <c r="R79" s="1385"/>
      <c r="S79" s="1385"/>
      <c r="T79" s="1385"/>
      <c r="U79" s="1382"/>
      <c r="V79" s="1383"/>
      <c r="W79" s="1384"/>
      <c r="X79" s="1385"/>
      <c r="Y79" s="1385"/>
      <c r="Z79" s="1385"/>
      <c r="AA79" s="1385"/>
      <c r="AB79" s="1382"/>
      <c r="AC79" s="1383"/>
      <c r="AD79" s="1384"/>
      <c r="AE79" s="1385"/>
      <c r="AF79" s="1385"/>
      <c r="AG79" s="1385"/>
      <c r="AH79" s="1386"/>
      <c r="AI79" s="1387"/>
      <c r="AJ79" s="1389"/>
      <c r="AK79" s="2388" t="s">
        <v>682</v>
      </c>
      <c r="AL79" s="1384">
        <v>0</v>
      </c>
      <c r="AM79" s="1383">
        <v>0</v>
      </c>
      <c r="AN79" s="1384"/>
      <c r="AO79" s="1385"/>
      <c r="AP79" s="1385"/>
      <c r="AQ79" s="1385"/>
      <c r="AR79" s="1383"/>
      <c r="AS79" s="2389" t="s">
        <v>365</v>
      </c>
    </row>
    <row r="80" spans="1:45">
      <c r="A80" s="2378"/>
      <c r="B80" s="2379">
        <v>2040207</v>
      </c>
      <c r="C80" s="2367">
        <v>2070107</v>
      </c>
      <c r="D80" s="2380">
        <v>0.04</v>
      </c>
      <c r="E80" s="2391" t="s">
        <v>666</v>
      </c>
      <c r="F80" s="2382">
        <f t="shared" si="18"/>
        <v>0</v>
      </c>
      <c r="G80" s="2383">
        <f t="shared" si="18"/>
        <v>0</v>
      </c>
      <c r="H80" s="2384">
        <f t="shared" si="18"/>
        <v>0</v>
      </c>
      <c r="I80" s="2385">
        <f t="shared" si="18"/>
        <v>0</v>
      </c>
      <c r="J80" s="2385">
        <f t="shared" si="18"/>
        <v>0</v>
      </c>
      <c r="K80" s="2385">
        <f t="shared" si="18"/>
        <v>0</v>
      </c>
      <c r="L80" s="2386">
        <f t="shared" si="18"/>
        <v>0</v>
      </c>
      <c r="M80" s="2387">
        <f t="shared" si="19"/>
        <v>0</v>
      </c>
      <c r="N80" s="1382">
        <v>0</v>
      </c>
      <c r="O80" s="1383">
        <v>0</v>
      </c>
      <c r="P80" s="1384"/>
      <c r="Q80" s="1385"/>
      <c r="R80" s="1385"/>
      <c r="S80" s="1385"/>
      <c r="T80" s="1385"/>
      <c r="U80" s="1382"/>
      <c r="V80" s="1383"/>
      <c r="W80" s="1384"/>
      <c r="X80" s="1385"/>
      <c r="Y80" s="1385"/>
      <c r="Z80" s="1385"/>
      <c r="AA80" s="1385"/>
      <c r="AB80" s="1382"/>
      <c r="AC80" s="1383"/>
      <c r="AD80" s="1384"/>
      <c r="AE80" s="1385"/>
      <c r="AF80" s="1385"/>
      <c r="AG80" s="1385"/>
      <c r="AH80" s="1386"/>
      <c r="AI80" s="1387"/>
      <c r="AJ80" s="1389"/>
      <c r="AK80" s="2388" t="s">
        <v>682</v>
      </c>
      <c r="AL80" s="1384">
        <v>0</v>
      </c>
      <c r="AM80" s="1383">
        <v>0</v>
      </c>
      <c r="AN80" s="1384"/>
      <c r="AO80" s="1385"/>
      <c r="AP80" s="1385"/>
      <c r="AQ80" s="1385"/>
      <c r="AR80" s="1383"/>
      <c r="AS80" s="2389" t="s">
        <v>365</v>
      </c>
    </row>
    <row r="81" spans="1:45">
      <c r="A81" s="2378"/>
      <c r="B81" s="2379">
        <v>2040207</v>
      </c>
      <c r="C81" s="2379">
        <v>2070108</v>
      </c>
      <c r="D81" s="2380">
        <v>0.04</v>
      </c>
      <c r="E81" s="2391" t="s">
        <v>667</v>
      </c>
      <c r="F81" s="2382">
        <f t="shared" si="18"/>
        <v>0</v>
      </c>
      <c r="G81" s="2383">
        <f t="shared" si="18"/>
        <v>0</v>
      </c>
      <c r="H81" s="2384">
        <f t="shared" si="18"/>
        <v>0</v>
      </c>
      <c r="I81" s="2385">
        <f t="shared" si="18"/>
        <v>0</v>
      </c>
      <c r="J81" s="2385">
        <f t="shared" si="18"/>
        <v>0</v>
      </c>
      <c r="K81" s="2385">
        <f t="shared" si="18"/>
        <v>0</v>
      </c>
      <c r="L81" s="2386">
        <f t="shared" si="18"/>
        <v>0</v>
      </c>
      <c r="M81" s="2387">
        <f t="shared" si="19"/>
        <v>0</v>
      </c>
      <c r="N81" s="1382">
        <v>0</v>
      </c>
      <c r="O81" s="1383">
        <v>0</v>
      </c>
      <c r="P81" s="1384"/>
      <c r="Q81" s="1385"/>
      <c r="R81" s="1385"/>
      <c r="S81" s="1385"/>
      <c r="T81" s="1385"/>
      <c r="U81" s="1382"/>
      <c r="V81" s="1383"/>
      <c r="W81" s="1384"/>
      <c r="X81" s="1385"/>
      <c r="Y81" s="1385"/>
      <c r="Z81" s="1385"/>
      <c r="AA81" s="1385"/>
      <c r="AB81" s="1382"/>
      <c r="AC81" s="1383"/>
      <c r="AD81" s="1384"/>
      <c r="AE81" s="1385"/>
      <c r="AF81" s="1385"/>
      <c r="AG81" s="1385"/>
      <c r="AH81" s="1386"/>
      <c r="AI81" s="1387"/>
      <c r="AJ81" s="1389"/>
      <c r="AK81" s="2388" t="s">
        <v>682</v>
      </c>
      <c r="AL81" s="1384">
        <v>0</v>
      </c>
      <c r="AM81" s="1383">
        <v>0</v>
      </c>
      <c r="AN81" s="1384"/>
      <c r="AO81" s="1385"/>
      <c r="AP81" s="1385"/>
      <c r="AQ81" s="1385"/>
      <c r="AR81" s="1383"/>
      <c r="AS81" s="2389" t="s">
        <v>365</v>
      </c>
    </row>
    <row r="82" spans="1:45">
      <c r="A82" s="2378"/>
      <c r="B82" s="2379">
        <v>2040207</v>
      </c>
      <c r="C82" s="2367">
        <v>2070109</v>
      </c>
      <c r="D82" s="2380">
        <v>0.04</v>
      </c>
      <c r="E82" s="2391" t="s">
        <v>366</v>
      </c>
      <c r="F82" s="2382">
        <f t="shared" si="18"/>
        <v>0</v>
      </c>
      <c r="G82" s="2383">
        <f t="shared" si="18"/>
        <v>0</v>
      </c>
      <c r="H82" s="2384">
        <f t="shared" si="18"/>
        <v>0</v>
      </c>
      <c r="I82" s="2385">
        <f t="shared" si="18"/>
        <v>0</v>
      </c>
      <c r="J82" s="2385">
        <f t="shared" si="18"/>
        <v>0</v>
      </c>
      <c r="K82" s="2385">
        <f t="shared" si="18"/>
        <v>0</v>
      </c>
      <c r="L82" s="2386">
        <f t="shared" si="18"/>
        <v>0</v>
      </c>
      <c r="M82" s="2387">
        <f t="shared" si="19"/>
        <v>0</v>
      </c>
      <c r="N82" s="1382">
        <v>0</v>
      </c>
      <c r="O82" s="1383">
        <v>0</v>
      </c>
      <c r="P82" s="1384"/>
      <c r="Q82" s="1385"/>
      <c r="R82" s="1385"/>
      <c r="S82" s="1385"/>
      <c r="T82" s="1385"/>
      <c r="U82" s="1382"/>
      <c r="V82" s="1383"/>
      <c r="W82" s="1384"/>
      <c r="X82" s="1385"/>
      <c r="Y82" s="1385"/>
      <c r="Z82" s="1385"/>
      <c r="AA82" s="1385"/>
      <c r="AB82" s="1382"/>
      <c r="AC82" s="1383"/>
      <c r="AD82" s="1384"/>
      <c r="AE82" s="1385"/>
      <c r="AF82" s="1385"/>
      <c r="AG82" s="1385"/>
      <c r="AH82" s="1386"/>
      <c r="AI82" s="1387"/>
      <c r="AJ82" s="1388"/>
      <c r="AK82" s="2388" t="s">
        <v>682</v>
      </c>
      <c r="AL82" s="1384">
        <v>0</v>
      </c>
      <c r="AM82" s="1383">
        <v>0</v>
      </c>
      <c r="AN82" s="1384"/>
      <c r="AO82" s="1385"/>
      <c r="AP82" s="1385"/>
      <c r="AQ82" s="1385"/>
      <c r="AR82" s="1383"/>
      <c r="AS82" s="2389" t="s">
        <v>365</v>
      </c>
    </row>
    <row r="83" spans="1:45">
      <c r="A83" s="2378"/>
      <c r="B83" s="2379">
        <v>2030401</v>
      </c>
      <c r="C83" s="2379">
        <v>2070110</v>
      </c>
      <c r="D83" s="2392">
        <v>0.1</v>
      </c>
      <c r="E83" s="2391" t="s">
        <v>367</v>
      </c>
      <c r="F83" s="2382">
        <f t="shared" si="18"/>
        <v>0</v>
      </c>
      <c r="G83" s="2383">
        <f t="shared" si="18"/>
        <v>0</v>
      </c>
      <c r="H83" s="2384">
        <f t="shared" si="18"/>
        <v>0</v>
      </c>
      <c r="I83" s="2385">
        <f t="shared" si="18"/>
        <v>0</v>
      </c>
      <c r="J83" s="2385">
        <f t="shared" si="18"/>
        <v>0</v>
      </c>
      <c r="K83" s="2385">
        <f t="shared" si="18"/>
        <v>0</v>
      </c>
      <c r="L83" s="2386">
        <f t="shared" si="18"/>
        <v>0</v>
      </c>
      <c r="M83" s="2387">
        <f t="shared" si="19"/>
        <v>0</v>
      </c>
      <c r="N83" s="1382">
        <v>0</v>
      </c>
      <c r="O83" s="1383">
        <v>0</v>
      </c>
      <c r="P83" s="1384"/>
      <c r="Q83" s="1385"/>
      <c r="R83" s="1385"/>
      <c r="S83" s="1385"/>
      <c r="T83" s="1385"/>
      <c r="U83" s="1382"/>
      <c r="V83" s="1383"/>
      <c r="W83" s="1384"/>
      <c r="X83" s="1385"/>
      <c r="Y83" s="1385"/>
      <c r="Z83" s="1385"/>
      <c r="AA83" s="1385"/>
      <c r="AB83" s="1382"/>
      <c r="AC83" s="1383"/>
      <c r="AD83" s="1384"/>
      <c r="AE83" s="1385"/>
      <c r="AF83" s="1385"/>
      <c r="AG83" s="1385"/>
      <c r="AH83" s="1386"/>
      <c r="AI83" s="1387"/>
      <c r="AJ83" s="1389"/>
      <c r="AK83" s="2388" t="s">
        <v>682</v>
      </c>
      <c r="AL83" s="1384">
        <v>0</v>
      </c>
      <c r="AM83" s="1383">
        <v>0</v>
      </c>
      <c r="AN83" s="1384"/>
      <c r="AO83" s="1385"/>
      <c r="AP83" s="1385"/>
      <c r="AQ83" s="1385"/>
      <c r="AR83" s="1383"/>
      <c r="AS83" s="2389" t="s">
        <v>365</v>
      </c>
    </row>
    <row r="84" spans="1:45" ht="24">
      <c r="A84" s="2378"/>
      <c r="B84" s="2379">
        <v>2040205</v>
      </c>
      <c r="C84" s="2367">
        <v>2070111</v>
      </c>
      <c r="D84" s="2380">
        <v>0.02</v>
      </c>
      <c r="E84" s="2381" t="s">
        <v>368</v>
      </c>
      <c r="F84" s="2382">
        <f t="shared" si="18"/>
        <v>0</v>
      </c>
      <c r="G84" s="2383">
        <f t="shared" si="18"/>
        <v>0</v>
      </c>
      <c r="H84" s="2384">
        <f t="shared" si="18"/>
        <v>0</v>
      </c>
      <c r="I84" s="2385">
        <f t="shared" si="18"/>
        <v>0</v>
      </c>
      <c r="J84" s="2385">
        <f t="shared" si="18"/>
        <v>0</v>
      </c>
      <c r="K84" s="2385">
        <f t="shared" si="18"/>
        <v>0</v>
      </c>
      <c r="L84" s="2386">
        <f t="shared" si="18"/>
        <v>0</v>
      </c>
      <c r="M84" s="2387">
        <f t="shared" si="19"/>
        <v>0</v>
      </c>
      <c r="N84" s="1382">
        <v>0</v>
      </c>
      <c r="O84" s="1383">
        <v>0</v>
      </c>
      <c r="P84" s="4726"/>
      <c r="Q84" s="4726"/>
      <c r="R84" s="4726"/>
      <c r="S84" s="4726"/>
      <c r="T84" s="4728"/>
      <c r="U84" s="1382"/>
      <c r="V84" s="1383"/>
      <c r="W84" s="1384"/>
      <c r="X84" s="1385"/>
      <c r="Y84" s="1385"/>
      <c r="Z84" s="1385"/>
      <c r="AA84" s="1385"/>
      <c r="AB84" s="1382"/>
      <c r="AC84" s="1383"/>
      <c r="AD84" s="1384"/>
      <c r="AE84" s="1385"/>
      <c r="AF84" s="1385"/>
      <c r="AG84" s="1385"/>
      <c r="AH84" s="1386"/>
      <c r="AI84" s="1387"/>
      <c r="AJ84" s="1389"/>
      <c r="AK84" s="2388" t="s">
        <v>684</v>
      </c>
      <c r="AL84" s="1384">
        <v>0</v>
      </c>
      <c r="AM84" s="1383">
        <v>0</v>
      </c>
      <c r="AN84" s="455">
        <v>50</v>
      </c>
      <c r="AO84" s="455">
        <v>50</v>
      </c>
      <c r="AP84" s="455">
        <v>50</v>
      </c>
      <c r="AQ84" s="455">
        <v>50</v>
      </c>
      <c r="AR84" s="470">
        <v>50</v>
      </c>
      <c r="AS84" s="2389" t="s">
        <v>369</v>
      </c>
    </row>
    <row r="85" spans="1:45">
      <c r="A85" s="2378"/>
      <c r="B85" s="2379">
        <v>2040205</v>
      </c>
      <c r="C85" s="2379">
        <v>2070112</v>
      </c>
      <c r="D85" s="2380">
        <v>0.02</v>
      </c>
      <c r="E85" s="2381" t="s">
        <v>370</v>
      </c>
      <c r="F85" s="2382">
        <f t="shared" si="18"/>
        <v>0</v>
      </c>
      <c r="G85" s="2383">
        <f t="shared" si="18"/>
        <v>0</v>
      </c>
      <c r="H85" s="2384">
        <f t="shared" si="18"/>
        <v>0</v>
      </c>
      <c r="I85" s="2385">
        <f t="shared" si="18"/>
        <v>0</v>
      </c>
      <c r="J85" s="2385">
        <f t="shared" si="18"/>
        <v>0</v>
      </c>
      <c r="K85" s="2385">
        <f t="shared" si="18"/>
        <v>0</v>
      </c>
      <c r="L85" s="2386">
        <f t="shared" si="18"/>
        <v>0</v>
      </c>
      <c r="M85" s="2387">
        <f t="shared" si="19"/>
        <v>0</v>
      </c>
      <c r="N85" s="1382">
        <v>0</v>
      </c>
      <c r="O85" s="1383">
        <v>0</v>
      </c>
      <c r="P85" s="1384"/>
      <c r="Q85" s="1385"/>
      <c r="R85" s="1385"/>
      <c r="S85" s="1385"/>
      <c r="T85" s="1385"/>
      <c r="U85" s="1382"/>
      <c r="V85" s="1383"/>
      <c r="W85" s="1384"/>
      <c r="X85" s="1385"/>
      <c r="Y85" s="1385"/>
      <c r="Z85" s="1385"/>
      <c r="AA85" s="1385"/>
      <c r="AB85" s="1382"/>
      <c r="AC85" s="1383"/>
      <c r="AD85" s="1384"/>
      <c r="AE85" s="1385"/>
      <c r="AF85" s="1385"/>
      <c r="AG85" s="1385"/>
      <c r="AH85" s="1386"/>
      <c r="AI85" s="1387"/>
      <c r="AJ85" s="1389"/>
      <c r="AK85" s="2388" t="s">
        <v>682</v>
      </c>
      <c r="AL85" s="1384">
        <v>0</v>
      </c>
      <c r="AM85" s="1383">
        <v>0</v>
      </c>
      <c r="AN85" s="1384"/>
      <c r="AO85" s="1385"/>
      <c r="AP85" s="1385"/>
      <c r="AQ85" s="1385"/>
      <c r="AR85" s="1383"/>
      <c r="AS85" s="2389" t="s">
        <v>371</v>
      </c>
    </row>
    <row r="86" spans="1:45" ht="36">
      <c r="A86" s="2378"/>
      <c r="B86" s="2379">
        <v>2030502</v>
      </c>
      <c r="C86" s="2367">
        <v>2070113</v>
      </c>
      <c r="D86" s="2380">
        <v>0.1</v>
      </c>
      <c r="E86" s="2381" t="s">
        <v>372</v>
      </c>
      <c r="F86" s="2382">
        <f t="shared" si="18"/>
        <v>0</v>
      </c>
      <c r="G86" s="2383">
        <f t="shared" si="18"/>
        <v>0</v>
      </c>
      <c r="H86" s="2384">
        <f t="shared" si="18"/>
        <v>0</v>
      </c>
      <c r="I86" s="2385">
        <f t="shared" si="18"/>
        <v>0</v>
      </c>
      <c r="J86" s="2385">
        <f t="shared" si="18"/>
        <v>0</v>
      </c>
      <c r="K86" s="2385">
        <f t="shared" si="18"/>
        <v>0</v>
      </c>
      <c r="L86" s="2386">
        <f t="shared" si="18"/>
        <v>0</v>
      </c>
      <c r="M86" s="2387">
        <f t="shared" si="19"/>
        <v>0</v>
      </c>
      <c r="N86" s="1382">
        <v>0</v>
      </c>
      <c r="O86" s="1383">
        <v>0</v>
      </c>
      <c r="P86" s="1384"/>
      <c r="Q86" s="1385"/>
      <c r="R86" s="1385"/>
      <c r="S86" s="1385"/>
      <c r="T86" s="1385"/>
      <c r="U86" s="1382"/>
      <c r="V86" s="1383"/>
      <c r="W86" s="1384"/>
      <c r="X86" s="1385"/>
      <c r="Y86" s="1385"/>
      <c r="Z86" s="1385"/>
      <c r="AA86" s="1385"/>
      <c r="AB86" s="1382"/>
      <c r="AC86" s="1383"/>
      <c r="AD86" s="1384"/>
      <c r="AE86" s="1385"/>
      <c r="AF86" s="1385"/>
      <c r="AG86" s="1385"/>
      <c r="AH86" s="1386"/>
      <c r="AI86" s="1387"/>
      <c r="AJ86" s="1388"/>
      <c r="AK86" s="2388" t="s">
        <v>682</v>
      </c>
      <c r="AL86" s="1384">
        <v>0</v>
      </c>
      <c r="AM86" s="1383">
        <v>0</v>
      </c>
      <c r="AN86" s="1384">
        <v>1</v>
      </c>
      <c r="AO86" s="1385"/>
      <c r="AP86" s="1385"/>
      <c r="AQ86" s="1385">
        <v>1</v>
      </c>
      <c r="AR86" s="1383">
        <v>1</v>
      </c>
      <c r="AS86" s="2393" t="s">
        <v>1038</v>
      </c>
    </row>
    <row r="87" spans="1:45" ht="24">
      <c r="A87" s="2378"/>
      <c r="B87" s="2379">
        <v>2030501</v>
      </c>
      <c r="C87" s="2379">
        <v>2070114</v>
      </c>
      <c r="D87" s="2392">
        <v>0.1</v>
      </c>
      <c r="E87" s="2391" t="s">
        <v>658</v>
      </c>
      <c r="F87" s="2382">
        <f t="shared" si="18"/>
        <v>0</v>
      </c>
      <c r="G87" s="2383">
        <f t="shared" si="18"/>
        <v>0</v>
      </c>
      <c r="H87" s="2384">
        <f t="shared" si="18"/>
        <v>0</v>
      </c>
      <c r="I87" s="2385">
        <f t="shared" si="18"/>
        <v>0</v>
      </c>
      <c r="J87" s="2385">
        <f t="shared" si="18"/>
        <v>0</v>
      </c>
      <c r="K87" s="2385">
        <f t="shared" si="18"/>
        <v>0</v>
      </c>
      <c r="L87" s="2386">
        <f t="shared" si="18"/>
        <v>0</v>
      </c>
      <c r="M87" s="2387">
        <f t="shared" si="19"/>
        <v>0</v>
      </c>
      <c r="N87" s="1382">
        <v>0</v>
      </c>
      <c r="O87" s="1383">
        <v>0</v>
      </c>
      <c r="P87" s="1384"/>
      <c r="Q87" s="1385"/>
      <c r="R87" s="1385"/>
      <c r="S87" s="1385"/>
      <c r="T87" s="1385"/>
      <c r="U87" s="1382"/>
      <c r="V87" s="1383"/>
      <c r="W87" s="1384"/>
      <c r="X87" s="1385"/>
      <c r="Y87" s="1385"/>
      <c r="Z87" s="1385"/>
      <c r="AA87" s="1385"/>
      <c r="AB87" s="1382"/>
      <c r="AC87" s="1383"/>
      <c r="AD87" s="1384"/>
      <c r="AE87" s="1385"/>
      <c r="AF87" s="1385"/>
      <c r="AG87" s="1385"/>
      <c r="AH87" s="1386"/>
      <c r="AI87" s="1387"/>
      <c r="AJ87" s="1388"/>
      <c r="AK87" s="2388" t="s">
        <v>682</v>
      </c>
      <c r="AL87" s="1384">
        <v>0</v>
      </c>
      <c r="AM87" s="1383">
        <v>0</v>
      </c>
      <c r="AN87" s="1384"/>
      <c r="AO87" s="1385"/>
      <c r="AP87" s="1385"/>
      <c r="AQ87" s="1385"/>
      <c r="AR87" s="1383"/>
      <c r="AS87" s="2394" t="s">
        <v>716</v>
      </c>
    </row>
    <row r="88" spans="1:45" ht="24">
      <c r="A88" s="2378"/>
      <c r="B88" s="2379">
        <v>2030501</v>
      </c>
      <c r="C88" s="2367">
        <v>2070115</v>
      </c>
      <c r="D88" s="2392">
        <v>0.1</v>
      </c>
      <c r="E88" s="2381" t="s">
        <v>659</v>
      </c>
      <c r="F88" s="2382">
        <f t="shared" si="18"/>
        <v>0</v>
      </c>
      <c r="G88" s="2383">
        <f t="shared" si="18"/>
        <v>0</v>
      </c>
      <c r="H88" s="2384">
        <f t="shared" si="18"/>
        <v>0</v>
      </c>
      <c r="I88" s="2385">
        <f t="shared" si="18"/>
        <v>0</v>
      </c>
      <c r="J88" s="2385">
        <f t="shared" si="18"/>
        <v>0</v>
      </c>
      <c r="K88" s="2385">
        <f t="shared" si="18"/>
        <v>0</v>
      </c>
      <c r="L88" s="2386">
        <f t="shared" si="18"/>
        <v>0</v>
      </c>
      <c r="M88" s="2387">
        <f t="shared" si="19"/>
        <v>0</v>
      </c>
      <c r="N88" s="1382">
        <v>0</v>
      </c>
      <c r="O88" s="1383">
        <v>0</v>
      </c>
      <c r="P88" s="1384"/>
      <c r="Q88" s="1385"/>
      <c r="R88" s="1385"/>
      <c r="S88" s="1385"/>
      <c r="T88" s="1385"/>
      <c r="U88" s="1382"/>
      <c r="V88" s="1383"/>
      <c r="W88" s="1384"/>
      <c r="X88" s="1385"/>
      <c r="Y88" s="1385"/>
      <c r="Z88" s="1385"/>
      <c r="AA88" s="1385"/>
      <c r="AB88" s="1382"/>
      <c r="AC88" s="1383"/>
      <c r="AD88" s="1384"/>
      <c r="AE88" s="1385"/>
      <c r="AF88" s="1385"/>
      <c r="AG88" s="1385"/>
      <c r="AH88" s="1386"/>
      <c r="AI88" s="1387"/>
      <c r="AJ88" s="1388"/>
      <c r="AK88" s="2388" t="s">
        <v>682</v>
      </c>
      <c r="AL88" s="1384">
        <v>0</v>
      </c>
      <c r="AM88" s="1383">
        <v>0</v>
      </c>
      <c r="AN88" s="1384"/>
      <c r="AO88" s="1385"/>
      <c r="AP88" s="1385"/>
      <c r="AQ88" s="1385"/>
      <c r="AR88" s="1383"/>
      <c r="AS88" s="2394" t="s">
        <v>660</v>
      </c>
    </row>
    <row r="89" spans="1:45">
      <c r="A89" s="2378"/>
      <c r="B89" s="2379">
        <v>2030502</v>
      </c>
      <c r="C89" s="2379">
        <v>2070116</v>
      </c>
      <c r="D89" s="2392">
        <v>0.1</v>
      </c>
      <c r="E89" s="2391" t="s">
        <v>373</v>
      </c>
      <c r="F89" s="2382">
        <f t="shared" si="18"/>
        <v>0</v>
      </c>
      <c r="G89" s="2383">
        <f t="shared" si="18"/>
        <v>0</v>
      </c>
      <c r="H89" s="2384">
        <f t="shared" si="18"/>
        <v>0</v>
      </c>
      <c r="I89" s="2385">
        <f t="shared" si="18"/>
        <v>0</v>
      </c>
      <c r="J89" s="2385">
        <f t="shared" si="18"/>
        <v>0</v>
      </c>
      <c r="K89" s="2385">
        <f t="shared" si="18"/>
        <v>0</v>
      </c>
      <c r="L89" s="2386">
        <f t="shared" si="18"/>
        <v>0</v>
      </c>
      <c r="M89" s="2387">
        <f t="shared" si="19"/>
        <v>0</v>
      </c>
      <c r="N89" s="1382">
        <v>0</v>
      </c>
      <c r="O89" s="1383">
        <v>0</v>
      </c>
      <c r="P89" s="1384"/>
      <c r="Q89" s="1385"/>
      <c r="R89" s="1385"/>
      <c r="S89" s="1385"/>
      <c r="T89" s="1385"/>
      <c r="U89" s="1382"/>
      <c r="V89" s="1383"/>
      <c r="W89" s="1384"/>
      <c r="X89" s="1385"/>
      <c r="Y89" s="1385"/>
      <c r="Z89" s="1385"/>
      <c r="AA89" s="1385"/>
      <c r="AB89" s="1382"/>
      <c r="AC89" s="1383"/>
      <c r="AD89" s="1384"/>
      <c r="AE89" s="1385"/>
      <c r="AF89" s="1385"/>
      <c r="AG89" s="1385"/>
      <c r="AH89" s="1386"/>
      <c r="AI89" s="1387"/>
      <c r="AJ89" s="1389"/>
      <c r="AK89" s="2388" t="s">
        <v>682</v>
      </c>
      <c r="AL89" s="1384">
        <v>0</v>
      </c>
      <c r="AM89" s="1383">
        <v>0</v>
      </c>
      <c r="AN89" s="1384"/>
      <c r="AO89" s="1385"/>
      <c r="AP89" s="1385"/>
      <c r="AQ89" s="1385"/>
      <c r="AR89" s="1383"/>
      <c r="AS89" s="2394" t="s">
        <v>715</v>
      </c>
    </row>
    <row r="90" spans="1:45" ht="24">
      <c r="A90" s="2378"/>
      <c r="B90" s="2379">
        <v>215</v>
      </c>
      <c r="C90" s="2367">
        <v>2070117</v>
      </c>
      <c r="D90" s="2390">
        <v>0.2</v>
      </c>
      <c r="E90" s="2381" t="s">
        <v>374</v>
      </c>
      <c r="F90" s="2382">
        <f t="shared" si="18"/>
        <v>0</v>
      </c>
      <c r="G90" s="2383">
        <f t="shared" si="18"/>
        <v>0</v>
      </c>
      <c r="H90" s="2384">
        <f t="shared" si="18"/>
        <v>0</v>
      </c>
      <c r="I90" s="2385">
        <f t="shared" si="18"/>
        <v>0</v>
      </c>
      <c r="J90" s="2385">
        <f t="shared" si="18"/>
        <v>0</v>
      </c>
      <c r="K90" s="2385">
        <f t="shared" si="18"/>
        <v>0</v>
      </c>
      <c r="L90" s="2386">
        <f t="shared" si="18"/>
        <v>0</v>
      </c>
      <c r="M90" s="2387">
        <f t="shared" si="19"/>
        <v>0</v>
      </c>
      <c r="N90" s="1382">
        <v>0</v>
      </c>
      <c r="O90" s="1383">
        <v>0</v>
      </c>
      <c r="P90" s="1384"/>
      <c r="Q90" s="1385"/>
      <c r="R90" s="1385"/>
      <c r="S90" s="1385"/>
      <c r="T90" s="1385"/>
      <c r="U90" s="1382"/>
      <c r="V90" s="1383"/>
      <c r="W90" s="1384"/>
      <c r="X90" s="1385"/>
      <c r="Y90" s="1385"/>
      <c r="Z90" s="1385"/>
      <c r="AA90" s="1385"/>
      <c r="AB90" s="1382"/>
      <c r="AC90" s="1383"/>
      <c r="AD90" s="1384"/>
      <c r="AE90" s="1385"/>
      <c r="AF90" s="1385"/>
      <c r="AG90" s="1385"/>
      <c r="AH90" s="1386"/>
      <c r="AI90" s="1387"/>
      <c r="AJ90" s="1389"/>
      <c r="AK90" s="2395" t="s">
        <v>318</v>
      </c>
      <c r="AL90" s="1384">
        <v>0</v>
      </c>
      <c r="AM90" s="1383">
        <v>0</v>
      </c>
      <c r="AN90" s="1384"/>
      <c r="AO90" s="1385"/>
      <c r="AP90" s="1385"/>
      <c r="AQ90" s="1385"/>
      <c r="AR90" s="1383"/>
      <c r="AS90" s="2389" t="s">
        <v>375</v>
      </c>
    </row>
    <row r="91" spans="1:45">
      <c r="A91" s="2378"/>
      <c r="B91" s="2379">
        <v>2030503</v>
      </c>
      <c r="C91" s="2379">
        <v>2070118</v>
      </c>
      <c r="D91" s="2380">
        <v>0.1</v>
      </c>
      <c r="E91" s="2381" t="s">
        <v>670</v>
      </c>
      <c r="F91" s="2382">
        <f t="shared" si="18"/>
        <v>0</v>
      </c>
      <c r="G91" s="2383">
        <f t="shared" si="18"/>
        <v>0</v>
      </c>
      <c r="H91" s="2384">
        <f t="shared" si="18"/>
        <v>0</v>
      </c>
      <c r="I91" s="2385">
        <f t="shared" si="18"/>
        <v>0</v>
      </c>
      <c r="J91" s="2385">
        <f t="shared" si="18"/>
        <v>0</v>
      </c>
      <c r="K91" s="2385">
        <f t="shared" si="18"/>
        <v>0</v>
      </c>
      <c r="L91" s="2386">
        <f t="shared" si="18"/>
        <v>0</v>
      </c>
      <c r="M91" s="2387">
        <f t="shared" si="19"/>
        <v>0</v>
      </c>
      <c r="N91" s="1382">
        <v>0</v>
      </c>
      <c r="O91" s="1383">
        <v>0</v>
      </c>
      <c r="P91" s="1384"/>
      <c r="Q91" s="1385"/>
      <c r="R91" s="1385"/>
      <c r="S91" s="1385"/>
      <c r="T91" s="1385"/>
      <c r="U91" s="1382"/>
      <c r="V91" s="1383"/>
      <c r="W91" s="1384"/>
      <c r="X91" s="1385"/>
      <c r="Y91" s="1385"/>
      <c r="Z91" s="1385"/>
      <c r="AA91" s="1385"/>
      <c r="AB91" s="1382"/>
      <c r="AC91" s="1383"/>
      <c r="AD91" s="1384"/>
      <c r="AE91" s="1385"/>
      <c r="AF91" s="1385"/>
      <c r="AG91" s="1385"/>
      <c r="AH91" s="1386"/>
      <c r="AI91" s="1387"/>
      <c r="AJ91" s="1388"/>
      <c r="AK91" s="2388" t="s">
        <v>682</v>
      </c>
      <c r="AL91" s="1384">
        <v>0</v>
      </c>
      <c r="AM91" s="1383">
        <v>0</v>
      </c>
      <c r="AN91" s="1384"/>
      <c r="AO91" s="1385"/>
      <c r="AP91" s="1385"/>
      <c r="AQ91" s="1385"/>
      <c r="AR91" s="1383"/>
      <c r="AS91" s="2389" t="s">
        <v>376</v>
      </c>
    </row>
    <row r="92" spans="1:45">
      <c r="A92" s="2396"/>
      <c r="B92" s="2379">
        <v>20302</v>
      </c>
      <c r="C92" s="2367">
        <v>2070119</v>
      </c>
      <c r="D92" s="2380">
        <v>0.1</v>
      </c>
      <c r="E92" s="2381" t="s">
        <v>377</v>
      </c>
      <c r="F92" s="2382">
        <f t="shared" si="18"/>
        <v>0</v>
      </c>
      <c r="G92" s="2383">
        <f t="shared" si="18"/>
        <v>0</v>
      </c>
      <c r="H92" s="2384">
        <f t="shared" si="18"/>
        <v>0</v>
      </c>
      <c r="I92" s="2385">
        <f t="shared" si="18"/>
        <v>0</v>
      </c>
      <c r="J92" s="2385">
        <f t="shared" si="18"/>
        <v>0</v>
      </c>
      <c r="K92" s="2385">
        <f t="shared" si="18"/>
        <v>0</v>
      </c>
      <c r="L92" s="2386">
        <f t="shared" si="18"/>
        <v>0</v>
      </c>
      <c r="M92" s="2387">
        <f t="shared" si="19"/>
        <v>0</v>
      </c>
      <c r="N92" s="1382">
        <v>0</v>
      </c>
      <c r="O92" s="1383">
        <v>0</v>
      </c>
      <c r="P92" s="1384"/>
      <c r="Q92" s="1385"/>
      <c r="R92" s="1385"/>
      <c r="S92" s="1385"/>
      <c r="T92" s="1385"/>
      <c r="U92" s="1382"/>
      <c r="V92" s="1383"/>
      <c r="W92" s="1384"/>
      <c r="X92" s="1385"/>
      <c r="Y92" s="1385"/>
      <c r="Z92" s="1385"/>
      <c r="AA92" s="1385"/>
      <c r="AB92" s="1382"/>
      <c r="AC92" s="1383"/>
      <c r="AD92" s="1384"/>
      <c r="AE92" s="1385"/>
      <c r="AF92" s="1385"/>
      <c r="AG92" s="1385"/>
      <c r="AH92" s="1386"/>
      <c r="AI92" s="1387"/>
      <c r="AJ92" s="1388"/>
      <c r="AK92" s="2388" t="s">
        <v>682</v>
      </c>
      <c r="AL92" s="1384">
        <v>0</v>
      </c>
      <c r="AM92" s="1383">
        <v>0</v>
      </c>
      <c r="AN92" s="1384"/>
      <c r="AO92" s="1385"/>
      <c r="AP92" s="1385"/>
      <c r="AQ92" s="1385"/>
      <c r="AR92" s="1383"/>
      <c r="AS92" s="2389" t="s">
        <v>378</v>
      </c>
    </row>
    <row r="93" spans="1:45" ht="24">
      <c r="A93" s="2396"/>
      <c r="B93" s="2379">
        <v>20502</v>
      </c>
      <c r="C93" s="2379">
        <v>2070120</v>
      </c>
      <c r="D93" s="2380">
        <v>0.1</v>
      </c>
      <c r="E93" s="2381" t="s">
        <v>379</v>
      </c>
      <c r="F93" s="2382">
        <f t="shared" si="18"/>
        <v>0</v>
      </c>
      <c r="G93" s="2383">
        <f t="shared" si="18"/>
        <v>0</v>
      </c>
      <c r="H93" s="2384">
        <f t="shared" si="18"/>
        <v>0</v>
      </c>
      <c r="I93" s="2385">
        <f t="shared" si="18"/>
        <v>0</v>
      </c>
      <c r="J93" s="2385">
        <f t="shared" si="18"/>
        <v>0</v>
      </c>
      <c r="K93" s="2385">
        <f t="shared" si="18"/>
        <v>0</v>
      </c>
      <c r="L93" s="2386">
        <f t="shared" si="18"/>
        <v>0</v>
      </c>
      <c r="M93" s="2387">
        <f t="shared" si="19"/>
        <v>0</v>
      </c>
      <c r="N93" s="1382">
        <v>0</v>
      </c>
      <c r="O93" s="1383">
        <v>0</v>
      </c>
      <c r="P93" s="1384"/>
      <c r="Q93" s="1385"/>
      <c r="R93" s="1385"/>
      <c r="S93" s="1385"/>
      <c r="T93" s="1385"/>
      <c r="U93" s="1382"/>
      <c r="V93" s="1383"/>
      <c r="W93" s="1384"/>
      <c r="X93" s="1385"/>
      <c r="Y93" s="1385"/>
      <c r="Z93" s="1385"/>
      <c r="AA93" s="1385"/>
      <c r="AB93" s="1382"/>
      <c r="AC93" s="1383"/>
      <c r="AD93" s="1384"/>
      <c r="AE93" s="1385"/>
      <c r="AF93" s="1385"/>
      <c r="AG93" s="1385"/>
      <c r="AH93" s="1386"/>
      <c r="AI93" s="1387"/>
      <c r="AJ93" s="1389"/>
      <c r="AK93" s="2388" t="s">
        <v>682</v>
      </c>
      <c r="AL93" s="1384">
        <v>0</v>
      </c>
      <c r="AM93" s="1383">
        <v>0</v>
      </c>
      <c r="AN93" s="1384"/>
      <c r="AO93" s="1385"/>
      <c r="AP93" s="1385"/>
      <c r="AQ93" s="1385"/>
      <c r="AR93" s="1383"/>
      <c r="AS93" s="2389" t="s">
        <v>380</v>
      </c>
    </row>
    <row r="94" spans="1:45" ht="24">
      <c r="A94" s="2396"/>
      <c r="B94" s="2379">
        <v>20501</v>
      </c>
      <c r="C94" s="2367">
        <v>2070121</v>
      </c>
      <c r="D94" s="2380">
        <v>0.08</v>
      </c>
      <c r="E94" s="2381" t="s">
        <v>381</v>
      </c>
      <c r="F94" s="2382">
        <f t="shared" si="18"/>
        <v>0</v>
      </c>
      <c r="G94" s="2383">
        <f t="shared" si="18"/>
        <v>0</v>
      </c>
      <c r="H94" s="2384">
        <f t="shared" si="18"/>
        <v>0</v>
      </c>
      <c r="I94" s="2385">
        <f t="shared" si="18"/>
        <v>0</v>
      </c>
      <c r="J94" s="2385">
        <f t="shared" si="18"/>
        <v>0</v>
      </c>
      <c r="K94" s="2385">
        <f t="shared" si="18"/>
        <v>0</v>
      </c>
      <c r="L94" s="2386">
        <f t="shared" si="18"/>
        <v>0</v>
      </c>
      <c r="M94" s="2387">
        <f t="shared" si="19"/>
        <v>0</v>
      </c>
      <c r="N94" s="1382">
        <v>0</v>
      </c>
      <c r="O94" s="1383">
        <v>0</v>
      </c>
      <c r="P94" s="1384"/>
      <c r="Q94" s="1385"/>
      <c r="R94" s="1385"/>
      <c r="S94" s="1385"/>
      <c r="T94" s="1385"/>
      <c r="U94" s="1382"/>
      <c r="V94" s="1383"/>
      <c r="W94" s="1384"/>
      <c r="X94" s="1385"/>
      <c r="Y94" s="1385"/>
      <c r="Z94" s="1385"/>
      <c r="AA94" s="1385"/>
      <c r="AB94" s="1382"/>
      <c r="AC94" s="1383"/>
      <c r="AD94" s="1384"/>
      <c r="AE94" s="1385"/>
      <c r="AF94" s="1385"/>
      <c r="AG94" s="1385"/>
      <c r="AH94" s="1386"/>
      <c r="AI94" s="1387"/>
      <c r="AJ94" s="1389"/>
      <c r="AK94" s="2388" t="s">
        <v>682</v>
      </c>
      <c r="AL94" s="1384">
        <v>0</v>
      </c>
      <c r="AM94" s="1383">
        <v>0</v>
      </c>
      <c r="AN94" s="1384">
        <v>1</v>
      </c>
      <c r="AO94" s="1385"/>
      <c r="AP94" s="1385"/>
      <c r="AQ94" s="1385"/>
      <c r="AR94" s="1383"/>
      <c r="AS94" s="2389" t="s">
        <v>380</v>
      </c>
    </row>
    <row r="95" spans="1:45">
      <c r="A95" s="2396"/>
      <c r="B95" s="2379">
        <v>20503</v>
      </c>
      <c r="C95" s="2379">
        <v>2070122</v>
      </c>
      <c r="D95" s="2380">
        <v>0.1</v>
      </c>
      <c r="E95" s="2391" t="s">
        <v>680</v>
      </c>
      <c r="F95" s="2382">
        <f t="shared" si="18"/>
        <v>0</v>
      </c>
      <c r="G95" s="2383">
        <f t="shared" si="18"/>
        <v>0</v>
      </c>
      <c r="H95" s="2384">
        <f t="shared" si="18"/>
        <v>0</v>
      </c>
      <c r="I95" s="2385">
        <f t="shared" si="18"/>
        <v>0</v>
      </c>
      <c r="J95" s="2385">
        <f t="shared" si="18"/>
        <v>0</v>
      </c>
      <c r="K95" s="2385">
        <f t="shared" si="18"/>
        <v>0</v>
      </c>
      <c r="L95" s="2386">
        <f t="shared" si="18"/>
        <v>0</v>
      </c>
      <c r="M95" s="2387">
        <f t="shared" si="19"/>
        <v>0</v>
      </c>
      <c r="N95" s="1382">
        <v>0</v>
      </c>
      <c r="O95" s="1383">
        <v>0</v>
      </c>
      <c r="P95" s="1384"/>
      <c r="Q95" s="1385"/>
      <c r="R95" s="1385"/>
      <c r="S95" s="1385"/>
      <c r="T95" s="1385"/>
      <c r="U95" s="1382"/>
      <c r="V95" s="1383"/>
      <c r="W95" s="1384"/>
      <c r="X95" s="1385"/>
      <c r="Y95" s="1385"/>
      <c r="Z95" s="1385"/>
      <c r="AA95" s="1385"/>
      <c r="AB95" s="1382"/>
      <c r="AC95" s="1383"/>
      <c r="AD95" s="1384"/>
      <c r="AE95" s="1385"/>
      <c r="AF95" s="1385"/>
      <c r="AG95" s="1385"/>
      <c r="AH95" s="1386"/>
      <c r="AI95" s="1387"/>
      <c r="AJ95" s="1388"/>
      <c r="AK95" s="2388" t="s">
        <v>682</v>
      </c>
      <c r="AL95" s="1384">
        <v>0</v>
      </c>
      <c r="AM95" s="1383">
        <v>0</v>
      </c>
      <c r="AN95" s="1384">
        <v>1</v>
      </c>
      <c r="AO95" s="1385"/>
      <c r="AP95" s="1385"/>
      <c r="AQ95" s="1385"/>
      <c r="AR95" s="1383"/>
      <c r="AS95" s="2389" t="s">
        <v>380</v>
      </c>
    </row>
    <row r="96" spans="1:45" ht="24">
      <c r="A96" s="2396"/>
      <c r="B96" s="2379">
        <v>20303</v>
      </c>
      <c r="C96" s="2367">
        <v>2070123</v>
      </c>
      <c r="D96" s="2380">
        <v>0.1</v>
      </c>
      <c r="E96" s="2381" t="s">
        <v>382</v>
      </c>
      <c r="F96" s="2382">
        <f t="shared" si="18"/>
        <v>0</v>
      </c>
      <c r="G96" s="2383">
        <f t="shared" si="18"/>
        <v>0</v>
      </c>
      <c r="H96" s="2384">
        <f t="shared" si="18"/>
        <v>0</v>
      </c>
      <c r="I96" s="2385">
        <f t="shared" si="18"/>
        <v>0</v>
      </c>
      <c r="J96" s="2385">
        <f t="shared" si="18"/>
        <v>0</v>
      </c>
      <c r="K96" s="2385">
        <f t="shared" si="18"/>
        <v>0</v>
      </c>
      <c r="L96" s="2386">
        <f t="shared" si="18"/>
        <v>0</v>
      </c>
      <c r="M96" s="2387">
        <f t="shared" si="19"/>
        <v>0</v>
      </c>
      <c r="N96" s="1382">
        <v>0</v>
      </c>
      <c r="O96" s="1383">
        <v>0</v>
      </c>
      <c r="P96" s="1384"/>
      <c r="Q96" s="1385"/>
      <c r="R96" s="1385"/>
      <c r="S96" s="1385"/>
      <c r="T96" s="1385"/>
      <c r="U96" s="1382"/>
      <c r="V96" s="1383"/>
      <c r="W96" s="1384"/>
      <c r="X96" s="1385"/>
      <c r="Y96" s="1385"/>
      <c r="Z96" s="1385"/>
      <c r="AA96" s="1385"/>
      <c r="AB96" s="1382"/>
      <c r="AC96" s="1383"/>
      <c r="AD96" s="1384"/>
      <c r="AE96" s="1385"/>
      <c r="AF96" s="1385"/>
      <c r="AG96" s="1385"/>
      <c r="AH96" s="1386"/>
      <c r="AI96" s="1387"/>
      <c r="AJ96" s="1388"/>
      <c r="AK96" s="2388" t="s">
        <v>682</v>
      </c>
      <c r="AL96" s="1384">
        <v>0</v>
      </c>
      <c r="AM96" s="1383">
        <v>0</v>
      </c>
      <c r="AN96" s="1384"/>
      <c r="AO96" s="1385">
        <v>1</v>
      </c>
      <c r="AP96" s="1385"/>
      <c r="AQ96" s="1385"/>
      <c r="AR96" s="1383"/>
      <c r="AS96" s="2389" t="s">
        <v>380</v>
      </c>
    </row>
    <row r="97" spans="1:45" ht="24.75" thickBot="1">
      <c r="A97" s="4595"/>
      <c r="B97" s="4596">
        <v>20306</v>
      </c>
      <c r="C97" s="4596">
        <v>2070124</v>
      </c>
      <c r="D97" s="4597">
        <v>0.1</v>
      </c>
      <c r="E97" s="4598" t="s">
        <v>719</v>
      </c>
      <c r="F97" s="4599">
        <f t="shared" si="18"/>
        <v>0</v>
      </c>
      <c r="G97" s="4600">
        <f t="shared" si="18"/>
        <v>0</v>
      </c>
      <c r="H97" s="4601">
        <f t="shared" si="18"/>
        <v>1</v>
      </c>
      <c r="I97" s="4602">
        <f t="shared" si="18"/>
        <v>1</v>
      </c>
      <c r="J97" s="4602">
        <f t="shared" si="18"/>
        <v>0</v>
      </c>
      <c r="K97" s="4602">
        <f t="shared" si="18"/>
        <v>0</v>
      </c>
      <c r="L97" s="4603">
        <f t="shared" si="18"/>
        <v>0</v>
      </c>
      <c r="M97" s="2401">
        <f t="shared" si="19"/>
        <v>2</v>
      </c>
      <c r="N97" s="1405">
        <v>0</v>
      </c>
      <c r="O97" s="1406">
        <v>0</v>
      </c>
      <c r="P97" s="1407">
        <v>1</v>
      </c>
      <c r="Q97" s="4604">
        <v>1</v>
      </c>
      <c r="R97" s="4604"/>
      <c r="S97" s="4604"/>
      <c r="T97" s="4604"/>
      <c r="U97" s="1405"/>
      <c r="V97" s="1406"/>
      <c r="W97" s="1407"/>
      <c r="X97" s="4604"/>
      <c r="Y97" s="4604"/>
      <c r="Z97" s="4604"/>
      <c r="AA97" s="4604"/>
      <c r="AB97" s="1405"/>
      <c r="AC97" s="1406"/>
      <c r="AD97" s="1407"/>
      <c r="AE97" s="4604"/>
      <c r="AF97" s="4604"/>
      <c r="AG97" s="4604"/>
      <c r="AH97" s="4605"/>
      <c r="AI97" s="1403"/>
      <c r="AJ97" s="4606"/>
      <c r="AK97" s="2455" t="s">
        <v>682</v>
      </c>
      <c r="AL97" s="1407">
        <v>0</v>
      </c>
      <c r="AM97" s="1406">
        <v>0</v>
      </c>
      <c r="AN97" s="1407"/>
      <c r="AO97" s="4604"/>
      <c r="AP97" s="4604"/>
      <c r="AQ97" s="4604"/>
      <c r="AR97" s="1406"/>
      <c r="AS97" s="4607" t="s">
        <v>672</v>
      </c>
    </row>
    <row r="98" spans="1:45" ht="16.5" thickBot="1">
      <c r="A98" s="5362" t="s">
        <v>1576</v>
      </c>
      <c r="B98" s="5363"/>
      <c r="C98" s="5363"/>
      <c r="D98" s="5363"/>
      <c r="E98" s="5363"/>
      <c r="F98" s="5363"/>
      <c r="G98" s="5363"/>
      <c r="H98" s="5363"/>
      <c r="I98" s="5363"/>
      <c r="J98" s="5363"/>
      <c r="K98" s="5363"/>
      <c r="L98" s="5363"/>
      <c r="M98" s="5363"/>
      <c r="N98" s="5363"/>
      <c r="O98" s="5363"/>
      <c r="P98" s="5363"/>
      <c r="Q98" s="5363"/>
      <c r="R98" s="5363"/>
      <c r="S98" s="5363"/>
      <c r="T98" s="5363"/>
      <c r="U98" s="5363"/>
      <c r="V98" s="5363"/>
      <c r="W98" s="5363"/>
      <c r="X98" s="5363"/>
      <c r="Y98" s="5363"/>
      <c r="Z98" s="5363"/>
      <c r="AA98" s="5363"/>
      <c r="AB98" s="5363"/>
      <c r="AC98" s="5363"/>
      <c r="AD98" s="5363"/>
      <c r="AE98" s="5363"/>
      <c r="AF98" s="5363"/>
      <c r="AG98" s="5363"/>
      <c r="AH98" s="5363"/>
      <c r="AI98" s="5363"/>
      <c r="AJ98" s="5363"/>
      <c r="AK98" s="5363"/>
      <c r="AL98" s="5363"/>
      <c r="AM98" s="5363"/>
      <c r="AN98" s="5363"/>
      <c r="AO98" s="5363"/>
      <c r="AP98" s="5363"/>
      <c r="AQ98" s="5363"/>
      <c r="AR98" s="5363"/>
      <c r="AS98" s="5364"/>
    </row>
    <row r="99" spans="1:45" ht="24.75" thickBot="1">
      <c r="A99" s="2345">
        <v>1.7</v>
      </c>
      <c r="B99" s="2345"/>
      <c r="C99" s="2345"/>
      <c r="D99" s="2346"/>
      <c r="E99" s="2347" t="s">
        <v>1102</v>
      </c>
      <c r="F99" s="2348">
        <f>SUM(F100:F123)</f>
        <v>0</v>
      </c>
      <c r="G99" s="2349">
        <f t="shared" ref="G99:AH99" si="20">SUM(G100:G123)</f>
        <v>0</v>
      </c>
      <c r="H99" s="2350">
        <f t="shared" si="20"/>
        <v>0</v>
      </c>
      <c r="I99" s="2351">
        <f t="shared" si="20"/>
        <v>0</v>
      </c>
      <c r="J99" s="2351">
        <f t="shared" si="20"/>
        <v>0</v>
      </c>
      <c r="K99" s="2351">
        <f t="shared" si="20"/>
        <v>0</v>
      </c>
      <c r="L99" s="2352">
        <f t="shared" si="20"/>
        <v>0</v>
      </c>
      <c r="M99" s="2353">
        <f t="shared" si="20"/>
        <v>0</v>
      </c>
      <c r="N99" s="2354">
        <f t="shared" si="20"/>
        <v>0</v>
      </c>
      <c r="O99" s="2355">
        <f t="shared" si="20"/>
        <v>0</v>
      </c>
      <c r="P99" s="2356">
        <f t="shared" si="20"/>
        <v>0</v>
      </c>
      <c r="Q99" s="2357">
        <f t="shared" si="20"/>
        <v>0</v>
      </c>
      <c r="R99" s="2357">
        <f t="shared" si="20"/>
        <v>0</v>
      </c>
      <c r="S99" s="2357">
        <f t="shared" si="20"/>
        <v>0</v>
      </c>
      <c r="T99" s="2358">
        <f t="shared" si="20"/>
        <v>0</v>
      </c>
      <c r="U99" s="2354">
        <f t="shared" si="20"/>
        <v>0</v>
      </c>
      <c r="V99" s="2355">
        <f t="shared" si="20"/>
        <v>0</v>
      </c>
      <c r="W99" s="2356">
        <f t="shared" si="20"/>
        <v>0</v>
      </c>
      <c r="X99" s="2357">
        <f t="shared" si="20"/>
        <v>0</v>
      </c>
      <c r="Y99" s="2357">
        <f t="shared" si="20"/>
        <v>0</v>
      </c>
      <c r="Z99" s="2357">
        <f t="shared" si="20"/>
        <v>0</v>
      </c>
      <c r="AA99" s="2358">
        <f t="shared" si="20"/>
        <v>0</v>
      </c>
      <c r="AB99" s="2354">
        <f t="shared" si="20"/>
        <v>0</v>
      </c>
      <c r="AC99" s="2355">
        <f t="shared" si="20"/>
        <v>0</v>
      </c>
      <c r="AD99" s="2356">
        <f>SUM(AD100:AD123)</f>
        <v>0</v>
      </c>
      <c r="AE99" s="2357">
        <f t="shared" si="20"/>
        <v>0</v>
      </c>
      <c r="AF99" s="2357">
        <f t="shared" si="20"/>
        <v>0</v>
      </c>
      <c r="AG99" s="2357">
        <f t="shared" si="20"/>
        <v>0</v>
      </c>
      <c r="AH99" s="2359">
        <f t="shared" si="20"/>
        <v>0</v>
      </c>
      <c r="AI99" s="2360"/>
      <c r="AJ99" s="2361"/>
      <c r="AK99" s="2362"/>
      <c r="AL99" s="2463"/>
      <c r="AM99" s="2464"/>
      <c r="AN99" s="2363"/>
      <c r="AO99" s="2363"/>
      <c r="AP99" s="2363"/>
      <c r="AQ99" s="2363"/>
      <c r="AR99" s="2364"/>
      <c r="AS99" s="2365"/>
    </row>
    <row r="100" spans="1:45">
      <c r="A100" s="2366"/>
      <c r="B100" s="2367">
        <v>2040201</v>
      </c>
      <c r="C100" s="2367">
        <v>2070101</v>
      </c>
      <c r="D100" s="2368">
        <v>0.02</v>
      </c>
      <c r="E100" s="2369" t="s">
        <v>746</v>
      </c>
      <c r="F100" s="2370">
        <f t="shared" ref="F100:L123" si="21">N100+U100+AB100</f>
        <v>0</v>
      </c>
      <c r="G100" s="2371">
        <f t="shared" si="21"/>
        <v>0</v>
      </c>
      <c r="H100" s="2372">
        <f t="shared" si="21"/>
        <v>0</v>
      </c>
      <c r="I100" s="2373">
        <f t="shared" si="21"/>
        <v>0</v>
      </c>
      <c r="J100" s="2373">
        <f t="shared" si="21"/>
        <v>0</v>
      </c>
      <c r="K100" s="2373">
        <f t="shared" si="21"/>
        <v>0</v>
      </c>
      <c r="L100" s="2374">
        <f t="shared" si="21"/>
        <v>0</v>
      </c>
      <c r="M100" s="2375">
        <f>SUM(H100:L100)</f>
        <v>0</v>
      </c>
      <c r="N100" s="1375"/>
      <c r="O100" s="1376"/>
      <c r="P100" s="1377"/>
      <c r="Q100" s="1378"/>
      <c r="R100" s="1378"/>
      <c r="S100" s="1378"/>
      <c r="T100" s="1378"/>
      <c r="U100" s="1375"/>
      <c r="V100" s="1376"/>
      <c r="W100" s="1377"/>
      <c r="X100" s="1378"/>
      <c r="Y100" s="1378"/>
      <c r="Z100" s="1378"/>
      <c r="AA100" s="1378"/>
      <c r="AB100" s="1375"/>
      <c r="AC100" s="1376"/>
      <c r="AD100" s="1377"/>
      <c r="AE100" s="1378"/>
      <c r="AF100" s="1378"/>
      <c r="AG100" s="1378"/>
      <c r="AH100" s="1379"/>
      <c r="AI100" s="1380"/>
      <c r="AJ100" s="1381"/>
      <c r="AK100" s="2376" t="s">
        <v>682</v>
      </c>
      <c r="AL100" s="1377"/>
      <c r="AM100" s="1376"/>
      <c r="AN100" s="1377"/>
      <c r="AO100" s="1378"/>
      <c r="AP100" s="1378"/>
      <c r="AQ100" s="1378"/>
      <c r="AR100" s="1376"/>
      <c r="AS100" s="2377" t="s">
        <v>359</v>
      </c>
    </row>
    <row r="101" spans="1:45">
      <c r="A101" s="2378"/>
      <c r="B101" s="2379">
        <v>2040202</v>
      </c>
      <c r="C101" s="2379">
        <v>2070102</v>
      </c>
      <c r="D101" s="2380">
        <v>0.02</v>
      </c>
      <c r="E101" s="2381" t="s">
        <v>749</v>
      </c>
      <c r="F101" s="2382">
        <f t="shared" si="21"/>
        <v>0</v>
      </c>
      <c r="G101" s="2383">
        <f t="shared" si="21"/>
        <v>0</v>
      </c>
      <c r="H101" s="2384">
        <f t="shared" si="21"/>
        <v>0</v>
      </c>
      <c r="I101" s="2385">
        <f t="shared" si="21"/>
        <v>0</v>
      </c>
      <c r="J101" s="2385">
        <f t="shared" si="21"/>
        <v>0</v>
      </c>
      <c r="K101" s="2385">
        <f t="shared" si="21"/>
        <v>0</v>
      </c>
      <c r="L101" s="2386">
        <f t="shared" si="21"/>
        <v>0</v>
      </c>
      <c r="M101" s="2387">
        <f t="shared" ref="M101:M122" si="22">SUM(H101:L101)</f>
        <v>0</v>
      </c>
      <c r="N101" s="1382"/>
      <c r="O101" s="1383"/>
      <c r="P101" s="1384"/>
      <c r="Q101" s="1385"/>
      <c r="R101" s="1385"/>
      <c r="S101" s="1385"/>
      <c r="T101" s="1385"/>
      <c r="U101" s="1382"/>
      <c r="V101" s="1383"/>
      <c r="W101" s="1384"/>
      <c r="X101" s="1385"/>
      <c r="Y101" s="1385"/>
      <c r="Z101" s="1385"/>
      <c r="AA101" s="1385"/>
      <c r="AB101" s="1382"/>
      <c r="AC101" s="1383"/>
      <c r="AD101" s="1384"/>
      <c r="AE101" s="1385"/>
      <c r="AF101" s="1385"/>
      <c r="AG101" s="1385"/>
      <c r="AH101" s="1386"/>
      <c r="AI101" s="1387"/>
      <c r="AJ101" s="1388"/>
      <c r="AK101" s="2388" t="s">
        <v>682</v>
      </c>
      <c r="AL101" s="1384"/>
      <c r="AM101" s="1383"/>
      <c r="AN101" s="1384"/>
      <c r="AO101" s="1385"/>
      <c r="AP101" s="1385"/>
      <c r="AQ101" s="1385"/>
      <c r="AR101" s="1383"/>
      <c r="AS101" s="2389" t="s">
        <v>359</v>
      </c>
    </row>
    <row r="102" spans="1:45">
      <c r="A102" s="2378"/>
      <c r="B102" s="2379">
        <v>2040204</v>
      </c>
      <c r="C102" s="2367">
        <v>2070103</v>
      </c>
      <c r="D102" s="2380">
        <v>0.02</v>
      </c>
      <c r="E102" s="2381" t="s">
        <v>360</v>
      </c>
      <c r="F102" s="2382">
        <f t="shared" si="21"/>
        <v>0</v>
      </c>
      <c r="G102" s="2383">
        <f t="shared" si="21"/>
        <v>0</v>
      </c>
      <c r="H102" s="2384">
        <f t="shared" si="21"/>
        <v>0</v>
      </c>
      <c r="I102" s="2385">
        <f t="shared" si="21"/>
        <v>0</v>
      </c>
      <c r="J102" s="2385">
        <f t="shared" si="21"/>
        <v>0</v>
      </c>
      <c r="K102" s="2385">
        <f t="shared" si="21"/>
        <v>0</v>
      </c>
      <c r="L102" s="2386">
        <f t="shared" si="21"/>
        <v>0</v>
      </c>
      <c r="M102" s="2387">
        <f t="shared" si="22"/>
        <v>0</v>
      </c>
      <c r="N102" s="1382"/>
      <c r="O102" s="1383"/>
      <c r="P102" s="1384"/>
      <c r="Q102" s="1385"/>
      <c r="R102" s="1385"/>
      <c r="S102" s="1385"/>
      <c r="T102" s="1385"/>
      <c r="U102" s="1382"/>
      <c r="V102" s="1383"/>
      <c r="W102" s="1384"/>
      <c r="X102" s="1385"/>
      <c r="Y102" s="1385"/>
      <c r="Z102" s="1385"/>
      <c r="AA102" s="1385"/>
      <c r="AB102" s="1382"/>
      <c r="AC102" s="1383"/>
      <c r="AD102" s="1384"/>
      <c r="AE102" s="1385"/>
      <c r="AF102" s="1385"/>
      <c r="AG102" s="1385"/>
      <c r="AH102" s="1386"/>
      <c r="AI102" s="1387"/>
      <c r="AJ102" s="1388"/>
      <c r="AK102" s="2388" t="s">
        <v>682</v>
      </c>
      <c r="AL102" s="1384"/>
      <c r="AM102" s="1383"/>
      <c r="AN102" s="1384"/>
      <c r="AO102" s="1385"/>
      <c r="AP102" s="1385"/>
      <c r="AQ102" s="1385"/>
      <c r="AR102" s="1383"/>
      <c r="AS102" s="2389" t="s">
        <v>359</v>
      </c>
    </row>
    <row r="103" spans="1:45">
      <c r="A103" s="2378"/>
      <c r="B103" s="2379">
        <v>20202</v>
      </c>
      <c r="C103" s="2379">
        <v>2070104</v>
      </c>
      <c r="D103" s="2390">
        <v>0.03</v>
      </c>
      <c r="E103" s="2381" t="s">
        <v>361</v>
      </c>
      <c r="F103" s="2382">
        <f t="shared" si="21"/>
        <v>0</v>
      </c>
      <c r="G103" s="2383">
        <f t="shared" si="21"/>
        <v>0</v>
      </c>
      <c r="H103" s="2384">
        <f t="shared" si="21"/>
        <v>0</v>
      </c>
      <c r="I103" s="2385">
        <f t="shared" si="21"/>
        <v>0</v>
      </c>
      <c r="J103" s="2385">
        <f t="shared" si="21"/>
        <v>0</v>
      </c>
      <c r="K103" s="2385">
        <f t="shared" si="21"/>
        <v>0</v>
      </c>
      <c r="L103" s="2386">
        <f t="shared" si="21"/>
        <v>0</v>
      </c>
      <c r="M103" s="2387">
        <f t="shared" si="22"/>
        <v>0</v>
      </c>
      <c r="N103" s="1382"/>
      <c r="O103" s="1383"/>
      <c r="P103" s="1384"/>
      <c r="Q103" s="1385"/>
      <c r="R103" s="1385"/>
      <c r="S103" s="1385"/>
      <c r="T103" s="1385"/>
      <c r="U103" s="1382"/>
      <c r="V103" s="1383"/>
      <c r="W103" s="1384"/>
      <c r="X103" s="1385"/>
      <c r="Y103" s="1385"/>
      <c r="Z103" s="1385"/>
      <c r="AA103" s="1385"/>
      <c r="AB103" s="1382"/>
      <c r="AC103" s="1383"/>
      <c r="AD103" s="1384"/>
      <c r="AE103" s="1385"/>
      <c r="AF103" s="1385"/>
      <c r="AG103" s="1385"/>
      <c r="AH103" s="1386"/>
      <c r="AI103" s="1387"/>
      <c r="AJ103" s="1388"/>
      <c r="AK103" s="2388" t="s">
        <v>682</v>
      </c>
      <c r="AL103" s="1384"/>
      <c r="AM103" s="1383"/>
      <c r="AN103" s="1384"/>
      <c r="AO103" s="1385"/>
      <c r="AP103" s="1385"/>
      <c r="AQ103" s="1385"/>
      <c r="AR103" s="1383"/>
      <c r="AS103" s="2389" t="s">
        <v>359</v>
      </c>
    </row>
    <row r="104" spans="1:45">
      <c r="A104" s="2378"/>
      <c r="B104" s="2379">
        <v>2040205</v>
      </c>
      <c r="C104" s="2367">
        <v>2070105</v>
      </c>
      <c r="D104" s="2380">
        <v>0.02</v>
      </c>
      <c r="E104" s="2381" t="s">
        <v>362</v>
      </c>
      <c r="F104" s="2382">
        <f t="shared" si="21"/>
        <v>0</v>
      </c>
      <c r="G104" s="2383">
        <f t="shared" si="21"/>
        <v>0</v>
      </c>
      <c r="H104" s="2384">
        <f t="shared" si="21"/>
        <v>0</v>
      </c>
      <c r="I104" s="2385">
        <f t="shared" si="21"/>
        <v>0</v>
      </c>
      <c r="J104" s="2385">
        <f t="shared" si="21"/>
        <v>0</v>
      </c>
      <c r="K104" s="2385">
        <f t="shared" si="21"/>
        <v>0</v>
      </c>
      <c r="L104" s="2386">
        <f t="shared" si="21"/>
        <v>0</v>
      </c>
      <c r="M104" s="2387">
        <f t="shared" si="22"/>
        <v>0</v>
      </c>
      <c r="N104" s="1382"/>
      <c r="O104" s="1383"/>
      <c r="P104" s="1384"/>
      <c r="Q104" s="1385"/>
      <c r="R104" s="1385"/>
      <c r="S104" s="1385"/>
      <c r="T104" s="1385"/>
      <c r="U104" s="1382"/>
      <c r="V104" s="1383"/>
      <c r="W104" s="1384"/>
      <c r="X104" s="1385"/>
      <c r="Y104" s="1385"/>
      <c r="Z104" s="1385"/>
      <c r="AA104" s="1385"/>
      <c r="AB104" s="1382"/>
      <c r="AC104" s="1383"/>
      <c r="AD104" s="1384"/>
      <c r="AE104" s="1385"/>
      <c r="AF104" s="1385"/>
      <c r="AG104" s="1385"/>
      <c r="AH104" s="1386"/>
      <c r="AI104" s="1387"/>
      <c r="AJ104" s="1389"/>
      <c r="AK104" s="2388" t="s">
        <v>684</v>
      </c>
      <c r="AL104" s="1384"/>
      <c r="AM104" s="1383"/>
      <c r="AN104" s="1384"/>
      <c r="AO104" s="1385"/>
      <c r="AP104" s="1385"/>
      <c r="AQ104" s="1385"/>
      <c r="AR104" s="1383"/>
      <c r="AS104" s="2389" t="s">
        <v>363</v>
      </c>
    </row>
    <row r="105" spans="1:45">
      <c r="A105" s="2378"/>
      <c r="B105" s="2379">
        <v>2040207</v>
      </c>
      <c r="C105" s="2379">
        <v>2070106</v>
      </c>
      <c r="D105" s="2380">
        <v>0.04</v>
      </c>
      <c r="E105" s="2381" t="s">
        <v>364</v>
      </c>
      <c r="F105" s="2382">
        <f t="shared" si="21"/>
        <v>0</v>
      </c>
      <c r="G105" s="2383">
        <f t="shared" si="21"/>
        <v>0</v>
      </c>
      <c r="H105" s="2384">
        <f t="shared" si="21"/>
        <v>0</v>
      </c>
      <c r="I105" s="2385">
        <f t="shared" si="21"/>
        <v>0</v>
      </c>
      <c r="J105" s="2385">
        <f t="shared" si="21"/>
        <v>0</v>
      </c>
      <c r="K105" s="2385">
        <f t="shared" si="21"/>
        <v>0</v>
      </c>
      <c r="L105" s="2386">
        <f t="shared" si="21"/>
        <v>0</v>
      </c>
      <c r="M105" s="2387">
        <f t="shared" si="22"/>
        <v>0</v>
      </c>
      <c r="N105" s="1382"/>
      <c r="O105" s="1383"/>
      <c r="P105" s="1384"/>
      <c r="Q105" s="1385"/>
      <c r="R105" s="1385"/>
      <c r="S105" s="1385"/>
      <c r="T105" s="1385"/>
      <c r="U105" s="1382"/>
      <c r="V105" s="1383"/>
      <c r="W105" s="1384"/>
      <c r="X105" s="1385"/>
      <c r="Y105" s="1385"/>
      <c r="Z105" s="1385"/>
      <c r="AA105" s="1385"/>
      <c r="AB105" s="1382"/>
      <c r="AC105" s="1383"/>
      <c r="AD105" s="1384"/>
      <c r="AE105" s="1385"/>
      <c r="AF105" s="1385"/>
      <c r="AG105" s="1385"/>
      <c r="AH105" s="1386"/>
      <c r="AI105" s="1387"/>
      <c r="AJ105" s="1389"/>
      <c r="AK105" s="2388" t="s">
        <v>682</v>
      </c>
      <c r="AL105" s="1384"/>
      <c r="AM105" s="1383"/>
      <c r="AN105" s="1384"/>
      <c r="AO105" s="1385"/>
      <c r="AP105" s="1385"/>
      <c r="AQ105" s="1385"/>
      <c r="AR105" s="1383"/>
      <c r="AS105" s="2389" t="s">
        <v>365</v>
      </c>
    </row>
    <row r="106" spans="1:45">
      <c r="A106" s="2378"/>
      <c r="B106" s="2379">
        <v>2040207</v>
      </c>
      <c r="C106" s="2367">
        <v>2070107</v>
      </c>
      <c r="D106" s="2380">
        <v>0.04</v>
      </c>
      <c r="E106" s="2391" t="s">
        <v>666</v>
      </c>
      <c r="F106" s="2382">
        <f t="shared" si="21"/>
        <v>0</v>
      </c>
      <c r="G106" s="2383">
        <f t="shared" si="21"/>
        <v>0</v>
      </c>
      <c r="H106" s="2384">
        <f t="shared" si="21"/>
        <v>0</v>
      </c>
      <c r="I106" s="2385">
        <f t="shared" si="21"/>
        <v>0</v>
      </c>
      <c r="J106" s="2385">
        <f t="shared" si="21"/>
        <v>0</v>
      </c>
      <c r="K106" s="2385">
        <f t="shared" si="21"/>
        <v>0</v>
      </c>
      <c r="L106" s="2386">
        <f t="shared" si="21"/>
        <v>0</v>
      </c>
      <c r="M106" s="2387">
        <f t="shared" si="22"/>
        <v>0</v>
      </c>
      <c r="N106" s="1382"/>
      <c r="O106" s="1383"/>
      <c r="P106" s="1384"/>
      <c r="Q106" s="1385"/>
      <c r="R106" s="1385"/>
      <c r="S106" s="1385"/>
      <c r="T106" s="1385"/>
      <c r="U106" s="1382"/>
      <c r="V106" s="1383"/>
      <c r="W106" s="1384"/>
      <c r="X106" s="1385"/>
      <c r="Y106" s="1385"/>
      <c r="Z106" s="1385"/>
      <c r="AA106" s="1385"/>
      <c r="AB106" s="1382"/>
      <c r="AC106" s="1383"/>
      <c r="AD106" s="1384"/>
      <c r="AE106" s="1385"/>
      <c r="AF106" s="1385"/>
      <c r="AG106" s="1385"/>
      <c r="AH106" s="1386"/>
      <c r="AI106" s="1387"/>
      <c r="AJ106" s="1389"/>
      <c r="AK106" s="2388" t="s">
        <v>682</v>
      </c>
      <c r="AL106" s="1384"/>
      <c r="AM106" s="1383"/>
      <c r="AN106" s="1384"/>
      <c r="AO106" s="1385"/>
      <c r="AP106" s="1385"/>
      <c r="AQ106" s="1385"/>
      <c r="AR106" s="1383"/>
      <c r="AS106" s="2389" t="s">
        <v>365</v>
      </c>
    </row>
    <row r="107" spans="1:45">
      <c r="A107" s="2378"/>
      <c r="B107" s="2379">
        <v>2040207</v>
      </c>
      <c r="C107" s="2379">
        <v>2070108</v>
      </c>
      <c r="D107" s="2380">
        <v>0.04</v>
      </c>
      <c r="E107" s="2391" t="s">
        <v>667</v>
      </c>
      <c r="F107" s="2382">
        <f t="shared" si="21"/>
        <v>0</v>
      </c>
      <c r="G107" s="2383">
        <f t="shared" si="21"/>
        <v>0</v>
      </c>
      <c r="H107" s="2384">
        <f t="shared" si="21"/>
        <v>0</v>
      </c>
      <c r="I107" s="2385">
        <f t="shared" si="21"/>
        <v>0</v>
      </c>
      <c r="J107" s="2385">
        <f t="shared" si="21"/>
        <v>0</v>
      </c>
      <c r="K107" s="2385">
        <f t="shared" si="21"/>
        <v>0</v>
      </c>
      <c r="L107" s="2386">
        <f t="shared" si="21"/>
        <v>0</v>
      </c>
      <c r="M107" s="2387">
        <f t="shared" si="22"/>
        <v>0</v>
      </c>
      <c r="N107" s="1382"/>
      <c r="O107" s="1383"/>
      <c r="P107" s="1384"/>
      <c r="Q107" s="1385"/>
      <c r="R107" s="1385"/>
      <c r="S107" s="1385"/>
      <c r="T107" s="1385"/>
      <c r="U107" s="1382"/>
      <c r="V107" s="1383"/>
      <c r="W107" s="1384"/>
      <c r="X107" s="1385"/>
      <c r="Y107" s="1385"/>
      <c r="Z107" s="1385"/>
      <c r="AA107" s="1385"/>
      <c r="AB107" s="1382"/>
      <c r="AC107" s="1383"/>
      <c r="AD107" s="1384"/>
      <c r="AE107" s="1385"/>
      <c r="AF107" s="1385"/>
      <c r="AG107" s="1385"/>
      <c r="AH107" s="1386"/>
      <c r="AI107" s="1387"/>
      <c r="AJ107" s="1389"/>
      <c r="AK107" s="2388" t="s">
        <v>682</v>
      </c>
      <c r="AL107" s="1384"/>
      <c r="AM107" s="1383"/>
      <c r="AN107" s="1384"/>
      <c r="AO107" s="1385"/>
      <c r="AP107" s="1385"/>
      <c r="AQ107" s="1385"/>
      <c r="AR107" s="1383"/>
      <c r="AS107" s="2389" t="s">
        <v>365</v>
      </c>
    </row>
    <row r="108" spans="1:45">
      <c r="A108" s="2378"/>
      <c r="B108" s="2379">
        <v>2040207</v>
      </c>
      <c r="C108" s="2367">
        <v>2070109</v>
      </c>
      <c r="D108" s="2380">
        <v>0.04</v>
      </c>
      <c r="E108" s="2391" t="s">
        <v>366</v>
      </c>
      <c r="F108" s="2382">
        <f t="shared" si="21"/>
        <v>0</v>
      </c>
      <c r="G108" s="2383">
        <f t="shared" si="21"/>
        <v>0</v>
      </c>
      <c r="H108" s="2384">
        <f t="shared" si="21"/>
        <v>0</v>
      </c>
      <c r="I108" s="2385">
        <f>Q108+X108+AE108</f>
        <v>0</v>
      </c>
      <c r="J108" s="2385">
        <f t="shared" si="21"/>
        <v>0</v>
      </c>
      <c r="K108" s="2385">
        <f t="shared" si="21"/>
        <v>0</v>
      </c>
      <c r="L108" s="2386">
        <f t="shared" si="21"/>
        <v>0</v>
      </c>
      <c r="M108" s="2387">
        <f t="shared" si="22"/>
        <v>0</v>
      </c>
      <c r="N108" s="1382"/>
      <c r="O108" s="1383"/>
      <c r="P108" s="1384"/>
      <c r="Q108" s="1385"/>
      <c r="R108" s="1385"/>
      <c r="S108" s="1385"/>
      <c r="T108" s="1385"/>
      <c r="U108" s="1382"/>
      <c r="V108" s="1383"/>
      <c r="W108" s="1384"/>
      <c r="X108" s="1385"/>
      <c r="Y108" s="1385"/>
      <c r="Z108" s="1385"/>
      <c r="AA108" s="1385"/>
      <c r="AB108" s="1382"/>
      <c r="AC108" s="1383"/>
      <c r="AD108" s="1384"/>
      <c r="AE108" s="1385"/>
      <c r="AF108" s="1385"/>
      <c r="AG108" s="1385"/>
      <c r="AH108" s="1386"/>
      <c r="AI108" s="1387"/>
      <c r="AJ108" s="1388"/>
      <c r="AK108" s="2388" t="s">
        <v>682</v>
      </c>
      <c r="AL108" s="1384"/>
      <c r="AM108" s="1383"/>
      <c r="AN108" s="1384"/>
      <c r="AO108" s="1385"/>
      <c r="AP108" s="1385"/>
      <c r="AQ108" s="1385"/>
      <c r="AR108" s="1383"/>
      <c r="AS108" s="2389" t="s">
        <v>365</v>
      </c>
    </row>
    <row r="109" spans="1:45">
      <c r="A109" s="2378"/>
      <c r="B109" s="2379">
        <v>2030401</v>
      </c>
      <c r="C109" s="2379">
        <v>2070110</v>
      </c>
      <c r="D109" s="2392">
        <v>0.1</v>
      </c>
      <c r="E109" s="2391" t="s">
        <v>367</v>
      </c>
      <c r="F109" s="2382">
        <f t="shared" si="21"/>
        <v>0</v>
      </c>
      <c r="G109" s="2383">
        <f t="shared" si="21"/>
        <v>0</v>
      </c>
      <c r="H109" s="2384">
        <f t="shared" si="21"/>
        <v>0</v>
      </c>
      <c r="I109" s="2385">
        <f t="shared" si="21"/>
        <v>0</v>
      </c>
      <c r="J109" s="2385">
        <f t="shared" si="21"/>
        <v>0</v>
      </c>
      <c r="K109" s="2385">
        <f t="shared" si="21"/>
        <v>0</v>
      </c>
      <c r="L109" s="2386">
        <f t="shared" si="21"/>
        <v>0</v>
      </c>
      <c r="M109" s="2387">
        <f t="shared" si="22"/>
        <v>0</v>
      </c>
      <c r="N109" s="1382"/>
      <c r="O109" s="1383"/>
      <c r="P109" s="1384"/>
      <c r="Q109" s="1385"/>
      <c r="R109" s="1385"/>
      <c r="S109" s="1385"/>
      <c r="T109" s="1385"/>
      <c r="U109" s="1382"/>
      <c r="V109" s="1383"/>
      <c r="W109" s="1384"/>
      <c r="X109" s="1385"/>
      <c r="Y109" s="1385"/>
      <c r="Z109" s="1385"/>
      <c r="AA109" s="1385"/>
      <c r="AB109" s="1382"/>
      <c r="AC109" s="1383"/>
      <c r="AD109" s="1384"/>
      <c r="AE109" s="1385"/>
      <c r="AF109" s="1385"/>
      <c r="AG109" s="1385"/>
      <c r="AH109" s="1386"/>
      <c r="AI109" s="1387"/>
      <c r="AJ109" s="1389"/>
      <c r="AK109" s="2388" t="s">
        <v>682</v>
      </c>
      <c r="AL109" s="1384"/>
      <c r="AM109" s="1383"/>
      <c r="AN109" s="1384"/>
      <c r="AO109" s="1385"/>
      <c r="AP109" s="1385"/>
      <c r="AQ109" s="1385"/>
      <c r="AR109" s="1383"/>
      <c r="AS109" s="2389" t="s">
        <v>365</v>
      </c>
    </row>
    <row r="110" spans="1:45" ht="24">
      <c r="A110" s="2378"/>
      <c r="B110" s="2379">
        <v>2040205</v>
      </c>
      <c r="C110" s="2367">
        <v>2070111</v>
      </c>
      <c r="D110" s="2380">
        <v>0.02</v>
      </c>
      <c r="E110" s="2381" t="s">
        <v>368</v>
      </c>
      <c r="F110" s="2382">
        <f t="shared" si="21"/>
        <v>0</v>
      </c>
      <c r="G110" s="2383">
        <f t="shared" si="21"/>
        <v>0</v>
      </c>
      <c r="H110" s="2384">
        <f t="shared" si="21"/>
        <v>0</v>
      </c>
      <c r="I110" s="2385">
        <f t="shared" si="21"/>
        <v>0</v>
      </c>
      <c r="J110" s="2385">
        <f t="shared" si="21"/>
        <v>0</v>
      </c>
      <c r="K110" s="2385">
        <f t="shared" si="21"/>
        <v>0</v>
      </c>
      <c r="L110" s="2386">
        <f t="shared" si="21"/>
        <v>0</v>
      </c>
      <c r="M110" s="2387">
        <f t="shared" si="22"/>
        <v>0</v>
      </c>
      <c r="N110" s="1382"/>
      <c r="O110" s="1383"/>
      <c r="P110" s="1384"/>
      <c r="Q110" s="1385"/>
      <c r="R110" s="1385"/>
      <c r="S110" s="1385"/>
      <c r="T110" s="1385"/>
      <c r="U110" s="1382"/>
      <c r="V110" s="1383"/>
      <c r="W110" s="1384"/>
      <c r="X110" s="1385"/>
      <c r="Y110" s="1385"/>
      <c r="Z110" s="1385"/>
      <c r="AA110" s="1385"/>
      <c r="AB110" s="1382"/>
      <c r="AC110" s="1383"/>
      <c r="AD110" s="1384"/>
      <c r="AE110" s="1385"/>
      <c r="AF110" s="1385"/>
      <c r="AG110" s="1385"/>
      <c r="AH110" s="1386"/>
      <c r="AI110" s="1387"/>
      <c r="AJ110" s="1389"/>
      <c r="AK110" s="2388" t="s">
        <v>684</v>
      </c>
      <c r="AL110" s="1384"/>
      <c r="AM110" s="1383"/>
      <c r="AN110" s="1384"/>
      <c r="AO110" s="1385"/>
      <c r="AP110" s="1385"/>
      <c r="AQ110" s="1385"/>
      <c r="AR110" s="1383"/>
      <c r="AS110" s="2389" t="s">
        <v>369</v>
      </c>
    </row>
    <row r="111" spans="1:45">
      <c r="A111" s="2378"/>
      <c r="B111" s="2379">
        <v>2040205</v>
      </c>
      <c r="C111" s="2379">
        <v>2070112</v>
      </c>
      <c r="D111" s="2380">
        <v>0.02</v>
      </c>
      <c r="E111" s="2381" t="s">
        <v>370</v>
      </c>
      <c r="F111" s="2382">
        <f t="shared" si="21"/>
        <v>0</v>
      </c>
      <c r="G111" s="2383">
        <f t="shared" si="21"/>
        <v>0</v>
      </c>
      <c r="H111" s="2384">
        <f t="shared" si="21"/>
        <v>0</v>
      </c>
      <c r="I111" s="2385">
        <f t="shared" si="21"/>
        <v>0</v>
      </c>
      <c r="J111" s="2385">
        <f t="shared" si="21"/>
        <v>0</v>
      </c>
      <c r="K111" s="2385">
        <f t="shared" si="21"/>
        <v>0</v>
      </c>
      <c r="L111" s="2386">
        <f t="shared" si="21"/>
        <v>0</v>
      </c>
      <c r="M111" s="2387">
        <f t="shared" si="22"/>
        <v>0</v>
      </c>
      <c r="N111" s="1382"/>
      <c r="O111" s="1383"/>
      <c r="P111" s="1384"/>
      <c r="Q111" s="1385"/>
      <c r="R111" s="1385"/>
      <c r="S111" s="1385"/>
      <c r="T111" s="1385"/>
      <c r="U111" s="1382"/>
      <c r="V111" s="1383"/>
      <c r="W111" s="1384"/>
      <c r="X111" s="1385"/>
      <c r="Y111" s="1385"/>
      <c r="Z111" s="1385"/>
      <c r="AA111" s="1385"/>
      <c r="AB111" s="1382"/>
      <c r="AC111" s="1383"/>
      <c r="AD111" s="1384"/>
      <c r="AE111" s="1385"/>
      <c r="AF111" s="1385"/>
      <c r="AG111" s="1385"/>
      <c r="AH111" s="1386"/>
      <c r="AI111" s="1387"/>
      <c r="AJ111" s="1389"/>
      <c r="AK111" s="2388" t="s">
        <v>682</v>
      </c>
      <c r="AL111" s="1384"/>
      <c r="AM111" s="1383"/>
      <c r="AN111" s="1384"/>
      <c r="AO111" s="1385"/>
      <c r="AP111" s="1385"/>
      <c r="AQ111" s="1385"/>
      <c r="AR111" s="1383"/>
      <c r="AS111" s="2389" t="s">
        <v>371</v>
      </c>
    </row>
    <row r="112" spans="1:45" ht="36">
      <c r="A112" s="2378"/>
      <c r="B112" s="2379">
        <v>2030502</v>
      </c>
      <c r="C112" s="2367">
        <v>2070113</v>
      </c>
      <c r="D112" s="2380">
        <v>0.1</v>
      </c>
      <c r="E112" s="2381" t="s">
        <v>372</v>
      </c>
      <c r="F112" s="2382">
        <f t="shared" si="21"/>
        <v>0</v>
      </c>
      <c r="G112" s="2383">
        <f t="shared" si="21"/>
        <v>0</v>
      </c>
      <c r="H112" s="2384">
        <f t="shared" si="21"/>
        <v>0</v>
      </c>
      <c r="I112" s="2385">
        <f t="shared" si="21"/>
        <v>0</v>
      </c>
      <c r="J112" s="2385">
        <f t="shared" si="21"/>
        <v>0</v>
      </c>
      <c r="K112" s="2385">
        <f t="shared" si="21"/>
        <v>0</v>
      </c>
      <c r="L112" s="2386">
        <f t="shared" si="21"/>
        <v>0</v>
      </c>
      <c r="M112" s="2387">
        <f t="shared" si="22"/>
        <v>0</v>
      </c>
      <c r="N112" s="1382"/>
      <c r="O112" s="1383"/>
      <c r="P112" s="1384"/>
      <c r="Q112" s="1385"/>
      <c r="R112" s="1385"/>
      <c r="S112" s="1385"/>
      <c r="T112" s="1385"/>
      <c r="U112" s="1382"/>
      <c r="V112" s="1383"/>
      <c r="W112" s="1384"/>
      <c r="X112" s="1385"/>
      <c r="Y112" s="1385"/>
      <c r="Z112" s="1385"/>
      <c r="AA112" s="1385"/>
      <c r="AB112" s="1382"/>
      <c r="AC112" s="1383"/>
      <c r="AD112" s="1384"/>
      <c r="AE112" s="1385"/>
      <c r="AF112" s="1385"/>
      <c r="AG112" s="1385"/>
      <c r="AH112" s="1386"/>
      <c r="AI112" s="1387"/>
      <c r="AJ112" s="1388"/>
      <c r="AK112" s="2388" t="s">
        <v>682</v>
      </c>
      <c r="AL112" s="1384"/>
      <c r="AM112" s="1383"/>
      <c r="AN112" s="1384"/>
      <c r="AO112" s="1385"/>
      <c r="AP112" s="1385"/>
      <c r="AQ112" s="1385"/>
      <c r="AR112" s="1383"/>
      <c r="AS112" s="2393" t="s">
        <v>1038</v>
      </c>
    </row>
    <row r="113" spans="1:45" ht="24">
      <c r="A113" s="2378"/>
      <c r="B113" s="2379">
        <v>2030501</v>
      </c>
      <c r="C113" s="2379">
        <v>2070114</v>
      </c>
      <c r="D113" s="2392">
        <v>0.1</v>
      </c>
      <c r="E113" s="2391" t="s">
        <v>658</v>
      </c>
      <c r="F113" s="2382">
        <f t="shared" si="21"/>
        <v>0</v>
      </c>
      <c r="G113" s="2383">
        <f t="shared" si="21"/>
        <v>0</v>
      </c>
      <c r="H113" s="2384">
        <f t="shared" si="21"/>
        <v>0</v>
      </c>
      <c r="I113" s="2385">
        <f t="shared" si="21"/>
        <v>0</v>
      </c>
      <c r="J113" s="2385">
        <f t="shared" si="21"/>
        <v>0</v>
      </c>
      <c r="K113" s="2385">
        <f t="shared" si="21"/>
        <v>0</v>
      </c>
      <c r="L113" s="2386">
        <f t="shared" si="21"/>
        <v>0</v>
      </c>
      <c r="M113" s="2387">
        <f t="shared" si="22"/>
        <v>0</v>
      </c>
      <c r="N113" s="1382"/>
      <c r="O113" s="1383"/>
      <c r="P113" s="1384"/>
      <c r="Q113" s="1385"/>
      <c r="R113" s="1385"/>
      <c r="S113" s="1385"/>
      <c r="T113" s="1385"/>
      <c r="U113" s="1382"/>
      <c r="V113" s="1383"/>
      <c r="W113" s="1384"/>
      <c r="X113" s="1385"/>
      <c r="Y113" s="1385"/>
      <c r="Z113" s="1385"/>
      <c r="AA113" s="1385"/>
      <c r="AB113" s="1382"/>
      <c r="AC113" s="1383"/>
      <c r="AD113" s="1384"/>
      <c r="AE113" s="1385"/>
      <c r="AF113" s="1385"/>
      <c r="AG113" s="1385"/>
      <c r="AH113" s="1386"/>
      <c r="AI113" s="1387"/>
      <c r="AJ113" s="1388"/>
      <c r="AK113" s="2388" t="s">
        <v>682</v>
      </c>
      <c r="AL113" s="1384"/>
      <c r="AM113" s="1383"/>
      <c r="AN113" s="1384"/>
      <c r="AO113" s="1385"/>
      <c r="AP113" s="1385"/>
      <c r="AQ113" s="1385"/>
      <c r="AR113" s="1383"/>
      <c r="AS113" s="2394" t="s">
        <v>716</v>
      </c>
    </row>
    <row r="114" spans="1:45" ht="24">
      <c r="A114" s="2378"/>
      <c r="B114" s="2379">
        <v>2030501</v>
      </c>
      <c r="C114" s="2367">
        <v>2070115</v>
      </c>
      <c r="D114" s="2392">
        <v>0.1</v>
      </c>
      <c r="E114" s="2381" t="s">
        <v>659</v>
      </c>
      <c r="F114" s="2382">
        <f t="shared" si="21"/>
        <v>0</v>
      </c>
      <c r="G114" s="2383">
        <f>O114+V114+AC114</f>
        <v>0</v>
      </c>
      <c r="H114" s="2384">
        <f t="shared" si="21"/>
        <v>0</v>
      </c>
      <c r="I114" s="2385">
        <f t="shared" si="21"/>
        <v>0</v>
      </c>
      <c r="J114" s="2385">
        <f t="shared" si="21"/>
        <v>0</v>
      </c>
      <c r="K114" s="2385">
        <f t="shared" si="21"/>
        <v>0</v>
      </c>
      <c r="L114" s="2386">
        <f t="shared" si="21"/>
        <v>0</v>
      </c>
      <c r="M114" s="2387">
        <f t="shared" si="22"/>
        <v>0</v>
      </c>
      <c r="N114" s="1382"/>
      <c r="O114" s="1383"/>
      <c r="P114" s="1384"/>
      <c r="Q114" s="1385"/>
      <c r="R114" s="1385"/>
      <c r="S114" s="1385"/>
      <c r="T114" s="1385"/>
      <c r="U114" s="1382"/>
      <c r="V114" s="1383"/>
      <c r="W114" s="1384"/>
      <c r="X114" s="1385"/>
      <c r="Y114" s="1385"/>
      <c r="Z114" s="1385"/>
      <c r="AA114" s="1385"/>
      <c r="AB114" s="1382"/>
      <c r="AC114" s="1383"/>
      <c r="AD114" s="1384"/>
      <c r="AE114" s="1385"/>
      <c r="AF114" s="1385"/>
      <c r="AG114" s="1385"/>
      <c r="AH114" s="1386"/>
      <c r="AI114" s="1387"/>
      <c r="AJ114" s="1388"/>
      <c r="AK114" s="2388" t="s">
        <v>682</v>
      </c>
      <c r="AL114" s="1384"/>
      <c r="AM114" s="1383"/>
      <c r="AN114" s="1384"/>
      <c r="AO114" s="1385"/>
      <c r="AP114" s="1385"/>
      <c r="AQ114" s="1385"/>
      <c r="AR114" s="1383"/>
      <c r="AS114" s="2394" t="s">
        <v>660</v>
      </c>
    </row>
    <row r="115" spans="1:45">
      <c r="A115" s="2378"/>
      <c r="B115" s="2379">
        <v>2030502</v>
      </c>
      <c r="C115" s="2379">
        <v>2070116</v>
      </c>
      <c r="D115" s="2392">
        <v>0.1</v>
      </c>
      <c r="E115" s="2391" t="s">
        <v>373</v>
      </c>
      <c r="F115" s="2382">
        <f t="shared" si="21"/>
        <v>0</v>
      </c>
      <c r="G115" s="2383">
        <f t="shared" si="21"/>
        <v>0</v>
      </c>
      <c r="H115" s="2384">
        <f t="shared" si="21"/>
        <v>0</v>
      </c>
      <c r="I115" s="2385">
        <f t="shared" si="21"/>
        <v>0</v>
      </c>
      <c r="J115" s="2385">
        <f t="shared" si="21"/>
        <v>0</v>
      </c>
      <c r="K115" s="2385">
        <f t="shared" si="21"/>
        <v>0</v>
      </c>
      <c r="L115" s="2386">
        <f t="shared" si="21"/>
        <v>0</v>
      </c>
      <c r="M115" s="2387">
        <f t="shared" si="22"/>
        <v>0</v>
      </c>
      <c r="N115" s="1382"/>
      <c r="O115" s="1383"/>
      <c r="P115" s="1384"/>
      <c r="Q115" s="1385"/>
      <c r="R115" s="1385"/>
      <c r="S115" s="1385"/>
      <c r="T115" s="1385"/>
      <c r="U115" s="1382"/>
      <c r="V115" s="1383"/>
      <c r="W115" s="1384"/>
      <c r="X115" s="1385"/>
      <c r="Y115" s="1385"/>
      <c r="Z115" s="1385"/>
      <c r="AA115" s="1385"/>
      <c r="AB115" s="1382"/>
      <c r="AC115" s="1383"/>
      <c r="AD115" s="1384"/>
      <c r="AE115" s="1385"/>
      <c r="AF115" s="1385"/>
      <c r="AG115" s="1385"/>
      <c r="AH115" s="1386"/>
      <c r="AI115" s="1387"/>
      <c r="AJ115" s="1389"/>
      <c r="AK115" s="2388" t="s">
        <v>682</v>
      </c>
      <c r="AL115" s="1384"/>
      <c r="AM115" s="1383"/>
      <c r="AN115" s="1384"/>
      <c r="AO115" s="1385"/>
      <c r="AP115" s="1385"/>
      <c r="AQ115" s="1385"/>
      <c r="AR115" s="1383"/>
      <c r="AS115" s="2394" t="s">
        <v>715</v>
      </c>
    </row>
    <row r="116" spans="1:45" ht="24">
      <c r="A116" s="2378"/>
      <c r="B116" s="2379">
        <v>215</v>
      </c>
      <c r="C116" s="2367">
        <v>2070117</v>
      </c>
      <c r="D116" s="2390">
        <v>0.2</v>
      </c>
      <c r="E116" s="2381" t="s">
        <v>374</v>
      </c>
      <c r="F116" s="2382">
        <f t="shared" si="21"/>
        <v>0</v>
      </c>
      <c r="G116" s="2383">
        <f t="shared" si="21"/>
        <v>0</v>
      </c>
      <c r="H116" s="2384">
        <f t="shared" si="21"/>
        <v>0</v>
      </c>
      <c r="I116" s="2385">
        <f t="shared" si="21"/>
        <v>0</v>
      </c>
      <c r="J116" s="2385">
        <f t="shared" si="21"/>
        <v>0</v>
      </c>
      <c r="K116" s="2385">
        <f t="shared" si="21"/>
        <v>0</v>
      </c>
      <c r="L116" s="2386">
        <f t="shared" si="21"/>
        <v>0</v>
      </c>
      <c r="M116" s="2387">
        <f t="shared" si="22"/>
        <v>0</v>
      </c>
      <c r="N116" s="1382"/>
      <c r="O116" s="1383"/>
      <c r="P116" s="1384"/>
      <c r="Q116" s="1385"/>
      <c r="R116" s="1385"/>
      <c r="S116" s="1385"/>
      <c r="T116" s="1385"/>
      <c r="U116" s="1382"/>
      <c r="V116" s="1383"/>
      <c r="W116" s="1384"/>
      <c r="X116" s="1385"/>
      <c r="Y116" s="1385"/>
      <c r="Z116" s="1385"/>
      <c r="AA116" s="1385"/>
      <c r="AB116" s="1382"/>
      <c r="AC116" s="1383"/>
      <c r="AD116" s="1384"/>
      <c r="AE116" s="1385"/>
      <c r="AF116" s="1385"/>
      <c r="AG116" s="1385"/>
      <c r="AH116" s="1386"/>
      <c r="AI116" s="1387"/>
      <c r="AJ116" s="1389"/>
      <c r="AK116" s="2395" t="s">
        <v>318</v>
      </c>
      <c r="AL116" s="1384"/>
      <c r="AM116" s="1383"/>
      <c r="AN116" s="1384"/>
      <c r="AO116" s="1385"/>
      <c r="AP116" s="1385"/>
      <c r="AQ116" s="1385"/>
      <c r="AR116" s="1383"/>
      <c r="AS116" s="2389" t="s">
        <v>375</v>
      </c>
    </row>
    <row r="117" spans="1:45">
      <c r="A117" s="2378"/>
      <c r="B117" s="2379">
        <v>2030503</v>
      </c>
      <c r="C117" s="2379">
        <v>2070118</v>
      </c>
      <c r="D117" s="2380">
        <v>0.1</v>
      </c>
      <c r="E117" s="2381" t="s">
        <v>670</v>
      </c>
      <c r="F117" s="2382">
        <f t="shared" si="21"/>
        <v>0</v>
      </c>
      <c r="G117" s="2383">
        <f t="shared" si="21"/>
        <v>0</v>
      </c>
      <c r="H117" s="2384">
        <f t="shared" si="21"/>
        <v>0</v>
      </c>
      <c r="I117" s="2385">
        <f t="shared" si="21"/>
        <v>0</v>
      </c>
      <c r="J117" s="2385">
        <f t="shared" si="21"/>
        <v>0</v>
      </c>
      <c r="K117" s="2385">
        <f t="shared" si="21"/>
        <v>0</v>
      </c>
      <c r="L117" s="2386">
        <f t="shared" si="21"/>
        <v>0</v>
      </c>
      <c r="M117" s="2387">
        <f t="shared" si="22"/>
        <v>0</v>
      </c>
      <c r="N117" s="1382"/>
      <c r="O117" s="1383"/>
      <c r="P117" s="1384"/>
      <c r="Q117" s="1385"/>
      <c r="R117" s="1385"/>
      <c r="S117" s="1385"/>
      <c r="T117" s="1385"/>
      <c r="U117" s="1382"/>
      <c r="V117" s="1383"/>
      <c r="W117" s="1384"/>
      <c r="X117" s="1385"/>
      <c r="Y117" s="1385"/>
      <c r="Z117" s="1385"/>
      <c r="AA117" s="1385"/>
      <c r="AB117" s="1382"/>
      <c r="AC117" s="1383"/>
      <c r="AD117" s="1384"/>
      <c r="AE117" s="1385"/>
      <c r="AF117" s="1385"/>
      <c r="AG117" s="1385"/>
      <c r="AH117" s="1386"/>
      <c r="AI117" s="1387"/>
      <c r="AJ117" s="1388"/>
      <c r="AK117" s="2388" t="s">
        <v>682</v>
      </c>
      <c r="AL117" s="1384"/>
      <c r="AM117" s="1383"/>
      <c r="AN117" s="1384"/>
      <c r="AO117" s="1385"/>
      <c r="AP117" s="1385"/>
      <c r="AQ117" s="1385"/>
      <c r="AR117" s="1383"/>
      <c r="AS117" s="2389" t="s">
        <v>376</v>
      </c>
    </row>
    <row r="118" spans="1:45">
      <c r="A118" s="2396"/>
      <c r="B118" s="2379">
        <v>20302</v>
      </c>
      <c r="C118" s="2367">
        <v>2070119</v>
      </c>
      <c r="D118" s="2380">
        <v>0.1</v>
      </c>
      <c r="E118" s="2381" t="s">
        <v>377</v>
      </c>
      <c r="F118" s="2382">
        <f t="shared" si="21"/>
        <v>0</v>
      </c>
      <c r="G118" s="2383">
        <f t="shared" si="21"/>
        <v>0</v>
      </c>
      <c r="H118" s="2384">
        <f t="shared" si="21"/>
        <v>0</v>
      </c>
      <c r="I118" s="2385">
        <f t="shared" si="21"/>
        <v>0</v>
      </c>
      <c r="J118" s="2385">
        <f t="shared" si="21"/>
        <v>0</v>
      </c>
      <c r="K118" s="2385">
        <f t="shared" si="21"/>
        <v>0</v>
      </c>
      <c r="L118" s="2386">
        <f t="shared" si="21"/>
        <v>0</v>
      </c>
      <c r="M118" s="2387">
        <f t="shared" si="22"/>
        <v>0</v>
      </c>
      <c r="N118" s="1382"/>
      <c r="O118" s="1383"/>
      <c r="P118" s="1384"/>
      <c r="Q118" s="1385"/>
      <c r="R118" s="1385"/>
      <c r="S118" s="1385"/>
      <c r="T118" s="1385"/>
      <c r="U118" s="1382"/>
      <c r="V118" s="1383"/>
      <c r="W118" s="1384"/>
      <c r="X118" s="1385"/>
      <c r="Y118" s="1385"/>
      <c r="Z118" s="1385"/>
      <c r="AA118" s="1385"/>
      <c r="AB118" s="1382"/>
      <c r="AC118" s="1383"/>
      <c r="AD118" s="1384"/>
      <c r="AE118" s="1385"/>
      <c r="AF118" s="1385"/>
      <c r="AG118" s="1385"/>
      <c r="AH118" s="1386"/>
      <c r="AI118" s="1387"/>
      <c r="AJ118" s="1388"/>
      <c r="AK118" s="2388" t="s">
        <v>682</v>
      </c>
      <c r="AL118" s="1384"/>
      <c r="AM118" s="1383"/>
      <c r="AN118" s="1384"/>
      <c r="AO118" s="1385"/>
      <c r="AP118" s="1385"/>
      <c r="AQ118" s="1385"/>
      <c r="AR118" s="1383"/>
      <c r="AS118" s="2389" t="s">
        <v>378</v>
      </c>
    </row>
    <row r="119" spans="1:45" ht="24">
      <c r="A119" s="2396"/>
      <c r="B119" s="2379">
        <v>20502</v>
      </c>
      <c r="C119" s="2379">
        <v>2070120</v>
      </c>
      <c r="D119" s="2380">
        <v>0.1</v>
      </c>
      <c r="E119" s="2381" t="s">
        <v>379</v>
      </c>
      <c r="F119" s="2382">
        <f t="shared" si="21"/>
        <v>0</v>
      </c>
      <c r="G119" s="2383">
        <f t="shared" si="21"/>
        <v>0</v>
      </c>
      <c r="H119" s="2384">
        <f t="shared" si="21"/>
        <v>0</v>
      </c>
      <c r="I119" s="2385">
        <f t="shared" si="21"/>
        <v>0</v>
      </c>
      <c r="J119" s="2385">
        <f t="shared" si="21"/>
        <v>0</v>
      </c>
      <c r="K119" s="2385">
        <f t="shared" si="21"/>
        <v>0</v>
      </c>
      <c r="L119" s="2386">
        <f t="shared" si="21"/>
        <v>0</v>
      </c>
      <c r="M119" s="2387">
        <f t="shared" si="22"/>
        <v>0</v>
      </c>
      <c r="N119" s="1382"/>
      <c r="O119" s="1383"/>
      <c r="P119" s="1384"/>
      <c r="Q119" s="1385"/>
      <c r="R119" s="1385"/>
      <c r="S119" s="1385"/>
      <c r="T119" s="1385"/>
      <c r="U119" s="1382"/>
      <c r="V119" s="1383"/>
      <c r="W119" s="1384"/>
      <c r="X119" s="1385"/>
      <c r="Y119" s="1385"/>
      <c r="Z119" s="1385"/>
      <c r="AA119" s="1385"/>
      <c r="AB119" s="1382"/>
      <c r="AC119" s="1383"/>
      <c r="AD119" s="1384"/>
      <c r="AE119" s="1385"/>
      <c r="AF119" s="1385"/>
      <c r="AG119" s="1385"/>
      <c r="AH119" s="1386"/>
      <c r="AI119" s="1387"/>
      <c r="AJ119" s="1389"/>
      <c r="AK119" s="2388" t="s">
        <v>682</v>
      </c>
      <c r="AL119" s="1384"/>
      <c r="AM119" s="1383"/>
      <c r="AN119" s="1384"/>
      <c r="AO119" s="1385"/>
      <c r="AP119" s="1385"/>
      <c r="AQ119" s="1385"/>
      <c r="AR119" s="1383"/>
      <c r="AS119" s="2389" t="s">
        <v>380</v>
      </c>
    </row>
    <row r="120" spans="1:45" ht="24">
      <c r="A120" s="2396"/>
      <c r="B120" s="2379">
        <v>20501</v>
      </c>
      <c r="C120" s="2367">
        <v>2070121</v>
      </c>
      <c r="D120" s="2380">
        <v>0.08</v>
      </c>
      <c r="E120" s="2381" t="s">
        <v>381</v>
      </c>
      <c r="F120" s="2382">
        <f t="shared" si="21"/>
        <v>0</v>
      </c>
      <c r="G120" s="2383">
        <f t="shared" si="21"/>
        <v>0</v>
      </c>
      <c r="H120" s="2384">
        <f t="shared" si="21"/>
        <v>0</v>
      </c>
      <c r="I120" s="2385">
        <f t="shared" si="21"/>
        <v>0</v>
      </c>
      <c r="J120" s="2385">
        <f t="shared" si="21"/>
        <v>0</v>
      </c>
      <c r="K120" s="2385">
        <f t="shared" si="21"/>
        <v>0</v>
      </c>
      <c r="L120" s="2386">
        <f t="shared" si="21"/>
        <v>0</v>
      </c>
      <c r="M120" s="2387">
        <f t="shared" si="22"/>
        <v>0</v>
      </c>
      <c r="N120" s="1382"/>
      <c r="O120" s="1383"/>
      <c r="P120" s="1384"/>
      <c r="Q120" s="1385"/>
      <c r="R120" s="1385"/>
      <c r="S120" s="1385"/>
      <c r="T120" s="1385"/>
      <c r="U120" s="1382"/>
      <c r="V120" s="1383"/>
      <c r="W120" s="1384"/>
      <c r="X120" s="1385"/>
      <c r="Y120" s="1385"/>
      <c r="Z120" s="1385"/>
      <c r="AA120" s="1385"/>
      <c r="AB120" s="1382"/>
      <c r="AC120" s="1383"/>
      <c r="AD120" s="1384"/>
      <c r="AE120" s="1385"/>
      <c r="AF120" s="1385"/>
      <c r="AG120" s="1385"/>
      <c r="AH120" s="1386"/>
      <c r="AI120" s="1387"/>
      <c r="AJ120" s="1389"/>
      <c r="AK120" s="2388" t="s">
        <v>682</v>
      </c>
      <c r="AL120" s="1384"/>
      <c r="AM120" s="1383"/>
      <c r="AN120" s="1384"/>
      <c r="AO120" s="1385"/>
      <c r="AP120" s="1385"/>
      <c r="AQ120" s="1385"/>
      <c r="AR120" s="1383"/>
      <c r="AS120" s="2389" t="s">
        <v>380</v>
      </c>
    </row>
    <row r="121" spans="1:45">
      <c r="A121" s="2396"/>
      <c r="B121" s="2379">
        <v>20503</v>
      </c>
      <c r="C121" s="2379">
        <v>2070122</v>
      </c>
      <c r="D121" s="2380">
        <v>0.1</v>
      </c>
      <c r="E121" s="2391" t="s">
        <v>680</v>
      </c>
      <c r="F121" s="2382">
        <f t="shared" si="21"/>
        <v>0</v>
      </c>
      <c r="G121" s="2383">
        <f t="shared" si="21"/>
        <v>0</v>
      </c>
      <c r="H121" s="2384">
        <f t="shared" si="21"/>
        <v>0</v>
      </c>
      <c r="I121" s="2385">
        <f t="shared" si="21"/>
        <v>0</v>
      </c>
      <c r="J121" s="2385">
        <f t="shared" si="21"/>
        <v>0</v>
      </c>
      <c r="K121" s="2385">
        <f t="shared" si="21"/>
        <v>0</v>
      </c>
      <c r="L121" s="2386">
        <f t="shared" si="21"/>
        <v>0</v>
      </c>
      <c r="M121" s="2387">
        <f t="shared" si="22"/>
        <v>0</v>
      </c>
      <c r="N121" s="1382"/>
      <c r="O121" s="1383"/>
      <c r="P121" s="1384"/>
      <c r="Q121" s="1385"/>
      <c r="R121" s="1385"/>
      <c r="S121" s="1385"/>
      <c r="T121" s="1385"/>
      <c r="U121" s="1382"/>
      <c r="V121" s="1383"/>
      <c r="W121" s="1384"/>
      <c r="X121" s="1385"/>
      <c r="Y121" s="1385"/>
      <c r="Z121" s="1385"/>
      <c r="AA121" s="1385"/>
      <c r="AB121" s="1382"/>
      <c r="AC121" s="1383"/>
      <c r="AD121" s="1384"/>
      <c r="AE121" s="1385"/>
      <c r="AF121" s="1385"/>
      <c r="AG121" s="1385"/>
      <c r="AH121" s="1386"/>
      <c r="AI121" s="1387"/>
      <c r="AJ121" s="1388"/>
      <c r="AK121" s="2388" t="s">
        <v>682</v>
      </c>
      <c r="AL121" s="1384"/>
      <c r="AM121" s="1383"/>
      <c r="AN121" s="1384"/>
      <c r="AO121" s="1385"/>
      <c r="AP121" s="1385"/>
      <c r="AQ121" s="1385"/>
      <c r="AR121" s="1383"/>
      <c r="AS121" s="2389" t="s">
        <v>380</v>
      </c>
    </row>
    <row r="122" spans="1:45" ht="24">
      <c r="A122" s="2396"/>
      <c r="B122" s="2379">
        <v>20303</v>
      </c>
      <c r="C122" s="2367">
        <v>2070123</v>
      </c>
      <c r="D122" s="2380">
        <v>0.1</v>
      </c>
      <c r="E122" s="2381" t="s">
        <v>382</v>
      </c>
      <c r="F122" s="2382">
        <f t="shared" si="21"/>
        <v>0</v>
      </c>
      <c r="G122" s="2383">
        <f t="shared" si="21"/>
        <v>0</v>
      </c>
      <c r="H122" s="2384">
        <f t="shared" si="21"/>
        <v>0</v>
      </c>
      <c r="I122" s="2385">
        <f t="shared" si="21"/>
        <v>0</v>
      </c>
      <c r="J122" s="2385">
        <f t="shared" si="21"/>
        <v>0</v>
      </c>
      <c r="K122" s="2385">
        <f t="shared" si="21"/>
        <v>0</v>
      </c>
      <c r="L122" s="2386">
        <f t="shared" si="21"/>
        <v>0</v>
      </c>
      <c r="M122" s="2387">
        <f t="shared" si="22"/>
        <v>0</v>
      </c>
      <c r="N122" s="1382"/>
      <c r="O122" s="1383"/>
      <c r="P122" s="1384"/>
      <c r="Q122" s="1385"/>
      <c r="R122" s="1385"/>
      <c r="S122" s="1385"/>
      <c r="T122" s="1385"/>
      <c r="U122" s="1382"/>
      <c r="V122" s="1383"/>
      <c r="W122" s="1384"/>
      <c r="X122" s="1385"/>
      <c r="Y122" s="1385"/>
      <c r="Z122" s="1385"/>
      <c r="AA122" s="1385"/>
      <c r="AB122" s="1382"/>
      <c r="AC122" s="1383"/>
      <c r="AD122" s="1384"/>
      <c r="AE122" s="1385"/>
      <c r="AF122" s="1385"/>
      <c r="AG122" s="1385"/>
      <c r="AH122" s="1386"/>
      <c r="AI122" s="1387"/>
      <c r="AJ122" s="1388"/>
      <c r="AK122" s="2388" t="s">
        <v>682</v>
      </c>
      <c r="AL122" s="1384"/>
      <c r="AM122" s="1383"/>
      <c r="AN122" s="1384"/>
      <c r="AO122" s="1385"/>
      <c r="AP122" s="1385"/>
      <c r="AQ122" s="1385"/>
      <c r="AR122" s="1383"/>
      <c r="AS122" s="2389" t="s">
        <v>380</v>
      </c>
    </row>
    <row r="123" spans="1:45" ht="24.75" thickBot="1">
      <c r="A123" s="2397"/>
      <c r="B123" s="2398">
        <v>20306</v>
      </c>
      <c r="C123" s="2379">
        <v>2070124</v>
      </c>
      <c r="D123" s="2399">
        <v>0.1</v>
      </c>
      <c r="E123" s="2400" t="s">
        <v>719</v>
      </c>
      <c r="F123" s="2382">
        <f t="shared" si="21"/>
        <v>0</v>
      </c>
      <c r="G123" s="2383">
        <f t="shared" si="21"/>
        <v>0</v>
      </c>
      <c r="H123" s="2384">
        <f t="shared" si="21"/>
        <v>0</v>
      </c>
      <c r="I123" s="2385">
        <f t="shared" si="21"/>
        <v>0</v>
      </c>
      <c r="J123" s="2385">
        <f t="shared" si="21"/>
        <v>0</v>
      </c>
      <c r="K123" s="2385">
        <f t="shared" si="21"/>
        <v>0</v>
      </c>
      <c r="L123" s="2386">
        <f t="shared" si="21"/>
        <v>0</v>
      </c>
      <c r="M123" s="2401">
        <f>SUM(H123:L123)</f>
        <v>0</v>
      </c>
      <c r="N123" s="1390"/>
      <c r="O123" s="1391"/>
      <c r="P123" s="1392"/>
      <c r="Q123" s="1393"/>
      <c r="R123" s="1393"/>
      <c r="S123" s="1393"/>
      <c r="T123" s="1393"/>
      <c r="U123" s="1390"/>
      <c r="V123" s="1391"/>
      <c r="W123" s="1392"/>
      <c r="X123" s="1393"/>
      <c r="Y123" s="1393"/>
      <c r="Z123" s="1393"/>
      <c r="AA123" s="1393"/>
      <c r="AB123" s="1390"/>
      <c r="AC123" s="1391"/>
      <c r="AD123" s="1392"/>
      <c r="AE123" s="1393"/>
      <c r="AF123" s="1393"/>
      <c r="AG123" s="1393"/>
      <c r="AH123" s="1394"/>
      <c r="AI123" s="1395"/>
      <c r="AJ123" s="1396"/>
      <c r="AK123" s="2402" t="s">
        <v>682</v>
      </c>
      <c r="AL123" s="1392"/>
      <c r="AM123" s="1391"/>
      <c r="AN123" s="1392"/>
      <c r="AO123" s="1393"/>
      <c r="AP123" s="1393"/>
      <c r="AQ123" s="1393"/>
      <c r="AR123" s="1391"/>
      <c r="AS123" s="2403" t="s">
        <v>672</v>
      </c>
    </row>
    <row r="124" spans="1:45" s="1374" customFormat="1" ht="24">
      <c r="A124" s="2465">
        <v>1</v>
      </c>
      <c r="B124" s="2465"/>
      <c r="C124" s="2465"/>
      <c r="D124" s="2466"/>
      <c r="E124" s="2467" t="s">
        <v>1255</v>
      </c>
      <c r="F124" s="2468">
        <f>F60+F57+F48+F36+F11+F73+F99</f>
        <v>706.3</v>
      </c>
      <c r="G124" s="2469">
        <f t="shared" ref="G124:L124" si="23">G60+G57+G48+G36+G11+G73+G99</f>
        <v>1121.5</v>
      </c>
      <c r="H124" s="2470">
        <f t="shared" si="23"/>
        <v>3522.9229999999998</v>
      </c>
      <c r="I124" s="2471">
        <f t="shared" si="23"/>
        <v>6411.6579999999994</v>
      </c>
      <c r="J124" s="2471">
        <f t="shared" si="23"/>
        <v>868.1</v>
      </c>
      <c r="K124" s="2471">
        <f t="shared" si="23"/>
        <v>634.9</v>
      </c>
      <c r="L124" s="2472">
        <f t="shared" si="23"/>
        <v>658.3</v>
      </c>
      <c r="M124" s="2473">
        <f>SUM(H124:L124)</f>
        <v>12095.880999999998</v>
      </c>
      <c r="N124" s="2474">
        <f t="shared" ref="N124:AH124" si="24">N60+N57+N48+N36+N11+N73+N99</f>
        <v>677.08699999999999</v>
      </c>
      <c r="O124" s="2475">
        <f t="shared" si="24"/>
        <v>1018.314</v>
      </c>
      <c r="P124" s="2476">
        <f t="shared" si="24"/>
        <v>724.34</v>
      </c>
      <c r="Q124" s="2477">
        <f t="shared" si="24"/>
        <v>842.10299999999995</v>
      </c>
      <c r="R124" s="2477">
        <f t="shared" si="24"/>
        <v>868.1</v>
      </c>
      <c r="S124" s="2477">
        <f t="shared" si="24"/>
        <v>634.9</v>
      </c>
      <c r="T124" s="2478">
        <f t="shared" si="24"/>
        <v>658.3</v>
      </c>
      <c r="U124" s="2474">
        <f t="shared" si="24"/>
        <v>0</v>
      </c>
      <c r="V124" s="2475">
        <f t="shared" si="24"/>
        <v>0</v>
      </c>
      <c r="W124" s="2476">
        <f t="shared" si="24"/>
        <v>0</v>
      </c>
      <c r="X124" s="2477">
        <f t="shared" si="24"/>
        <v>0</v>
      </c>
      <c r="Y124" s="2477">
        <f t="shared" si="24"/>
        <v>0</v>
      </c>
      <c r="Z124" s="2477">
        <f t="shared" si="24"/>
        <v>0</v>
      </c>
      <c r="AA124" s="2479">
        <f t="shared" si="24"/>
        <v>0</v>
      </c>
      <c r="AB124" s="2474">
        <f t="shared" si="24"/>
        <v>29.213000000000001</v>
      </c>
      <c r="AC124" s="2475">
        <f t="shared" si="24"/>
        <v>103.18600000000001</v>
      </c>
      <c r="AD124" s="2476">
        <f t="shared" si="24"/>
        <v>2798.5829999999996</v>
      </c>
      <c r="AE124" s="2477">
        <f t="shared" si="24"/>
        <v>5569.5550000000003</v>
      </c>
      <c r="AF124" s="2477">
        <f t="shared" si="24"/>
        <v>0</v>
      </c>
      <c r="AG124" s="2477">
        <f t="shared" si="24"/>
        <v>0</v>
      </c>
      <c r="AH124" s="2478">
        <f t="shared" si="24"/>
        <v>0</v>
      </c>
      <c r="AI124" s="2480"/>
      <c r="AJ124" s="2481"/>
      <c r="AK124" s="2480"/>
      <c r="AL124" s="2480"/>
      <c r="AM124" s="2480"/>
      <c r="AN124" s="2480"/>
      <c r="AO124" s="2480"/>
      <c r="AP124" s="2480"/>
      <c r="AQ124" s="2480"/>
      <c r="AR124" s="2481"/>
      <c r="AS124" s="2482"/>
    </row>
    <row r="125" spans="1:45">
      <c r="A125" s="2483"/>
      <c r="B125" s="2483"/>
      <c r="C125" s="2483"/>
      <c r="D125" s="2484"/>
      <c r="E125" s="2485" t="s">
        <v>631</v>
      </c>
      <c r="F125" s="2486">
        <f>SUM(F30:F35)+SUM(F43:F47)+F50+SUM(F52:F56)+F60-F69-F70+SUM(F92:F97)+SUM(F118:F123)</f>
        <v>141.78299999999999</v>
      </c>
      <c r="G125" s="2487">
        <f t="shared" ref="G125:L125" si="25">SUM(G30:G35)+SUM(G43:G47)+G50+SUM(G52:G56)+G60-G69-G70+SUM(G92:G97)+SUM(G118:G123)</f>
        <v>458</v>
      </c>
      <c r="H125" s="2488">
        <f t="shared" si="25"/>
        <v>304</v>
      </c>
      <c r="I125" s="2489">
        <f t="shared" si="25"/>
        <v>324.89999999999998</v>
      </c>
      <c r="J125" s="2489">
        <f t="shared" si="25"/>
        <v>338</v>
      </c>
      <c r="K125" s="2489">
        <f t="shared" si="25"/>
        <v>311</v>
      </c>
      <c r="L125" s="2490">
        <f t="shared" si="25"/>
        <v>333</v>
      </c>
      <c r="M125" s="2491">
        <f>SUM(H125:L125)</f>
        <v>1610.9</v>
      </c>
      <c r="N125" s="2492">
        <f t="shared" ref="N125:AH125" si="26">SUM(N30:N35)+SUM(N43:N47)+N50+SUM(N52:N56)+N60-N69-N70+SUM(N92:N97)+SUM(N118:N123)</f>
        <v>141.78299999999999</v>
      </c>
      <c r="O125" s="2493">
        <f t="shared" si="26"/>
        <v>458</v>
      </c>
      <c r="P125" s="2494">
        <f t="shared" si="26"/>
        <v>304</v>
      </c>
      <c r="Q125" s="2495">
        <f t="shared" si="26"/>
        <v>324.89999999999998</v>
      </c>
      <c r="R125" s="2495">
        <f t="shared" si="26"/>
        <v>338</v>
      </c>
      <c r="S125" s="2495">
        <f t="shared" si="26"/>
        <v>311</v>
      </c>
      <c r="T125" s="2491">
        <f t="shared" si="26"/>
        <v>333</v>
      </c>
      <c r="U125" s="2492">
        <f t="shared" si="26"/>
        <v>0</v>
      </c>
      <c r="V125" s="2493">
        <f t="shared" si="26"/>
        <v>0</v>
      </c>
      <c r="W125" s="2494">
        <f t="shared" si="26"/>
        <v>0</v>
      </c>
      <c r="X125" s="2495">
        <f t="shared" si="26"/>
        <v>0</v>
      </c>
      <c r="Y125" s="2495">
        <f t="shared" si="26"/>
        <v>0</v>
      </c>
      <c r="Z125" s="2495">
        <f t="shared" si="26"/>
        <v>0</v>
      </c>
      <c r="AA125" s="2496">
        <f t="shared" si="26"/>
        <v>0</v>
      </c>
      <c r="AB125" s="2492">
        <f t="shared" si="26"/>
        <v>0</v>
      </c>
      <c r="AC125" s="2493">
        <f t="shared" si="26"/>
        <v>0</v>
      </c>
      <c r="AD125" s="2494">
        <f t="shared" si="26"/>
        <v>0</v>
      </c>
      <c r="AE125" s="2495">
        <f t="shared" si="26"/>
        <v>0</v>
      </c>
      <c r="AF125" s="2495">
        <f t="shared" si="26"/>
        <v>0</v>
      </c>
      <c r="AG125" s="2495">
        <f t="shared" si="26"/>
        <v>0</v>
      </c>
      <c r="AH125" s="2491">
        <f t="shared" si="26"/>
        <v>0</v>
      </c>
      <c r="AI125" s="2497"/>
      <c r="AJ125" s="2498"/>
      <c r="AK125" s="2497"/>
      <c r="AL125" s="2497"/>
      <c r="AM125" s="2497"/>
      <c r="AN125" s="2497"/>
      <c r="AO125" s="2497"/>
      <c r="AP125" s="2497"/>
      <c r="AQ125" s="2497"/>
      <c r="AR125" s="2498"/>
      <c r="AS125" s="2499"/>
    </row>
    <row r="126" spans="1:45" ht="13.5" thickBot="1">
      <c r="A126" s="2500"/>
      <c r="B126" s="2500"/>
      <c r="C126" s="2500"/>
      <c r="D126" s="2501"/>
      <c r="E126" s="2502" t="s">
        <v>632</v>
      </c>
      <c r="F126" s="2503">
        <f>SUM(F12:F29)+SUM(F37:F42)+F49+F51+F57+F69+F70+SUM(F74:F91)+SUM(F100:F117)</f>
        <v>564.51699999999994</v>
      </c>
      <c r="G126" s="2504">
        <f t="shared" ref="G126:L126" si="27">SUM(G12:G29)+SUM(G37:G42)+G49+G51+G57+G69+G70+SUM(G74:G91)+SUM(G100:G117)</f>
        <v>663.5</v>
      </c>
      <c r="H126" s="2505">
        <f t="shared" si="27"/>
        <v>3218.9229999999998</v>
      </c>
      <c r="I126" s="2506">
        <f t="shared" si="27"/>
        <v>6086.7579999999998</v>
      </c>
      <c r="J126" s="2506">
        <f t="shared" si="27"/>
        <v>530.1</v>
      </c>
      <c r="K126" s="2506">
        <f t="shared" si="27"/>
        <v>323.89999999999998</v>
      </c>
      <c r="L126" s="2507">
        <f t="shared" si="27"/>
        <v>325.3</v>
      </c>
      <c r="M126" s="2508">
        <f>SUM(H126:L126)</f>
        <v>10484.981</v>
      </c>
      <c r="N126" s="2509">
        <f t="shared" ref="N126:AH126" si="28">SUM(N12:N29)+SUM(N37:N42)+N49+N51+N57+N69+N70+SUM(N74:N91)+SUM(N100:N117)</f>
        <v>535.30399999999997</v>
      </c>
      <c r="O126" s="2510">
        <f t="shared" si="28"/>
        <v>560.31399999999996</v>
      </c>
      <c r="P126" s="2511">
        <f t="shared" si="28"/>
        <v>420.34</v>
      </c>
      <c r="Q126" s="2512">
        <f t="shared" si="28"/>
        <v>517.20299999999997</v>
      </c>
      <c r="R126" s="2512">
        <f t="shared" si="28"/>
        <v>530.1</v>
      </c>
      <c r="S126" s="2512">
        <f t="shared" si="28"/>
        <v>323.89999999999998</v>
      </c>
      <c r="T126" s="2508">
        <f t="shared" si="28"/>
        <v>325.3</v>
      </c>
      <c r="U126" s="2509">
        <f t="shared" si="28"/>
        <v>0</v>
      </c>
      <c r="V126" s="2510">
        <f t="shared" si="28"/>
        <v>0</v>
      </c>
      <c r="W126" s="2511">
        <f t="shared" si="28"/>
        <v>0</v>
      </c>
      <c r="X126" s="2512">
        <f t="shared" si="28"/>
        <v>0</v>
      </c>
      <c r="Y126" s="2512">
        <f t="shared" si="28"/>
        <v>0</v>
      </c>
      <c r="Z126" s="2512">
        <f t="shared" si="28"/>
        <v>0</v>
      </c>
      <c r="AA126" s="2513">
        <f t="shared" si="28"/>
        <v>0</v>
      </c>
      <c r="AB126" s="2509">
        <f t="shared" si="28"/>
        <v>29.213000000000001</v>
      </c>
      <c r="AC126" s="2510">
        <f t="shared" si="28"/>
        <v>103.18600000000001</v>
      </c>
      <c r="AD126" s="2511">
        <f>SUM(AD12:AD29)+SUM(AD37:AD42)+AD49+AD51+AD57+AD69+AD70+SUM(AD74:AD91)+SUM(AD100:AD117)</f>
        <v>2798.5830000000001</v>
      </c>
      <c r="AE126" s="2512">
        <f>SUM(AE12:AE29)+SUM(AE37:AE42)+AE49+AE51+AE57+AE69+AE70+SUM(AE74:AE91)+SUM(AE100:AE117)</f>
        <v>5569.5550000000003</v>
      </c>
      <c r="AF126" s="2512">
        <f t="shared" si="28"/>
        <v>0</v>
      </c>
      <c r="AG126" s="2512">
        <f t="shared" si="28"/>
        <v>0</v>
      </c>
      <c r="AH126" s="2508">
        <f t="shared" si="28"/>
        <v>0</v>
      </c>
      <c r="AI126" s="2514"/>
      <c r="AJ126" s="2515"/>
      <c r="AK126" s="2514"/>
      <c r="AL126" s="2514"/>
      <c r="AM126" s="2514"/>
      <c r="AN126" s="2514"/>
      <c r="AO126" s="2514"/>
      <c r="AP126" s="2514"/>
      <c r="AQ126" s="2514"/>
      <c r="AR126" s="2515"/>
      <c r="AS126" s="2516"/>
    </row>
    <row r="127" spans="1:45">
      <c r="A127" s="2517"/>
      <c r="B127" s="2518"/>
      <c r="C127" s="2518"/>
      <c r="D127" s="2518"/>
      <c r="E127" s="2313"/>
      <c r="F127" s="2519"/>
      <c r="G127" s="2519"/>
      <c r="H127" s="2520"/>
      <c r="I127" s="2520"/>
      <c r="J127" s="2520"/>
      <c r="K127" s="2520"/>
      <c r="L127" s="2520"/>
      <c r="M127" s="2521"/>
      <c r="N127" s="2522"/>
      <c r="O127" s="2522"/>
      <c r="P127" s="2521"/>
      <c r="Q127" s="2521"/>
      <c r="R127" s="2521"/>
      <c r="S127" s="2521"/>
      <c r="T127" s="2521"/>
      <c r="U127" s="2522"/>
      <c r="V127" s="2522"/>
      <c r="W127" s="2521"/>
      <c r="X127" s="2521"/>
      <c r="Y127" s="2521"/>
      <c r="Z127" s="2521"/>
      <c r="AA127" s="2521"/>
      <c r="AB127" s="2523"/>
      <c r="AC127" s="2523"/>
      <c r="AD127" s="2523"/>
      <c r="AE127" s="2523"/>
      <c r="AF127" s="2523"/>
      <c r="AG127" s="2523"/>
      <c r="AH127" s="2523"/>
      <c r="AI127" s="2524"/>
      <c r="AJ127" s="2525"/>
      <c r="AK127" s="2524"/>
      <c r="AL127" s="2524"/>
      <c r="AM127" s="2315"/>
      <c r="AN127" s="2315"/>
      <c r="AO127" s="2315"/>
      <c r="AP127" s="2315"/>
      <c r="AQ127" s="2315"/>
      <c r="AR127" s="2526"/>
      <c r="AS127" s="2321"/>
    </row>
    <row r="128" spans="1:45" ht="13.5" customHeight="1" thickBot="1">
      <c r="A128" s="2315"/>
      <c r="B128" s="2315"/>
      <c r="C128" s="2315"/>
      <c r="D128" s="2526"/>
      <c r="E128" s="2527"/>
      <c r="F128" s="2528"/>
      <c r="G128" s="2528"/>
      <c r="H128" s="2529"/>
      <c r="I128" s="2529"/>
      <c r="J128" s="2529"/>
      <c r="K128" s="2529"/>
      <c r="L128" s="2529"/>
      <c r="M128" s="2530"/>
      <c r="N128" s="2531"/>
      <c r="O128" s="2531"/>
      <c r="P128" s="2530"/>
      <c r="Q128" s="2530"/>
      <c r="R128" s="2530"/>
      <c r="S128" s="2530"/>
      <c r="T128" s="2530"/>
      <c r="U128" s="2531"/>
      <c r="V128" s="2531"/>
      <c r="W128" s="2530"/>
      <c r="X128" s="2530"/>
      <c r="Y128" s="2530"/>
      <c r="Z128" s="2530"/>
      <c r="AA128" s="2530"/>
      <c r="AB128" s="2531"/>
      <c r="AC128" s="2531"/>
      <c r="AD128" s="2530"/>
      <c r="AE128" s="2530"/>
      <c r="AF128" s="2530"/>
      <c r="AG128" s="2530"/>
      <c r="AH128" s="2530"/>
      <c r="AI128" s="2524"/>
      <c r="AJ128" s="2523"/>
      <c r="AK128" s="2524"/>
      <c r="AL128" s="2524"/>
      <c r="AM128" s="2315"/>
      <c r="AN128" s="2315"/>
      <c r="AO128" s="2315"/>
      <c r="AP128" s="2315"/>
      <c r="AQ128" s="2315"/>
      <c r="AR128" s="2526"/>
      <c r="AS128" s="2321"/>
    </row>
    <row r="129" spans="1:46" s="1411" customFormat="1" ht="30.75" customHeight="1" thickBot="1">
      <c r="A129" s="2517"/>
      <c r="B129" s="2518"/>
      <c r="C129" s="2518"/>
      <c r="D129" s="2518"/>
      <c r="E129" s="2532" t="s">
        <v>653</v>
      </c>
      <c r="F129" s="2533">
        <f>SUM(F130:F132)</f>
        <v>1</v>
      </c>
      <c r="G129" s="2534">
        <f t="shared" ref="G129:AH129" si="29">SUM(G130:G132)</f>
        <v>1</v>
      </c>
      <c r="H129" s="2535">
        <f t="shared" si="29"/>
        <v>1</v>
      </c>
      <c r="I129" s="2536">
        <f t="shared" si="29"/>
        <v>1</v>
      </c>
      <c r="J129" s="2536">
        <f t="shared" si="29"/>
        <v>1</v>
      </c>
      <c r="K129" s="2536">
        <f t="shared" si="29"/>
        <v>1</v>
      </c>
      <c r="L129" s="2537">
        <f t="shared" si="29"/>
        <v>1</v>
      </c>
      <c r="M129" s="2538"/>
      <c r="N129" s="2533">
        <f>SUM(N130:N132)</f>
        <v>1</v>
      </c>
      <c r="O129" s="2534">
        <f t="shared" si="29"/>
        <v>1</v>
      </c>
      <c r="P129" s="2535">
        <f t="shared" si="29"/>
        <v>1</v>
      </c>
      <c r="Q129" s="2536">
        <f t="shared" si="29"/>
        <v>1</v>
      </c>
      <c r="R129" s="2536">
        <f t="shared" si="29"/>
        <v>1</v>
      </c>
      <c r="S129" s="2536">
        <f t="shared" si="29"/>
        <v>1</v>
      </c>
      <c r="T129" s="2539">
        <f t="shared" si="29"/>
        <v>1</v>
      </c>
      <c r="U129" s="2533">
        <f t="shared" si="29"/>
        <v>1</v>
      </c>
      <c r="V129" s="2534">
        <f t="shared" si="29"/>
        <v>1</v>
      </c>
      <c r="W129" s="2535">
        <f t="shared" si="29"/>
        <v>1</v>
      </c>
      <c r="X129" s="2536">
        <f t="shared" si="29"/>
        <v>1</v>
      </c>
      <c r="Y129" s="2536">
        <f t="shared" si="29"/>
        <v>1</v>
      </c>
      <c r="Z129" s="2536">
        <f t="shared" si="29"/>
        <v>1</v>
      </c>
      <c r="AA129" s="2539">
        <f t="shared" si="29"/>
        <v>1</v>
      </c>
      <c r="AB129" s="2533">
        <f t="shared" si="29"/>
        <v>1</v>
      </c>
      <c r="AC129" s="2534">
        <f t="shared" si="29"/>
        <v>1</v>
      </c>
      <c r="AD129" s="2535">
        <f t="shared" si="29"/>
        <v>1</v>
      </c>
      <c r="AE129" s="2536">
        <f t="shared" si="29"/>
        <v>1</v>
      </c>
      <c r="AF129" s="2536">
        <f t="shared" si="29"/>
        <v>1</v>
      </c>
      <c r="AG129" s="2536">
        <f t="shared" si="29"/>
        <v>1</v>
      </c>
      <c r="AH129" s="2539">
        <f t="shared" si="29"/>
        <v>1</v>
      </c>
      <c r="AI129" s="2540" t="s">
        <v>1</v>
      </c>
      <c r="AJ129" s="2541" t="s">
        <v>2</v>
      </c>
      <c r="AK129" s="2474"/>
      <c r="AL129" s="2474"/>
      <c r="AM129" s="2475"/>
      <c r="AN129" s="2542"/>
      <c r="AO129" s="2477"/>
      <c r="AP129" s="2477"/>
      <c r="AQ129" s="2477"/>
      <c r="AR129" s="2479"/>
      <c r="AS129" s="2321"/>
      <c r="AT129" s="1368"/>
    </row>
    <row r="130" spans="1:46" ht="24">
      <c r="A130" s="2517"/>
      <c r="B130" s="2518"/>
      <c r="C130" s="2518"/>
      <c r="D130" s="2518"/>
      <c r="E130" s="2543" t="s">
        <v>403</v>
      </c>
      <c r="F130" s="2544">
        <f>IF('4. Отчет и прогн. потребление'!D9&gt;0,(1/SUM(IF('4. Отчет и прогн. потребление'!D9&gt;0,1,0),IF('4. Отчет и прогн. потребление'!D48&gt;0,1,0),IF('4. Отчет и прогн. потребление'!D53&gt;0,1,0))),0)</f>
        <v>0.33333333333333331</v>
      </c>
      <c r="G130" s="2545">
        <f>IFERROR(G11/(G$11+G$36+G$48),0)</f>
        <v>0.88847184986595173</v>
      </c>
      <c r="H130" s="2546">
        <f>IF('4. Отчет и прогн. потребление'!E9&gt;0,(1/SUM(IF('4. Отчет и прогн. потребление'!E9&gt;0,1,0),IF('4. Отчет и прогн. потребление'!E48&gt;0,1,0),IF('4. Отчет и прогн. потребление'!E53&gt;0,1,0))),0)</f>
        <v>0.33333333333333331</v>
      </c>
      <c r="I130" s="2547">
        <f>IF('4. Отчет и прогн. потребление'!F9&gt;0,(1/SUM(IF('4. Отчет и прогн. потребление'!F9&gt;0,1,0),IF('4. Отчет и прогн. потребление'!F48&gt;0,1,0),IF('4. Отчет и прогн. потребление'!F53&gt;0,1,0))),0)</f>
        <v>0.33333333333333331</v>
      </c>
      <c r="J130" s="2547">
        <f>IF('4. Отчет и прогн. потребление'!G9&gt;0,(1/SUM(IF('4. Отчет и прогн. потребление'!G9&gt;0,1,0),IF('4. Отчет и прогн. потребление'!G48&gt;0,1,0),IF('4. Отчет и прогн. потребление'!G53&gt;0,1,0))),0)</f>
        <v>0.33333333333333331</v>
      </c>
      <c r="K130" s="2547">
        <f>IF('4. Отчет и прогн. потребление'!H9&gt;0,(1/SUM(IF('4. Отчет и прогн. потребление'!H9&gt;0,1,0),IF('4. Отчет и прогн. потребление'!H48&gt;0,1,0),IF('4. Отчет и прогн. потребление'!H53&gt;0,1,0))),0)</f>
        <v>0.33333333333333331</v>
      </c>
      <c r="L130" s="2548">
        <f>IF('4. Отчет и прогн. потребление'!I9&gt;0,(1/SUM(IF('4. Отчет и прогн. потребление'!I9&gt;0,1,0),IF('4. Отчет и прогн. потребление'!I48&gt;0,1,0),IF('4. Отчет и прогн. потребление'!I53&gt;0,1,0))),0)</f>
        <v>0.33333333333333331</v>
      </c>
      <c r="M130" s="2549"/>
      <c r="N130" s="2550">
        <f>F130</f>
        <v>0.33333333333333331</v>
      </c>
      <c r="O130" s="2551">
        <f>G130</f>
        <v>0.88847184986595173</v>
      </c>
      <c r="P130" s="2552">
        <f>H130</f>
        <v>0.33333333333333331</v>
      </c>
      <c r="Q130" s="2548">
        <f>I130</f>
        <v>0.33333333333333331</v>
      </c>
      <c r="R130" s="2548">
        <f t="shared" ref="P130:T132" si="30">J130</f>
        <v>0.33333333333333331</v>
      </c>
      <c r="S130" s="2548">
        <f t="shared" si="30"/>
        <v>0.33333333333333331</v>
      </c>
      <c r="T130" s="2548">
        <f t="shared" si="30"/>
        <v>0.33333333333333331</v>
      </c>
      <c r="U130" s="2553">
        <f>F130</f>
        <v>0.33333333333333331</v>
      </c>
      <c r="V130" s="2548">
        <f>G130</f>
        <v>0.88847184986595173</v>
      </c>
      <c r="W130" s="2553">
        <f>H130</f>
        <v>0.33333333333333331</v>
      </c>
      <c r="X130" s="2548">
        <f t="shared" ref="W130:AA132" si="31">I130</f>
        <v>0.33333333333333331</v>
      </c>
      <c r="Y130" s="2548">
        <f t="shared" si="31"/>
        <v>0.33333333333333331</v>
      </c>
      <c r="Z130" s="2548">
        <f t="shared" si="31"/>
        <v>0.33333333333333331</v>
      </c>
      <c r="AA130" s="2551">
        <f t="shared" si="31"/>
        <v>0.33333333333333331</v>
      </c>
      <c r="AB130" s="2553">
        <f>F130</f>
        <v>0.33333333333333331</v>
      </c>
      <c r="AC130" s="2548">
        <f>G130</f>
        <v>0.88847184986595173</v>
      </c>
      <c r="AD130" s="2553">
        <f>H130</f>
        <v>0.33333333333333331</v>
      </c>
      <c r="AE130" s="2548">
        <f t="shared" ref="AD130:AH132" si="32">I130</f>
        <v>0.33333333333333331</v>
      </c>
      <c r="AF130" s="2548">
        <f t="shared" si="32"/>
        <v>0.33333333333333331</v>
      </c>
      <c r="AG130" s="2548">
        <f t="shared" si="32"/>
        <v>0.33333333333333331</v>
      </c>
      <c r="AH130" s="2551">
        <f t="shared" si="32"/>
        <v>0.33333333333333331</v>
      </c>
      <c r="AI130" s="2554" t="s">
        <v>49</v>
      </c>
      <c r="AJ130" s="2555" t="s">
        <v>835</v>
      </c>
      <c r="AK130" s="2556" t="s">
        <v>683</v>
      </c>
      <c r="AL130" s="2424">
        <f>SUM((AL16+AL22)-'2. Променливи'!E78*1000)</f>
        <v>0</v>
      </c>
      <c r="AM130" s="2557"/>
      <c r="AN130" s="2558">
        <f>SUM((AN16+AN22)-'2. Променливи'!F78*1000)</f>
        <v>0</v>
      </c>
      <c r="AO130" s="2559">
        <f>SUM((AO16+AO22)-'2. Променливи'!G78*1000)</f>
        <v>0</v>
      </c>
      <c r="AP130" s="2559">
        <f>SUM((AP16+AP22)-'2. Променливи'!H78*1000)</f>
        <v>0</v>
      </c>
      <c r="AQ130" s="2559">
        <f>SUM((AQ16+AQ22)-'2. Променливи'!I78*1000)</f>
        <v>0</v>
      </c>
      <c r="AR130" s="2560">
        <f>SUM((AR16+AR22)-'2. Променливи'!J78*1000)</f>
        <v>0</v>
      </c>
      <c r="AS130" s="2321"/>
    </row>
    <row r="131" spans="1:46" ht="36" customHeight="1">
      <c r="A131" s="2517"/>
      <c r="B131" s="2518"/>
      <c r="C131" s="2518"/>
      <c r="D131" s="2518"/>
      <c r="E131" s="2555" t="s">
        <v>652</v>
      </c>
      <c r="F131" s="2561">
        <f>IF('4. Отчет и прогн. потребление'!D48&gt;0,(1/SUM(IF('4. Отчет и прогн. потребление'!D9&gt;0,1,0),IF('4. Отчет и прогн. потребление'!D48&gt;0,1,0),IF('4. Отчет и прогн. потребление'!D53&gt;0,1,0))),0)</f>
        <v>0.33333333333333331</v>
      </c>
      <c r="G131" s="2562">
        <f>IFERROR(G36/(G$11+G$36+G$48),0)</f>
        <v>0.10509383378016086</v>
      </c>
      <c r="H131" s="2563">
        <f>IF('4. Отчет и прогн. потребление'!E48&gt;0,(1/SUM(IF('4. Отчет и прогн. потребление'!E9&gt;0,1,0),IF('4. Отчет и прогн. потребление'!E48&gt;0,1,0),IF('4. Отчет и прогн. потребление'!E53&gt;0,1,0))),0)</f>
        <v>0.33333333333333331</v>
      </c>
      <c r="I131" s="2564">
        <f>IF('4. Отчет и прогн. потребление'!F48&gt;0,(1/SUM(IF('4. Отчет и прогн. потребление'!F9&gt;0,1,0),IF('4. Отчет и прогн. потребление'!F48&gt;0,1,0),IF('4. Отчет и прогн. потребление'!F53&gt;0,1,0))),0)</f>
        <v>0.33333333333333331</v>
      </c>
      <c r="J131" s="2564">
        <f>IF('4. Отчет и прогн. потребление'!G48&gt;0,(1/SUM(IF('4. Отчет и прогн. потребление'!G9&gt;0,1,0),IF('4. Отчет и прогн. потребление'!G48&gt;0,1,0),IF('4. Отчет и прогн. потребление'!G53&gt;0,1,0))),0)</f>
        <v>0.33333333333333331</v>
      </c>
      <c r="K131" s="2564">
        <f>IF('4. Отчет и прогн. потребление'!H48&gt;0,(1/SUM(IF('4. Отчет и прогн. потребление'!H9&gt;0,1,0),IF('4. Отчет и прогн. потребление'!H48&gt;0,1,0),IF('4. Отчет и прогн. потребление'!H53&gt;0,1,0))),0)</f>
        <v>0.33333333333333331</v>
      </c>
      <c r="L131" s="2565">
        <f>IF('4. Отчет и прогн. потребление'!I48&gt;0,(1/SUM(IF('4. Отчет и прогн. потребление'!I9&gt;0,1,0),IF('4. Отчет и прогн. потребление'!I48&gt;0,1,0),IF('4. Отчет и прогн. потребление'!I53&gt;0,1,0))),0)</f>
        <v>0.33333333333333331</v>
      </c>
      <c r="M131" s="2566"/>
      <c r="N131" s="2567">
        <f>F131</f>
        <v>0.33333333333333331</v>
      </c>
      <c r="O131" s="2568">
        <f>G131</f>
        <v>0.10509383378016086</v>
      </c>
      <c r="P131" s="2569">
        <f t="shared" si="30"/>
        <v>0.33333333333333331</v>
      </c>
      <c r="Q131" s="2565">
        <f t="shared" si="30"/>
        <v>0.33333333333333331</v>
      </c>
      <c r="R131" s="2565">
        <f t="shared" si="30"/>
        <v>0.33333333333333331</v>
      </c>
      <c r="S131" s="2565">
        <f t="shared" si="30"/>
        <v>0.33333333333333331</v>
      </c>
      <c r="T131" s="2565">
        <f t="shared" si="30"/>
        <v>0.33333333333333331</v>
      </c>
      <c r="U131" s="2570">
        <f t="shared" ref="U131:V132" si="33">F131</f>
        <v>0.33333333333333331</v>
      </c>
      <c r="V131" s="2565">
        <f t="shared" si="33"/>
        <v>0.10509383378016086</v>
      </c>
      <c r="W131" s="2570">
        <f t="shared" si="31"/>
        <v>0.33333333333333331</v>
      </c>
      <c r="X131" s="2565">
        <f t="shared" si="31"/>
        <v>0.33333333333333331</v>
      </c>
      <c r="Y131" s="2565">
        <f t="shared" si="31"/>
        <v>0.33333333333333331</v>
      </c>
      <c r="Z131" s="2565">
        <f t="shared" si="31"/>
        <v>0.33333333333333331</v>
      </c>
      <c r="AA131" s="2568">
        <f t="shared" si="31"/>
        <v>0.33333333333333331</v>
      </c>
      <c r="AB131" s="2570">
        <f t="shared" ref="AB131:AC132" si="34">F131</f>
        <v>0.33333333333333331</v>
      </c>
      <c r="AC131" s="2565">
        <f>G131</f>
        <v>0.10509383378016086</v>
      </c>
      <c r="AD131" s="2570">
        <f t="shared" si="32"/>
        <v>0.33333333333333331</v>
      </c>
      <c r="AE131" s="2565">
        <f t="shared" si="32"/>
        <v>0.33333333333333331</v>
      </c>
      <c r="AF131" s="2565">
        <f t="shared" si="32"/>
        <v>0.33333333333333331</v>
      </c>
      <c r="AG131" s="2565">
        <f t="shared" si="32"/>
        <v>0.33333333333333331</v>
      </c>
      <c r="AH131" s="2568">
        <f>L131</f>
        <v>0.33333333333333331</v>
      </c>
      <c r="AI131" s="2571" t="s">
        <v>750</v>
      </c>
      <c r="AJ131" s="2555" t="s">
        <v>1366</v>
      </c>
      <c r="AK131" s="2556" t="s">
        <v>682</v>
      </c>
      <c r="AL131" s="2572"/>
      <c r="AM131" s="2557"/>
      <c r="AN131" s="2573"/>
      <c r="AO131" s="2574">
        <f>SUM(AO26-('2. Променливи'!G73-'2. Променливи'!F73))</f>
        <v>0</v>
      </c>
      <c r="AP131" s="2574">
        <f>SUM(AP26-('2. Променливи'!H73-'2. Променливи'!G73))</f>
        <v>0</v>
      </c>
      <c r="AQ131" s="2574">
        <f>SUM(AQ26-('2. Променливи'!I73-'2. Променливи'!H73))</f>
        <v>0</v>
      </c>
      <c r="AR131" s="2575">
        <f>SUM(AR26-('2. Променливи'!J73-'2. Променливи'!I73))</f>
        <v>0</v>
      </c>
      <c r="AS131" s="2321"/>
    </row>
    <row r="132" spans="1:46" ht="36.75" thickBot="1">
      <c r="A132" s="2517"/>
      <c r="B132" s="2518"/>
      <c r="C132" s="2518"/>
      <c r="D132" s="2518"/>
      <c r="E132" s="2576" t="s">
        <v>404</v>
      </c>
      <c r="F132" s="2577">
        <f>IF('4. Отчет и прогн. потребление'!D53&gt;0,(1/SUM(IF('4. Отчет и прогн. потребление'!D9&gt;0,1,0),IF('4. Отчет и прогн. потребление'!D48&gt;0,1,0),IF('4. Отчет и прогн. потребление'!D53&gt;0,1,0))),0)</f>
        <v>0.33333333333333331</v>
      </c>
      <c r="G132" s="2578">
        <f>IFERROR(G48/(G$11+G$36+G$48),0)</f>
        <v>6.4343163538873992E-3</v>
      </c>
      <c r="H132" s="2579">
        <f>IF('4. Отчет и прогн. потребление'!E53&gt;0,(1/SUM(IF('4. Отчет и прогн. потребление'!E9&gt;0,1,0),IF('4. Отчет и прогн. потребление'!E48&gt;0,1,0),IF('4. Отчет и прогн. потребление'!E53&gt;0,1,0))),0)</f>
        <v>0.33333333333333331</v>
      </c>
      <c r="I132" s="2580">
        <f>IF('4. Отчет и прогн. потребление'!F53&gt;0,(1/SUM(IF('4. Отчет и прогн. потребление'!F9&gt;0,1,0),IF('4. Отчет и прогн. потребление'!F48&gt;0,1,0),IF('4. Отчет и прогн. потребление'!F53&gt;0,1,0))),0)</f>
        <v>0.33333333333333331</v>
      </c>
      <c r="J132" s="2580">
        <f>IF('4. Отчет и прогн. потребление'!G53&gt;0,(1/SUM(IF('4. Отчет и прогн. потребление'!G9&gt;0,1,0),IF('4. Отчет и прогн. потребление'!G48&gt;0,1,0),IF('4. Отчет и прогн. потребление'!G53&gt;0,1,0))),0)</f>
        <v>0.33333333333333331</v>
      </c>
      <c r="K132" s="2580">
        <f>IF('4. Отчет и прогн. потребление'!H53&gt;0,(1/SUM(IF('4. Отчет и прогн. потребление'!H9&gt;0,1,0),IF('4. Отчет и прогн. потребление'!H48&gt;0,1,0),IF('4. Отчет и прогн. потребление'!H53&gt;0,1,0))),0)</f>
        <v>0.33333333333333331</v>
      </c>
      <c r="L132" s="2581">
        <f>IF('4. Отчет и прогн. потребление'!I53&gt;0,(1/SUM(IF('4. Отчет и прогн. потребление'!I9&gt;0,1,0),IF('4. Отчет и прогн. потребление'!I48&gt;0,1,0),IF('4. Отчет и прогн. потребление'!I53&gt;0,1,0))),0)</f>
        <v>0.33333333333333331</v>
      </c>
      <c r="M132" s="2582"/>
      <c r="N132" s="2583">
        <f t="shared" ref="N132" si="35">F132</f>
        <v>0.33333333333333331</v>
      </c>
      <c r="O132" s="2584">
        <f>G132</f>
        <v>6.4343163538873992E-3</v>
      </c>
      <c r="P132" s="2585">
        <f t="shared" si="30"/>
        <v>0.33333333333333331</v>
      </c>
      <c r="Q132" s="2581">
        <f t="shared" si="30"/>
        <v>0.33333333333333331</v>
      </c>
      <c r="R132" s="2581">
        <f t="shared" si="30"/>
        <v>0.33333333333333331</v>
      </c>
      <c r="S132" s="2581">
        <f t="shared" si="30"/>
        <v>0.33333333333333331</v>
      </c>
      <c r="T132" s="2581">
        <f t="shared" si="30"/>
        <v>0.33333333333333331</v>
      </c>
      <c r="U132" s="2586">
        <f t="shared" si="33"/>
        <v>0.33333333333333331</v>
      </c>
      <c r="V132" s="2581">
        <f t="shared" si="33"/>
        <v>6.4343163538873992E-3</v>
      </c>
      <c r="W132" s="2586">
        <f t="shared" si="31"/>
        <v>0.33333333333333331</v>
      </c>
      <c r="X132" s="2581">
        <f t="shared" si="31"/>
        <v>0.33333333333333331</v>
      </c>
      <c r="Y132" s="2581">
        <f t="shared" si="31"/>
        <v>0.33333333333333331</v>
      </c>
      <c r="Z132" s="2581">
        <f t="shared" si="31"/>
        <v>0.33333333333333331</v>
      </c>
      <c r="AA132" s="2584">
        <f t="shared" si="31"/>
        <v>0.33333333333333331</v>
      </c>
      <c r="AB132" s="2586">
        <f t="shared" si="34"/>
        <v>0.33333333333333331</v>
      </c>
      <c r="AC132" s="2581">
        <f t="shared" si="34"/>
        <v>6.4343163538873992E-3</v>
      </c>
      <c r="AD132" s="2586">
        <f t="shared" si="32"/>
        <v>0.33333333333333331</v>
      </c>
      <c r="AE132" s="2581">
        <f t="shared" si="32"/>
        <v>0.33333333333333331</v>
      </c>
      <c r="AF132" s="2581">
        <f t="shared" si="32"/>
        <v>0.33333333333333331</v>
      </c>
      <c r="AG132" s="2581">
        <f t="shared" si="32"/>
        <v>0.33333333333333331</v>
      </c>
      <c r="AH132" s="2584">
        <f t="shared" si="32"/>
        <v>0.33333333333333331</v>
      </c>
      <c r="AI132" s="2587" t="s">
        <v>49</v>
      </c>
      <c r="AJ132" s="2576" t="s">
        <v>1365</v>
      </c>
      <c r="AK132" s="2588" t="s">
        <v>683</v>
      </c>
      <c r="AL132" s="2588">
        <f>(AL78+AL84)-'2. Променливи'!E130*1000</f>
        <v>0</v>
      </c>
      <c r="AM132" s="2589"/>
      <c r="AN132" s="2590">
        <f>(AN78+AN84)-'2. Променливи'!F130</f>
        <v>50</v>
      </c>
      <c r="AO132" s="2591">
        <f>(AO78+AO84)-'2. Променливи'!G130</f>
        <v>50</v>
      </c>
      <c r="AP132" s="2591">
        <f>(AP78+AP84)-'2. Променливи'!H130</f>
        <v>50</v>
      </c>
      <c r="AQ132" s="2591">
        <f>(AQ78+AQ84)-'2. Променливи'!I130</f>
        <v>50</v>
      </c>
      <c r="AR132" s="2592">
        <f>(AR78+AR84)-'2. Променливи'!J130</f>
        <v>50</v>
      </c>
      <c r="AS132" s="2321"/>
    </row>
    <row r="133" spans="1:46" ht="13.5" thickBot="1">
      <c r="A133" s="2517"/>
      <c r="B133" s="2518"/>
      <c r="C133" s="2518"/>
      <c r="D133" s="2518"/>
      <c r="E133" s="2527"/>
      <c r="F133" s="2528"/>
      <c r="G133" s="2528"/>
      <c r="H133" s="2529"/>
      <c r="I133" s="2529"/>
      <c r="J133" s="2529"/>
      <c r="K133" s="2529"/>
      <c r="L133" s="2593"/>
      <c r="M133" s="2593"/>
      <c r="N133" s="2528"/>
      <c r="O133" s="2528"/>
      <c r="P133" s="2529"/>
      <c r="Q133" s="2529"/>
      <c r="R133" s="2529"/>
      <c r="S133" s="2529"/>
      <c r="T133" s="2593"/>
      <c r="U133" s="2594"/>
      <c r="V133" s="2594"/>
      <c r="W133" s="2593"/>
      <c r="X133" s="2593"/>
      <c r="Y133" s="2593"/>
      <c r="Z133" s="2593"/>
      <c r="AA133" s="2593"/>
      <c r="AB133" s="2523"/>
      <c r="AC133" s="2523"/>
      <c r="AD133" s="2523"/>
      <c r="AE133" s="2523"/>
      <c r="AF133" s="2523"/>
      <c r="AG133" s="2523"/>
      <c r="AH133" s="2523"/>
      <c r="AI133" s="2523"/>
      <c r="AJ133" s="2523"/>
      <c r="AK133" s="2523"/>
      <c r="AL133" s="2523"/>
      <c r="AM133" s="2523"/>
      <c r="AN133" s="2523"/>
      <c r="AO133" s="2523"/>
      <c r="AP133" s="2523"/>
      <c r="AQ133" s="2523"/>
      <c r="AR133" s="2523"/>
      <c r="AS133" s="2321"/>
    </row>
    <row r="134" spans="1:46" ht="24">
      <c r="A134" s="2517"/>
      <c r="B134" s="2518"/>
      <c r="C134" s="2518"/>
      <c r="D134" s="2518"/>
      <c r="E134" s="2595" t="s">
        <v>405</v>
      </c>
      <c r="F134" s="2474">
        <f t="shared" ref="F134:L134" si="36">F57+F60</f>
        <v>105.75999999999999</v>
      </c>
      <c r="G134" s="2475">
        <f>G57+G60</f>
        <v>189</v>
      </c>
      <c r="H134" s="2476">
        <f t="shared" si="36"/>
        <v>216.62700000000001</v>
      </c>
      <c r="I134" s="2477">
        <f t="shared" si="36"/>
        <v>121</v>
      </c>
      <c r="J134" s="2477">
        <f t="shared" si="36"/>
        <v>123</v>
      </c>
      <c r="K134" s="2477">
        <f t="shared" si="36"/>
        <v>115.5</v>
      </c>
      <c r="L134" s="2478">
        <f t="shared" si="36"/>
        <v>116.5</v>
      </c>
      <c r="M134" s="2596">
        <f t="shared" ref="M134:M157" si="37">SUM(H134:L134)</f>
        <v>692.62699999999995</v>
      </c>
      <c r="N134" s="2474">
        <f t="shared" ref="N134:AH134" si="38">N57+N60</f>
        <v>105.75999999999999</v>
      </c>
      <c r="O134" s="2475">
        <f t="shared" si="38"/>
        <v>189</v>
      </c>
      <c r="P134" s="2476">
        <f t="shared" si="38"/>
        <v>113</v>
      </c>
      <c r="Q134" s="2477">
        <f t="shared" si="38"/>
        <v>121</v>
      </c>
      <c r="R134" s="2477">
        <f t="shared" si="38"/>
        <v>123</v>
      </c>
      <c r="S134" s="2477">
        <f t="shared" si="38"/>
        <v>115.5</v>
      </c>
      <c r="T134" s="2479">
        <f t="shared" si="38"/>
        <v>116.5</v>
      </c>
      <c r="U134" s="2474">
        <f t="shared" si="38"/>
        <v>0</v>
      </c>
      <c r="V134" s="2475">
        <f t="shared" si="38"/>
        <v>0</v>
      </c>
      <c r="W134" s="2542">
        <f t="shared" si="38"/>
        <v>0</v>
      </c>
      <c r="X134" s="2477">
        <f t="shared" si="38"/>
        <v>0</v>
      </c>
      <c r="Y134" s="2477">
        <f t="shared" si="38"/>
        <v>0</v>
      </c>
      <c r="Z134" s="2477">
        <f t="shared" si="38"/>
        <v>0</v>
      </c>
      <c r="AA134" s="2479">
        <f t="shared" si="38"/>
        <v>0</v>
      </c>
      <c r="AB134" s="2474">
        <f t="shared" si="38"/>
        <v>0</v>
      </c>
      <c r="AC134" s="2475">
        <f>AC57+AC60</f>
        <v>0</v>
      </c>
      <c r="AD134" s="2542">
        <f t="shared" si="38"/>
        <v>103.627</v>
      </c>
      <c r="AE134" s="2477">
        <f t="shared" si="38"/>
        <v>0</v>
      </c>
      <c r="AF134" s="2477">
        <f t="shared" si="38"/>
        <v>0</v>
      </c>
      <c r="AG134" s="2477">
        <f t="shared" si="38"/>
        <v>0</v>
      </c>
      <c r="AH134" s="2479">
        <f t="shared" si="38"/>
        <v>0</v>
      </c>
      <c r="AI134" s="2523"/>
      <c r="AJ134" s="2523"/>
      <c r="AK134" s="2523"/>
      <c r="AL134" s="2523"/>
      <c r="AM134" s="2523"/>
      <c r="AN134" s="2523"/>
      <c r="AO134" s="2523"/>
      <c r="AP134" s="2523"/>
      <c r="AQ134" s="2523"/>
      <c r="AR134" s="2523"/>
      <c r="AS134" s="2321"/>
    </row>
    <row r="135" spans="1:46">
      <c r="A135" s="2517"/>
      <c r="B135" s="2518"/>
      <c r="C135" s="2518"/>
      <c r="D135" s="2518"/>
      <c r="E135" s="2555" t="s">
        <v>212</v>
      </c>
      <c r="F135" s="2597">
        <f t="shared" ref="F135:L137" si="39">F130*F$134</f>
        <v>35.25333333333333</v>
      </c>
      <c r="G135" s="2598">
        <f>G130*G$134</f>
        <v>167.92117962466489</v>
      </c>
      <c r="H135" s="2599">
        <f>H130*H$134</f>
        <v>72.209000000000003</v>
      </c>
      <c r="I135" s="2600">
        <f t="shared" si="39"/>
        <v>40.333333333333329</v>
      </c>
      <c r="J135" s="2600">
        <f t="shared" si="39"/>
        <v>41</v>
      </c>
      <c r="K135" s="2600">
        <f t="shared" si="39"/>
        <v>38.5</v>
      </c>
      <c r="L135" s="2601">
        <f t="shared" si="39"/>
        <v>38.833333333333329</v>
      </c>
      <c r="M135" s="2420">
        <f t="shared" si="37"/>
        <v>230.87566666666663</v>
      </c>
      <c r="N135" s="2556">
        <f>F130*N$134</f>
        <v>35.25333333333333</v>
      </c>
      <c r="O135" s="2598">
        <f>G130*O$134</f>
        <v>167.92117962466489</v>
      </c>
      <c r="P135" s="2602">
        <f>H130*P$134</f>
        <v>37.666666666666664</v>
      </c>
      <c r="Q135" s="2603">
        <f>I130*Q$134</f>
        <v>40.333333333333329</v>
      </c>
      <c r="R135" s="2603">
        <f t="shared" ref="O135:T137" si="40">J130*R$134</f>
        <v>41</v>
      </c>
      <c r="S135" s="2603">
        <f t="shared" si="40"/>
        <v>38.5</v>
      </c>
      <c r="T135" s="2604">
        <f>L130*T$134</f>
        <v>38.833333333333329</v>
      </c>
      <c r="U135" s="2597">
        <f>F130*U$134</f>
        <v>0</v>
      </c>
      <c r="V135" s="2598">
        <f t="shared" ref="V135:AA137" si="41">G130*V$134</f>
        <v>0</v>
      </c>
      <c r="W135" s="2597">
        <f t="shared" si="41"/>
        <v>0</v>
      </c>
      <c r="X135" s="2605">
        <f t="shared" si="41"/>
        <v>0</v>
      </c>
      <c r="Y135" s="2605">
        <f t="shared" si="41"/>
        <v>0</v>
      </c>
      <c r="Z135" s="2605">
        <f t="shared" si="41"/>
        <v>0</v>
      </c>
      <c r="AA135" s="2598">
        <f t="shared" si="41"/>
        <v>0</v>
      </c>
      <c r="AB135" s="2597">
        <f>F130*AB$134</f>
        <v>0</v>
      </c>
      <c r="AC135" s="2598">
        <f>G130*AC$134</f>
        <v>0</v>
      </c>
      <c r="AD135" s="2597">
        <f t="shared" ref="AD135:AH135" si="42">H130*AD$134</f>
        <v>34.542333333333332</v>
      </c>
      <c r="AE135" s="2605">
        <f t="shared" si="42"/>
        <v>0</v>
      </c>
      <c r="AF135" s="2605">
        <f t="shared" si="42"/>
        <v>0</v>
      </c>
      <c r="AG135" s="2605">
        <f t="shared" si="42"/>
        <v>0</v>
      </c>
      <c r="AH135" s="2598">
        <f t="shared" si="42"/>
        <v>0</v>
      </c>
      <c r="AI135" s="2523"/>
      <c r="AJ135" s="2523"/>
      <c r="AK135" s="2523"/>
      <c r="AL135" s="2523"/>
      <c r="AM135" s="2523"/>
      <c r="AN135" s="2523"/>
      <c r="AO135" s="2523"/>
      <c r="AP135" s="2523"/>
      <c r="AQ135" s="2523"/>
      <c r="AR135" s="2523"/>
      <c r="AS135" s="2321"/>
    </row>
    <row r="136" spans="1:46">
      <c r="A136" s="2517"/>
      <c r="B136" s="2518"/>
      <c r="C136" s="2518"/>
      <c r="D136" s="2518"/>
      <c r="E136" s="2555" t="s">
        <v>213</v>
      </c>
      <c r="F136" s="2556">
        <f>F131*F$134</f>
        <v>35.25333333333333</v>
      </c>
      <c r="G136" s="2598">
        <f t="shared" si="39"/>
        <v>19.862734584450404</v>
      </c>
      <c r="H136" s="2599">
        <f t="shared" si="39"/>
        <v>72.209000000000003</v>
      </c>
      <c r="I136" s="2600">
        <f t="shared" si="39"/>
        <v>40.333333333333329</v>
      </c>
      <c r="J136" s="2600">
        <f t="shared" si="39"/>
        <v>41</v>
      </c>
      <c r="K136" s="2600">
        <f t="shared" si="39"/>
        <v>38.5</v>
      </c>
      <c r="L136" s="2601">
        <f t="shared" si="39"/>
        <v>38.833333333333329</v>
      </c>
      <c r="M136" s="2420">
        <f t="shared" si="37"/>
        <v>230.87566666666663</v>
      </c>
      <c r="N136" s="2556">
        <f>F131*N$134</f>
        <v>35.25333333333333</v>
      </c>
      <c r="O136" s="2606">
        <f t="shared" si="40"/>
        <v>19.862734584450404</v>
      </c>
      <c r="P136" s="2607">
        <f>H131*P$134</f>
        <v>37.666666666666664</v>
      </c>
      <c r="Q136" s="2608">
        <f>I131*Q$134</f>
        <v>40.333333333333329</v>
      </c>
      <c r="R136" s="2608">
        <f t="shared" si="40"/>
        <v>41</v>
      </c>
      <c r="S136" s="2608">
        <f t="shared" si="40"/>
        <v>38.5</v>
      </c>
      <c r="T136" s="2606">
        <f t="shared" si="40"/>
        <v>38.833333333333329</v>
      </c>
      <c r="U136" s="2556">
        <f>F131*U$134</f>
        <v>0</v>
      </c>
      <c r="V136" s="2606">
        <f t="shared" si="41"/>
        <v>0</v>
      </c>
      <c r="W136" s="2556">
        <f t="shared" si="41"/>
        <v>0</v>
      </c>
      <c r="X136" s="2608">
        <f t="shared" si="41"/>
        <v>0</v>
      </c>
      <c r="Y136" s="2608">
        <f t="shared" si="41"/>
        <v>0</v>
      </c>
      <c r="Z136" s="2608">
        <f t="shared" si="41"/>
        <v>0</v>
      </c>
      <c r="AA136" s="2606">
        <f t="shared" si="41"/>
        <v>0</v>
      </c>
      <c r="AB136" s="2556">
        <f t="shared" ref="AB136:AH137" si="43">F131*AB$134</f>
        <v>0</v>
      </c>
      <c r="AC136" s="2606">
        <f>G131*AC$134</f>
        <v>0</v>
      </c>
      <c r="AD136" s="2556">
        <f t="shared" si="43"/>
        <v>34.542333333333332</v>
      </c>
      <c r="AE136" s="2608">
        <f t="shared" si="43"/>
        <v>0</v>
      </c>
      <c r="AF136" s="2608">
        <f t="shared" si="43"/>
        <v>0</v>
      </c>
      <c r="AG136" s="2608">
        <f t="shared" si="43"/>
        <v>0</v>
      </c>
      <c r="AH136" s="2606">
        <f t="shared" si="43"/>
        <v>0</v>
      </c>
      <c r="AI136" s="2524"/>
      <c r="AJ136" s="2523"/>
      <c r="AK136" s="2524"/>
      <c r="AL136" s="2524"/>
      <c r="AM136" s="2315"/>
      <c r="AN136" s="2315"/>
      <c r="AO136" s="2315"/>
      <c r="AP136" s="2315"/>
      <c r="AQ136" s="2315"/>
      <c r="AR136" s="2526"/>
      <c r="AS136" s="2321"/>
    </row>
    <row r="137" spans="1:46" s="1412" customFormat="1" ht="13.5" thickBot="1">
      <c r="A137" s="2609"/>
      <c r="B137" s="2610"/>
      <c r="C137" s="2610"/>
      <c r="D137" s="2610"/>
      <c r="E137" s="2555" t="s">
        <v>214</v>
      </c>
      <c r="F137" s="2611">
        <f>F132*F$134</f>
        <v>35.25333333333333</v>
      </c>
      <c r="G137" s="2612">
        <f t="shared" si="39"/>
        <v>1.2160857908847185</v>
      </c>
      <c r="H137" s="2613">
        <f t="shared" si="39"/>
        <v>72.209000000000003</v>
      </c>
      <c r="I137" s="2614">
        <f t="shared" si="39"/>
        <v>40.333333333333329</v>
      </c>
      <c r="J137" s="2614">
        <f t="shared" si="39"/>
        <v>41</v>
      </c>
      <c r="K137" s="2614">
        <f t="shared" si="39"/>
        <v>38.5</v>
      </c>
      <c r="L137" s="2615">
        <f t="shared" si="39"/>
        <v>38.833333333333329</v>
      </c>
      <c r="M137" s="2616">
        <f t="shared" si="37"/>
        <v>230.87566666666663</v>
      </c>
      <c r="N137" s="2611">
        <f>F132*N$134</f>
        <v>35.25333333333333</v>
      </c>
      <c r="O137" s="2617">
        <f t="shared" si="40"/>
        <v>1.2160857908847185</v>
      </c>
      <c r="P137" s="2618">
        <f t="shared" si="40"/>
        <v>37.666666666666664</v>
      </c>
      <c r="Q137" s="2619">
        <f t="shared" si="40"/>
        <v>40.333333333333329</v>
      </c>
      <c r="R137" s="2619">
        <f t="shared" si="40"/>
        <v>41</v>
      </c>
      <c r="S137" s="2619">
        <f t="shared" si="40"/>
        <v>38.5</v>
      </c>
      <c r="T137" s="2617">
        <f t="shared" si="40"/>
        <v>38.833333333333329</v>
      </c>
      <c r="U137" s="2620">
        <f>F132*U$134</f>
        <v>0</v>
      </c>
      <c r="V137" s="2612">
        <f t="shared" si="41"/>
        <v>0</v>
      </c>
      <c r="W137" s="2620">
        <f t="shared" si="41"/>
        <v>0</v>
      </c>
      <c r="X137" s="2621">
        <f t="shared" si="41"/>
        <v>0</v>
      </c>
      <c r="Y137" s="2621">
        <f t="shared" si="41"/>
        <v>0</v>
      </c>
      <c r="Z137" s="2621">
        <f t="shared" si="41"/>
        <v>0</v>
      </c>
      <c r="AA137" s="2612">
        <f>L132*AA$134</f>
        <v>0</v>
      </c>
      <c r="AB137" s="2620">
        <f t="shared" si="43"/>
        <v>0</v>
      </c>
      <c r="AC137" s="2612">
        <f>G132*AC$134</f>
        <v>0</v>
      </c>
      <c r="AD137" s="2620">
        <f t="shared" si="43"/>
        <v>34.542333333333332</v>
      </c>
      <c r="AE137" s="2621">
        <f t="shared" si="43"/>
        <v>0</v>
      </c>
      <c r="AF137" s="2621">
        <f t="shared" si="43"/>
        <v>0</v>
      </c>
      <c r="AG137" s="2621">
        <f t="shared" si="43"/>
        <v>0</v>
      </c>
      <c r="AH137" s="2612">
        <f t="shared" si="43"/>
        <v>0</v>
      </c>
      <c r="AI137" s="2622"/>
      <c r="AJ137" s="2623"/>
      <c r="AK137" s="2622"/>
      <c r="AL137" s="2622"/>
      <c r="AM137" s="2624"/>
      <c r="AN137" s="2624"/>
      <c r="AO137" s="2624"/>
      <c r="AP137" s="2624"/>
      <c r="AQ137" s="2624"/>
      <c r="AR137" s="2625"/>
      <c r="AS137" s="2626"/>
    </row>
    <row r="138" spans="1:46" ht="13.5" thickBot="1">
      <c r="A138" s="2517"/>
      <c r="B138" s="2518"/>
      <c r="C138" s="2518"/>
      <c r="D138" s="2518"/>
      <c r="E138" s="2527"/>
      <c r="F138" s="2528"/>
      <c r="G138" s="2528"/>
      <c r="H138" s="2529"/>
      <c r="I138" s="2529"/>
      <c r="J138" s="2529"/>
      <c r="K138" s="2529"/>
      <c r="L138" s="2627"/>
      <c r="M138" s="2593"/>
      <c r="N138" s="2594"/>
      <c r="O138" s="2594"/>
      <c r="P138" s="2593"/>
      <c r="Q138" s="2593"/>
      <c r="R138" s="2593"/>
      <c r="S138" s="2593"/>
      <c r="T138" s="2593"/>
      <c r="U138" s="2594"/>
      <c r="V138" s="2594"/>
      <c r="W138" s="2593"/>
      <c r="X138" s="2593"/>
      <c r="Y138" s="2593"/>
      <c r="Z138" s="2593"/>
      <c r="AA138" s="2593"/>
      <c r="AB138" s="2594"/>
      <c r="AC138" s="2594"/>
      <c r="AD138" s="2593"/>
      <c r="AE138" s="2593"/>
      <c r="AF138" s="2593"/>
      <c r="AG138" s="2593"/>
      <c r="AH138" s="2593"/>
      <c r="AI138" s="2524"/>
      <c r="AJ138" s="2523"/>
      <c r="AK138" s="2524"/>
      <c r="AL138" s="2524"/>
      <c r="AM138" s="2315"/>
      <c r="AN138" s="2315"/>
      <c r="AO138" s="2315"/>
      <c r="AP138" s="2315"/>
      <c r="AQ138" s="2315"/>
      <c r="AR138" s="2526"/>
      <c r="AS138" s="2321"/>
    </row>
    <row r="139" spans="1:46" ht="24">
      <c r="A139" s="2517"/>
      <c r="B139" s="2518"/>
      <c r="C139" s="2518"/>
      <c r="D139" s="2518"/>
      <c r="E139" s="2628" t="s">
        <v>406</v>
      </c>
      <c r="F139" s="2629">
        <f>SUM(F140:F144)</f>
        <v>706.3</v>
      </c>
      <c r="G139" s="2630">
        <f t="shared" ref="G139:L139" si="44">SUM(G140:G144)</f>
        <v>1121.5</v>
      </c>
      <c r="H139" s="2629">
        <f t="shared" si="44"/>
        <v>3522.9229999999998</v>
      </c>
      <c r="I139" s="2631">
        <f t="shared" si="44"/>
        <v>6411.6580000000004</v>
      </c>
      <c r="J139" s="2631">
        <f t="shared" si="44"/>
        <v>868.1</v>
      </c>
      <c r="K139" s="2631">
        <f t="shared" si="44"/>
        <v>634.9</v>
      </c>
      <c r="L139" s="2630">
        <f t="shared" si="44"/>
        <v>658.30000000000007</v>
      </c>
      <c r="M139" s="2596">
        <f t="shared" si="37"/>
        <v>12095.880999999999</v>
      </c>
      <c r="N139" s="2632">
        <f t="shared" ref="N139:AH139" si="45">SUM(N140:N144)</f>
        <v>677.08699999999988</v>
      </c>
      <c r="O139" s="2630">
        <f t="shared" si="45"/>
        <v>1018.314</v>
      </c>
      <c r="P139" s="2629">
        <f t="shared" si="45"/>
        <v>724.33999999999992</v>
      </c>
      <c r="Q139" s="2631">
        <f t="shared" si="45"/>
        <v>842.10300000000007</v>
      </c>
      <c r="R139" s="2631">
        <f t="shared" si="45"/>
        <v>868.1</v>
      </c>
      <c r="S139" s="2631">
        <f t="shared" si="45"/>
        <v>634.9</v>
      </c>
      <c r="T139" s="2630">
        <f t="shared" si="45"/>
        <v>658.30000000000007</v>
      </c>
      <c r="U139" s="2632">
        <f t="shared" si="45"/>
        <v>0</v>
      </c>
      <c r="V139" s="2630">
        <f t="shared" si="45"/>
        <v>0</v>
      </c>
      <c r="W139" s="2629">
        <f t="shared" si="45"/>
        <v>0</v>
      </c>
      <c r="X139" s="2631">
        <f t="shared" si="45"/>
        <v>0</v>
      </c>
      <c r="Y139" s="2631">
        <f t="shared" si="45"/>
        <v>0</v>
      </c>
      <c r="Z139" s="2631">
        <f t="shared" si="45"/>
        <v>0</v>
      </c>
      <c r="AA139" s="2630">
        <f t="shared" si="45"/>
        <v>0</v>
      </c>
      <c r="AB139" s="2632">
        <f t="shared" si="45"/>
        <v>29.213000000000001</v>
      </c>
      <c r="AC139" s="2630">
        <f t="shared" si="45"/>
        <v>103.18600000000001</v>
      </c>
      <c r="AD139" s="2629">
        <f t="shared" si="45"/>
        <v>2798.5829999999996</v>
      </c>
      <c r="AE139" s="2631">
        <f t="shared" si="45"/>
        <v>5569.5550000000003</v>
      </c>
      <c r="AF139" s="2631">
        <f t="shared" si="45"/>
        <v>0</v>
      </c>
      <c r="AG139" s="2631">
        <f t="shared" si="45"/>
        <v>0</v>
      </c>
      <c r="AH139" s="2630">
        <f t="shared" si="45"/>
        <v>0</v>
      </c>
      <c r="AI139" s="2524"/>
      <c r="AJ139" s="2637"/>
      <c r="AL139" s="2524"/>
      <c r="AM139" s="1371"/>
      <c r="AN139" s="2635"/>
      <c r="AO139" s="2638"/>
      <c r="AP139" s="2639"/>
      <c r="AQ139" s="2530"/>
      <c r="AR139" s="2530"/>
      <c r="AS139" s="2524"/>
    </row>
    <row r="140" spans="1:46">
      <c r="A140" s="2517"/>
      <c r="B140" s="2518"/>
      <c r="C140" s="2518"/>
      <c r="D140" s="2518"/>
      <c r="E140" s="2633" t="str">
        <f>E135</f>
        <v>Доставяне на вода на потребителите</v>
      </c>
      <c r="F140" s="2599">
        <f>F11+F135</f>
        <v>525.65633333333335</v>
      </c>
      <c r="G140" s="2604">
        <f t="shared" ref="G140:L140" si="46">G11+G135</f>
        <v>996.42117962466489</v>
      </c>
      <c r="H140" s="2602">
        <f t="shared" si="46"/>
        <v>1782.44</v>
      </c>
      <c r="I140" s="2603">
        <f t="shared" si="46"/>
        <v>2319.4313333333334</v>
      </c>
      <c r="J140" s="2603">
        <f t="shared" si="46"/>
        <v>631</v>
      </c>
      <c r="K140" s="2603">
        <f t="shared" si="46"/>
        <v>475</v>
      </c>
      <c r="L140" s="2604">
        <f t="shared" si="46"/>
        <v>500.83333333333331</v>
      </c>
      <c r="M140" s="2420">
        <f t="shared" si="37"/>
        <v>5708.7046666666665</v>
      </c>
      <c r="N140" s="2634">
        <f t="shared" ref="N140:AH140" si="47">N11+N135</f>
        <v>514.83333333333326</v>
      </c>
      <c r="O140" s="2604">
        <f t="shared" si="47"/>
        <v>958.19117962466487</v>
      </c>
      <c r="P140" s="2602">
        <f t="shared" si="47"/>
        <v>581.66666666666663</v>
      </c>
      <c r="Q140" s="2603">
        <f t="shared" si="47"/>
        <v>609.03633333333335</v>
      </c>
      <c r="R140" s="2603">
        <f t="shared" si="47"/>
        <v>631</v>
      </c>
      <c r="S140" s="2603">
        <f t="shared" si="47"/>
        <v>475</v>
      </c>
      <c r="T140" s="2604">
        <f t="shared" si="47"/>
        <v>500.83333333333331</v>
      </c>
      <c r="U140" s="2634">
        <f t="shared" si="47"/>
        <v>0</v>
      </c>
      <c r="V140" s="2604">
        <f t="shared" si="47"/>
        <v>0</v>
      </c>
      <c r="W140" s="2602">
        <f t="shared" si="47"/>
        <v>0</v>
      </c>
      <c r="X140" s="2603">
        <f t="shared" si="47"/>
        <v>0</v>
      </c>
      <c r="Y140" s="2603">
        <f t="shared" si="47"/>
        <v>0</v>
      </c>
      <c r="Z140" s="2603">
        <f t="shared" si="47"/>
        <v>0</v>
      </c>
      <c r="AA140" s="2604">
        <f t="shared" si="47"/>
        <v>0</v>
      </c>
      <c r="AB140" s="2634">
        <f>AB11+AB135</f>
        <v>10.823</v>
      </c>
      <c r="AC140" s="2604">
        <f t="shared" si="47"/>
        <v>38.229999999999997</v>
      </c>
      <c r="AD140" s="2602">
        <f t="shared" si="47"/>
        <v>1200.7733333333333</v>
      </c>
      <c r="AE140" s="2603">
        <f t="shared" si="47"/>
        <v>1710.395</v>
      </c>
      <c r="AF140" s="2603">
        <f t="shared" si="47"/>
        <v>0</v>
      </c>
      <c r="AG140" s="2603">
        <f t="shared" si="47"/>
        <v>0</v>
      </c>
      <c r="AH140" s="2604">
        <f t="shared" si="47"/>
        <v>0</v>
      </c>
      <c r="AI140" s="2317"/>
      <c r="AJ140" s="2635"/>
      <c r="AL140" s="2636"/>
      <c r="AM140" s="2640"/>
      <c r="AN140" s="2641"/>
      <c r="AO140" s="2642"/>
      <c r="AP140" s="2639"/>
      <c r="AQ140" s="2643"/>
      <c r="AR140" s="2644"/>
      <c r="AS140" s="2644"/>
    </row>
    <row r="141" spans="1:46">
      <c r="A141" s="2517"/>
      <c r="B141" s="2518"/>
      <c r="C141" s="2518"/>
      <c r="D141" s="2518"/>
      <c r="E141" s="2633" t="str">
        <f>E136</f>
        <v>Отвеждане на отпадъчните води</v>
      </c>
      <c r="F141" s="2599">
        <f>F36+F136</f>
        <v>145.39033333333333</v>
      </c>
      <c r="G141" s="2604">
        <f t="shared" ref="G141:L141" si="48">G36+G136</f>
        <v>117.86273458445041</v>
      </c>
      <c r="H141" s="2602">
        <f t="shared" si="48"/>
        <v>611.54899999999998</v>
      </c>
      <c r="I141" s="2603">
        <f t="shared" si="48"/>
        <v>2947.7683333333334</v>
      </c>
      <c r="J141" s="2603">
        <f t="shared" si="48"/>
        <v>145.1</v>
      </c>
      <c r="K141" s="2603">
        <f t="shared" si="48"/>
        <v>121.4</v>
      </c>
      <c r="L141" s="2604">
        <f t="shared" si="48"/>
        <v>118.63333333333333</v>
      </c>
      <c r="M141" s="2420">
        <f t="shared" si="37"/>
        <v>3944.4506666666666</v>
      </c>
      <c r="N141" s="2634">
        <f t="shared" ref="N141:AH141" si="49">N36+N136</f>
        <v>127.00033333333333</v>
      </c>
      <c r="O141" s="2604">
        <f t="shared" si="49"/>
        <v>52.906734584450405</v>
      </c>
      <c r="P141" s="2602">
        <f t="shared" si="49"/>
        <v>97.006666666666661</v>
      </c>
      <c r="Q141" s="2603">
        <f t="shared" si="49"/>
        <v>137.33333333333331</v>
      </c>
      <c r="R141" s="2603">
        <f t="shared" si="49"/>
        <v>145.1</v>
      </c>
      <c r="S141" s="2603">
        <f t="shared" si="49"/>
        <v>121.4</v>
      </c>
      <c r="T141" s="2604">
        <f t="shared" si="49"/>
        <v>118.63333333333333</v>
      </c>
      <c r="U141" s="2634">
        <f t="shared" si="49"/>
        <v>0</v>
      </c>
      <c r="V141" s="2604">
        <f t="shared" si="49"/>
        <v>0</v>
      </c>
      <c r="W141" s="2602">
        <f t="shared" si="49"/>
        <v>0</v>
      </c>
      <c r="X141" s="2603">
        <f t="shared" si="49"/>
        <v>0</v>
      </c>
      <c r="Y141" s="2603">
        <f t="shared" si="49"/>
        <v>0</v>
      </c>
      <c r="Z141" s="2603">
        <f t="shared" si="49"/>
        <v>0</v>
      </c>
      <c r="AA141" s="2604">
        <f t="shared" si="49"/>
        <v>0</v>
      </c>
      <c r="AB141" s="2634">
        <f>AB36+AB136</f>
        <v>18.39</v>
      </c>
      <c r="AC141" s="2604">
        <f t="shared" si="49"/>
        <v>64.956000000000003</v>
      </c>
      <c r="AD141" s="2602">
        <f t="shared" si="49"/>
        <v>514.54233333333332</v>
      </c>
      <c r="AE141" s="2603">
        <f t="shared" si="49"/>
        <v>2810.4349999999999</v>
      </c>
      <c r="AF141" s="2603">
        <f t="shared" si="49"/>
        <v>0</v>
      </c>
      <c r="AG141" s="2603">
        <f t="shared" si="49"/>
        <v>0</v>
      </c>
      <c r="AH141" s="2604">
        <f t="shared" si="49"/>
        <v>0</v>
      </c>
      <c r="AI141" s="1371" t="str">
        <f>'Приложение '!B81</f>
        <v>Дата: 24 юни 2021 година</v>
      </c>
      <c r="AK141" s="1367" t="str">
        <f>'1. Обща информация'!C42</f>
        <v xml:space="preserve">Гл. счетоводител/Фин.директор: </v>
      </c>
      <c r="AL141" s="1367"/>
      <c r="AN141" s="2530" t="str">
        <f>'Приложение '!D81</f>
        <v>..............................................</v>
      </c>
      <c r="AO141" s="2642"/>
      <c r="AP141" s="2639"/>
      <c r="AQ141" s="2530"/>
      <c r="AR141" s="2315"/>
      <c r="AS141" s="2315"/>
    </row>
    <row r="142" spans="1:46" s="1413" customFormat="1">
      <c r="A142" s="2609"/>
      <c r="B142" s="2610"/>
      <c r="C142" s="2610"/>
      <c r="D142" s="2610"/>
      <c r="E142" s="2633" t="str">
        <f>E137</f>
        <v>Пречистване на отпадъчните води</v>
      </c>
      <c r="F142" s="2634">
        <f>F48+F137</f>
        <v>35.25333333333333</v>
      </c>
      <c r="G142" s="2604">
        <f t="shared" ref="G142:L142" si="50">G48+G137</f>
        <v>7.2160857908847182</v>
      </c>
      <c r="H142" s="2602">
        <f t="shared" si="50"/>
        <v>1127.934</v>
      </c>
      <c r="I142" s="2603">
        <f t="shared" si="50"/>
        <v>1143.4583333333333</v>
      </c>
      <c r="J142" s="2603">
        <f t="shared" si="50"/>
        <v>92</v>
      </c>
      <c r="K142" s="2603">
        <f t="shared" si="50"/>
        <v>38.5</v>
      </c>
      <c r="L142" s="2604">
        <f t="shared" si="50"/>
        <v>38.833333333333329</v>
      </c>
      <c r="M142" s="2420">
        <f>SUM(H142:L142)</f>
        <v>2440.7256666666667</v>
      </c>
      <c r="N142" s="2634">
        <f t="shared" ref="N142:AH142" si="51">N48+N137</f>
        <v>35.25333333333333</v>
      </c>
      <c r="O142" s="2604">
        <f t="shared" si="51"/>
        <v>7.2160857908847182</v>
      </c>
      <c r="P142" s="2602">
        <f t="shared" si="51"/>
        <v>44.666666666666664</v>
      </c>
      <c r="Q142" s="2603">
        <f t="shared" si="51"/>
        <v>94.73333333333332</v>
      </c>
      <c r="R142" s="2603">
        <f t="shared" si="51"/>
        <v>92</v>
      </c>
      <c r="S142" s="2603">
        <f t="shared" si="51"/>
        <v>38.5</v>
      </c>
      <c r="T142" s="2604">
        <f t="shared" si="51"/>
        <v>38.833333333333329</v>
      </c>
      <c r="U142" s="2634">
        <f t="shared" si="51"/>
        <v>0</v>
      </c>
      <c r="V142" s="2604">
        <f t="shared" si="51"/>
        <v>0</v>
      </c>
      <c r="W142" s="2602">
        <f t="shared" si="51"/>
        <v>0</v>
      </c>
      <c r="X142" s="2603">
        <f t="shared" si="51"/>
        <v>0</v>
      </c>
      <c r="Y142" s="2603">
        <f t="shared" si="51"/>
        <v>0</v>
      </c>
      <c r="Z142" s="2603">
        <f t="shared" si="51"/>
        <v>0</v>
      </c>
      <c r="AA142" s="2604">
        <f t="shared" si="51"/>
        <v>0</v>
      </c>
      <c r="AB142" s="2634">
        <f>AB48+AB137</f>
        <v>0</v>
      </c>
      <c r="AC142" s="2604">
        <f t="shared" si="51"/>
        <v>0</v>
      </c>
      <c r="AD142" s="2602">
        <f t="shared" si="51"/>
        <v>1083.2673333333332</v>
      </c>
      <c r="AE142" s="2603">
        <f t="shared" si="51"/>
        <v>1048.7249999999999</v>
      </c>
      <c r="AF142" s="2603">
        <f t="shared" si="51"/>
        <v>0</v>
      </c>
      <c r="AG142" s="2603">
        <f t="shared" si="51"/>
        <v>0</v>
      </c>
      <c r="AH142" s="2604">
        <f t="shared" si="51"/>
        <v>0</v>
      </c>
      <c r="AN142" s="2530" t="str">
        <f>'Приложение '!D82</f>
        <v>(подпис)</v>
      </c>
      <c r="AO142" s="2642"/>
      <c r="AP142" s="2639"/>
      <c r="AQ142" s="2530"/>
      <c r="AR142" s="2315"/>
      <c r="AS142" s="2315"/>
    </row>
    <row r="143" spans="1:46">
      <c r="A143" s="2517"/>
      <c r="B143" s="2518"/>
      <c r="C143" s="2518"/>
      <c r="D143" s="2518"/>
      <c r="E143" s="2645" t="str">
        <f t="shared" ref="E143:L143" si="52">E73</f>
        <v>Доставяне на вода с непитейни качества</v>
      </c>
      <c r="F143" s="2646">
        <f t="shared" si="52"/>
        <v>0</v>
      </c>
      <c r="G143" s="2647">
        <f t="shared" si="52"/>
        <v>0</v>
      </c>
      <c r="H143" s="2646">
        <f t="shared" si="52"/>
        <v>1</v>
      </c>
      <c r="I143" s="2648">
        <f t="shared" si="52"/>
        <v>1</v>
      </c>
      <c r="J143" s="2648">
        <f t="shared" si="52"/>
        <v>0</v>
      </c>
      <c r="K143" s="2648">
        <f t="shared" si="52"/>
        <v>0</v>
      </c>
      <c r="L143" s="2647">
        <f t="shared" si="52"/>
        <v>0</v>
      </c>
      <c r="M143" s="2649">
        <f t="shared" ref="M143:M144" si="53">SUM(H143:L143)</f>
        <v>2</v>
      </c>
      <c r="N143" s="2650">
        <f t="shared" ref="N143:AH143" si="54">N73</f>
        <v>0</v>
      </c>
      <c r="O143" s="2647">
        <f t="shared" si="54"/>
        <v>0</v>
      </c>
      <c r="P143" s="2646">
        <f t="shared" si="54"/>
        <v>1</v>
      </c>
      <c r="Q143" s="2648">
        <f t="shared" si="54"/>
        <v>1</v>
      </c>
      <c r="R143" s="2648">
        <f t="shared" si="54"/>
        <v>0</v>
      </c>
      <c r="S143" s="2648">
        <f t="shared" si="54"/>
        <v>0</v>
      </c>
      <c r="T143" s="2647">
        <f t="shared" si="54"/>
        <v>0</v>
      </c>
      <c r="U143" s="2650">
        <f t="shared" si="54"/>
        <v>0</v>
      </c>
      <c r="V143" s="2647">
        <f t="shared" si="54"/>
        <v>0</v>
      </c>
      <c r="W143" s="2646">
        <f t="shared" si="54"/>
        <v>0</v>
      </c>
      <c r="X143" s="2648">
        <f t="shared" si="54"/>
        <v>0</v>
      </c>
      <c r="Y143" s="2648">
        <f t="shared" si="54"/>
        <v>0</v>
      </c>
      <c r="Z143" s="2648">
        <f t="shared" si="54"/>
        <v>0</v>
      </c>
      <c r="AA143" s="2647">
        <f t="shared" si="54"/>
        <v>0</v>
      </c>
      <c r="AB143" s="2650">
        <f>AB73</f>
        <v>0</v>
      </c>
      <c r="AC143" s="2647">
        <f t="shared" si="54"/>
        <v>0</v>
      </c>
      <c r="AD143" s="2646">
        <f t="shared" si="54"/>
        <v>0</v>
      </c>
      <c r="AE143" s="2648">
        <f t="shared" si="54"/>
        <v>0</v>
      </c>
      <c r="AF143" s="2648">
        <f t="shared" si="54"/>
        <v>0</v>
      </c>
      <c r="AG143" s="2648">
        <f t="shared" si="54"/>
        <v>0</v>
      </c>
      <c r="AH143" s="2647">
        <f t="shared" si="54"/>
        <v>0</v>
      </c>
      <c r="AK143" s="1367"/>
      <c r="AL143" s="1367"/>
      <c r="AM143" s="2530"/>
      <c r="AN143" s="4609"/>
      <c r="AO143" s="2638"/>
      <c r="AP143" s="2639"/>
      <c r="AQ143" s="2530"/>
      <c r="AR143" s="2315"/>
      <c r="AS143" s="2315"/>
    </row>
    <row r="144" spans="1:46" ht="13.5" thickBot="1">
      <c r="A144" s="2517"/>
      <c r="B144" s="2518"/>
      <c r="C144" s="2518"/>
      <c r="D144" s="2518"/>
      <c r="E144" s="2651" t="str">
        <f t="shared" ref="E144:L144" si="55">E99</f>
        <v>Доставяне на вода на друг ВиК оператор</v>
      </c>
      <c r="F144" s="2652">
        <f t="shared" si="55"/>
        <v>0</v>
      </c>
      <c r="G144" s="2653">
        <f t="shared" si="55"/>
        <v>0</v>
      </c>
      <c r="H144" s="2654">
        <f t="shared" si="55"/>
        <v>0</v>
      </c>
      <c r="I144" s="2655">
        <f t="shared" si="55"/>
        <v>0</v>
      </c>
      <c r="J144" s="2655">
        <f t="shared" si="55"/>
        <v>0</v>
      </c>
      <c r="K144" s="2655">
        <f t="shared" si="55"/>
        <v>0</v>
      </c>
      <c r="L144" s="2653">
        <f t="shared" si="55"/>
        <v>0</v>
      </c>
      <c r="M144" s="2649">
        <f t="shared" si="53"/>
        <v>0</v>
      </c>
      <c r="N144" s="2656">
        <f t="shared" ref="N144:AH144" si="56">N99</f>
        <v>0</v>
      </c>
      <c r="O144" s="2653">
        <f t="shared" si="56"/>
        <v>0</v>
      </c>
      <c r="P144" s="2654">
        <f t="shared" si="56"/>
        <v>0</v>
      </c>
      <c r="Q144" s="2655">
        <f t="shared" si="56"/>
        <v>0</v>
      </c>
      <c r="R144" s="2655">
        <f t="shared" si="56"/>
        <v>0</v>
      </c>
      <c r="S144" s="2655">
        <f t="shared" si="56"/>
        <v>0</v>
      </c>
      <c r="T144" s="2653">
        <f t="shared" si="56"/>
        <v>0</v>
      </c>
      <c r="U144" s="2656">
        <f t="shared" si="56"/>
        <v>0</v>
      </c>
      <c r="V144" s="2653">
        <f t="shared" si="56"/>
        <v>0</v>
      </c>
      <c r="W144" s="2654">
        <f t="shared" si="56"/>
        <v>0</v>
      </c>
      <c r="X144" s="2655">
        <f t="shared" si="56"/>
        <v>0</v>
      </c>
      <c r="Y144" s="2655">
        <f t="shared" si="56"/>
        <v>0</v>
      </c>
      <c r="Z144" s="2655">
        <f t="shared" si="56"/>
        <v>0</v>
      </c>
      <c r="AA144" s="2653">
        <f t="shared" si="56"/>
        <v>0</v>
      </c>
      <c r="AB144" s="2656">
        <f>AB99</f>
        <v>0</v>
      </c>
      <c r="AC144" s="2653">
        <f t="shared" si="56"/>
        <v>0</v>
      </c>
      <c r="AD144" s="2654">
        <f t="shared" si="56"/>
        <v>0</v>
      </c>
      <c r="AE144" s="2655">
        <f t="shared" si="56"/>
        <v>0</v>
      </c>
      <c r="AF144" s="2655">
        <f t="shared" si="56"/>
        <v>0</v>
      </c>
      <c r="AG144" s="2655">
        <f t="shared" si="56"/>
        <v>0</v>
      </c>
      <c r="AH144" s="2653">
        <f t="shared" si="56"/>
        <v>0</v>
      </c>
      <c r="AK144" s="1367"/>
      <c r="AL144" s="1367"/>
      <c r="AM144" s="2530"/>
      <c r="AN144" s="4609"/>
      <c r="AO144" s="2642"/>
      <c r="AP144" s="2524"/>
      <c r="AQ144" s="2643"/>
      <c r="AR144" s="2315"/>
      <c r="AS144" s="2315"/>
    </row>
    <row r="145" spans="1:45" ht="13.5" thickBot="1">
      <c r="A145" s="2517"/>
      <c r="B145" s="2518"/>
      <c r="C145" s="2518"/>
      <c r="D145" s="2518"/>
      <c r="E145" s="2313"/>
      <c r="F145" s="2519"/>
      <c r="G145" s="2519"/>
      <c r="H145" s="2520"/>
      <c r="I145" s="2520"/>
      <c r="J145" s="2520"/>
      <c r="K145" s="2520"/>
      <c r="L145" s="2520"/>
      <c r="M145" s="2657"/>
      <c r="N145" s="2658"/>
      <c r="O145" s="2658"/>
      <c r="P145" s="2657"/>
      <c r="Q145" s="2657"/>
      <c r="R145" s="2657"/>
      <c r="S145" s="2657"/>
      <c r="T145" s="2657"/>
      <c r="U145" s="2658"/>
      <c r="V145" s="2658"/>
      <c r="W145" s="2657"/>
      <c r="X145" s="2657"/>
      <c r="Y145" s="2657"/>
      <c r="Z145" s="2657"/>
      <c r="AA145" s="2657"/>
      <c r="AB145" s="2659"/>
      <c r="AC145" s="2659"/>
      <c r="AD145" s="2659"/>
      <c r="AE145" s="2659"/>
      <c r="AF145" s="2659"/>
      <c r="AG145" s="2659"/>
      <c r="AH145" s="2659"/>
      <c r="AK145" s="1367" t="str">
        <f>'1. Обща информация'!C46</f>
        <v xml:space="preserve">Управител/Изп.директор: </v>
      </c>
      <c r="AL145" s="2530"/>
      <c r="AM145" s="4610" t="str">
        <f>'Приложение '!D85</f>
        <v>.............................................</v>
      </c>
      <c r="AN145" s="2530"/>
      <c r="AO145" s="2530"/>
      <c r="AP145" s="2530"/>
      <c r="AQ145" s="2315"/>
      <c r="AR145" s="2315"/>
      <c r="AS145" s="2315"/>
    </row>
    <row r="146" spans="1:45">
      <c r="A146" s="2517"/>
      <c r="B146" s="2518"/>
      <c r="C146" s="2518"/>
      <c r="D146" s="2518"/>
      <c r="E146" s="2660" t="s">
        <v>948</v>
      </c>
      <c r="F146" s="2632">
        <f>SUM(F147:F151)</f>
        <v>141.78299999999999</v>
      </c>
      <c r="G146" s="2630">
        <f t="shared" ref="G146:L146" si="57">SUM(G147:G151)</f>
        <v>458.00000000000006</v>
      </c>
      <c r="H146" s="2629">
        <f t="shared" si="57"/>
        <v>304</v>
      </c>
      <c r="I146" s="2631">
        <f t="shared" si="57"/>
        <v>324.89999999999998</v>
      </c>
      <c r="J146" s="2631">
        <f t="shared" si="57"/>
        <v>338</v>
      </c>
      <c r="K146" s="2631">
        <f t="shared" si="57"/>
        <v>311</v>
      </c>
      <c r="L146" s="2630">
        <f t="shared" si="57"/>
        <v>333</v>
      </c>
      <c r="M146" s="2596">
        <f>SUM(H146:L146)</f>
        <v>1610.9</v>
      </c>
      <c r="N146" s="2632">
        <f t="shared" ref="N146:AH146" si="58">SUM(N147:N149)</f>
        <v>141.78299999999999</v>
      </c>
      <c r="O146" s="2630">
        <f t="shared" si="58"/>
        <v>458.00000000000006</v>
      </c>
      <c r="P146" s="2629">
        <f t="shared" si="58"/>
        <v>303</v>
      </c>
      <c r="Q146" s="2631">
        <f t="shared" si="58"/>
        <v>323.89999999999998</v>
      </c>
      <c r="R146" s="2631">
        <f t="shared" si="58"/>
        <v>338</v>
      </c>
      <c r="S146" s="2631">
        <f t="shared" si="58"/>
        <v>311</v>
      </c>
      <c r="T146" s="2661">
        <f t="shared" si="58"/>
        <v>333</v>
      </c>
      <c r="U146" s="2632">
        <f t="shared" si="58"/>
        <v>0</v>
      </c>
      <c r="V146" s="2630">
        <f t="shared" si="58"/>
        <v>0</v>
      </c>
      <c r="W146" s="2629">
        <f t="shared" si="58"/>
        <v>0</v>
      </c>
      <c r="X146" s="2631">
        <f t="shared" si="58"/>
        <v>0</v>
      </c>
      <c r="Y146" s="2631">
        <f t="shared" si="58"/>
        <v>0</v>
      </c>
      <c r="Z146" s="2631">
        <f t="shared" si="58"/>
        <v>0</v>
      </c>
      <c r="AA146" s="2630">
        <f t="shared" si="58"/>
        <v>0</v>
      </c>
      <c r="AB146" s="2632">
        <f t="shared" si="58"/>
        <v>0</v>
      </c>
      <c r="AC146" s="2630">
        <f t="shared" si="58"/>
        <v>0</v>
      </c>
      <c r="AD146" s="2629">
        <f t="shared" si="58"/>
        <v>0</v>
      </c>
      <c r="AE146" s="2631">
        <f t="shared" si="58"/>
        <v>0</v>
      </c>
      <c r="AF146" s="2631">
        <f t="shared" si="58"/>
        <v>0</v>
      </c>
      <c r="AG146" s="2631">
        <f t="shared" si="58"/>
        <v>0</v>
      </c>
      <c r="AH146" s="2630">
        <f t="shared" si="58"/>
        <v>0</v>
      </c>
      <c r="AK146" s="1367"/>
      <c r="AL146" s="1367"/>
      <c r="AN146" s="1367" t="str">
        <f>'Приложение '!D86</f>
        <v>(подпис и печат)</v>
      </c>
      <c r="AQ146" s="2315"/>
      <c r="AR146" s="2526"/>
      <c r="AS146" s="2321"/>
    </row>
    <row r="147" spans="1:45">
      <c r="A147" s="2517"/>
      <c r="B147" s="2518"/>
      <c r="C147" s="2518"/>
      <c r="D147" s="2518"/>
      <c r="E147" s="2555" t="str">
        <f>E140</f>
        <v>Доставяне на вода на потребителите</v>
      </c>
      <c r="F147" s="2662">
        <f>SUM(F30:F35)+(F60-F69-F70)*F130</f>
        <v>39.397999999999996</v>
      </c>
      <c r="G147" s="2663">
        <f t="shared" ref="G147:AH147" si="59">SUM(G30:G35)+(G60-G69-G70)*G130</f>
        <v>441.17050938337803</v>
      </c>
      <c r="H147" s="2664">
        <f t="shared" si="59"/>
        <v>213.33333333333334</v>
      </c>
      <c r="I147" s="2665">
        <f t="shared" si="59"/>
        <v>223.66666666666666</v>
      </c>
      <c r="J147" s="2665">
        <f t="shared" si="59"/>
        <v>232.83333333333334</v>
      </c>
      <c r="K147" s="2665">
        <f>SUM(K30:K35)+(K60-K69-K70)*K130</f>
        <v>226.33333333333334</v>
      </c>
      <c r="L147" s="2663">
        <f t="shared" si="59"/>
        <v>252.16666666666666</v>
      </c>
      <c r="M147" s="2420">
        <f t="shared" si="37"/>
        <v>1148.3333333333335</v>
      </c>
      <c r="N147" s="2437">
        <f t="shared" si="59"/>
        <v>39.397999999999996</v>
      </c>
      <c r="O147" s="2663">
        <f t="shared" si="59"/>
        <v>441.17050938337803</v>
      </c>
      <c r="P147" s="2664">
        <f t="shared" si="59"/>
        <v>213.33333333333334</v>
      </c>
      <c r="Q147" s="2665">
        <f t="shared" si="59"/>
        <v>223.66666666666666</v>
      </c>
      <c r="R147" s="2665">
        <f t="shared" si="59"/>
        <v>232.83333333333334</v>
      </c>
      <c r="S147" s="2665">
        <f t="shared" si="59"/>
        <v>226.33333333333334</v>
      </c>
      <c r="T147" s="2666">
        <f t="shared" si="59"/>
        <v>252.16666666666666</v>
      </c>
      <c r="U147" s="2662">
        <f>SUM(U30:U35)+(U60-U69-U70)*U130</f>
        <v>0</v>
      </c>
      <c r="V147" s="2663">
        <f t="shared" si="59"/>
        <v>0</v>
      </c>
      <c r="W147" s="2664">
        <f t="shared" si="59"/>
        <v>0</v>
      </c>
      <c r="X147" s="2665">
        <f t="shared" si="59"/>
        <v>0</v>
      </c>
      <c r="Y147" s="2665">
        <f t="shared" si="59"/>
        <v>0</v>
      </c>
      <c r="Z147" s="2665">
        <f t="shared" si="59"/>
        <v>0</v>
      </c>
      <c r="AA147" s="2663">
        <f t="shared" si="59"/>
        <v>0</v>
      </c>
      <c r="AB147" s="2662">
        <f t="shared" si="59"/>
        <v>0</v>
      </c>
      <c r="AC147" s="2663">
        <f t="shared" si="59"/>
        <v>0</v>
      </c>
      <c r="AD147" s="2664">
        <f t="shared" si="59"/>
        <v>0</v>
      </c>
      <c r="AE147" s="2665">
        <f t="shared" si="59"/>
        <v>0</v>
      </c>
      <c r="AF147" s="2665">
        <f t="shared" si="59"/>
        <v>0</v>
      </c>
      <c r="AG147" s="2665">
        <f t="shared" si="59"/>
        <v>0</v>
      </c>
      <c r="AH147" s="2663">
        <f t="shared" si="59"/>
        <v>0</v>
      </c>
      <c r="AK147" s="1367"/>
      <c r="AL147" s="1367"/>
      <c r="AQ147" s="2315"/>
      <c r="AR147" s="2526"/>
      <c r="AS147" s="2321"/>
    </row>
    <row r="148" spans="1:45">
      <c r="A148" s="2311"/>
      <c r="B148" s="2311"/>
      <c r="C148" s="2311"/>
      <c r="D148" s="2312"/>
      <c r="E148" s="2555" t="str">
        <f t="shared" ref="E148:E149" si="60">E141</f>
        <v>Отвеждане на отпадъчните води</v>
      </c>
      <c r="F148" s="2662">
        <f>SUM(F43:F47)+(F60-F69-F70)*F131</f>
        <v>85.709000000000003</v>
      </c>
      <c r="G148" s="2663">
        <f t="shared" ref="G148:L148" si="61">SUM(G43:G47)+(G60-G69-G70)*G131</f>
        <v>16.031635388739947</v>
      </c>
      <c r="H148" s="2664">
        <f t="shared" si="61"/>
        <v>74.333333333333343</v>
      </c>
      <c r="I148" s="2665">
        <f t="shared" si="61"/>
        <v>83.166666666666657</v>
      </c>
      <c r="J148" s="2665">
        <f t="shared" si="61"/>
        <v>87.833333333333329</v>
      </c>
      <c r="K148" s="2665">
        <f t="shared" si="61"/>
        <v>69.833333333333329</v>
      </c>
      <c r="L148" s="2663">
        <f t="shared" si="61"/>
        <v>65.666666666666671</v>
      </c>
      <c r="M148" s="2420">
        <f t="shared" si="37"/>
        <v>380.83333333333331</v>
      </c>
      <c r="N148" s="2437">
        <f t="shared" ref="N148:AH148" si="62">SUM(N43:N47)+(N60-N69-N70)*N131</f>
        <v>85.709000000000003</v>
      </c>
      <c r="O148" s="2663">
        <f t="shared" si="62"/>
        <v>16.031635388739947</v>
      </c>
      <c r="P148" s="2664">
        <f t="shared" si="62"/>
        <v>74.333333333333329</v>
      </c>
      <c r="Q148" s="2665">
        <f t="shared" si="62"/>
        <v>83.166666666666657</v>
      </c>
      <c r="R148" s="2665">
        <f t="shared" si="62"/>
        <v>87.833333333333329</v>
      </c>
      <c r="S148" s="2665">
        <f t="shared" si="62"/>
        <v>69.833333333333329</v>
      </c>
      <c r="T148" s="2666">
        <f t="shared" si="62"/>
        <v>65.666666666666671</v>
      </c>
      <c r="U148" s="2662">
        <f t="shared" si="62"/>
        <v>0</v>
      </c>
      <c r="V148" s="2663">
        <f t="shared" si="62"/>
        <v>0</v>
      </c>
      <c r="W148" s="2664">
        <f t="shared" si="62"/>
        <v>0</v>
      </c>
      <c r="X148" s="2665">
        <f t="shared" si="62"/>
        <v>0</v>
      </c>
      <c r="Y148" s="2665">
        <f t="shared" si="62"/>
        <v>0</v>
      </c>
      <c r="Z148" s="2665">
        <f t="shared" si="62"/>
        <v>0</v>
      </c>
      <c r="AA148" s="2663">
        <f t="shared" si="62"/>
        <v>0</v>
      </c>
      <c r="AB148" s="2662">
        <f>SUM(AB43:AB47)+(AB60-AB69-AB70)*AB131</f>
        <v>0</v>
      </c>
      <c r="AC148" s="2663">
        <f t="shared" si="62"/>
        <v>0</v>
      </c>
      <c r="AD148" s="2664">
        <f t="shared" si="62"/>
        <v>0</v>
      </c>
      <c r="AE148" s="2665">
        <f t="shared" si="62"/>
        <v>0</v>
      </c>
      <c r="AF148" s="2665">
        <f t="shared" si="62"/>
        <v>0</v>
      </c>
      <c r="AG148" s="2665">
        <f t="shared" si="62"/>
        <v>0</v>
      </c>
      <c r="AH148" s="2663">
        <f t="shared" si="62"/>
        <v>0</v>
      </c>
      <c r="AI148" s="2667"/>
      <c r="AJ148" s="2668"/>
      <c r="AK148" s="2530"/>
      <c r="AL148" s="2667"/>
      <c r="AM148" s="2311"/>
      <c r="AN148" s="2311"/>
      <c r="AO148" s="2311"/>
      <c r="AP148" s="2311"/>
      <c r="AQ148" s="2311"/>
      <c r="AR148" s="2312"/>
      <c r="AS148" s="2321"/>
    </row>
    <row r="149" spans="1:45">
      <c r="A149" s="2311"/>
      <c r="B149" s="2311"/>
      <c r="C149" s="2311"/>
      <c r="D149" s="2312"/>
      <c r="E149" s="2555" t="str">
        <f t="shared" si="60"/>
        <v>Пречистване на отпадъчните води</v>
      </c>
      <c r="F149" s="2662">
        <f>SUM(F52:F56)+F50+(F60-F69-F70)*F132</f>
        <v>16.675999999999998</v>
      </c>
      <c r="G149" s="2663">
        <f t="shared" ref="G149:L149" si="63">SUM(G52:G56)+G50+(G60-G69-G70)*G132</f>
        <v>0.79785522788203755</v>
      </c>
      <c r="H149" s="2664">
        <f t="shared" si="63"/>
        <v>15.333333333333337</v>
      </c>
      <c r="I149" s="2665">
        <f t="shared" si="63"/>
        <v>17.066666666666663</v>
      </c>
      <c r="J149" s="2665">
        <f t="shared" si="63"/>
        <v>17.333333333333332</v>
      </c>
      <c r="K149" s="2665">
        <f t="shared" si="63"/>
        <v>14.833333333333332</v>
      </c>
      <c r="L149" s="2663">
        <f t="shared" si="63"/>
        <v>15.166666666666666</v>
      </c>
      <c r="M149" s="2420">
        <f>SUM(H149:L149)</f>
        <v>79.733333333333334</v>
      </c>
      <c r="N149" s="2437">
        <f t="shared" ref="N149:AH149" si="64">SUM(N52:N56)+N50+(N60-N69-N70)*N132</f>
        <v>16.675999999999998</v>
      </c>
      <c r="O149" s="2663">
        <f t="shared" si="64"/>
        <v>0.79785522788203755</v>
      </c>
      <c r="P149" s="2664">
        <f t="shared" si="64"/>
        <v>15.333333333333332</v>
      </c>
      <c r="Q149" s="2665">
        <f t="shared" si="64"/>
        <v>17.066666666666663</v>
      </c>
      <c r="R149" s="2665">
        <f>SUM(R52:R56)+R50+(R60-R69-R70)*R132</f>
        <v>17.333333333333332</v>
      </c>
      <c r="S149" s="2665">
        <f t="shared" si="64"/>
        <v>14.833333333333332</v>
      </c>
      <c r="T149" s="2666">
        <f t="shared" si="64"/>
        <v>15.166666666666666</v>
      </c>
      <c r="U149" s="2662">
        <f>SUM(U52:U56)+U50+(U60-U69-U70)*U132</f>
        <v>0</v>
      </c>
      <c r="V149" s="2663">
        <f t="shared" si="64"/>
        <v>0</v>
      </c>
      <c r="W149" s="2664">
        <f t="shared" si="64"/>
        <v>0</v>
      </c>
      <c r="X149" s="2665">
        <f t="shared" si="64"/>
        <v>0</v>
      </c>
      <c r="Y149" s="2665">
        <f t="shared" si="64"/>
        <v>0</v>
      </c>
      <c r="Z149" s="2665">
        <f t="shared" si="64"/>
        <v>0</v>
      </c>
      <c r="AA149" s="2663">
        <f t="shared" si="64"/>
        <v>0</v>
      </c>
      <c r="AB149" s="2662">
        <f t="shared" si="64"/>
        <v>0</v>
      </c>
      <c r="AC149" s="2663">
        <f t="shared" si="64"/>
        <v>0</v>
      </c>
      <c r="AD149" s="2664">
        <f t="shared" si="64"/>
        <v>0</v>
      </c>
      <c r="AE149" s="2665">
        <f t="shared" si="64"/>
        <v>0</v>
      </c>
      <c r="AF149" s="2665">
        <f t="shared" si="64"/>
        <v>0</v>
      </c>
      <c r="AG149" s="2665">
        <f t="shared" si="64"/>
        <v>0</v>
      </c>
      <c r="AH149" s="2663">
        <f t="shared" si="64"/>
        <v>0</v>
      </c>
      <c r="AI149" s="2667"/>
      <c r="AJ149" s="2668"/>
      <c r="AK149" s="2667"/>
      <c r="AL149" s="2667"/>
      <c r="AM149" s="2311"/>
      <c r="AN149" s="2311"/>
      <c r="AO149" s="2311"/>
      <c r="AP149" s="2311"/>
      <c r="AQ149" s="2311"/>
      <c r="AR149" s="2312"/>
      <c r="AS149" s="2321"/>
    </row>
    <row r="150" spans="1:45">
      <c r="A150" s="2311"/>
      <c r="B150" s="2311"/>
      <c r="C150" s="2311"/>
      <c r="D150" s="2312"/>
      <c r="E150" s="2645" t="s">
        <v>1037</v>
      </c>
      <c r="F150" s="2646">
        <f>SUM(F92:F97)</f>
        <v>0</v>
      </c>
      <c r="G150" s="2647">
        <f t="shared" ref="G150:L150" si="65">SUM(G92:G97)</f>
        <v>0</v>
      </c>
      <c r="H150" s="2646">
        <f t="shared" si="65"/>
        <v>1</v>
      </c>
      <c r="I150" s="2648">
        <f t="shared" si="65"/>
        <v>1</v>
      </c>
      <c r="J150" s="2648">
        <f t="shared" si="65"/>
        <v>0</v>
      </c>
      <c r="K150" s="2648">
        <f t="shared" si="65"/>
        <v>0</v>
      </c>
      <c r="L150" s="2647">
        <f t="shared" si="65"/>
        <v>0</v>
      </c>
      <c r="M150" s="2649">
        <f t="shared" ref="M150:M151" si="66">SUM(H150:L150)</f>
        <v>2</v>
      </c>
      <c r="N150" s="2650">
        <f t="shared" ref="N150:AH150" si="67">SUM(N92:N97)</f>
        <v>0</v>
      </c>
      <c r="O150" s="2647">
        <f t="shared" si="67"/>
        <v>0</v>
      </c>
      <c r="P150" s="2646">
        <f t="shared" si="67"/>
        <v>1</v>
      </c>
      <c r="Q150" s="2648">
        <f t="shared" si="67"/>
        <v>1</v>
      </c>
      <c r="R150" s="2648">
        <f t="shared" si="67"/>
        <v>0</v>
      </c>
      <c r="S150" s="2648">
        <f t="shared" si="67"/>
        <v>0</v>
      </c>
      <c r="T150" s="2647">
        <f t="shared" si="67"/>
        <v>0</v>
      </c>
      <c r="U150" s="2650">
        <f t="shared" si="67"/>
        <v>0</v>
      </c>
      <c r="V150" s="2647">
        <f t="shared" si="67"/>
        <v>0</v>
      </c>
      <c r="W150" s="2646">
        <f t="shared" si="67"/>
        <v>0</v>
      </c>
      <c r="X150" s="2648">
        <f t="shared" si="67"/>
        <v>0</v>
      </c>
      <c r="Y150" s="2648">
        <f t="shared" si="67"/>
        <v>0</v>
      </c>
      <c r="Z150" s="2648">
        <f t="shared" si="67"/>
        <v>0</v>
      </c>
      <c r="AA150" s="2647">
        <f t="shared" si="67"/>
        <v>0</v>
      </c>
      <c r="AB150" s="2650">
        <f t="shared" si="67"/>
        <v>0</v>
      </c>
      <c r="AC150" s="2647">
        <f t="shared" si="67"/>
        <v>0</v>
      </c>
      <c r="AD150" s="2646">
        <f t="shared" si="67"/>
        <v>0</v>
      </c>
      <c r="AE150" s="2648">
        <f t="shared" si="67"/>
        <v>0</v>
      </c>
      <c r="AF150" s="2648">
        <f t="shared" si="67"/>
        <v>0</v>
      </c>
      <c r="AG150" s="2648">
        <f t="shared" si="67"/>
        <v>0</v>
      </c>
      <c r="AH150" s="2647">
        <f t="shared" si="67"/>
        <v>0</v>
      </c>
      <c r="AI150" s="2667"/>
      <c r="AJ150" s="2668"/>
      <c r="AK150" s="2667"/>
      <c r="AL150" s="2667"/>
      <c r="AM150" s="2311"/>
      <c r="AN150" s="2311"/>
      <c r="AO150" s="2311"/>
      <c r="AP150" s="2311"/>
      <c r="AQ150" s="2311"/>
      <c r="AR150" s="2312"/>
      <c r="AS150" s="2321"/>
    </row>
    <row r="151" spans="1:45" ht="13.5" thickBot="1">
      <c r="A151" s="2311"/>
      <c r="B151" s="2311"/>
      <c r="C151" s="2311"/>
      <c r="D151" s="2312"/>
      <c r="E151" s="2651" t="s">
        <v>1102</v>
      </c>
      <c r="F151" s="2652">
        <f>SUM(F118:F123)</f>
        <v>0</v>
      </c>
      <c r="G151" s="2653">
        <f t="shared" ref="G151:L151" si="68">SUM(G118:G123)</f>
        <v>0</v>
      </c>
      <c r="H151" s="2654">
        <f t="shared" si="68"/>
        <v>0</v>
      </c>
      <c r="I151" s="2655">
        <f t="shared" si="68"/>
        <v>0</v>
      </c>
      <c r="J151" s="2655">
        <f t="shared" si="68"/>
        <v>0</v>
      </c>
      <c r="K151" s="2655">
        <f t="shared" si="68"/>
        <v>0</v>
      </c>
      <c r="L151" s="2653">
        <f t="shared" si="68"/>
        <v>0</v>
      </c>
      <c r="M151" s="2649">
        <f t="shared" si="66"/>
        <v>0</v>
      </c>
      <c r="N151" s="2656">
        <f t="shared" ref="N151:AH151" si="69">SUM(N118:N123)</f>
        <v>0</v>
      </c>
      <c r="O151" s="2653">
        <f t="shared" si="69"/>
        <v>0</v>
      </c>
      <c r="P151" s="2654">
        <f t="shared" si="69"/>
        <v>0</v>
      </c>
      <c r="Q151" s="2655">
        <f t="shared" si="69"/>
        <v>0</v>
      </c>
      <c r="R151" s="2655">
        <f t="shared" si="69"/>
        <v>0</v>
      </c>
      <c r="S151" s="2655">
        <f t="shared" si="69"/>
        <v>0</v>
      </c>
      <c r="T151" s="2653">
        <f t="shared" si="69"/>
        <v>0</v>
      </c>
      <c r="U151" s="2656">
        <f t="shared" si="69"/>
        <v>0</v>
      </c>
      <c r="V151" s="2653">
        <f t="shared" si="69"/>
        <v>0</v>
      </c>
      <c r="W151" s="2654">
        <f t="shared" si="69"/>
        <v>0</v>
      </c>
      <c r="X151" s="2655">
        <f t="shared" si="69"/>
        <v>0</v>
      </c>
      <c r="Y151" s="2655">
        <f t="shared" si="69"/>
        <v>0</v>
      </c>
      <c r="Z151" s="2655">
        <f t="shared" si="69"/>
        <v>0</v>
      </c>
      <c r="AA151" s="2653">
        <f t="shared" si="69"/>
        <v>0</v>
      </c>
      <c r="AB151" s="2656">
        <f t="shared" si="69"/>
        <v>0</v>
      </c>
      <c r="AC151" s="2653">
        <f t="shared" si="69"/>
        <v>0</v>
      </c>
      <c r="AD151" s="2654">
        <f t="shared" si="69"/>
        <v>0</v>
      </c>
      <c r="AE151" s="2655">
        <f t="shared" si="69"/>
        <v>0</v>
      </c>
      <c r="AF151" s="2655">
        <f t="shared" si="69"/>
        <v>0</v>
      </c>
      <c r="AG151" s="2655">
        <f t="shared" si="69"/>
        <v>0</v>
      </c>
      <c r="AH151" s="2653">
        <f t="shared" si="69"/>
        <v>0</v>
      </c>
      <c r="AI151" s="2667"/>
      <c r="AJ151" s="2668"/>
      <c r="AK151" s="2667"/>
      <c r="AL151" s="2667"/>
      <c r="AM151" s="2311"/>
      <c r="AN151" s="2311"/>
      <c r="AO151" s="2311"/>
      <c r="AP151" s="2311"/>
      <c r="AQ151" s="2311"/>
      <c r="AR151" s="2312"/>
      <c r="AS151" s="2321"/>
    </row>
    <row r="152" spans="1:45">
      <c r="A152" s="2311"/>
      <c r="B152" s="2311"/>
      <c r="C152" s="2311"/>
      <c r="D152" s="2312"/>
      <c r="E152" s="2660" t="s">
        <v>949</v>
      </c>
      <c r="F152" s="2632">
        <f>SUM(F153:F157)</f>
        <v>564.51699999999994</v>
      </c>
      <c r="G152" s="2630">
        <f t="shared" ref="G152:L152" si="70">SUM(G153:G157)</f>
        <v>663.5</v>
      </c>
      <c r="H152" s="2629">
        <f t="shared" si="70"/>
        <v>3218.9230000000002</v>
      </c>
      <c r="I152" s="2631">
        <f t="shared" si="70"/>
        <v>6086.7579999999998</v>
      </c>
      <c r="J152" s="2631">
        <f t="shared" si="70"/>
        <v>530.09999999999991</v>
      </c>
      <c r="K152" s="2631">
        <f t="shared" si="70"/>
        <v>323.90000000000003</v>
      </c>
      <c r="L152" s="2630">
        <f t="shared" si="70"/>
        <v>325.3</v>
      </c>
      <c r="M152" s="2596">
        <f t="shared" si="37"/>
        <v>10484.981</v>
      </c>
      <c r="N152" s="2632">
        <f t="shared" ref="N152:AH152" si="71">SUM(N153:N155)</f>
        <v>535.30399999999986</v>
      </c>
      <c r="O152" s="2630">
        <f t="shared" si="71"/>
        <v>560.31399999999996</v>
      </c>
      <c r="P152" s="2629">
        <f t="shared" si="71"/>
        <v>420.33999999999992</v>
      </c>
      <c r="Q152" s="2631">
        <f t="shared" si="71"/>
        <v>517.20299999999997</v>
      </c>
      <c r="R152" s="2631">
        <f t="shared" si="71"/>
        <v>530.09999999999991</v>
      </c>
      <c r="S152" s="2631">
        <f t="shared" si="71"/>
        <v>323.90000000000003</v>
      </c>
      <c r="T152" s="2661">
        <f t="shared" si="71"/>
        <v>325.3</v>
      </c>
      <c r="U152" s="2632">
        <f t="shared" si="71"/>
        <v>0</v>
      </c>
      <c r="V152" s="2630">
        <f t="shared" si="71"/>
        <v>0</v>
      </c>
      <c r="W152" s="2629">
        <f t="shared" si="71"/>
        <v>0</v>
      </c>
      <c r="X152" s="2631">
        <f t="shared" si="71"/>
        <v>0</v>
      </c>
      <c r="Y152" s="2631">
        <f t="shared" si="71"/>
        <v>0</v>
      </c>
      <c r="Z152" s="2631">
        <f t="shared" si="71"/>
        <v>0</v>
      </c>
      <c r="AA152" s="2630">
        <f t="shared" si="71"/>
        <v>0</v>
      </c>
      <c r="AB152" s="2632">
        <f t="shared" si="71"/>
        <v>29.213000000000001</v>
      </c>
      <c r="AC152" s="2630">
        <f t="shared" si="71"/>
        <v>103.18600000000001</v>
      </c>
      <c r="AD152" s="2629">
        <f t="shared" si="71"/>
        <v>2798.5829999999996</v>
      </c>
      <c r="AE152" s="2631">
        <f t="shared" si="71"/>
        <v>5569.5550000000003</v>
      </c>
      <c r="AF152" s="2631">
        <f t="shared" si="71"/>
        <v>0</v>
      </c>
      <c r="AG152" s="2631">
        <f t="shared" si="71"/>
        <v>0</v>
      </c>
      <c r="AH152" s="2630">
        <f t="shared" si="71"/>
        <v>0</v>
      </c>
      <c r="AI152" s="2667"/>
      <c r="AJ152" s="2668"/>
      <c r="AK152" s="2667"/>
      <c r="AL152" s="2667"/>
      <c r="AM152" s="2311"/>
      <c r="AN152" s="2311"/>
      <c r="AO152" s="2311"/>
      <c r="AP152" s="2311"/>
      <c r="AQ152" s="2311"/>
      <c r="AR152" s="2312"/>
      <c r="AS152" s="2321"/>
    </row>
    <row r="153" spans="1:45">
      <c r="A153" s="2517"/>
      <c r="B153" s="2518"/>
      <c r="C153" s="2518"/>
      <c r="D153" s="2518"/>
      <c r="E153" s="2555" t="str">
        <f>E140</f>
        <v>Доставяне на вода на потребителите</v>
      </c>
      <c r="F153" s="2662">
        <f>F140-F147</f>
        <v>486.25833333333333</v>
      </c>
      <c r="G153" s="2663">
        <f t="shared" ref="G153:L155" si="72">G140-G147</f>
        <v>555.2506702412868</v>
      </c>
      <c r="H153" s="2664">
        <f t="shared" si="72"/>
        <v>1569.1066666666668</v>
      </c>
      <c r="I153" s="2665">
        <f t="shared" si="72"/>
        <v>2095.7646666666669</v>
      </c>
      <c r="J153" s="2665">
        <f t="shared" si="72"/>
        <v>398.16666666666663</v>
      </c>
      <c r="K153" s="2665">
        <f t="shared" si="72"/>
        <v>248.66666666666666</v>
      </c>
      <c r="L153" s="2663">
        <f t="shared" si="72"/>
        <v>248.66666666666666</v>
      </c>
      <c r="M153" s="2420">
        <f t="shared" si="37"/>
        <v>4560.3713333333335</v>
      </c>
      <c r="N153" s="2662">
        <f>N140-N147</f>
        <v>475.43533333333323</v>
      </c>
      <c r="O153" s="2663">
        <f t="shared" ref="O153:AA153" si="73">O140-O147</f>
        <v>517.02067024128678</v>
      </c>
      <c r="P153" s="2664">
        <f t="shared" si="73"/>
        <v>368.33333333333326</v>
      </c>
      <c r="Q153" s="2665">
        <f t="shared" si="73"/>
        <v>385.36966666666672</v>
      </c>
      <c r="R153" s="2665">
        <f t="shared" si="73"/>
        <v>398.16666666666663</v>
      </c>
      <c r="S153" s="2665">
        <f t="shared" si="73"/>
        <v>248.66666666666666</v>
      </c>
      <c r="T153" s="2666">
        <f t="shared" si="73"/>
        <v>248.66666666666666</v>
      </c>
      <c r="U153" s="2662">
        <f t="shared" si="73"/>
        <v>0</v>
      </c>
      <c r="V153" s="2663">
        <f t="shared" si="73"/>
        <v>0</v>
      </c>
      <c r="W153" s="2664">
        <f t="shared" si="73"/>
        <v>0</v>
      </c>
      <c r="X153" s="2665">
        <f t="shared" si="73"/>
        <v>0</v>
      </c>
      <c r="Y153" s="2665">
        <f t="shared" si="73"/>
        <v>0</v>
      </c>
      <c r="Z153" s="2665">
        <f t="shared" si="73"/>
        <v>0</v>
      </c>
      <c r="AA153" s="2663">
        <f t="shared" si="73"/>
        <v>0</v>
      </c>
      <c r="AB153" s="2662">
        <f>AB140-AB147</f>
        <v>10.823</v>
      </c>
      <c r="AC153" s="2663">
        <f t="shared" ref="AC153:AH153" si="74">AC140-AC147</f>
        <v>38.229999999999997</v>
      </c>
      <c r="AD153" s="2664">
        <f t="shared" si="74"/>
        <v>1200.7733333333333</v>
      </c>
      <c r="AE153" s="2665">
        <f t="shared" si="74"/>
        <v>1710.395</v>
      </c>
      <c r="AF153" s="2665">
        <f t="shared" si="74"/>
        <v>0</v>
      </c>
      <c r="AG153" s="2665">
        <f t="shared" si="74"/>
        <v>0</v>
      </c>
      <c r="AH153" s="2663">
        <f t="shared" si="74"/>
        <v>0</v>
      </c>
      <c r="AI153" s="2524"/>
      <c r="AJ153" s="2525"/>
      <c r="AK153" s="2524"/>
      <c r="AL153" s="2524"/>
      <c r="AM153" s="2315"/>
      <c r="AN153" s="2315"/>
      <c r="AO153" s="2315"/>
      <c r="AP153" s="2315"/>
      <c r="AQ153" s="2315"/>
      <c r="AR153" s="2526"/>
      <c r="AS153" s="2321"/>
    </row>
    <row r="154" spans="1:45">
      <c r="A154" s="2517"/>
      <c r="B154" s="2518"/>
      <c r="C154" s="2518"/>
      <c r="D154" s="2518"/>
      <c r="E154" s="2555" t="str">
        <f t="shared" ref="E154:E155" si="75">E141</f>
        <v>Отвеждане на отпадъчните води</v>
      </c>
      <c r="F154" s="2662">
        <f>F141-F148</f>
        <v>59.681333333333328</v>
      </c>
      <c r="G154" s="2663">
        <f t="shared" si="72"/>
        <v>101.83109919571046</v>
      </c>
      <c r="H154" s="2664">
        <f t="shared" si="72"/>
        <v>537.21566666666661</v>
      </c>
      <c r="I154" s="2665">
        <f t="shared" si="72"/>
        <v>2864.6016666666669</v>
      </c>
      <c r="J154" s="2665">
        <f t="shared" si="72"/>
        <v>57.266666666666666</v>
      </c>
      <c r="K154" s="2665">
        <f t="shared" si="72"/>
        <v>51.566666666666677</v>
      </c>
      <c r="L154" s="2663">
        <f t="shared" si="72"/>
        <v>52.966666666666654</v>
      </c>
      <c r="M154" s="2420">
        <f t="shared" si="37"/>
        <v>3563.6173333333336</v>
      </c>
      <c r="N154" s="2662">
        <f t="shared" ref="N154:AH157" si="76">N141-N148</f>
        <v>41.291333333333327</v>
      </c>
      <c r="O154" s="2663">
        <f t="shared" si="76"/>
        <v>36.875099195710462</v>
      </c>
      <c r="P154" s="2664">
        <f t="shared" si="76"/>
        <v>22.673333333333332</v>
      </c>
      <c r="Q154" s="2665">
        <f t="shared" si="76"/>
        <v>54.166666666666657</v>
      </c>
      <c r="R154" s="2665">
        <f t="shared" si="76"/>
        <v>57.266666666666666</v>
      </c>
      <c r="S154" s="2665">
        <f t="shared" si="76"/>
        <v>51.566666666666677</v>
      </c>
      <c r="T154" s="2666">
        <f t="shared" si="76"/>
        <v>52.966666666666654</v>
      </c>
      <c r="U154" s="2662">
        <f t="shared" si="76"/>
        <v>0</v>
      </c>
      <c r="V154" s="2663">
        <f t="shared" si="76"/>
        <v>0</v>
      </c>
      <c r="W154" s="2664">
        <f t="shared" si="76"/>
        <v>0</v>
      </c>
      <c r="X154" s="2665">
        <f t="shared" si="76"/>
        <v>0</v>
      </c>
      <c r="Y154" s="2665">
        <f t="shared" si="76"/>
        <v>0</v>
      </c>
      <c r="Z154" s="2665">
        <f t="shared" si="76"/>
        <v>0</v>
      </c>
      <c r="AA154" s="2663">
        <f t="shared" si="76"/>
        <v>0</v>
      </c>
      <c r="AB154" s="2662">
        <f>AB141-AB148</f>
        <v>18.39</v>
      </c>
      <c r="AC154" s="2663">
        <f t="shared" si="76"/>
        <v>64.956000000000003</v>
      </c>
      <c r="AD154" s="2664">
        <f t="shared" si="76"/>
        <v>514.54233333333332</v>
      </c>
      <c r="AE154" s="2665">
        <f t="shared" si="76"/>
        <v>2810.4349999999999</v>
      </c>
      <c r="AF154" s="2665">
        <f t="shared" si="76"/>
        <v>0</v>
      </c>
      <c r="AG154" s="2665">
        <f t="shared" si="76"/>
        <v>0</v>
      </c>
      <c r="AH154" s="2663">
        <f t="shared" si="76"/>
        <v>0</v>
      </c>
      <c r="AI154" s="2524"/>
      <c r="AJ154" s="2525"/>
      <c r="AK154" s="2524"/>
      <c r="AL154" s="2524"/>
      <c r="AM154" s="2315"/>
      <c r="AN154" s="2315"/>
      <c r="AO154" s="2315"/>
      <c r="AP154" s="2315"/>
      <c r="AQ154" s="2315"/>
      <c r="AR154" s="2526"/>
      <c r="AS154" s="2321"/>
    </row>
    <row r="155" spans="1:45">
      <c r="A155" s="2311"/>
      <c r="B155" s="2311"/>
      <c r="C155" s="2311"/>
      <c r="D155" s="2312"/>
      <c r="E155" s="2555" t="str">
        <f t="shared" si="75"/>
        <v>Пречистване на отпадъчните води</v>
      </c>
      <c r="F155" s="2662">
        <f>F142-F149</f>
        <v>18.577333333333332</v>
      </c>
      <c r="G155" s="2663">
        <f t="shared" si="72"/>
        <v>6.4182305630026804</v>
      </c>
      <c r="H155" s="2664">
        <f t="shared" si="72"/>
        <v>1112.6006666666667</v>
      </c>
      <c r="I155" s="2665">
        <f t="shared" si="72"/>
        <v>1126.3916666666667</v>
      </c>
      <c r="J155" s="2665">
        <f t="shared" si="72"/>
        <v>74.666666666666671</v>
      </c>
      <c r="K155" s="2665">
        <f t="shared" si="72"/>
        <v>23.666666666666668</v>
      </c>
      <c r="L155" s="2663">
        <f t="shared" si="72"/>
        <v>23.666666666666664</v>
      </c>
      <c r="M155" s="2420">
        <f t="shared" si="37"/>
        <v>2360.9923333333331</v>
      </c>
      <c r="N155" s="2662">
        <f t="shared" si="76"/>
        <v>18.577333333333332</v>
      </c>
      <c r="O155" s="2663">
        <f t="shared" si="76"/>
        <v>6.4182305630026804</v>
      </c>
      <c r="P155" s="2664">
        <f t="shared" si="76"/>
        <v>29.333333333333332</v>
      </c>
      <c r="Q155" s="2665">
        <f t="shared" si="76"/>
        <v>77.666666666666657</v>
      </c>
      <c r="R155" s="2665">
        <f t="shared" si="76"/>
        <v>74.666666666666671</v>
      </c>
      <c r="S155" s="2665">
        <f t="shared" si="76"/>
        <v>23.666666666666668</v>
      </c>
      <c r="T155" s="2666">
        <f t="shared" si="76"/>
        <v>23.666666666666664</v>
      </c>
      <c r="U155" s="2662">
        <f t="shared" si="76"/>
        <v>0</v>
      </c>
      <c r="V155" s="2663">
        <f t="shared" si="76"/>
        <v>0</v>
      </c>
      <c r="W155" s="2664">
        <f t="shared" si="76"/>
        <v>0</v>
      </c>
      <c r="X155" s="2665">
        <f t="shared" si="76"/>
        <v>0</v>
      </c>
      <c r="Y155" s="2665">
        <f t="shared" si="76"/>
        <v>0</v>
      </c>
      <c r="Z155" s="2665">
        <f t="shared" si="76"/>
        <v>0</v>
      </c>
      <c r="AA155" s="2663">
        <f t="shared" si="76"/>
        <v>0</v>
      </c>
      <c r="AB155" s="2662">
        <f t="shared" si="76"/>
        <v>0</v>
      </c>
      <c r="AC155" s="2663">
        <f t="shared" si="76"/>
        <v>0</v>
      </c>
      <c r="AD155" s="2664">
        <f t="shared" si="76"/>
        <v>1083.2673333333332</v>
      </c>
      <c r="AE155" s="2665">
        <f t="shared" si="76"/>
        <v>1048.7249999999999</v>
      </c>
      <c r="AF155" s="2665">
        <f t="shared" si="76"/>
        <v>0</v>
      </c>
      <c r="AG155" s="2665">
        <f t="shared" si="76"/>
        <v>0</v>
      </c>
      <c r="AH155" s="2663">
        <f t="shared" si="76"/>
        <v>0</v>
      </c>
      <c r="AI155" s="2667"/>
      <c r="AJ155" s="2668"/>
      <c r="AK155" s="2667"/>
      <c r="AL155" s="2667"/>
      <c r="AM155" s="2311"/>
      <c r="AN155" s="2311"/>
      <c r="AO155" s="2311"/>
      <c r="AP155" s="2311"/>
      <c r="AQ155" s="2311"/>
      <c r="AR155" s="2312"/>
      <c r="AS155" s="2321"/>
    </row>
    <row r="156" spans="1:45">
      <c r="A156" s="2311"/>
      <c r="B156" s="2311"/>
      <c r="C156" s="2311"/>
      <c r="D156" s="2312"/>
      <c r="E156" s="2669" t="s">
        <v>1037</v>
      </c>
      <c r="F156" s="2662">
        <f t="shared" ref="F156:L157" si="77">F143-F150</f>
        <v>0</v>
      </c>
      <c r="G156" s="2663">
        <f t="shared" si="77"/>
        <v>0</v>
      </c>
      <c r="H156" s="2664">
        <f>H143-H150</f>
        <v>0</v>
      </c>
      <c r="I156" s="2665">
        <f t="shared" si="77"/>
        <v>0</v>
      </c>
      <c r="J156" s="2665">
        <f t="shared" si="77"/>
        <v>0</v>
      </c>
      <c r="K156" s="2665">
        <f t="shared" si="77"/>
        <v>0</v>
      </c>
      <c r="L156" s="2663">
        <f t="shared" si="77"/>
        <v>0</v>
      </c>
      <c r="M156" s="2420">
        <f t="shared" si="37"/>
        <v>0</v>
      </c>
      <c r="N156" s="2670">
        <f t="shared" si="76"/>
        <v>0</v>
      </c>
      <c r="O156" s="2671">
        <f t="shared" si="76"/>
        <v>0</v>
      </c>
      <c r="P156" s="2599">
        <f t="shared" si="76"/>
        <v>0</v>
      </c>
      <c r="Q156" s="2600">
        <f t="shared" si="76"/>
        <v>0</v>
      </c>
      <c r="R156" s="2600">
        <f t="shared" si="76"/>
        <v>0</v>
      </c>
      <c r="S156" s="2600">
        <f t="shared" si="76"/>
        <v>0</v>
      </c>
      <c r="T156" s="2671">
        <f t="shared" si="76"/>
        <v>0</v>
      </c>
      <c r="U156" s="2670">
        <f t="shared" si="76"/>
        <v>0</v>
      </c>
      <c r="V156" s="2671">
        <f t="shared" si="76"/>
        <v>0</v>
      </c>
      <c r="W156" s="2599">
        <f t="shared" si="76"/>
        <v>0</v>
      </c>
      <c r="X156" s="2600">
        <f t="shared" si="76"/>
        <v>0</v>
      </c>
      <c r="Y156" s="2600">
        <f t="shared" si="76"/>
        <v>0</v>
      </c>
      <c r="Z156" s="2600">
        <f t="shared" si="76"/>
        <v>0</v>
      </c>
      <c r="AA156" s="2671">
        <f t="shared" si="76"/>
        <v>0</v>
      </c>
      <c r="AB156" s="2670">
        <f t="shared" si="76"/>
        <v>0</v>
      </c>
      <c r="AC156" s="2671">
        <f t="shared" si="76"/>
        <v>0</v>
      </c>
      <c r="AD156" s="2599">
        <f t="shared" si="76"/>
        <v>0</v>
      </c>
      <c r="AE156" s="2600">
        <f t="shared" si="76"/>
        <v>0</v>
      </c>
      <c r="AF156" s="2600">
        <f t="shared" si="76"/>
        <v>0</v>
      </c>
      <c r="AG156" s="2600">
        <f t="shared" si="76"/>
        <v>0</v>
      </c>
      <c r="AH156" s="2671">
        <f t="shared" si="76"/>
        <v>0</v>
      </c>
      <c r="AI156" s="2667"/>
      <c r="AJ156" s="2668"/>
      <c r="AK156" s="2667"/>
      <c r="AL156" s="2667"/>
      <c r="AM156" s="2311"/>
      <c r="AN156" s="2311"/>
      <c r="AO156" s="2311"/>
      <c r="AP156" s="2311"/>
      <c r="AQ156" s="2311"/>
      <c r="AR156" s="2312"/>
      <c r="AS156" s="2321"/>
    </row>
    <row r="157" spans="1:45" ht="13.5" thickBot="1">
      <c r="A157" s="2311"/>
      <c r="B157" s="2311"/>
      <c r="C157" s="2311"/>
      <c r="D157" s="2312"/>
      <c r="E157" s="2672" t="s">
        <v>1102</v>
      </c>
      <c r="F157" s="2673">
        <f>F144-F151</f>
        <v>0</v>
      </c>
      <c r="G157" s="2674">
        <f t="shared" si="77"/>
        <v>0</v>
      </c>
      <c r="H157" s="2675">
        <f t="shared" si="77"/>
        <v>0</v>
      </c>
      <c r="I157" s="2676">
        <f t="shared" si="77"/>
        <v>0</v>
      </c>
      <c r="J157" s="2676">
        <f t="shared" si="77"/>
        <v>0</v>
      </c>
      <c r="K157" s="2676">
        <f t="shared" si="77"/>
        <v>0</v>
      </c>
      <c r="L157" s="2674">
        <f t="shared" si="77"/>
        <v>0</v>
      </c>
      <c r="M157" s="2616">
        <f t="shared" si="37"/>
        <v>0</v>
      </c>
      <c r="N157" s="2677">
        <f t="shared" si="76"/>
        <v>0</v>
      </c>
      <c r="O157" s="2678">
        <f t="shared" si="76"/>
        <v>0</v>
      </c>
      <c r="P157" s="2679">
        <f t="shared" si="76"/>
        <v>0</v>
      </c>
      <c r="Q157" s="2680">
        <f t="shared" si="76"/>
        <v>0</v>
      </c>
      <c r="R157" s="2680">
        <f t="shared" si="76"/>
        <v>0</v>
      </c>
      <c r="S157" s="2680">
        <f t="shared" si="76"/>
        <v>0</v>
      </c>
      <c r="T157" s="2678">
        <f t="shared" si="76"/>
        <v>0</v>
      </c>
      <c r="U157" s="2677">
        <f t="shared" si="76"/>
        <v>0</v>
      </c>
      <c r="V157" s="2678">
        <f t="shared" si="76"/>
        <v>0</v>
      </c>
      <c r="W157" s="2679">
        <f t="shared" si="76"/>
        <v>0</v>
      </c>
      <c r="X157" s="2680">
        <f t="shared" si="76"/>
        <v>0</v>
      </c>
      <c r="Y157" s="2680">
        <f t="shared" si="76"/>
        <v>0</v>
      </c>
      <c r="Z157" s="2680">
        <f t="shared" si="76"/>
        <v>0</v>
      </c>
      <c r="AA157" s="2678">
        <f t="shared" si="76"/>
        <v>0</v>
      </c>
      <c r="AB157" s="2677">
        <f t="shared" si="76"/>
        <v>0</v>
      </c>
      <c r="AC157" s="2678">
        <f t="shared" si="76"/>
        <v>0</v>
      </c>
      <c r="AD157" s="2679">
        <f t="shared" si="76"/>
        <v>0</v>
      </c>
      <c r="AE157" s="2680">
        <f t="shared" si="76"/>
        <v>0</v>
      </c>
      <c r="AF157" s="2680">
        <f t="shared" si="76"/>
        <v>0</v>
      </c>
      <c r="AG157" s="2680">
        <f t="shared" si="76"/>
        <v>0</v>
      </c>
      <c r="AH157" s="2678">
        <f t="shared" si="76"/>
        <v>0</v>
      </c>
      <c r="AI157" s="2667"/>
      <c r="AJ157" s="2668"/>
      <c r="AK157" s="2667"/>
      <c r="AL157" s="2667"/>
      <c r="AM157" s="2311"/>
      <c r="AN157" s="2311"/>
      <c r="AO157" s="2311"/>
      <c r="AP157" s="2311"/>
      <c r="AQ157" s="2311"/>
      <c r="AR157" s="2312"/>
      <c r="AS157" s="2321"/>
    </row>
    <row r="158" spans="1:45">
      <c r="A158" s="2311"/>
      <c r="B158" s="2311"/>
      <c r="C158" s="2311"/>
      <c r="D158" s="2312"/>
      <c r="E158" s="2684"/>
      <c r="F158" s="2684"/>
      <c r="G158" s="2684"/>
      <c r="H158" s="2684"/>
      <c r="I158" s="2684"/>
      <c r="J158" s="2684"/>
      <c r="K158" s="2684"/>
      <c r="L158" s="2684"/>
      <c r="M158" s="2684"/>
      <c r="N158" s="2684"/>
      <c r="O158" s="2522"/>
      <c r="P158" s="2521"/>
      <c r="Q158" s="2521"/>
      <c r="R158" s="2521"/>
      <c r="S158" s="2521"/>
      <c r="T158" s="2521"/>
      <c r="U158" s="2522"/>
      <c r="V158" s="2522"/>
      <c r="W158" s="2521"/>
      <c r="X158" s="2521"/>
      <c r="Y158" s="2521"/>
      <c r="Z158" s="2521"/>
      <c r="AA158" s="2521"/>
      <c r="AB158" s="2668"/>
      <c r="AC158" s="2668"/>
      <c r="AD158" s="2668"/>
      <c r="AE158" s="2668"/>
      <c r="AF158" s="2668"/>
      <c r="AG158" s="2668"/>
      <c r="AH158" s="2668"/>
      <c r="AI158" s="2667"/>
      <c r="AJ158" s="2668"/>
      <c r="AK158" s="2667"/>
      <c r="AL158" s="2667"/>
      <c r="AM158" s="2311"/>
      <c r="AN158" s="2311"/>
      <c r="AO158" s="2311"/>
      <c r="AP158" s="2311"/>
      <c r="AQ158" s="2311"/>
      <c r="AR158" s="2312"/>
      <c r="AS158" s="2321"/>
    </row>
    <row r="159" spans="1:45">
      <c r="A159" s="2311"/>
      <c r="B159" s="2311"/>
      <c r="C159" s="2311"/>
      <c r="D159" s="2312"/>
      <c r="E159" s="2684"/>
      <c r="F159" s="2684"/>
      <c r="G159" s="2684"/>
      <c r="H159" s="2684"/>
      <c r="I159" s="2684"/>
      <c r="J159" s="2684"/>
      <c r="K159" s="2684"/>
      <c r="L159" s="2684"/>
      <c r="M159" s="2684"/>
      <c r="N159" s="2684"/>
      <c r="O159" s="2684"/>
      <c r="P159" s="2517"/>
      <c r="Q159" s="2517"/>
      <c r="R159" s="2517"/>
      <c r="S159" s="2517"/>
      <c r="T159" s="2517"/>
      <c r="U159" s="2684"/>
      <c r="V159" s="2684"/>
      <c r="W159" s="2517"/>
      <c r="X159" s="2517"/>
      <c r="Y159" s="2517"/>
      <c r="Z159" s="2517"/>
      <c r="AA159" s="2517"/>
      <c r="AB159" s="2522"/>
      <c r="AC159" s="2522"/>
      <c r="AD159" s="2521"/>
      <c r="AE159" s="2521"/>
      <c r="AF159" s="2521"/>
      <c r="AG159" s="2521"/>
      <c r="AH159" s="2521"/>
      <c r="AI159" s="2667"/>
      <c r="AJ159" s="2313"/>
      <c r="AK159" s="2317"/>
      <c r="AL159" s="2317"/>
      <c r="AM159" s="2311"/>
      <c r="AN159" s="2311"/>
      <c r="AO159" s="2311"/>
      <c r="AP159" s="2311"/>
      <c r="AQ159" s="2311"/>
      <c r="AR159" s="2312"/>
      <c r="AS159" s="2321"/>
    </row>
    <row r="160" spans="1:45">
      <c r="A160" s="2311"/>
      <c r="B160" s="2311"/>
      <c r="C160" s="2311"/>
      <c r="D160" s="2312"/>
      <c r="E160" s="2684"/>
      <c r="F160" s="2684"/>
      <c r="G160" s="2684"/>
      <c r="H160" s="2684"/>
      <c r="I160" s="2684"/>
      <c r="J160" s="2684"/>
      <c r="K160" s="2684"/>
      <c r="L160" s="2684"/>
      <c r="M160" s="2684"/>
      <c r="N160" s="2684"/>
      <c r="O160" s="2684"/>
      <c r="P160" s="2517"/>
      <c r="Q160" s="2517"/>
      <c r="R160" s="2517"/>
      <c r="S160" s="2517"/>
      <c r="T160" s="2517"/>
      <c r="U160" s="2684"/>
      <c r="V160" s="2684"/>
      <c r="W160" s="2517"/>
      <c r="X160" s="2517"/>
      <c r="Y160" s="2517"/>
      <c r="Z160" s="2517"/>
      <c r="AA160" s="2517"/>
      <c r="AB160" s="2522"/>
      <c r="AC160" s="2312"/>
      <c r="AD160" s="2312"/>
      <c r="AE160" s="2312"/>
      <c r="AF160" s="2311"/>
      <c r="AG160" s="2521"/>
      <c r="AH160" s="2521"/>
      <c r="AI160" s="2686"/>
      <c r="AJ160" s="2686"/>
      <c r="AK160" s="2517"/>
      <c r="AL160" s="2687"/>
      <c r="AM160" s="2518"/>
      <c r="AN160" s="2518"/>
      <c r="AO160" s="2518"/>
      <c r="AP160" s="2518"/>
      <c r="AQ160" s="2518"/>
      <c r="AR160" s="2312"/>
      <c r="AS160" s="2321"/>
    </row>
    <row r="161" spans="1:45" s="1408" customFormat="1">
      <c r="A161" s="2688"/>
      <c r="B161" s="2689"/>
      <c r="C161" s="2689"/>
      <c r="D161" s="2690"/>
      <c r="E161" s="2684"/>
      <c r="F161" s="2684"/>
      <c r="G161" s="2684"/>
      <c r="H161" s="2684"/>
      <c r="I161" s="2684"/>
      <c r="J161" s="2684"/>
      <c r="K161" s="2684"/>
      <c r="L161" s="2684"/>
      <c r="M161" s="2684"/>
      <c r="N161" s="2684"/>
      <c r="O161" s="2684"/>
      <c r="P161" s="2517"/>
      <c r="Q161" s="2517"/>
      <c r="R161" s="2517"/>
      <c r="S161" s="2517"/>
      <c r="T161" s="2517"/>
      <c r="U161" s="2684"/>
      <c r="V161" s="2684"/>
      <c r="W161" s="2518"/>
      <c r="X161" s="2518"/>
      <c r="Y161" s="2518"/>
      <c r="Z161" s="2518"/>
      <c r="AA161" s="2518"/>
      <c r="AB161" s="2518"/>
      <c r="AC161" s="2518"/>
      <c r="AD161" s="2518"/>
      <c r="AE161" s="2518"/>
      <c r="AF161" s="2518"/>
      <c r="AG161" s="2518"/>
      <c r="AH161" s="2518"/>
      <c r="AI161" s="2691"/>
      <c r="AJ161" s="2517"/>
      <c r="AK161" s="2517"/>
      <c r="AL161" s="2687"/>
      <c r="AM161" s="2692"/>
      <c r="AN161" s="2518"/>
      <c r="AO161" s="2518"/>
      <c r="AP161" s="2518"/>
      <c r="AQ161" s="2518"/>
      <c r="AR161" s="2518"/>
      <c r="AS161" s="2321"/>
    </row>
    <row r="162" spans="1:45" s="1408" customFormat="1">
      <c r="A162" s="2688"/>
      <c r="B162" s="2683"/>
      <c r="C162" s="2683"/>
      <c r="D162" s="2518"/>
      <c r="E162" s="2693"/>
      <c r="F162" s="2681"/>
      <c r="G162" s="2681"/>
      <c r="H162" s="2518"/>
      <c r="I162" s="2518"/>
      <c r="J162" s="2685"/>
      <c r="K162" s="2683"/>
      <c r="L162" s="2518"/>
      <c r="M162" s="2517"/>
      <c r="N162" s="2684"/>
      <c r="O162" s="2684"/>
      <c r="P162" s="2517"/>
      <c r="Q162" s="2517"/>
      <c r="R162" s="2517"/>
      <c r="S162" s="2517"/>
      <c r="T162" s="2517"/>
      <c r="U162" s="2684"/>
      <c r="V162" s="2684"/>
      <c r="W162" s="2518"/>
      <c r="X162" s="2518"/>
      <c r="Y162" s="2518"/>
      <c r="Z162" s="2518"/>
      <c r="AA162" s="2518"/>
      <c r="AB162" s="2518"/>
      <c r="AC162" s="2518"/>
      <c r="AD162" s="2518"/>
      <c r="AE162" s="2518"/>
      <c r="AF162" s="2518"/>
      <c r="AG162" s="2518"/>
      <c r="AH162" s="2518"/>
      <c r="AI162" s="2517"/>
      <c r="AJ162" s="2517"/>
      <c r="AK162" s="2517"/>
      <c r="AL162" s="2687"/>
      <c r="AM162" s="2518"/>
      <c r="AN162" s="2518"/>
      <c r="AO162" s="2518"/>
      <c r="AP162" s="2518"/>
      <c r="AQ162" s="2518"/>
      <c r="AR162" s="2518"/>
      <c r="AS162" s="2321"/>
    </row>
    <row r="163" spans="1:45" s="1408" customFormat="1">
      <c r="A163" s="2688"/>
      <c r="B163" s="2690"/>
      <c r="C163" s="2690"/>
      <c r="D163" s="2518"/>
      <c r="E163" s="2694"/>
      <c r="F163" s="2681"/>
      <c r="G163" s="2681"/>
      <c r="H163" s="2518"/>
      <c r="I163" s="2518"/>
      <c r="J163" s="2682"/>
      <c r="K163" s="2683"/>
      <c r="L163" s="2518"/>
      <c r="M163" s="2517"/>
      <c r="N163" s="2684"/>
      <c r="O163" s="2684"/>
      <c r="P163" s="2517"/>
      <c r="Q163" s="2517"/>
      <c r="R163" s="2517"/>
      <c r="S163" s="2517"/>
      <c r="T163" s="2517"/>
      <c r="U163" s="2684"/>
      <c r="V163" s="2684"/>
      <c r="W163" s="2518"/>
      <c r="X163" s="2518"/>
      <c r="Y163" s="2518"/>
      <c r="Z163" s="2518"/>
      <c r="AA163" s="2518"/>
      <c r="AB163" s="2518"/>
      <c r="AC163" s="2518"/>
      <c r="AD163" s="2518"/>
      <c r="AE163" s="2518"/>
      <c r="AF163" s="2518"/>
      <c r="AG163" s="2518"/>
      <c r="AH163" s="2518"/>
      <c r="AI163" s="2517"/>
      <c r="AJ163" s="2517"/>
      <c r="AK163" s="2517"/>
      <c r="AL163" s="2687"/>
      <c r="AM163" s="2518"/>
      <c r="AN163" s="2518"/>
      <c r="AO163" s="2518"/>
      <c r="AP163" s="2518"/>
      <c r="AQ163" s="2518"/>
      <c r="AR163" s="2518"/>
      <c r="AS163" s="2321"/>
    </row>
    <row r="164" spans="1:45" s="1408" customFormat="1">
      <c r="B164" s="2696"/>
      <c r="C164" s="2696"/>
      <c r="D164" s="2518"/>
      <c r="E164" s="2697"/>
      <c r="F164" s="2695" t="s">
        <v>191</v>
      </c>
      <c r="G164" s="2681"/>
      <c r="H164" s="2518"/>
      <c r="I164" s="2518"/>
      <c r="J164" s="2698"/>
      <c r="K164" s="2699"/>
      <c r="L164" s="2518"/>
      <c r="M164" s="2517"/>
      <c r="N164" s="2684"/>
      <c r="O164" s="2684"/>
      <c r="P164" s="2517"/>
      <c r="Q164" s="2517"/>
      <c r="R164" s="2517"/>
      <c r="S164" s="2517"/>
      <c r="T164" s="2517"/>
      <c r="U164" s="2684"/>
      <c r="V164" s="2684"/>
      <c r="W164" s="2518"/>
      <c r="X164" s="2518"/>
      <c r="Y164" s="2518"/>
      <c r="Z164" s="2518"/>
      <c r="AA164" s="2518"/>
      <c r="AB164" s="2518"/>
      <c r="AC164" s="2518"/>
      <c r="AD164" s="2518"/>
      <c r="AE164" s="2518"/>
      <c r="AF164" s="2518"/>
      <c r="AG164" s="2518"/>
      <c r="AH164" s="2518"/>
      <c r="AI164" s="2517"/>
      <c r="AJ164" s="2517"/>
      <c r="AK164" s="2517"/>
      <c r="AL164" s="2687"/>
      <c r="AM164" s="2518"/>
      <c r="AN164" s="2518"/>
      <c r="AO164" s="2518"/>
      <c r="AP164" s="2518"/>
      <c r="AQ164" s="2518"/>
      <c r="AR164" s="2518"/>
      <c r="AS164" s="2321"/>
    </row>
    <row r="165" spans="1:45" s="1408" customFormat="1">
      <c r="B165" s="2696"/>
      <c r="C165" s="2696"/>
      <c r="D165" s="2696"/>
      <c r="E165" s="4423"/>
      <c r="F165" s="5361" t="s">
        <v>192</v>
      </c>
      <c r="G165" s="5361"/>
      <c r="H165" s="5361"/>
      <c r="I165" s="5361"/>
      <c r="J165" s="5361"/>
      <c r="K165" s="5361"/>
      <c r="L165" s="5361"/>
      <c r="M165" s="5361"/>
      <c r="N165" s="5361"/>
      <c r="O165" s="5361"/>
      <c r="P165" s="5361"/>
      <c r="Q165" s="5361"/>
      <c r="R165" s="5361"/>
      <c r="S165" s="5361"/>
      <c r="T165" s="5361"/>
      <c r="U165" s="5361"/>
      <c r="V165" s="5361"/>
      <c r="W165" s="5361"/>
      <c r="X165" s="5361"/>
      <c r="Y165" s="5361"/>
      <c r="Z165" s="5361"/>
      <c r="AA165" s="5361"/>
      <c r="AB165" s="5361"/>
      <c r="AC165" s="5361"/>
      <c r="AD165" s="5361"/>
      <c r="AE165" s="5361"/>
      <c r="AF165" s="5361"/>
      <c r="AG165" s="5361"/>
      <c r="AH165" s="5361"/>
      <c r="AI165" s="2700"/>
      <c r="AJ165" s="2700"/>
      <c r="AK165" s="2700"/>
      <c r="AL165" s="2518"/>
      <c r="AM165" s="2692"/>
      <c r="AN165" s="2518"/>
      <c r="AO165" s="2518"/>
      <c r="AP165" s="2518"/>
      <c r="AQ165" s="2518"/>
      <c r="AR165" s="2518"/>
      <c r="AS165" s="2701"/>
    </row>
    <row r="166" spans="1:45" s="1408" customFormat="1" ht="25.5" customHeight="1">
      <c r="B166" s="2702"/>
      <c r="C166" s="2702"/>
      <c r="D166" s="2702"/>
      <c r="E166" s="2702"/>
      <c r="F166" s="5360" t="s">
        <v>1549</v>
      </c>
      <c r="G166" s="5360"/>
      <c r="H166" s="5360"/>
      <c r="I166" s="5360"/>
      <c r="J166" s="5360"/>
      <c r="K166" s="5360"/>
      <c r="L166" s="5360"/>
      <c r="M166" s="5360"/>
      <c r="N166" s="5360"/>
      <c r="O166" s="5360"/>
      <c r="P166" s="5360"/>
      <c r="Q166" s="5360"/>
      <c r="R166" s="5360"/>
      <c r="S166" s="5360"/>
      <c r="T166" s="5360"/>
      <c r="U166" s="5360"/>
      <c r="V166" s="5360"/>
      <c r="W166" s="5360"/>
      <c r="X166" s="5360"/>
      <c r="Y166" s="5360"/>
      <c r="Z166" s="5360"/>
      <c r="AA166" s="5360"/>
      <c r="AB166" s="5360"/>
      <c r="AC166" s="5360"/>
      <c r="AD166" s="5360"/>
      <c r="AE166" s="5360"/>
      <c r="AF166" s="5360"/>
      <c r="AG166" s="5360"/>
      <c r="AH166" s="5360"/>
      <c r="AI166" s="2517"/>
      <c r="AJ166" s="2518"/>
      <c r="AK166" s="2518"/>
      <c r="AL166" s="2518"/>
      <c r="AM166" s="2518"/>
      <c r="AN166" s="2517"/>
      <c r="AO166" s="2517"/>
      <c r="AP166" s="2517"/>
      <c r="AQ166" s="2517"/>
      <c r="AR166" s="2518"/>
      <c r="AS166" s="2703"/>
    </row>
    <row r="167" spans="1:45" s="1408" customFormat="1" ht="12.75" customHeight="1">
      <c r="B167" s="2702"/>
      <c r="C167" s="2702"/>
      <c r="D167" s="2702"/>
      <c r="E167" s="2702"/>
      <c r="F167" s="5360" t="s">
        <v>1550</v>
      </c>
      <c r="G167" s="5360"/>
      <c r="H167" s="5360"/>
      <c r="I167" s="5360"/>
      <c r="J167" s="5360"/>
      <c r="K167" s="5360"/>
      <c r="L167" s="5360"/>
      <c r="M167" s="5360"/>
      <c r="N167" s="5360"/>
      <c r="O167" s="5360"/>
      <c r="P167" s="5360"/>
      <c r="Q167" s="5360"/>
      <c r="R167" s="5360"/>
      <c r="S167" s="5360"/>
      <c r="T167" s="5360"/>
      <c r="U167" s="5360"/>
      <c r="V167" s="5360"/>
      <c r="W167" s="5360"/>
      <c r="X167" s="5360"/>
      <c r="Y167" s="5360"/>
      <c r="Z167" s="5360"/>
      <c r="AA167" s="5360"/>
      <c r="AB167" s="5360"/>
      <c r="AC167" s="5360"/>
      <c r="AD167" s="5360"/>
      <c r="AE167" s="5360"/>
      <c r="AF167" s="5360"/>
      <c r="AG167" s="5360"/>
      <c r="AH167" s="5360"/>
      <c r="AI167" s="2517"/>
      <c r="AJ167" s="2518"/>
      <c r="AK167" s="2517"/>
      <c r="AL167" s="2517"/>
      <c r="AM167" s="2517"/>
      <c r="AN167" s="2517"/>
      <c r="AO167" s="2517"/>
      <c r="AP167" s="2517"/>
      <c r="AQ167" s="2517"/>
      <c r="AR167" s="2518"/>
      <c r="AS167" s="2704"/>
    </row>
    <row r="168" spans="1:45" s="1408" customFormat="1" ht="12.75" customHeight="1">
      <c r="B168" s="2702"/>
      <c r="C168" s="2702"/>
      <c r="D168" s="2702"/>
      <c r="E168" s="2702"/>
      <c r="F168" s="5360" t="s">
        <v>1551</v>
      </c>
      <c r="G168" s="5360"/>
      <c r="H168" s="5360"/>
      <c r="I168" s="5360"/>
      <c r="J168" s="5360"/>
      <c r="K168" s="5360"/>
      <c r="L168" s="5360"/>
      <c r="M168" s="5360"/>
      <c r="N168" s="5360"/>
      <c r="O168" s="5360"/>
      <c r="P168" s="5360"/>
      <c r="Q168" s="5360"/>
      <c r="R168" s="5360"/>
      <c r="S168" s="5360"/>
      <c r="T168" s="5360"/>
      <c r="U168" s="5360"/>
      <c r="V168" s="5360"/>
      <c r="W168" s="5360"/>
      <c r="X168" s="5360"/>
      <c r="Y168" s="5360"/>
      <c r="Z168" s="5360"/>
      <c r="AA168" s="5360"/>
      <c r="AB168" s="5360"/>
      <c r="AC168" s="5360"/>
      <c r="AD168" s="5360"/>
      <c r="AE168" s="5360"/>
      <c r="AF168" s="5360"/>
      <c r="AG168" s="5360"/>
      <c r="AH168" s="5360"/>
      <c r="AI168" s="2517"/>
      <c r="AJ168" s="2518"/>
      <c r="AK168" s="2517"/>
      <c r="AL168" s="2517"/>
      <c r="AM168" s="2517"/>
      <c r="AN168" s="2517"/>
      <c r="AO168" s="2517"/>
      <c r="AP168" s="2517"/>
      <c r="AQ168" s="2517"/>
      <c r="AR168" s="2518"/>
      <c r="AS168" s="2705"/>
    </row>
    <row r="169" spans="1:45" s="1414" customFormat="1">
      <c r="A169" s="5348"/>
      <c r="B169" s="5348"/>
      <c r="C169" s="5348"/>
      <c r="D169" s="5348"/>
      <c r="E169" s="5348"/>
      <c r="F169" s="5348"/>
      <c r="G169" s="5348"/>
      <c r="H169" s="5348"/>
      <c r="I169" s="5348"/>
      <c r="J169" s="5348"/>
      <c r="K169" s="5348"/>
      <c r="L169" s="5348"/>
      <c r="M169" s="5348"/>
      <c r="N169" s="5348"/>
      <c r="O169" s="5348"/>
      <c r="P169" s="5348"/>
      <c r="Q169" s="5348"/>
      <c r="R169" s="5348"/>
      <c r="S169" s="5348"/>
      <c r="T169" s="5348"/>
      <c r="U169" s="1370"/>
      <c r="V169" s="1370"/>
      <c r="W169" s="1367"/>
      <c r="X169" s="1367"/>
      <c r="Y169" s="1367"/>
      <c r="Z169" s="1367"/>
      <c r="AA169" s="1367"/>
      <c r="AB169" s="1415"/>
      <c r="AC169" s="1415"/>
      <c r="AD169" s="1416"/>
      <c r="AE169" s="1416"/>
      <c r="AF169" s="1416"/>
      <c r="AG169" s="1416"/>
      <c r="AH169" s="1416"/>
      <c r="AI169" s="1416"/>
      <c r="AK169" s="1416"/>
      <c r="AL169" s="1416"/>
      <c r="AM169" s="1416"/>
      <c r="AN169" s="1416"/>
      <c r="AO169" s="1416"/>
      <c r="AP169" s="1416"/>
      <c r="AQ169" s="1416"/>
      <c r="AS169" s="1420"/>
    </row>
    <row r="170" spans="1:45" s="1417" customFormat="1">
      <c r="A170" s="1367"/>
      <c r="B170" s="1367"/>
      <c r="C170" s="1367"/>
      <c r="D170" s="1368"/>
      <c r="E170" s="1369"/>
      <c r="F170" s="1409"/>
      <c r="G170" s="1409"/>
      <c r="H170" s="1410"/>
      <c r="I170" s="1410"/>
      <c r="J170" s="1410"/>
      <c r="K170" s="1410"/>
      <c r="L170" s="1410"/>
      <c r="M170" s="1367"/>
      <c r="N170" s="1370"/>
      <c r="O170" s="1370"/>
      <c r="P170" s="1367"/>
      <c r="Q170" s="1367"/>
      <c r="R170" s="1367"/>
      <c r="S170" s="1367"/>
      <c r="T170" s="1367"/>
      <c r="U170" s="1370"/>
      <c r="V170" s="1370"/>
      <c r="W170" s="1367"/>
      <c r="X170" s="1367"/>
      <c r="Y170" s="1367"/>
      <c r="Z170" s="1367"/>
      <c r="AA170" s="1367"/>
      <c r="AB170" s="1418"/>
      <c r="AC170" s="1418"/>
      <c r="AD170" s="1419"/>
      <c r="AE170" s="1419"/>
      <c r="AF170" s="1419"/>
      <c r="AG170" s="1419"/>
      <c r="AH170" s="1419"/>
      <c r="AI170" s="1419"/>
      <c r="AK170" s="1419"/>
      <c r="AL170" s="1419"/>
      <c r="AM170" s="1419"/>
      <c r="AN170" s="1419"/>
      <c r="AO170" s="1419"/>
      <c r="AP170" s="1419"/>
      <c r="AQ170" s="1419"/>
      <c r="AS170" s="1420"/>
    </row>
  </sheetData>
  <sheetProtection password="EB75" sheet="1" objects="1" scenarios="1" formatCells="0" formatColumns="0" formatRows="0"/>
  <mergeCells count="27">
    <mergeCell ref="A2:AH2"/>
    <mergeCell ref="A72:AS72"/>
    <mergeCell ref="A98:AS98"/>
    <mergeCell ref="A10:AS10"/>
    <mergeCell ref="AS8:AS9"/>
    <mergeCell ref="A8:A9"/>
    <mergeCell ref="B8:B9"/>
    <mergeCell ref="D8:D9"/>
    <mergeCell ref="E8:E9"/>
    <mergeCell ref="AK8:AR8"/>
    <mergeCell ref="AI6:AJ6"/>
    <mergeCell ref="F8:L8"/>
    <mergeCell ref="A4:AH4"/>
    <mergeCell ref="A169:T169"/>
    <mergeCell ref="AJ8:AJ9"/>
    <mergeCell ref="M8:M9"/>
    <mergeCell ref="C8:C9"/>
    <mergeCell ref="A3:AH3"/>
    <mergeCell ref="A5:AH5"/>
    <mergeCell ref="N8:T8"/>
    <mergeCell ref="U8:AA8"/>
    <mergeCell ref="AI8:AI9"/>
    <mergeCell ref="AB8:AH8"/>
    <mergeCell ref="F166:AH166"/>
    <mergeCell ref="F165:AH165"/>
    <mergeCell ref="F167:AH167"/>
    <mergeCell ref="F168:AH168"/>
  </mergeCells>
  <printOptions horizontalCentered="1"/>
  <pageMargins left="0" right="0" top="0.51181102362204722" bottom="0.19685039370078741" header="0.31496062992125984" footer="0.11811023622047245"/>
  <pageSetup paperSize="9" scale="60" orientation="landscape" r:id="rId1"/>
  <headerFooter alignWithMargins="0">
    <oddFooter>&amp;C&amp;A&amp;RСтр. &amp;P от &amp;N</oddFooter>
  </headerFooter>
  <rowBreaks count="3" manualBreakCount="3">
    <brk id="47" max="44" man="1"/>
    <brk id="97" max="44" man="1"/>
    <brk id="127" max="44" man="1"/>
  </rowBreaks>
  <colBreaks count="1" manualBreakCount="1">
    <brk id="34" max="16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CCFFCC"/>
  </sheetPr>
  <dimension ref="A1:AR92"/>
  <sheetViews>
    <sheetView showGridLines="0" view="pageBreakPreview" zoomScale="90" zoomScaleNormal="70" zoomScaleSheetLayoutView="90" workbookViewId="0">
      <pane xSplit="2" ySplit="8" topLeftCell="Y21" activePane="bottomRight" state="frozen"/>
      <selection pane="topRight" activeCell="C1" sqref="C1"/>
      <selection pane="bottomLeft" activeCell="A9" sqref="A9"/>
      <selection pane="bottomRight" activeCell="AT31" sqref="AT31"/>
    </sheetView>
  </sheetViews>
  <sheetFormatPr defaultColWidth="11.85546875" defaultRowHeight="12.75"/>
  <cols>
    <col min="1" max="1" width="4.7109375" style="706" customWidth="1"/>
    <col min="2" max="2" width="50.140625" style="704" customWidth="1"/>
    <col min="3" max="3" width="7.140625" style="704" customWidth="1"/>
    <col min="4" max="4" width="8.5703125" style="704" customWidth="1"/>
    <col min="5" max="5" width="8.85546875" style="704" customWidth="1"/>
    <col min="6" max="6" width="12" style="704" customWidth="1"/>
    <col min="7" max="7" width="9.85546875" style="704" customWidth="1"/>
    <col min="8" max="8" width="11.5703125" style="704" customWidth="1"/>
    <col min="9" max="9" width="10" style="704" customWidth="1"/>
    <col min="10" max="10" width="7.7109375" style="704" customWidth="1"/>
    <col min="11" max="11" width="6.42578125" style="704" customWidth="1"/>
    <col min="12" max="12" width="7.28515625" style="704" customWidth="1"/>
    <col min="13" max="13" width="10.42578125" style="704" customWidth="1"/>
    <col min="14" max="14" width="9.85546875" style="704" customWidth="1"/>
    <col min="15" max="15" width="9.5703125" style="704" customWidth="1"/>
    <col min="16" max="16" width="11.5703125" style="704" customWidth="1"/>
    <col min="17" max="17" width="7.85546875" style="704" customWidth="1"/>
    <col min="18" max="18" width="6.85546875" style="704" customWidth="1"/>
    <col min="19" max="19" width="8.28515625" style="704" customWidth="1"/>
    <col min="20" max="20" width="7.28515625" style="704" customWidth="1"/>
    <col min="21" max="21" width="7.85546875" style="704" customWidth="1"/>
    <col min="22" max="22" width="7.140625" style="704" customWidth="1"/>
    <col min="23" max="23" width="7.85546875" style="704" customWidth="1"/>
    <col min="24" max="24" width="6" style="704" customWidth="1"/>
    <col min="25" max="25" width="7" style="704" customWidth="1"/>
    <col min="26" max="27" width="7.85546875" style="704" customWidth="1"/>
    <col min="28" max="28" width="7.5703125" style="704" customWidth="1"/>
    <col min="29" max="29" width="8.7109375" style="704" customWidth="1"/>
    <col min="30" max="30" width="7.85546875" style="704" customWidth="1"/>
    <col min="31" max="37" width="6" style="704" customWidth="1"/>
    <col min="38" max="38" width="8" style="704" customWidth="1"/>
    <col min="39" max="39" width="7.5703125" style="704" customWidth="1"/>
    <col min="40" max="40" width="9.42578125" style="704" customWidth="1"/>
    <col min="41" max="41" width="9.140625" style="704" customWidth="1"/>
    <col min="42" max="43" width="10" style="704" customWidth="1"/>
    <col min="44" max="44" width="9.85546875" style="704" customWidth="1"/>
    <col min="45" max="16154" width="12.5703125" style="704" customWidth="1"/>
    <col min="16155" max="16384" width="11.85546875" style="704"/>
  </cols>
  <sheetData>
    <row r="1" spans="1:44" ht="13.5">
      <c r="A1" s="5397" t="s">
        <v>193</v>
      </c>
      <c r="B1" s="5397"/>
      <c r="C1" s="5397"/>
      <c r="D1" s="5397"/>
      <c r="E1" s="5397"/>
      <c r="F1" s="5397"/>
      <c r="G1" s="5397"/>
      <c r="H1" s="5397"/>
      <c r="I1" s="5397"/>
      <c r="J1" s="5397"/>
      <c r="K1" s="5397"/>
      <c r="L1" s="5397"/>
      <c r="M1" s="5397"/>
      <c r="N1" s="5397"/>
      <c r="O1" s="5397"/>
      <c r="P1" s="5397"/>
      <c r="Q1" s="5397"/>
      <c r="R1" s="5397"/>
      <c r="S1" s="5397"/>
      <c r="T1" s="5397"/>
      <c r="U1" s="5397"/>
      <c r="V1" s="5397"/>
      <c r="W1" s="5397"/>
      <c r="X1" s="4431"/>
      <c r="Y1" s="4431"/>
      <c r="Z1" s="4431"/>
      <c r="AA1" s="4431"/>
      <c r="AB1" s="4431"/>
      <c r="AC1" s="4431"/>
      <c r="AD1" s="4431"/>
      <c r="AE1" s="4431"/>
      <c r="AF1" s="4431"/>
      <c r="AG1" s="4431"/>
      <c r="AH1" s="4431"/>
      <c r="AI1" s="4431"/>
      <c r="AJ1" s="4431"/>
      <c r="AK1" s="4431"/>
      <c r="AL1" s="4431"/>
      <c r="AM1" s="4431"/>
      <c r="AN1" s="4431"/>
      <c r="AO1" s="4431"/>
      <c r="AP1" s="4431"/>
      <c r="AQ1" s="4431"/>
      <c r="AR1" s="4431"/>
    </row>
    <row r="2" spans="1:44" ht="18.75">
      <c r="A2" s="5404" t="s">
        <v>1459</v>
      </c>
      <c r="B2" s="5404"/>
      <c r="C2" s="5404"/>
      <c r="D2" s="5404"/>
      <c r="E2" s="5404"/>
      <c r="F2" s="5404"/>
      <c r="G2" s="5404"/>
      <c r="H2" s="5404"/>
      <c r="I2" s="5404"/>
      <c r="J2" s="5404"/>
      <c r="K2" s="5404"/>
      <c r="L2" s="5404"/>
      <c r="M2" s="5404"/>
      <c r="N2" s="5404"/>
      <c r="O2" s="5404"/>
      <c r="P2" s="5404"/>
      <c r="Q2" s="5404"/>
      <c r="R2" s="5404"/>
      <c r="S2" s="5404"/>
      <c r="T2" s="5404"/>
      <c r="U2" s="5404"/>
      <c r="V2" s="5404"/>
      <c r="W2" s="5404"/>
      <c r="X2" s="4433"/>
      <c r="Y2" s="4433"/>
      <c r="Z2" s="4433"/>
      <c r="AA2" s="4433"/>
      <c r="AB2" s="4433"/>
      <c r="AC2" s="4433"/>
      <c r="AD2" s="4433"/>
      <c r="AE2" s="4433"/>
      <c r="AF2" s="4433"/>
      <c r="AG2" s="4433"/>
      <c r="AH2" s="4433"/>
      <c r="AI2" s="4433"/>
      <c r="AJ2" s="4433"/>
      <c r="AK2" s="4433"/>
      <c r="AL2" s="4433"/>
      <c r="AM2" s="4433"/>
      <c r="AN2" s="4433"/>
      <c r="AO2" s="4433"/>
      <c r="AP2" s="4433"/>
      <c r="AQ2" s="4433"/>
      <c r="AR2" s="4433"/>
    </row>
    <row r="3" spans="1:44" ht="18.75">
      <c r="A3" s="5404" t="s">
        <v>1458</v>
      </c>
      <c r="B3" s="5404"/>
      <c r="C3" s="5404"/>
      <c r="D3" s="5404"/>
      <c r="E3" s="5404"/>
      <c r="F3" s="5404"/>
      <c r="G3" s="5404"/>
      <c r="H3" s="5404"/>
      <c r="I3" s="5404"/>
      <c r="J3" s="5404"/>
      <c r="K3" s="5404"/>
      <c r="L3" s="5404"/>
      <c r="M3" s="5404"/>
      <c r="N3" s="5404"/>
      <c r="O3" s="5404"/>
      <c r="P3" s="5404"/>
      <c r="Q3" s="5404"/>
      <c r="R3" s="5404"/>
      <c r="S3" s="5404"/>
      <c r="T3" s="5404"/>
      <c r="U3" s="5404"/>
      <c r="V3" s="5404"/>
      <c r="W3" s="5404"/>
      <c r="X3" s="4433"/>
      <c r="Y3" s="4433"/>
      <c r="Z3" s="4433"/>
      <c r="AA3" s="4433"/>
      <c r="AB3" s="4433"/>
      <c r="AC3" s="4433"/>
      <c r="AD3" s="4433"/>
      <c r="AE3" s="4433"/>
      <c r="AF3" s="4433"/>
      <c r="AG3" s="4433"/>
      <c r="AH3" s="4433"/>
      <c r="AI3" s="4433"/>
      <c r="AJ3" s="4433"/>
      <c r="AK3" s="4433"/>
      <c r="AL3" s="4433"/>
      <c r="AM3" s="4433"/>
      <c r="AN3" s="4433"/>
      <c r="AO3" s="4433"/>
      <c r="AP3" s="4433"/>
      <c r="AQ3" s="4433"/>
      <c r="AR3" s="4433"/>
    </row>
    <row r="4" spans="1:44" s="705" customFormat="1" ht="18.75">
      <c r="A4" s="5405" t="str">
        <f>'1. Обща информация'!A3</f>
        <v>Обща информация</v>
      </c>
      <c r="B4" s="5406"/>
      <c r="C4" s="5406"/>
      <c r="D4" s="5406"/>
      <c r="E4" s="5406"/>
      <c r="F4" s="5406"/>
      <c r="G4" s="5406"/>
      <c r="H4" s="5406"/>
      <c r="I4" s="5406"/>
      <c r="J4" s="5406"/>
      <c r="K4" s="5406"/>
      <c r="L4" s="5406"/>
      <c r="M4" s="5406"/>
      <c r="N4" s="5406"/>
      <c r="O4" s="5406"/>
      <c r="P4" s="5406"/>
      <c r="Q4" s="5406"/>
      <c r="R4" s="5406"/>
      <c r="S4" s="5406"/>
      <c r="T4" s="5406"/>
      <c r="U4" s="5406"/>
      <c r="V4" s="5406"/>
      <c r="W4" s="5406"/>
      <c r="X4" s="4434"/>
      <c r="Y4" s="4434"/>
      <c r="Z4" s="4434"/>
      <c r="AA4" s="4434"/>
      <c r="AB4" s="4434"/>
      <c r="AC4" s="4434"/>
      <c r="AD4" s="4434"/>
      <c r="AE4" s="4434"/>
      <c r="AF4" s="4434"/>
      <c r="AG4" s="4434"/>
      <c r="AH4" s="4434"/>
      <c r="AI4" s="4434"/>
      <c r="AJ4" s="4434"/>
      <c r="AK4" s="4434"/>
      <c r="AL4" s="4434"/>
      <c r="AM4" s="4434"/>
      <c r="AN4" s="4434"/>
      <c r="AO4" s="4434"/>
      <c r="AP4" s="4434"/>
      <c r="AQ4" s="4434"/>
      <c r="AR4" s="4434"/>
    </row>
    <row r="5" spans="1:44" s="705" customFormat="1" ht="18.75">
      <c r="A5" s="5406" t="str">
        <f>'1. Обща информация'!A4</f>
        <v>на "Водоснабдяване и канализаиця"ООД, гр. Перник</v>
      </c>
      <c r="B5" s="5406"/>
      <c r="C5" s="5406"/>
      <c r="D5" s="5406"/>
      <c r="E5" s="5406"/>
      <c r="F5" s="5406"/>
      <c r="G5" s="5406"/>
      <c r="H5" s="5406"/>
      <c r="I5" s="5406"/>
      <c r="J5" s="5406"/>
      <c r="K5" s="5406"/>
      <c r="L5" s="5406"/>
      <c r="M5" s="5406"/>
      <c r="N5" s="5406"/>
      <c r="O5" s="5406"/>
      <c r="P5" s="5406"/>
      <c r="Q5" s="5406"/>
      <c r="R5" s="5406"/>
      <c r="S5" s="5406"/>
      <c r="T5" s="5406"/>
      <c r="U5" s="5406"/>
      <c r="V5" s="5406"/>
      <c r="W5" s="5406"/>
      <c r="X5" s="4434"/>
      <c r="Y5" s="4434"/>
      <c r="Z5" s="4434"/>
      <c r="AA5" s="4434"/>
      <c r="AB5" s="4434"/>
      <c r="AC5" s="4434"/>
      <c r="AD5" s="4434"/>
      <c r="AE5" s="4434"/>
      <c r="AF5" s="4434"/>
      <c r="AG5" s="4434"/>
      <c r="AH5" s="4434"/>
      <c r="AI5" s="4434"/>
      <c r="AJ5" s="4434"/>
      <c r="AK5" s="4434"/>
      <c r="AL5" s="4434"/>
      <c r="AM5" s="4434"/>
      <c r="AN5" s="4434"/>
      <c r="AO5" s="4434"/>
      <c r="AP5" s="4434"/>
      <c r="AQ5" s="4434"/>
      <c r="AR5" s="4434"/>
    </row>
    <row r="6" spans="1:44" ht="16.5" thickBot="1">
      <c r="A6" s="2706"/>
      <c r="B6" s="2707"/>
      <c r="C6" s="2708"/>
      <c r="D6" s="2709"/>
      <c r="E6" s="2710"/>
      <c r="F6" s="2710"/>
      <c r="G6" s="2710"/>
      <c r="H6" s="2711"/>
      <c r="I6" s="2711"/>
      <c r="J6" s="2711"/>
      <c r="K6" s="707"/>
      <c r="L6" s="1622"/>
      <c r="M6" s="1622"/>
      <c r="N6" s="2711"/>
      <c r="O6" s="2711"/>
      <c r="P6" s="2711"/>
      <c r="Q6" s="2711"/>
      <c r="R6" s="2711"/>
      <c r="S6" s="2711"/>
      <c r="T6" s="2711"/>
      <c r="U6" s="2711"/>
      <c r="V6" s="2711"/>
      <c r="W6" s="2712"/>
      <c r="X6" s="2711"/>
      <c r="Y6" s="2711"/>
      <c r="Z6" s="2711"/>
      <c r="AA6" s="2711"/>
      <c r="AB6" s="2711"/>
      <c r="AC6" s="2711"/>
      <c r="AD6" s="2712"/>
      <c r="AE6" s="2711"/>
      <c r="AF6" s="2711"/>
      <c r="AG6" s="2711"/>
      <c r="AH6" s="2711"/>
      <c r="AI6" s="2711"/>
      <c r="AJ6" s="2711"/>
      <c r="AK6" s="2712"/>
      <c r="AL6" s="2711"/>
      <c r="AM6" s="2711"/>
      <c r="AN6" s="2711"/>
      <c r="AO6" s="2711"/>
      <c r="AP6" s="2711"/>
      <c r="AQ6" s="2711"/>
      <c r="AR6" s="2712" t="s">
        <v>194</v>
      </c>
    </row>
    <row r="7" spans="1:44">
      <c r="A7" s="5398" t="s">
        <v>1</v>
      </c>
      <c r="B7" s="5401" t="s">
        <v>195</v>
      </c>
      <c r="C7" s="5383" t="s">
        <v>215</v>
      </c>
      <c r="D7" s="5384"/>
      <c r="E7" s="5384"/>
      <c r="F7" s="5384"/>
      <c r="G7" s="5384"/>
      <c r="H7" s="5384"/>
      <c r="I7" s="5385"/>
      <c r="J7" s="5386" t="s">
        <v>178</v>
      </c>
      <c r="K7" s="5384"/>
      <c r="L7" s="5384"/>
      <c r="M7" s="5384"/>
      <c r="N7" s="5384"/>
      <c r="O7" s="5384"/>
      <c r="P7" s="5387"/>
      <c r="Q7" s="5383" t="s">
        <v>188</v>
      </c>
      <c r="R7" s="5384"/>
      <c r="S7" s="5384"/>
      <c r="T7" s="5384"/>
      <c r="U7" s="5384"/>
      <c r="V7" s="5384"/>
      <c r="W7" s="5385"/>
      <c r="X7" s="5376" t="s">
        <v>1037</v>
      </c>
      <c r="Y7" s="5377"/>
      <c r="Z7" s="5377"/>
      <c r="AA7" s="5377"/>
      <c r="AB7" s="5377"/>
      <c r="AC7" s="5377"/>
      <c r="AD7" s="5378"/>
      <c r="AE7" s="5376" t="s">
        <v>1102</v>
      </c>
      <c r="AF7" s="5377"/>
      <c r="AG7" s="5377"/>
      <c r="AH7" s="5377"/>
      <c r="AI7" s="5377"/>
      <c r="AJ7" s="5377"/>
      <c r="AK7" s="5378"/>
      <c r="AL7" s="5376" t="s">
        <v>1271</v>
      </c>
      <c r="AM7" s="5377"/>
      <c r="AN7" s="5377"/>
      <c r="AO7" s="5377"/>
      <c r="AP7" s="5377"/>
      <c r="AQ7" s="5377"/>
      <c r="AR7" s="5378"/>
    </row>
    <row r="8" spans="1:44" s="3" customFormat="1" thickBot="1">
      <c r="A8" s="5399"/>
      <c r="B8" s="5402"/>
      <c r="C8" s="2713" t="str">
        <f>'Приложение '!C12</f>
        <v>2020 г.</v>
      </c>
      <c r="D8" s="2714" t="str">
        <f>'Приложение '!C13</f>
        <v>2021 г.</v>
      </c>
      <c r="E8" s="2714" t="str">
        <f>'Приложение '!C14</f>
        <v>2022 г.</v>
      </c>
      <c r="F8" s="2714" t="str">
        <f>'Приложение '!C15</f>
        <v>2023 г.</v>
      </c>
      <c r="G8" s="2714" t="str">
        <f>'Приложение '!C16</f>
        <v>2024 г.</v>
      </c>
      <c r="H8" s="2714" t="str">
        <f>'Приложение '!C17</f>
        <v>2025 г.</v>
      </c>
      <c r="I8" s="2715" t="str">
        <f>'Приложение '!C18</f>
        <v>2026 г.</v>
      </c>
      <c r="J8" s="2716" t="str">
        <f>C8</f>
        <v>2020 г.</v>
      </c>
      <c r="K8" s="2714" t="str">
        <f t="shared" ref="K8:AR8" si="0">D8</f>
        <v>2021 г.</v>
      </c>
      <c r="L8" s="2714" t="str">
        <f t="shared" si="0"/>
        <v>2022 г.</v>
      </c>
      <c r="M8" s="2714" t="str">
        <f t="shared" si="0"/>
        <v>2023 г.</v>
      </c>
      <c r="N8" s="2714" t="str">
        <f t="shared" si="0"/>
        <v>2024 г.</v>
      </c>
      <c r="O8" s="2714" t="str">
        <f t="shared" si="0"/>
        <v>2025 г.</v>
      </c>
      <c r="P8" s="4432" t="str">
        <f t="shared" si="0"/>
        <v>2026 г.</v>
      </c>
      <c r="Q8" s="2713" t="str">
        <f t="shared" si="0"/>
        <v>2020 г.</v>
      </c>
      <c r="R8" s="2714" t="str">
        <f t="shared" si="0"/>
        <v>2021 г.</v>
      </c>
      <c r="S8" s="2714" t="str">
        <f t="shared" si="0"/>
        <v>2022 г.</v>
      </c>
      <c r="T8" s="2714" t="str">
        <f t="shared" si="0"/>
        <v>2023 г.</v>
      </c>
      <c r="U8" s="2714" t="str">
        <f t="shared" si="0"/>
        <v>2024 г.</v>
      </c>
      <c r="V8" s="2714" t="str">
        <f t="shared" si="0"/>
        <v>2025 г.</v>
      </c>
      <c r="W8" s="2715" t="str">
        <f t="shared" si="0"/>
        <v>2026 г.</v>
      </c>
      <c r="X8" s="2713" t="str">
        <f t="shared" si="0"/>
        <v>2020 г.</v>
      </c>
      <c r="Y8" s="2714" t="str">
        <f t="shared" si="0"/>
        <v>2021 г.</v>
      </c>
      <c r="Z8" s="2714" t="str">
        <f t="shared" si="0"/>
        <v>2022 г.</v>
      </c>
      <c r="AA8" s="2714" t="str">
        <f t="shared" si="0"/>
        <v>2023 г.</v>
      </c>
      <c r="AB8" s="2714" t="str">
        <f t="shared" si="0"/>
        <v>2024 г.</v>
      </c>
      <c r="AC8" s="2714" t="str">
        <f t="shared" si="0"/>
        <v>2025 г.</v>
      </c>
      <c r="AD8" s="2715" t="str">
        <f t="shared" si="0"/>
        <v>2026 г.</v>
      </c>
      <c r="AE8" s="2713" t="str">
        <f t="shared" si="0"/>
        <v>2020 г.</v>
      </c>
      <c r="AF8" s="2714" t="str">
        <f t="shared" si="0"/>
        <v>2021 г.</v>
      </c>
      <c r="AG8" s="2714" t="str">
        <f t="shared" si="0"/>
        <v>2022 г.</v>
      </c>
      <c r="AH8" s="2714" t="str">
        <f t="shared" si="0"/>
        <v>2023 г.</v>
      </c>
      <c r="AI8" s="2714" t="str">
        <f t="shared" si="0"/>
        <v>2024 г.</v>
      </c>
      <c r="AJ8" s="2714" t="str">
        <f t="shared" si="0"/>
        <v>2025 г.</v>
      </c>
      <c r="AK8" s="2715" t="str">
        <f t="shared" si="0"/>
        <v>2026 г.</v>
      </c>
      <c r="AL8" s="2713" t="str">
        <f t="shared" si="0"/>
        <v>2020 г.</v>
      </c>
      <c r="AM8" s="2714" t="str">
        <f t="shared" si="0"/>
        <v>2021 г.</v>
      </c>
      <c r="AN8" s="2714" t="str">
        <f t="shared" si="0"/>
        <v>2022 г.</v>
      </c>
      <c r="AO8" s="2714" t="str">
        <f t="shared" si="0"/>
        <v>2023 г.</v>
      </c>
      <c r="AP8" s="2714" t="str">
        <f t="shared" si="0"/>
        <v>2024 г.</v>
      </c>
      <c r="AQ8" s="2714" t="str">
        <f t="shared" si="0"/>
        <v>2025 г.</v>
      </c>
      <c r="AR8" s="2715" t="str">
        <f t="shared" si="0"/>
        <v>2026 г.</v>
      </c>
    </row>
    <row r="9" spans="1:44" s="3" customFormat="1" ht="12">
      <c r="A9" s="2717">
        <v>1</v>
      </c>
      <c r="B9" s="2718" t="s">
        <v>337</v>
      </c>
      <c r="C9" s="3843">
        <f>'9.Инвестиционна програма'!F140</f>
        <v>525.65633333333335</v>
      </c>
      <c r="D9" s="3844">
        <f>'9.Инвестиционна програма'!G140</f>
        <v>996.42117962466489</v>
      </c>
      <c r="E9" s="3844">
        <f>'9.Инвестиционна програма'!H140</f>
        <v>1782.44</v>
      </c>
      <c r="F9" s="3844">
        <f>'9.Инвестиционна програма'!I140</f>
        <v>2319.4313333333334</v>
      </c>
      <c r="G9" s="3844">
        <f>'9.Инвестиционна програма'!J140</f>
        <v>631</v>
      </c>
      <c r="H9" s="3844">
        <f>'9.Инвестиционна програма'!K140</f>
        <v>475</v>
      </c>
      <c r="I9" s="3845">
        <f>'9.Инвестиционна програма'!L140</f>
        <v>500.83333333333331</v>
      </c>
      <c r="J9" s="3846">
        <f>'9.Инвестиционна програма'!F141</f>
        <v>145.39033333333333</v>
      </c>
      <c r="K9" s="3844">
        <f>'9.Инвестиционна програма'!G141</f>
        <v>117.86273458445041</v>
      </c>
      <c r="L9" s="3844">
        <f>'9.Инвестиционна програма'!H141</f>
        <v>611.54899999999998</v>
      </c>
      <c r="M9" s="3844">
        <f>'9.Инвестиционна програма'!I141</f>
        <v>2947.7683333333334</v>
      </c>
      <c r="N9" s="3844">
        <f>'9.Инвестиционна програма'!J141</f>
        <v>145.1</v>
      </c>
      <c r="O9" s="3844">
        <f>'9.Инвестиционна програма'!K141</f>
        <v>121.4</v>
      </c>
      <c r="P9" s="3847">
        <f>'9.Инвестиционна програма'!L141</f>
        <v>118.63333333333333</v>
      </c>
      <c r="Q9" s="3843">
        <f>'9.Инвестиционна програма'!F142</f>
        <v>35.25333333333333</v>
      </c>
      <c r="R9" s="3844">
        <f>'9.Инвестиционна програма'!G142</f>
        <v>7.2160857908847182</v>
      </c>
      <c r="S9" s="3844">
        <f>'9.Инвестиционна програма'!H142</f>
        <v>1127.934</v>
      </c>
      <c r="T9" s="3844">
        <f>'9.Инвестиционна програма'!I142</f>
        <v>1143.4583333333333</v>
      </c>
      <c r="U9" s="3844">
        <f>'9.Инвестиционна програма'!J142</f>
        <v>92</v>
      </c>
      <c r="V9" s="3844">
        <f>'9.Инвестиционна програма'!K142</f>
        <v>38.5</v>
      </c>
      <c r="W9" s="3845">
        <f>'9.Инвестиционна програма'!L142</f>
        <v>38.833333333333329</v>
      </c>
      <c r="X9" s="3843">
        <f>'9.Инвестиционна програма'!F143</f>
        <v>0</v>
      </c>
      <c r="Y9" s="3844">
        <f>'9.Инвестиционна програма'!G143</f>
        <v>0</v>
      </c>
      <c r="Z9" s="3844">
        <f>'9.Инвестиционна програма'!H143</f>
        <v>1</v>
      </c>
      <c r="AA9" s="3844">
        <f>'9.Инвестиционна програма'!I143</f>
        <v>1</v>
      </c>
      <c r="AB9" s="3844">
        <f>'9.Инвестиционна програма'!J143</f>
        <v>0</v>
      </c>
      <c r="AC9" s="3844">
        <f>'9.Инвестиционна програма'!K143</f>
        <v>0</v>
      </c>
      <c r="AD9" s="3845">
        <f>'9.Инвестиционна програма'!L143</f>
        <v>0</v>
      </c>
      <c r="AE9" s="3843">
        <f>'9.Инвестиционна програма'!F144</f>
        <v>0</v>
      </c>
      <c r="AF9" s="3844">
        <f>'9.Инвестиционна програма'!G144</f>
        <v>0</v>
      </c>
      <c r="AG9" s="3844">
        <f>'9.Инвестиционна програма'!H144</f>
        <v>0</v>
      </c>
      <c r="AH9" s="3844">
        <f>'9.Инвестиционна програма'!I144</f>
        <v>0</v>
      </c>
      <c r="AI9" s="3844">
        <f>'9.Инвестиционна програма'!J144</f>
        <v>0</v>
      </c>
      <c r="AJ9" s="3844">
        <f>'9.Инвестиционна програма'!K144</f>
        <v>0</v>
      </c>
      <c r="AK9" s="3845">
        <f>'9.Инвестиционна програма'!L144</f>
        <v>0</v>
      </c>
      <c r="AL9" s="3843">
        <f>C9+J9+Q9+X9+AE9</f>
        <v>706.3</v>
      </c>
      <c r="AM9" s="3844">
        <f t="shared" ref="AM9:AR11" si="1">D9+K9+R9+Y9+AF9</f>
        <v>1121.5</v>
      </c>
      <c r="AN9" s="3844">
        <f t="shared" si="1"/>
        <v>3522.9229999999998</v>
      </c>
      <c r="AO9" s="3844">
        <f t="shared" si="1"/>
        <v>6411.6580000000004</v>
      </c>
      <c r="AP9" s="3844">
        <f t="shared" si="1"/>
        <v>868.1</v>
      </c>
      <c r="AQ9" s="3844">
        <f t="shared" si="1"/>
        <v>634.9</v>
      </c>
      <c r="AR9" s="3845">
        <f t="shared" si="1"/>
        <v>658.30000000000007</v>
      </c>
    </row>
    <row r="10" spans="1:44" s="710" customFormat="1" ht="12">
      <c r="A10" s="2719" t="s">
        <v>469</v>
      </c>
      <c r="B10" s="2720" t="s">
        <v>947</v>
      </c>
      <c r="C10" s="3848">
        <f>'9.Инвестиционна програма'!F147</f>
        <v>39.397999999999996</v>
      </c>
      <c r="D10" s="3849">
        <f>'9.Инвестиционна програма'!G147</f>
        <v>441.17050938337803</v>
      </c>
      <c r="E10" s="3849">
        <f>'9.Инвестиционна програма'!H147</f>
        <v>213.33333333333334</v>
      </c>
      <c r="F10" s="3849">
        <f>'9.Инвестиционна програма'!I147</f>
        <v>223.66666666666666</v>
      </c>
      <c r="G10" s="3849">
        <f>'9.Инвестиционна програма'!J147</f>
        <v>232.83333333333334</v>
      </c>
      <c r="H10" s="3849">
        <f>'9.Инвестиционна програма'!K147</f>
        <v>226.33333333333334</v>
      </c>
      <c r="I10" s="3850">
        <f>'9.Инвестиционна програма'!L147</f>
        <v>252.16666666666666</v>
      </c>
      <c r="J10" s="3851">
        <f>'9.Инвестиционна програма'!F148</f>
        <v>85.709000000000003</v>
      </c>
      <c r="K10" s="3849">
        <f>'9.Инвестиционна програма'!G148</f>
        <v>16.031635388739947</v>
      </c>
      <c r="L10" s="3849">
        <f>'9.Инвестиционна програма'!H148</f>
        <v>74.333333333333343</v>
      </c>
      <c r="M10" s="3849">
        <f>'9.Инвестиционна програма'!I148</f>
        <v>83.166666666666657</v>
      </c>
      <c r="N10" s="3849">
        <f>'9.Инвестиционна програма'!J148</f>
        <v>87.833333333333329</v>
      </c>
      <c r="O10" s="3849">
        <f>'9.Инвестиционна програма'!K148</f>
        <v>69.833333333333329</v>
      </c>
      <c r="P10" s="3852">
        <f>'9.Инвестиционна програма'!L148</f>
        <v>65.666666666666671</v>
      </c>
      <c r="Q10" s="3835">
        <f>'9.Инвестиционна програма'!F149</f>
        <v>16.675999999999998</v>
      </c>
      <c r="R10" s="3836">
        <f>'9.Инвестиционна програма'!G149</f>
        <v>0.79785522788203755</v>
      </c>
      <c r="S10" s="3836">
        <f>'9.Инвестиционна програма'!H149</f>
        <v>15.333333333333337</v>
      </c>
      <c r="T10" s="3836">
        <f>'9.Инвестиционна програма'!I149</f>
        <v>17.066666666666663</v>
      </c>
      <c r="U10" s="3836">
        <f>'9.Инвестиционна програма'!J149</f>
        <v>17.333333333333332</v>
      </c>
      <c r="V10" s="3836">
        <f>'9.Инвестиционна програма'!K149</f>
        <v>14.833333333333332</v>
      </c>
      <c r="W10" s="3837">
        <f>'9.Инвестиционна програма'!L149</f>
        <v>15.166666666666666</v>
      </c>
      <c r="X10" s="3835">
        <f>'9.Инвестиционна програма'!F150</f>
        <v>0</v>
      </c>
      <c r="Y10" s="3836">
        <f>'9.Инвестиционна програма'!G150</f>
        <v>0</v>
      </c>
      <c r="Z10" s="3836">
        <f>'9.Инвестиционна програма'!H150</f>
        <v>1</v>
      </c>
      <c r="AA10" s="3836">
        <f>'9.Инвестиционна програма'!I150</f>
        <v>1</v>
      </c>
      <c r="AB10" s="3836">
        <f>'9.Инвестиционна програма'!J150</f>
        <v>0</v>
      </c>
      <c r="AC10" s="3836">
        <f>'9.Инвестиционна програма'!K150</f>
        <v>0</v>
      </c>
      <c r="AD10" s="3837">
        <f>'9.Инвестиционна програма'!L150</f>
        <v>0</v>
      </c>
      <c r="AE10" s="3835">
        <f>'9.Инвестиционна програма'!F151</f>
        <v>0</v>
      </c>
      <c r="AF10" s="3836">
        <f>'9.Инвестиционна програма'!G151</f>
        <v>0</v>
      </c>
      <c r="AG10" s="3836">
        <f>'9.Инвестиционна програма'!H151</f>
        <v>0</v>
      </c>
      <c r="AH10" s="3836">
        <f>'9.Инвестиционна програма'!I151</f>
        <v>0</v>
      </c>
      <c r="AI10" s="3836">
        <f>'9.Инвестиционна програма'!J151</f>
        <v>0</v>
      </c>
      <c r="AJ10" s="3836">
        <f>'9.Инвестиционна програма'!K151</f>
        <v>0</v>
      </c>
      <c r="AK10" s="3837">
        <f>'9.Инвестиционна програма'!L151</f>
        <v>0</v>
      </c>
      <c r="AL10" s="3835">
        <f>C10+J10+Q10+X10+AE10</f>
        <v>141.78299999999999</v>
      </c>
      <c r="AM10" s="3836">
        <f t="shared" si="1"/>
        <v>458.00000000000006</v>
      </c>
      <c r="AN10" s="3836">
        <f t="shared" si="1"/>
        <v>304</v>
      </c>
      <c r="AO10" s="3836">
        <f t="shared" si="1"/>
        <v>324.89999999999998</v>
      </c>
      <c r="AP10" s="3836">
        <f t="shared" si="1"/>
        <v>338</v>
      </c>
      <c r="AQ10" s="3836">
        <f t="shared" si="1"/>
        <v>311</v>
      </c>
      <c r="AR10" s="3837">
        <f t="shared" si="1"/>
        <v>333</v>
      </c>
    </row>
    <row r="11" spans="1:44" s="710" customFormat="1" thickBot="1">
      <c r="A11" s="2721" t="s">
        <v>471</v>
      </c>
      <c r="B11" s="2722" t="s">
        <v>946</v>
      </c>
      <c r="C11" s="3853">
        <f>'9.Инвестиционна програма'!F153</f>
        <v>486.25833333333333</v>
      </c>
      <c r="D11" s="3854">
        <f>'9.Инвестиционна програма'!G153</f>
        <v>555.2506702412868</v>
      </c>
      <c r="E11" s="3854">
        <f>'9.Инвестиционна програма'!H153</f>
        <v>1569.1066666666668</v>
      </c>
      <c r="F11" s="3854">
        <f>'9.Инвестиционна програма'!I153</f>
        <v>2095.7646666666669</v>
      </c>
      <c r="G11" s="3854">
        <f>'9.Инвестиционна програма'!J153</f>
        <v>398.16666666666663</v>
      </c>
      <c r="H11" s="3854">
        <f>'9.Инвестиционна програма'!K153</f>
        <v>248.66666666666666</v>
      </c>
      <c r="I11" s="3855">
        <f>'9.Инвестиционна програма'!L153</f>
        <v>248.66666666666666</v>
      </c>
      <c r="J11" s="3838">
        <f>'9.Инвестиционна програма'!F154</f>
        <v>59.681333333333328</v>
      </c>
      <c r="K11" s="3839">
        <f>'9.Инвестиционна програма'!G154</f>
        <v>101.83109919571046</v>
      </c>
      <c r="L11" s="3839">
        <f>'9.Инвестиционна програма'!H154</f>
        <v>537.21566666666661</v>
      </c>
      <c r="M11" s="3839">
        <f>'9.Инвестиционна програма'!I154</f>
        <v>2864.6016666666669</v>
      </c>
      <c r="N11" s="3839">
        <f>'9.Инвестиционна програма'!J154</f>
        <v>57.266666666666666</v>
      </c>
      <c r="O11" s="3839">
        <f>'9.Инвестиционна програма'!K154</f>
        <v>51.566666666666677</v>
      </c>
      <c r="P11" s="3840">
        <f>'9.Инвестиционна програма'!L154</f>
        <v>52.966666666666654</v>
      </c>
      <c r="Q11" s="3841">
        <f>'9.Инвестиционна програма'!F155</f>
        <v>18.577333333333332</v>
      </c>
      <c r="R11" s="3839">
        <f>'9.Инвестиционна програма'!G155</f>
        <v>6.4182305630026804</v>
      </c>
      <c r="S11" s="3839">
        <f>'9.Инвестиционна програма'!H155</f>
        <v>1112.6006666666667</v>
      </c>
      <c r="T11" s="3839">
        <f>'9.Инвестиционна програма'!I155</f>
        <v>1126.3916666666667</v>
      </c>
      <c r="U11" s="3839">
        <f>'9.Инвестиционна програма'!J155</f>
        <v>74.666666666666671</v>
      </c>
      <c r="V11" s="3839">
        <f>'9.Инвестиционна програма'!K155</f>
        <v>23.666666666666668</v>
      </c>
      <c r="W11" s="3842">
        <f>'9.Инвестиционна програма'!L155</f>
        <v>23.666666666666664</v>
      </c>
      <c r="X11" s="3841">
        <f>'9.Инвестиционна програма'!F156</f>
        <v>0</v>
      </c>
      <c r="Y11" s="3839">
        <f>'9.Инвестиционна програма'!G156</f>
        <v>0</v>
      </c>
      <c r="Z11" s="3839">
        <f>'9.Инвестиционна програма'!H156</f>
        <v>0</v>
      </c>
      <c r="AA11" s="3839">
        <f>'9.Инвестиционна програма'!I156</f>
        <v>0</v>
      </c>
      <c r="AB11" s="3839">
        <f>'9.Инвестиционна програма'!J156</f>
        <v>0</v>
      </c>
      <c r="AC11" s="3839">
        <f>'9.Инвестиционна програма'!K156</f>
        <v>0</v>
      </c>
      <c r="AD11" s="3842">
        <f>'9.Инвестиционна програма'!L156</f>
        <v>0</v>
      </c>
      <c r="AE11" s="3841">
        <f>'9.Инвестиционна програма'!F157</f>
        <v>0</v>
      </c>
      <c r="AF11" s="3839">
        <f>'9.Инвестиционна програма'!G157</f>
        <v>0</v>
      </c>
      <c r="AG11" s="3839">
        <f>'9.Инвестиционна програма'!H157</f>
        <v>0</v>
      </c>
      <c r="AH11" s="3839">
        <f>'9.Инвестиционна програма'!I157</f>
        <v>0</v>
      </c>
      <c r="AI11" s="3839">
        <f>'9.Инвестиционна програма'!J157</f>
        <v>0</v>
      </c>
      <c r="AJ11" s="3839">
        <f>'9.Инвестиционна програма'!K157</f>
        <v>0</v>
      </c>
      <c r="AK11" s="3842">
        <f>'9.Инвестиционна програма'!L157</f>
        <v>0</v>
      </c>
      <c r="AL11" s="3841">
        <f t="shared" ref="AL11" si="2">C11+J11+Q11+X11+AE11</f>
        <v>564.51699999999994</v>
      </c>
      <c r="AM11" s="3839">
        <f t="shared" si="1"/>
        <v>663.5</v>
      </c>
      <c r="AN11" s="3839">
        <f t="shared" si="1"/>
        <v>3218.9230000000002</v>
      </c>
      <c r="AO11" s="3839">
        <f t="shared" si="1"/>
        <v>6086.7579999999998</v>
      </c>
      <c r="AP11" s="3839">
        <f t="shared" si="1"/>
        <v>530.09999999999991</v>
      </c>
      <c r="AQ11" s="3839">
        <f t="shared" si="1"/>
        <v>323.90000000000003</v>
      </c>
      <c r="AR11" s="3842">
        <f t="shared" si="1"/>
        <v>325.3</v>
      </c>
    </row>
    <row r="12" spans="1:44" s="711" customFormat="1" ht="13.5" thickBot="1">
      <c r="A12" s="2723"/>
      <c r="B12" s="2724"/>
      <c r="C12" s="3856"/>
      <c r="D12" s="2725"/>
      <c r="E12" s="2725"/>
      <c r="F12" s="2725"/>
      <c r="G12" s="2725"/>
      <c r="H12" s="2725"/>
      <c r="I12" s="2725"/>
      <c r="J12" s="3857"/>
      <c r="K12" s="712"/>
      <c r="L12" s="3858"/>
      <c r="M12" s="3858"/>
      <c r="N12" s="3857"/>
      <c r="O12" s="3857"/>
      <c r="P12" s="3857"/>
      <c r="Q12" s="3857"/>
      <c r="R12" s="3857"/>
      <c r="S12" s="3857"/>
      <c r="T12" s="3857"/>
      <c r="U12" s="3857"/>
      <c r="V12" s="3857"/>
      <c r="W12" s="3857"/>
      <c r="X12" s="3857"/>
      <c r="Y12" s="3857"/>
      <c r="Z12" s="3857"/>
      <c r="AA12" s="3857"/>
      <c r="AB12" s="3857"/>
      <c r="AC12" s="3857"/>
      <c r="AD12" s="3857"/>
      <c r="AE12" s="3857"/>
      <c r="AF12" s="3857"/>
      <c r="AG12" s="3857"/>
      <c r="AH12" s="3857"/>
      <c r="AI12" s="3857"/>
      <c r="AJ12" s="3857"/>
      <c r="AK12" s="3857"/>
      <c r="AL12" s="3857"/>
      <c r="AM12" s="3857"/>
      <c r="AN12" s="3857"/>
      <c r="AO12" s="3857"/>
      <c r="AP12" s="3857"/>
      <c r="AQ12" s="3857"/>
      <c r="AR12" s="3857"/>
    </row>
    <row r="13" spans="1:44" s="713" customFormat="1">
      <c r="A13" s="4435">
        <v>2</v>
      </c>
      <c r="B13" s="2718" t="s">
        <v>336</v>
      </c>
      <c r="C13" s="2726">
        <f>C14+C17</f>
        <v>525.65633333333324</v>
      </c>
      <c r="D13" s="2727">
        <f t="shared" ref="D13:AR13" si="3">D14+D17</f>
        <v>996.42117962466477</v>
      </c>
      <c r="E13" s="2727">
        <f t="shared" si="3"/>
        <v>1782.4399999999998</v>
      </c>
      <c r="F13" s="2727">
        <f t="shared" si="3"/>
        <v>2319.4313333333334</v>
      </c>
      <c r="G13" s="2727">
        <f t="shared" si="3"/>
        <v>631</v>
      </c>
      <c r="H13" s="2727">
        <f t="shared" si="3"/>
        <v>475</v>
      </c>
      <c r="I13" s="2728">
        <f t="shared" si="3"/>
        <v>500.83333333333331</v>
      </c>
      <c r="J13" s="2729">
        <f t="shared" si="3"/>
        <v>145.39033333333333</v>
      </c>
      <c r="K13" s="2727">
        <f t="shared" si="3"/>
        <v>117.86273458445041</v>
      </c>
      <c r="L13" s="2727">
        <f t="shared" si="3"/>
        <v>611.54899999999998</v>
      </c>
      <c r="M13" s="2727">
        <f t="shared" si="3"/>
        <v>2947.768333333333</v>
      </c>
      <c r="N13" s="2727">
        <f t="shared" si="3"/>
        <v>145.1</v>
      </c>
      <c r="O13" s="2727">
        <f t="shared" si="3"/>
        <v>121.4</v>
      </c>
      <c r="P13" s="2730">
        <f t="shared" si="3"/>
        <v>118.63333333333333</v>
      </c>
      <c r="Q13" s="2726">
        <f t="shared" si="3"/>
        <v>35.25333333333333</v>
      </c>
      <c r="R13" s="2727">
        <f t="shared" si="3"/>
        <v>7.2160857908847182</v>
      </c>
      <c r="S13" s="2727">
        <f t="shared" si="3"/>
        <v>1127.9339999999997</v>
      </c>
      <c r="T13" s="2727">
        <f t="shared" si="3"/>
        <v>1143.4583333333333</v>
      </c>
      <c r="U13" s="2727">
        <f t="shared" si="3"/>
        <v>92</v>
      </c>
      <c r="V13" s="2727">
        <f t="shared" si="3"/>
        <v>38.5</v>
      </c>
      <c r="W13" s="2728">
        <f t="shared" si="3"/>
        <v>38.833333333333329</v>
      </c>
      <c r="X13" s="2726">
        <f t="shared" si="3"/>
        <v>0</v>
      </c>
      <c r="Y13" s="2727">
        <f t="shared" si="3"/>
        <v>0</v>
      </c>
      <c r="Z13" s="2727">
        <f t="shared" si="3"/>
        <v>1</v>
      </c>
      <c r="AA13" s="2727">
        <f t="shared" si="3"/>
        <v>1</v>
      </c>
      <c r="AB13" s="2727">
        <f t="shared" si="3"/>
        <v>0</v>
      </c>
      <c r="AC13" s="2727">
        <f t="shared" si="3"/>
        <v>0</v>
      </c>
      <c r="AD13" s="2728">
        <f t="shared" si="3"/>
        <v>0</v>
      </c>
      <c r="AE13" s="2726">
        <f t="shared" si="3"/>
        <v>0</v>
      </c>
      <c r="AF13" s="2727">
        <f t="shared" si="3"/>
        <v>0</v>
      </c>
      <c r="AG13" s="2727">
        <f t="shared" si="3"/>
        <v>0</v>
      </c>
      <c r="AH13" s="2727">
        <f t="shared" si="3"/>
        <v>0</v>
      </c>
      <c r="AI13" s="2727">
        <f t="shared" si="3"/>
        <v>0</v>
      </c>
      <c r="AJ13" s="2727">
        <f t="shared" si="3"/>
        <v>0</v>
      </c>
      <c r="AK13" s="2728">
        <f t="shared" si="3"/>
        <v>0</v>
      </c>
      <c r="AL13" s="2726">
        <f t="shared" si="3"/>
        <v>706.29999999999984</v>
      </c>
      <c r="AM13" s="2727">
        <f t="shared" si="3"/>
        <v>1121.5</v>
      </c>
      <c r="AN13" s="2727">
        <f t="shared" si="3"/>
        <v>3522.9229999999998</v>
      </c>
      <c r="AO13" s="2727">
        <f t="shared" si="3"/>
        <v>6411.6579999999994</v>
      </c>
      <c r="AP13" s="2727">
        <f t="shared" si="3"/>
        <v>868.09999999999991</v>
      </c>
      <c r="AQ13" s="2727">
        <f t="shared" si="3"/>
        <v>634.90000000000009</v>
      </c>
      <c r="AR13" s="2728">
        <f t="shared" si="3"/>
        <v>658.3</v>
      </c>
    </row>
    <row r="14" spans="1:44" s="714" customFormat="1">
      <c r="A14" s="2731" t="s">
        <v>483</v>
      </c>
      <c r="B14" s="2732" t="s">
        <v>956</v>
      </c>
      <c r="C14" s="3859">
        <f>C15+C16</f>
        <v>39.397999999999996</v>
      </c>
      <c r="D14" s="3860">
        <f t="shared" ref="D14:AK14" si="4">D15+D16</f>
        <v>441.17050938337803</v>
      </c>
      <c r="E14" s="3860">
        <f t="shared" si="4"/>
        <v>213.33333333333334</v>
      </c>
      <c r="F14" s="3860">
        <f t="shared" si="4"/>
        <v>223.66666666666666</v>
      </c>
      <c r="G14" s="3860">
        <f t="shared" si="4"/>
        <v>232.83333333333334</v>
      </c>
      <c r="H14" s="3860">
        <f t="shared" si="4"/>
        <v>226.33333333333334</v>
      </c>
      <c r="I14" s="3861">
        <f t="shared" si="4"/>
        <v>252.16666666666666</v>
      </c>
      <c r="J14" s="3862">
        <f t="shared" si="4"/>
        <v>85.709000000000003</v>
      </c>
      <c r="K14" s="3860">
        <f t="shared" si="4"/>
        <v>16.031635388739947</v>
      </c>
      <c r="L14" s="3860">
        <f t="shared" si="4"/>
        <v>74.333333333333329</v>
      </c>
      <c r="M14" s="3860">
        <f t="shared" si="4"/>
        <v>83.166666666666657</v>
      </c>
      <c r="N14" s="3860">
        <f t="shared" si="4"/>
        <v>87.833333333333329</v>
      </c>
      <c r="O14" s="3860">
        <f t="shared" si="4"/>
        <v>69.833333333333329</v>
      </c>
      <c r="P14" s="3863">
        <f t="shared" si="4"/>
        <v>65.666666666666671</v>
      </c>
      <c r="Q14" s="3859">
        <f t="shared" si="4"/>
        <v>16.675999999999998</v>
      </c>
      <c r="R14" s="3860">
        <f t="shared" si="4"/>
        <v>0.79785522788203755</v>
      </c>
      <c r="S14" s="3860">
        <f t="shared" si="4"/>
        <v>15.333333333333332</v>
      </c>
      <c r="T14" s="3860">
        <f t="shared" si="4"/>
        <v>17.066666666666663</v>
      </c>
      <c r="U14" s="3860">
        <f t="shared" si="4"/>
        <v>17.333333333333332</v>
      </c>
      <c r="V14" s="3860">
        <f t="shared" si="4"/>
        <v>14.833333333333332</v>
      </c>
      <c r="W14" s="3861">
        <f t="shared" si="4"/>
        <v>15.166666666666666</v>
      </c>
      <c r="X14" s="3859">
        <f t="shared" si="4"/>
        <v>0</v>
      </c>
      <c r="Y14" s="3860">
        <f t="shared" si="4"/>
        <v>0</v>
      </c>
      <c r="Z14" s="3860">
        <f t="shared" si="4"/>
        <v>1</v>
      </c>
      <c r="AA14" s="3860">
        <f t="shared" si="4"/>
        <v>1</v>
      </c>
      <c r="AB14" s="3860">
        <f t="shared" si="4"/>
        <v>0</v>
      </c>
      <c r="AC14" s="3860">
        <f t="shared" si="4"/>
        <v>0</v>
      </c>
      <c r="AD14" s="3861">
        <f t="shared" si="4"/>
        <v>0</v>
      </c>
      <c r="AE14" s="3859">
        <f t="shared" si="4"/>
        <v>0</v>
      </c>
      <c r="AF14" s="3860">
        <f t="shared" si="4"/>
        <v>0</v>
      </c>
      <c r="AG14" s="3860">
        <f t="shared" si="4"/>
        <v>0</v>
      </c>
      <c r="AH14" s="3860">
        <f t="shared" si="4"/>
        <v>0</v>
      </c>
      <c r="AI14" s="3860">
        <f t="shared" si="4"/>
        <v>0</v>
      </c>
      <c r="AJ14" s="3860">
        <f t="shared" si="4"/>
        <v>0</v>
      </c>
      <c r="AK14" s="3861">
        <f t="shared" si="4"/>
        <v>0</v>
      </c>
      <c r="AL14" s="3859">
        <f>AL15+AL16</f>
        <v>141.78299999999999</v>
      </c>
      <c r="AM14" s="3860">
        <f t="shared" ref="AM14:AR14" si="5">AM15+AM16</f>
        <v>458.00000000000006</v>
      </c>
      <c r="AN14" s="3860">
        <f t="shared" si="5"/>
        <v>304</v>
      </c>
      <c r="AO14" s="3860">
        <f t="shared" si="5"/>
        <v>324.89999999999998</v>
      </c>
      <c r="AP14" s="3860">
        <f t="shared" si="5"/>
        <v>338</v>
      </c>
      <c r="AQ14" s="3860">
        <f t="shared" si="5"/>
        <v>311</v>
      </c>
      <c r="AR14" s="3861">
        <f t="shared" si="5"/>
        <v>333</v>
      </c>
    </row>
    <row r="15" spans="1:44" s="709" customFormat="1">
      <c r="A15" s="2733" t="s">
        <v>961</v>
      </c>
      <c r="B15" s="2720" t="s">
        <v>957</v>
      </c>
      <c r="C15" s="3848">
        <f>'9.Инвестиционна програма'!N147</f>
        <v>39.397999999999996</v>
      </c>
      <c r="D15" s="3849">
        <f>'9.Инвестиционна програма'!O147</f>
        <v>441.17050938337803</v>
      </c>
      <c r="E15" s="3849">
        <f>'9.Инвестиционна програма'!P147</f>
        <v>213.33333333333334</v>
      </c>
      <c r="F15" s="3849">
        <f>'9.Инвестиционна програма'!Q147</f>
        <v>223.66666666666666</v>
      </c>
      <c r="G15" s="3849">
        <f>'9.Инвестиционна програма'!R147</f>
        <v>232.83333333333334</v>
      </c>
      <c r="H15" s="3849">
        <f>'9.Инвестиционна програма'!S147</f>
        <v>226.33333333333334</v>
      </c>
      <c r="I15" s="3850">
        <f>'9.Инвестиционна програма'!T147</f>
        <v>252.16666666666666</v>
      </c>
      <c r="J15" s="3851">
        <f>'9.Инвестиционна програма'!N148</f>
        <v>85.709000000000003</v>
      </c>
      <c r="K15" s="3849">
        <f>'9.Инвестиционна програма'!O148</f>
        <v>16.031635388739947</v>
      </c>
      <c r="L15" s="3849">
        <f>'9.Инвестиционна програма'!P148</f>
        <v>74.333333333333329</v>
      </c>
      <c r="M15" s="3849">
        <f>'9.Инвестиционна програма'!Q148</f>
        <v>83.166666666666657</v>
      </c>
      <c r="N15" s="3849">
        <f>'9.Инвестиционна програма'!R148</f>
        <v>87.833333333333329</v>
      </c>
      <c r="O15" s="3849">
        <f>'9.Инвестиционна програма'!S148</f>
        <v>69.833333333333329</v>
      </c>
      <c r="P15" s="3852">
        <f>'9.Инвестиционна програма'!T148</f>
        <v>65.666666666666671</v>
      </c>
      <c r="Q15" s="3848">
        <f>'9.Инвестиционна програма'!N149</f>
        <v>16.675999999999998</v>
      </c>
      <c r="R15" s="3849">
        <f>'9.Инвестиционна програма'!O149</f>
        <v>0.79785522788203755</v>
      </c>
      <c r="S15" s="3849">
        <f>'9.Инвестиционна програма'!P149</f>
        <v>15.333333333333332</v>
      </c>
      <c r="T15" s="3849">
        <f>'9.Инвестиционна програма'!Q149</f>
        <v>17.066666666666663</v>
      </c>
      <c r="U15" s="3849">
        <f>'9.Инвестиционна програма'!R149</f>
        <v>17.333333333333332</v>
      </c>
      <c r="V15" s="3849">
        <f>'9.Инвестиционна програма'!S149</f>
        <v>14.833333333333332</v>
      </c>
      <c r="W15" s="3850">
        <f>'9.Инвестиционна програма'!T149</f>
        <v>15.166666666666666</v>
      </c>
      <c r="X15" s="3848">
        <f>'9.Инвестиционна програма'!N150</f>
        <v>0</v>
      </c>
      <c r="Y15" s="3849">
        <f>'9.Инвестиционна програма'!O150</f>
        <v>0</v>
      </c>
      <c r="Z15" s="3849">
        <f>'9.Инвестиционна програма'!P150</f>
        <v>1</v>
      </c>
      <c r="AA15" s="3849">
        <f>'9.Инвестиционна програма'!Q150</f>
        <v>1</v>
      </c>
      <c r="AB15" s="3849">
        <f>'9.Инвестиционна програма'!R150</f>
        <v>0</v>
      </c>
      <c r="AC15" s="3849">
        <f>'9.Инвестиционна програма'!S150</f>
        <v>0</v>
      </c>
      <c r="AD15" s="3850">
        <f>'9.Инвестиционна програма'!T150</f>
        <v>0</v>
      </c>
      <c r="AE15" s="3848">
        <f>'9.Инвестиционна програма'!N151</f>
        <v>0</v>
      </c>
      <c r="AF15" s="3849">
        <f>'9.Инвестиционна програма'!O151</f>
        <v>0</v>
      </c>
      <c r="AG15" s="3849">
        <f>'9.Инвестиционна програма'!P151</f>
        <v>0</v>
      </c>
      <c r="AH15" s="3849">
        <f>'9.Инвестиционна програма'!Q151</f>
        <v>0</v>
      </c>
      <c r="AI15" s="3849">
        <f>'9.Инвестиционна програма'!R151</f>
        <v>0</v>
      </c>
      <c r="AJ15" s="3849">
        <f>'9.Инвестиционна програма'!S151</f>
        <v>0</v>
      </c>
      <c r="AK15" s="3850">
        <f>'9.Инвестиционна програма'!T151</f>
        <v>0</v>
      </c>
      <c r="AL15" s="3848">
        <f>C15+J15+Q15+X15+AE15</f>
        <v>141.78299999999999</v>
      </c>
      <c r="AM15" s="3849">
        <f t="shared" ref="AM15:AR16" si="6">D15+K15+R15+Y15+AF15</f>
        <v>458.00000000000006</v>
      </c>
      <c r="AN15" s="3849">
        <f t="shared" si="6"/>
        <v>304</v>
      </c>
      <c r="AO15" s="3849">
        <f t="shared" si="6"/>
        <v>324.89999999999998</v>
      </c>
      <c r="AP15" s="3849">
        <f t="shared" si="6"/>
        <v>338</v>
      </c>
      <c r="AQ15" s="3849">
        <f t="shared" si="6"/>
        <v>311</v>
      </c>
      <c r="AR15" s="3850">
        <f t="shared" si="6"/>
        <v>333</v>
      </c>
    </row>
    <row r="16" spans="1:44" s="709" customFormat="1">
      <c r="A16" s="2734" t="s">
        <v>962</v>
      </c>
      <c r="B16" s="2735" t="s">
        <v>958</v>
      </c>
      <c r="C16" s="3864">
        <f>'9.Инвестиционна програма'!U147+'9.Инвестиционна програма'!AB147</f>
        <v>0</v>
      </c>
      <c r="D16" s="3865">
        <f>'9.Инвестиционна програма'!V147+'9.Инвестиционна програма'!AC147</f>
        <v>0</v>
      </c>
      <c r="E16" s="3865">
        <f>'9.Инвестиционна програма'!W147+'9.Инвестиционна програма'!AD147</f>
        <v>0</v>
      </c>
      <c r="F16" s="3865">
        <f>'9.Инвестиционна програма'!X147+'9.Инвестиционна програма'!AE147</f>
        <v>0</v>
      </c>
      <c r="G16" s="3865">
        <f>'9.Инвестиционна програма'!Y147+'9.Инвестиционна програма'!AF147</f>
        <v>0</v>
      </c>
      <c r="H16" s="3865">
        <f>'9.Инвестиционна програма'!Z147+'9.Инвестиционна програма'!AG147</f>
        <v>0</v>
      </c>
      <c r="I16" s="3866">
        <f>'9.Инвестиционна програма'!AA147+'9.Инвестиционна програма'!AH147</f>
        <v>0</v>
      </c>
      <c r="J16" s="3867">
        <f>'9.Инвестиционна програма'!U148+'9.Инвестиционна програма'!AB148</f>
        <v>0</v>
      </c>
      <c r="K16" s="3865">
        <f>'9.Инвестиционна програма'!V148+'9.Инвестиционна програма'!AC148</f>
        <v>0</v>
      </c>
      <c r="L16" s="3865">
        <f>'9.Инвестиционна програма'!W148+'9.Инвестиционна програма'!AD148</f>
        <v>0</v>
      </c>
      <c r="M16" s="3865">
        <f>'9.Инвестиционна програма'!X148+'9.Инвестиционна програма'!AE148</f>
        <v>0</v>
      </c>
      <c r="N16" s="3865">
        <f>'9.Инвестиционна програма'!Y148+'9.Инвестиционна програма'!AF148</f>
        <v>0</v>
      </c>
      <c r="O16" s="3865">
        <f>'9.Инвестиционна програма'!Z148+'9.Инвестиционна програма'!AG148</f>
        <v>0</v>
      </c>
      <c r="P16" s="3868">
        <f>'9.Инвестиционна програма'!AA148+'9.Инвестиционна програма'!AH148</f>
        <v>0</v>
      </c>
      <c r="Q16" s="3864">
        <f>'9.Инвестиционна програма'!U149+'9.Инвестиционна програма'!AB149</f>
        <v>0</v>
      </c>
      <c r="R16" s="3865">
        <f>'9.Инвестиционна програма'!V149+'9.Инвестиционна програма'!AC149</f>
        <v>0</v>
      </c>
      <c r="S16" s="3865">
        <f>'9.Инвестиционна програма'!W149+'9.Инвестиционна програма'!AD149</f>
        <v>0</v>
      </c>
      <c r="T16" s="3865">
        <f>'9.Инвестиционна програма'!X149+'9.Инвестиционна програма'!AE149</f>
        <v>0</v>
      </c>
      <c r="U16" s="3865">
        <f>'9.Инвестиционна програма'!Y149+'9.Инвестиционна програма'!AF149</f>
        <v>0</v>
      </c>
      <c r="V16" s="3865">
        <f>'9.Инвестиционна програма'!Z149+'9.Инвестиционна програма'!AG149</f>
        <v>0</v>
      </c>
      <c r="W16" s="3866">
        <f>'9.Инвестиционна програма'!AA149+'9.Инвестиционна програма'!AH149</f>
        <v>0</v>
      </c>
      <c r="X16" s="3864">
        <f>'9.Инвестиционна програма'!U150+'9.Инвестиционна програма'!AB150</f>
        <v>0</v>
      </c>
      <c r="Y16" s="3865">
        <f>'9.Инвестиционна програма'!V150+'9.Инвестиционна програма'!AC150</f>
        <v>0</v>
      </c>
      <c r="Z16" s="3865">
        <f>'9.Инвестиционна програма'!W150+'9.Инвестиционна програма'!AD150</f>
        <v>0</v>
      </c>
      <c r="AA16" s="3865">
        <f>'9.Инвестиционна програма'!X150+'9.Инвестиционна програма'!AE150</f>
        <v>0</v>
      </c>
      <c r="AB16" s="3865">
        <f>'9.Инвестиционна програма'!Y150+'9.Инвестиционна програма'!AF150</f>
        <v>0</v>
      </c>
      <c r="AC16" s="3865">
        <f>'9.Инвестиционна програма'!Z150+'9.Инвестиционна програма'!AG150</f>
        <v>0</v>
      </c>
      <c r="AD16" s="3866">
        <f>'9.Инвестиционна програма'!AA150+'9.Инвестиционна програма'!AH150</f>
        <v>0</v>
      </c>
      <c r="AE16" s="3864">
        <f>'9.Инвестиционна програма'!U151+'9.Инвестиционна програма'!AB151</f>
        <v>0</v>
      </c>
      <c r="AF16" s="3865">
        <f>'9.Инвестиционна програма'!V151+'9.Инвестиционна програма'!AC151</f>
        <v>0</v>
      </c>
      <c r="AG16" s="3865">
        <f>'9.Инвестиционна програма'!W151+'9.Инвестиционна програма'!AD151</f>
        <v>0</v>
      </c>
      <c r="AH16" s="3865">
        <f>'9.Инвестиционна програма'!X151+'9.Инвестиционна програма'!AE151</f>
        <v>0</v>
      </c>
      <c r="AI16" s="3865">
        <f>'9.Инвестиционна програма'!Y151+'9.Инвестиционна програма'!AF151</f>
        <v>0</v>
      </c>
      <c r="AJ16" s="3865">
        <f>'9.Инвестиционна програма'!Z151+'9.Инвестиционна програма'!AG151</f>
        <v>0</v>
      </c>
      <c r="AK16" s="3866">
        <f>'9.Инвестиционна програма'!AA151+'9.Инвестиционна програма'!AH151</f>
        <v>0</v>
      </c>
      <c r="AL16" s="3864">
        <f t="shared" ref="AL16" si="7">C16+J16+Q16+X16+AE16</f>
        <v>0</v>
      </c>
      <c r="AM16" s="3865">
        <f t="shared" si="6"/>
        <v>0</v>
      </c>
      <c r="AN16" s="3865">
        <f t="shared" si="6"/>
        <v>0</v>
      </c>
      <c r="AO16" s="3865">
        <f t="shared" si="6"/>
        <v>0</v>
      </c>
      <c r="AP16" s="3865">
        <f t="shared" si="6"/>
        <v>0</v>
      </c>
      <c r="AQ16" s="3865">
        <f t="shared" si="6"/>
        <v>0</v>
      </c>
      <c r="AR16" s="3866">
        <f t="shared" si="6"/>
        <v>0</v>
      </c>
    </row>
    <row r="17" spans="1:44" s="714" customFormat="1">
      <c r="A17" s="2731" t="s">
        <v>485</v>
      </c>
      <c r="B17" s="2732" t="s">
        <v>959</v>
      </c>
      <c r="C17" s="3859">
        <f>C18+C19</f>
        <v>486.25833333333321</v>
      </c>
      <c r="D17" s="3860">
        <f t="shared" ref="D17:AK17" si="8">D18+D19</f>
        <v>555.2506702412868</v>
      </c>
      <c r="E17" s="3860">
        <f t="shared" si="8"/>
        <v>1569.1066666666666</v>
      </c>
      <c r="F17" s="3860">
        <f t="shared" si="8"/>
        <v>2095.7646666666669</v>
      </c>
      <c r="G17" s="3860">
        <f t="shared" si="8"/>
        <v>398.16666666666663</v>
      </c>
      <c r="H17" s="3860">
        <f t="shared" si="8"/>
        <v>248.66666666666666</v>
      </c>
      <c r="I17" s="3861">
        <f t="shared" si="8"/>
        <v>248.66666666666666</v>
      </c>
      <c r="J17" s="3862">
        <f t="shared" si="8"/>
        <v>59.681333333333328</v>
      </c>
      <c r="K17" s="3860">
        <f t="shared" si="8"/>
        <v>101.83109919571046</v>
      </c>
      <c r="L17" s="3860">
        <f t="shared" si="8"/>
        <v>537.21566666666661</v>
      </c>
      <c r="M17" s="3860">
        <f t="shared" si="8"/>
        <v>2864.6016666666665</v>
      </c>
      <c r="N17" s="3860">
        <f t="shared" si="8"/>
        <v>57.266666666666666</v>
      </c>
      <c r="O17" s="3860">
        <f t="shared" si="8"/>
        <v>51.566666666666677</v>
      </c>
      <c r="P17" s="3863">
        <f t="shared" si="8"/>
        <v>52.966666666666654</v>
      </c>
      <c r="Q17" s="3859">
        <f t="shared" si="8"/>
        <v>18.577333333333332</v>
      </c>
      <c r="R17" s="3860">
        <f t="shared" si="8"/>
        <v>6.4182305630026804</v>
      </c>
      <c r="S17" s="3860">
        <f t="shared" si="8"/>
        <v>1112.6006666666665</v>
      </c>
      <c r="T17" s="3860">
        <f t="shared" si="8"/>
        <v>1126.3916666666667</v>
      </c>
      <c r="U17" s="3860">
        <f t="shared" si="8"/>
        <v>74.666666666666671</v>
      </c>
      <c r="V17" s="3860">
        <f t="shared" si="8"/>
        <v>23.666666666666668</v>
      </c>
      <c r="W17" s="3861">
        <f t="shared" si="8"/>
        <v>23.666666666666664</v>
      </c>
      <c r="X17" s="3859">
        <f t="shared" si="8"/>
        <v>0</v>
      </c>
      <c r="Y17" s="3860">
        <f t="shared" si="8"/>
        <v>0</v>
      </c>
      <c r="Z17" s="3860">
        <f t="shared" si="8"/>
        <v>0</v>
      </c>
      <c r="AA17" s="3860">
        <f t="shared" si="8"/>
        <v>0</v>
      </c>
      <c r="AB17" s="3860">
        <f t="shared" si="8"/>
        <v>0</v>
      </c>
      <c r="AC17" s="3860">
        <f t="shared" si="8"/>
        <v>0</v>
      </c>
      <c r="AD17" s="3861">
        <f t="shared" si="8"/>
        <v>0</v>
      </c>
      <c r="AE17" s="3859">
        <f t="shared" si="8"/>
        <v>0</v>
      </c>
      <c r="AF17" s="3860">
        <f t="shared" si="8"/>
        <v>0</v>
      </c>
      <c r="AG17" s="3860">
        <f t="shared" si="8"/>
        <v>0</v>
      </c>
      <c r="AH17" s="3860">
        <f t="shared" si="8"/>
        <v>0</v>
      </c>
      <c r="AI17" s="3860">
        <f t="shared" si="8"/>
        <v>0</v>
      </c>
      <c r="AJ17" s="3860">
        <f t="shared" si="8"/>
        <v>0</v>
      </c>
      <c r="AK17" s="3861">
        <f t="shared" si="8"/>
        <v>0</v>
      </c>
      <c r="AL17" s="3859">
        <f>AL18+AL19</f>
        <v>564.51699999999983</v>
      </c>
      <c r="AM17" s="3860">
        <f t="shared" ref="AM17:AR17" si="9">AM18+AM19</f>
        <v>663.5</v>
      </c>
      <c r="AN17" s="3860">
        <f t="shared" si="9"/>
        <v>3218.9229999999998</v>
      </c>
      <c r="AO17" s="3860">
        <f t="shared" si="9"/>
        <v>6086.7579999999998</v>
      </c>
      <c r="AP17" s="3860">
        <f t="shared" si="9"/>
        <v>530.09999999999991</v>
      </c>
      <c r="AQ17" s="3860">
        <f t="shared" si="9"/>
        <v>323.90000000000003</v>
      </c>
      <c r="AR17" s="3861">
        <f t="shared" si="9"/>
        <v>325.3</v>
      </c>
    </row>
    <row r="18" spans="1:44" s="709" customFormat="1">
      <c r="A18" s="2733" t="s">
        <v>963</v>
      </c>
      <c r="B18" s="2720" t="s">
        <v>957</v>
      </c>
      <c r="C18" s="3848">
        <f>'9.Инвестиционна програма'!N153</f>
        <v>475.43533333333323</v>
      </c>
      <c r="D18" s="3849">
        <f>'9.Инвестиционна програма'!O153</f>
        <v>517.02067024128678</v>
      </c>
      <c r="E18" s="3849">
        <f>'9.Инвестиционна програма'!P153</f>
        <v>368.33333333333326</v>
      </c>
      <c r="F18" s="3849">
        <f>'9.Инвестиционна програма'!Q153</f>
        <v>385.36966666666672</v>
      </c>
      <c r="G18" s="3849">
        <f>'9.Инвестиционна програма'!R153</f>
        <v>398.16666666666663</v>
      </c>
      <c r="H18" s="3849">
        <f>'9.Инвестиционна програма'!S153</f>
        <v>248.66666666666666</v>
      </c>
      <c r="I18" s="3850">
        <f>'9.Инвестиционна програма'!T153</f>
        <v>248.66666666666666</v>
      </c>
      <c r="J18" s="3851">
        <f>'9.Инвестиционна програма'!N154</f>
        <v>41.291333333333327</v>
      </c>
      <c r="K18" s="3849">
        <f>'9.Инвестиционна програма'!O154</f>
        <v>36.875099195710462</v>
      </c>
      <c r="L18" s="3849">
        <f>'9.Инвестиционна програма'!P154</f>
        <v>22.673333333333332</v>
      </c>
      <c r="M18" s="3849">
        <f>'9.Инвестиционна програма'!Q154</f>
        <v>54.166666666666657</v>
      </c>
      <c r="N18" s="3849">
        <f>'9.Инвестиционна програма'!R154</f>
        <v>57.266666666666666</v>
      </c>
      <c r="O18" s="3849">
        <f>'9.Инвестиционна програма'!S154</f>
        <v>51.566666666666677</v>
      </c>
      <c r="P18" s="3852">
        <f>'9.Инвестиционна програма'!T154</f>
        <v>52.966666666666654</v>
      </c>
      <c r="Q18" s="3848">
        <f>'9.Инвестиционна програма'!N155</f>
        <v>18.577333333333332</v>
      </c>
      <c r="R18" s="3849">
        <f>'9.Инвестиционна програма'!O155</f>
        <v>6.4182305630026804</v>
      </c>
      <c r="S18" s="3849">
        <f>'9.Инвестиционна програма'!P155</f>
        <v>29.333333333333332</v>
      </c>
      <c r="T18" s="3849">
        <f>'9.Инвестиционна програма'!Q155</f>
        <v>77.666666666666657</v>
      </c>
      <c r="U18" s="3849">
        <f>'9.Инвестиционна програма'!R155</f>
        <v>74.666666666666671</v>
      </c>
      <c r="V18" s="3849">
        <f>'9.Инвестиционна програма'!S155</f>
        <v>23.666666666666668</v>
      </c>
      <c r="W18" s="3850">
        <f>'9.Инвестиционна програма'!T155</f>
        <v>23.666666666666664</v>
      </c>
      <c r="X18" s="3848">
        <f>'9.Инвестиционна програма'!N156</f>
        <v>0</v>
      </c>
      <c r="Y18" s="3849">
        <f>'9.Инвестиционна програма'!O156</f>
        <v>0</v>
      </c>
      <c r="Z18" s="3849">
        <f>'9.Инвестиционна програма'!P156</f>
        <v>0</v>
      </c>
      <c r="AA18" s="3849">
        <f>'9.Инвестиционна програма'!Q156</f>
        <v>0</v>
      </c>
      <c r="AB18" s="3849">
        <f>'9.Инвестиционна програма'!R156</f>
        <v>0</v>
      </c>
      <c r="AC18" s="3849">
        <f>'9.Инвестиционна програма'!S156</f>
        <v>0</v>
      </c>
      <c r="AD18" s="3850">
        <f>'9.Инвестиционна програма'!T156</f>
        <v>0</v>
      </c>
      <c r="AE18" s="3848">
        <f>'9.Инвестиционна програма'!N157</f>
        <v>0</v>
      </c>
      <c r="AF18" s="3849">
        <f>'9.Инвестиционна програма'!O157</f>
        <v>0</v>
      </c>
      <c r="AG18" s="3849">
        <f>'9.Инвестиционна програма'!P157</f>
        <v>0</v>
      </c>
      <c r="AH18" s="3849">
        <f>'9.Инвестиционна програма'!Q157</f>
        <v>0</v>
      </c>
      <c r="AI18" s="3849">
        <f>'9.Инвестиционна програма'!R157</f>
        <v>0</v>
      </c>
      <c r="AJ18" s="3849">
        <f>'9.Инвестиционна програма'!S157</f>
        <v>0</v>
      </c>
      <c r="AK18" s="3850">
        <f>'9.Инвестиционна програма'!T157</f>
        <v>0</v>
      </c>
      <c r="AL18" s="3848">
        <f>C18+J18+Q18+X18+AE18</f>
        <v>535.30399999999986</v>
      </c>
      <c r="AM18" s="3849">
        <f t="shared" ref="AM18:AR19" si="10">D18+K18+R18+Y18+AF18</f>
        <v>560.31399999999996</v>
      </c>
      <c r="AN18" s="3849">
        <f t="shared" si="10"/>
        <v>420.33999999999992</v>
      </c>
      <c r="AO18" s="3849">
        <f t="shared" si="10"/>
        <v>517.20299999999997</v>
      </c>
      <c r="AP18" s="3849">
        <f t="shared" si="10"/>
        <v>530.09999999999991</v>
      </c>
      <c r="AQ18" s="3849">
        <f t="shared" si="10"/>
        <v>323.90000000000003</v>
      </c>
      <c r="AR18" s="3850">
        <f t="shared" si="10"/>
        <v>325.3</v>
      </c>
    </row>
    <row r="19" spans="1:44" s="709" customFormat="1" ht="13.5" thickBot="1">
      <c r="A19" s="2734" t="s">
        <v>962</v>
      </c>
      <c r="B19" s="2735" t="s">
        <v>958</v>
      </c>
      <c r="C19" s="3864">
        <f>'9.Инвестиционна програма'!U153+'9.Инвестиционна програма'!AB153</f>
        <v>10.823</v>
      </c>
      <c r="D19" s="3865">
        <f>'9.Инвестиционна програма'!V153+'9.Инвестиционна програма'!AC153</f>
        <v>38.229999999999997</v>
      </c>
      <c r="E19" s="3865">
        <f>'9.Инвестиционна програма'!W153+'9.Инвестиционна програма'!AD153</f>
        <v>1200.7733333333333</v>
      </c>
      <c r="F19" s="3865">
        <f>'9.Инвестиционна програма'!X153+'9.Инвестиционна програма'!AE153</f>
        <v>1710.395</v>
      </c>
      <c r="G19" s="3865">
        <f>'9.Инвестиционна програма'!Y153+'9.Инвестиционна програма'!AF153</f>
        <v>0</v>
      </c>
      <c r="H19" s="3865">
        <f>'9.Инвестиционна програма'!Z153+'9.Инвестиционна програма'!AG153</f>
        <v>0</v>
      </c>
      <c r="I19" s="3866">
        <f>'9.Инвестиционна програма'!AA153+'9.Инвестиционна програма'!AH153</f>
        <v>0</v>
      </c>
      <c r="J19" s="3867">
        <f>'9.Инвестиционна програма'!U154+'9.Инвестиционна програма'!AB154</f>
        <v>18.39</v>
      </c>
      <c r="K19" s="3865">
        <f>'9.Инвестиционна програма'!V154+'9.Инвестиционна програма'!AC154</f>
        <v>64.956000000000003</v>
      </c>
      <c r="L19" s="3865">
        <f>'9.Инвестиционна програма'!W154+'9.Инвестиционна програма'!AD154</f>
        <v>514.54233333333332</v>
      </c>
      <c r="M19" s="3865">
        <f>'9.Инвестиционна програма'!X154+'9.Инвестиционна програма'!AE154</f>
        <v>2810.4349999999999</v>
      </c>
      <c r="N19" s="3865">
        <f>'9.Инвестиционна програма'!Y154+'9.Инвестиционна програма'!AF154</f>
        <v>0</v>
      </c>
      <c r="O19" s="3865">
        <f>'9.Инвестиционна програма'!Z154+'9.Инвестиционна програма'!AG154</f>
        <v>0</v>
      </c>
      <c r="P19" s="3868">
        <f>'9.Инвестиционна програма'!AA154+'9.Инвестиционна програма'!AH154</f>
        <v>0</v>
      </c>
      <c r="Q19" s="4616">
        <f>'9.Инвестиционна програма'!U155+'9.Инвестиционна програма'!AB155</f>
        <v>0</v>
      </c>
      <c r="R19" s="4617">
        <f>'9.Инвестиционна програма'!V155+'9.Инвестиционна програма'!AC155</f>
        <v>0</v>
      </c>
      <c r="S19" s="4617">
        <f>'9.Инвестиционна програма'!W155+'9.Инвестиционна програма'!AD155</f>
        <v>1083.2673333333332</v>
      </c>
      <c r="T19" s="4617">
        <f>'9.Инвестиционна програма'!X155+'9.Инвестиционна програма'!AE155</f>
        <v>1048.7249999999999</v>
      </c>
      <c r="U19" s="4617">
        <f>'9.Инвестиционна програма'!Y155+'9.Инвестиционна програма'!AF155</f>
        <v>0</v>
      </c>
      <c r="V19" s="4617">
        <f>'9.Инвестиционна програма'!Z155+'9.Инвестиционна програма'!AG155</f>
        <v>0</v>
      </c>
      <c r="W19" s="4618">
        <f>'9.Инвестиционна програма'!AA155+'9.Инвестиционна програма'!AH155</f>
        <v>0</v>
      </c>
      <c r="X19" s="3864">
        <f>'9.Инвестиционна програма'!U156+'9.Инвестиционна програма'!AB156</f>
        <v>0</v>
      </c>
      <c r="Y19" s="3865">
        <f>'9.Инвестиционна програма'!V156+'9.Инвестиционна програма'!AC156</f>
        <v>0</v>
      </c>
      <c r="Z19" s="3865">
        <f>'9.Инвестиционна програма'!W156+'9.Инвестиционна програма'!AD156</f>
        <v>0</v>
      </c>
      <c r="AA19" s="3865">
        <f>'9.Инвестиционна програма'!X156+'9.Инвестиционна програма'!AE156</f>
        <v>0</v>
      </c>
      <c r="AB19" s="3865">
        <f>'9.Инвестиционна програма'!Y156+'9.Инвестиционна програма'!AF156</f>
        <v>0</v>
      </c>
      <c r="AC19" s="3865">
        <f>'9.Инвестиционна програма'!Z156+'9.Инвестиционна програма'!AG156</f>
        <v>0</v>
      </c>
      <c r="AD19" s="3866">
        <f>'9.Инвестиционна програма'!AA156+'9.Инвестиционна програма'!AH156</f>
        <v>0</v>
      </c>
      <c r="AE19" s="3864">
        <f>'9.Инвестиционна програма'!U157+'9.Инвестиционна програма'!AB157</f>
        <v>0</v>
      </c>
      <c r="AF19" s="3865">
        <f>'9.Инвестиционна програма'!V157+'9.Инвестиционна програма'!AC157</f>
        <v>0</v>
      </c>
      <c r="AG19" s="3865">
        <f>'9.Инвестиционна програма'!W157+'9.Инвестиционна програма'!AD157</f>
        <v>0</v>
      </c>
      <c r="AH19" s="3865">
        <f>'9.Инвестиционна програма'!X157+'9.Инвестиционна програма'!AE157</f>
        <v>0</v>
      </c>
      <c r="AI19" s="3865">
        <f>'9.Инвестиционна програма'!Y157+'9.Инвестиционна програма'!AF157</f>
        <v>0</v>
      </c>
      <c r="AJ19" s="3865">
        <f>'9.Инвестиционна програма'!Z157+'9.Инвестиционна програма'!AG157</f>
        <v>0</v>
      </c>
      <c r="AK19" s="3866">
        <f>'9.Инвестиционна програма'!AA157+'9.Инвестиционна програма'!AH157</f>
        <v>0</v>
      </c>
      <c r="AL19" s="3864">
        <f>C19+J19+Q19+X19+AE19</f>
        <v>29.213000000000001</v>
      </c>
      <c r="AM19" s="3865">
        <f t="shared" si="10"/>
        <v>103.18600000000001</v>
      </c>
      <c r="AN19" s="3865">
        <f t="shared" si="10"/>
        <v>2798.5829999999996</v>
      </c>
      <c r="AO19" s="3865">
        <f t="shared" si="10"/>
        <v>5569.5550000000003</v>
      </c>
      <c r="AP19" s="3865">
        <f t="shared" si="10"/>
        <v>0</v>
      </c>
      <c r="AQ19" s="3865">
        <f t="shared" si="10"/>
        <v>0</v>
      </c>
      <c r="AR19" s="3866">
        <f t="shared" si="10"/>
        <v>0</v>
      </c>
    </row>
    <row r="20" spans="1:44" s="1" customFormat="1" ht="13.5" thickBot="1">
      <c r="A20" s="4619"/>
      <c r="B20" s="4620"/>
      <c r="C20" s="3869"/>
      <c r="D20" s="3869"/>
      <c r="E20" s="3869"/>
      <c r="F20" s="3869"/>
      <c r="G20" s="3869"/>
      <c r="H20" s="3869"/>
      <c r="I20" s="3869"/>
      <c r="J20" s="3858"/>
      <c r="K20" s="3870"/>
      <c r="L20" s="3871"/>
      <c r="M20" s="3872"/>
      <c r="N20" s="3872"/>
      <c r="O20" s="3872"/>
      <c r="P20" s="3872"/>
      <c r="Q20" s="3872"/>
      <c r="R20" s="3872"/>
      <c r="S20" s="3872"/>
      <c r="T20" s="3872"/>
      <c r="U20" s="3872"/>
      <c r="V20" s="3872"/>
      <c r="W20" s="3872"/>
      <c r="X20" s="3872"/>
      <c r="Y20" s="3872"/>
      <c r="Z20" s="3872"/>
      <c r="AA20" s="3872"/>
      <c r="AB20" s="3872"/>
      <c r="AC20" s="3872"/>
      <c r="AD20" s="3872"/>
      <c r="AE20" s="3872"/>
      <c r="AF20" s="3872"/>
      <c r="AG20" s="3872"/>
      <c r="AH20" s="3872"/>
      <c r="AI20" s="3872"/>
      <c r="AJ20" s="3872"/>
      <c r="AK20" s="3872"/>
      <c r="AL20" s="3872"/>
      <c r="AM20" s="3872"/>
      <c r="AN20" s="3872"/>
      <c r="AO20" s="3872"/>
      <c r="AP20" s="3872"/>
      <c r="AQ20" s="3872"/>
      <c r="AR20" s="3872"/>
    </row>
    <row r="21" spans="1:44" s="1" customFormat="1" ht="28.5" customHeight="1" thickBot="1">
      <c r="A21" s="2736" t="s">
        <v>268</v>
      </c>
      <c r="B21" s="2737" t="s">
        <v>945</v>
      </c>
      <c r="C21" s="3873">
        <f>C13-C9</f>
        <v>0</v>
      </c>
      <c r="D21" s="3874">
        <f>D13-D9</f>
        <v>0</v>
      </c>
      <c r="E21" s="3874">
        <f t="shared" ref="E21:AR21" si="11">E13-E9</f>
        <v>0</v>
      </c>
      <c r="F21" s="3874">
        <f t="shared" si="11"/>
        <v>0</v>
      </c>
      <c r="G21" s="3874">
        <f t="shared" si="11"/>
        <v>0</v>
      </c>
      <c r="H21" s="3874">
        <f t="shared" si="11"/>
        <v>0</v>
      </c>
      <c r="I21" s="3875">
        <f t="shared" si="11"/>
        <v>0</v>
      </c>
      <c r="J21" s="3876">
        <f t="shared" si="11"/>
        <v>0</v>
      </c>
      <c r="K21" s="3874">
        <f t="shared" si="11"/>
        <v>0</v>
      </c>
      <c r="L21" s="3874">
        <f t="shared" si="11"/>
        <v>0</v>
      </c>
      <c r="M21" s="3874">
        <f t="shared" si="11"/>
        <v>0</v>
      </c>
      <c r="N21" s="3874">
        <f t="shared" si="11"/>
        <v>0</v>
      </c>
      <c r="O21" s="3874">
        <f t="shared" si="11"/>
        <v>0</v>
      </c>
      <c r="P21" s="3877">
        <f t="shared" si="11"/>
        <v>0</v>
      </c>
      <c r="Q21" s="3873">
        <f t="shared" si="11"/>
        <v>0</v>
      </c>
      <c r="R21" s="3874">
        <f t="shared" si="11"/>
        <v>0</v>
      </c>
      <c r="S21" s="3874">
        <f t="shared" si="11"/>
        <v>0</v>
      </c>
      <c r="T21" s="3874">
        <f t="shared" si="11"/>
        <v>0</v>
      </c>
      <c r="U21" s="3874">
        <f t="shared" si="11"/>
        <v>0</v>
      </c>
      <c r="V21" s="3874">
        <f t="shared" si="11"/>
        <v>0</v>
      </c>
      <c r="W21" s="3875">
        <f t="shared" si="11"/>
        <v>0</v>
      </c>
      <c r="X21" s="3873">
        <f t="shared" si="11"/>
        <v>0</v>
      </c>
      <c r="Y21" s="3874">
        <f t="shared" si="11"/>
        <v>0</v>
      </c>
      <c r="Z21" s="3874">
        <f t="shared" si="11"/>
        <v>0</v>
      </c>
      <c r="AA21" s="3874">
        <f t="shared" si="11"/>
        <v>0</v>
      </c>
      <c r="AB21" s="3874">
        <f t="shared" si="11"/>
        <v>0</v>
      </c>
      <c r="AC21" s="3874">
        <f t="shared" si="11"/>
        <v>0</v>
      </c>
      <c r="AD21" s="3875">
        <f t="shared" si="11"/>
        <v>0</v>
      </c>
      <c r="AE21" s="3873">
        <f t="shared" si="11"/>
        <v>0</v>
      </c>
      <c r="AF21" s="3874">
        <f t="shared" si="11"/>
        <v>0</v>
      </c>
      <c r="AG21" s="3874">
        <f t="shared" si="11"/>
        <v>0</v>
      </c>
      <c r="AH21" s="3874">
        <f t="shared" si="11"/>
        <v>0</v>
      </c>
      <c r="AI21" s="3874">
        <f t="shared" si="11"/>
        <v>0</v>
      </c>
      <c r="AJ21" s="3874">
        <f t="shared" si="11"/>
        <v>0</v>
      </c>
      <c r="AK21" s="3875">
        <f t="shared" si="11"/>
        <v>0</v>
      </c>
      <c r="AL21" s="3873">
        <f t="shared" si="11"/>
        <v>0</v>
      </c>
      <c r="AM21" s="3874">
        <f t="shared" si="11"/>
        <v>0</v>
      </c>
      <c r="AN21" s="3874">
        <f t="shared" si="11"/>
        <v>0</v>
      </c>
      <c r="AO21" s="3874">
        <f t="shared" si="11"/>
        <v>0</v>
      </c>
      <c r="AP21" s="3874">
        <f t="shared" si="11"/>
        <v>0</v>
      </c>
      <c r="AQ21" s="3874">
        <f t="shared" si="11"/>
        <v>0</v>
      </c>
      <c r="AR21" s="3875">
        <f t="shared" si="11"/>
        <v>0</v>
      </c>
    </row>
    <row r="22" spans="1:44" s="1" customFormat="1" ht="24.75" thickBot="1">
      <c r="A22" s="2738" t="s">
        <v>269</v>
      </c>
      <c r="B22" s="2739" t="s">
        <v>990</v>
      </c>
      <c r="C22" s="3878">
        <f>C16+C19-C60-C71</f>
        <v>10.823</v>
      </c>
      <c r="D22" s="3879">
        <f t="shared" ref="D22:E22" si="12">D16+D19-D60-D71</f>
        <v>0</v>
      </c>
      <c r="E22" s="3879">
        <f t="shared" si="12"/>
        <v>0</v>
      </c>
      <c r="F22" s="3879">
        <f>F16+F19-F60-F71</f>
        <v>0</v>
      </c>
      <c r="G22" s="3879">
        <f>G16+G19-G60-G71</f>
        <v>0</v>
      </c>
      <c r="H22" s="3879">
        <f t="shared" ref="H22:I22" si="13">H16+H19-H60-H71</f>
        <v>0</v>
      </c>
      <c r="I22" s="3880">
        <f t="shared" si="13"/>
        <v>0</v>
      </c>
      <c r="J22" s="3878">
        <f>J16+J19-J60-J71</f>
        <v>18.39</v>
      </c>
      <c r="K22" s="3879">
        <f t="shared" ref="K22:L22" si="14">K16+K19-K60-K71</f>
        <v>0</v>
      </c>
      <c r="L22" s="3879">
        <f t="shared" si="14"/>
        <v>0</v>
      </c>
      <c r="M22" s="3879">
        <f>M16+M19-M60-M71</f>
        <v>0</v>
      </c>
      <c r="N22" s="3879">
        <f>N16+N19-N60-N71</f>
        <v>0</v>
      </c>
      <c r="O22" s="3879">
        <f t="shared" ref="O22:P22" si="15">O16+O19-O60-O71</f>
        <v>0</v>
      </c>
      <c r="P22" s="3880">
        <f t="shared" si="15"/>
        <v>0</v>
      </c>
      <c r="Q22" s="3878">
        <f>Q16+Q19-Q60-Q71</f>
        <v>0</v>
      </c>
      <c r="R22" s="3879">
        <f t="shared" ref="R22:S22" si="16">R16+R19-R60-R71</f>
        <v>0</v>
      </c>
      <c r="S22" s="3879">
        <f t="shared" si="16"/>
        <v>0</v>
      </c>
      <c r="T22" s="3879">
        <f>T16+T19-T60-T71</f>
        <v>0</v>
      </c>
      <c r="U22" s="3879">
        <f>U16+U19-U60-U71</f>
        <v>0</v>
      </c>
      <c r="V22" s="3879">
        <f t="shared" ref="V22:W22" si="17">V16+V19-V60-V71</f>
        <v>0</v>
      </c>
      <c r="W22" s="3881">
        <f t="shared" si="17"/>
        <v>0</v>
      </c>
      <c r="X22" s="3878">
        <f>X16+X19-X60-X71</f>
        <v>0</v>
      </c>
      <c r="Y22" s="3879">
        <f t="shared" ref="Y22:Z22" si="18">Y16+Y19-Y60-Y71</f>
        <v>0</v>
      </c>
      <c r="Z22" s="3879">
        <f t="shared" si="18"/>
        <v>0</v>
      </c>
      <c r="AA22" s="3879">
        <f>AA16+AA19-AA60-AA71</f>
        <v>0</v>
      </c>
      <c r="AB22" s="3879">
        <f>AB16+AB19-AB60-AB71</f>
        <v>0</v>
      </c>
      <c r="AC22" s="3879">
        <f t="shared" ref="AC22:AD22" si="19">AC16+AC19-AC60-AC71</f>
        <v>0</v>
      </c>
      <c r="AD22" s="3880">
        <f t="shared" si="19"/>
        <v>0</v>
      </c>
      <c r="AE22" s="3878">
        <f>AE16+AE19-AE60-AE71</f>
        <v>0</v>
      </c>
      <c r="AF22" s="3879">
        <f t="shared" ref="AF22:AG22" si="20">AF16+AF19-AF60-AF71</f>
        <v>0</v>
      </c>
      <c r="AG22" s="3879">
        <f t="shared" si="20"/>
        <v>0</v>
      </c>
      <c r="AH22" s="3879">
        <f>AH16+AH19-AH60-AH71</f>
        <v>0</v>
      </c>
      <c r="AI22" s="3879">
        <f>AI16+AI19-AI60-AI71</f>
        <v>0</v>
      </c>
      <c r="AJ22" s="3879">
        <f t="shared" ref="AJ22:AK22" si="21">AJ16+AJ19-AJ60-AJ71</f>
        <v>0</v>
      </c>
      <c r="AK22" s="3881">
        <f t="shared" si="21"/>
        <v>0</v>
      </c>
      <c r="AL22" s="3878">
        <f>AL16+AL19-AL60-AL71</f>
        <v>29.213000000000001</v>
      </c>
      <c r="AM22" s="3879">
        <f t="shared" ref="AM22" si="22">AM16+AM19-AM60-AM71</f>
        <v>0</v>
      </c>
      <c r="AN22" s="3879">
        <f>AN16+AN19-AN60-AN71</f>
        <v>0</v>
      </c>
      <c r="AO22" s="3879">
        <f>AO16+AO19-AO60-AO71</f>
        <v>0</v>
      </c>
      <c r="AP22" s="3879">
        <f>AP16+AP19-AP60-AP71</f>
        <v>0</v>
      </c>
      <c r="AQ22" s="3879">
        <f t="shared" ref="AQ22:AR22" si="23">AQ16+AQ19-AQ60-AQ71</f>
        <v>0</v>
      </c>
      <c r="AR22" s="3881">
        <f t="shared" si="23"/>
        <v>0</v>
      </c>
    </row>
    <row r="23" spans="1:44" s="1" customFormat="1" ht="7.5" customHeight="1" thickBot="1">
      <c r="A23" s="1958"/>
      <c r="B23" s="2740"/>
      <c r="C23" s="3882"/>
      <c r="D23" s="3882"/>
      <c r="E23" s="3882"/>
      <c r="F23" s="3882"/>
      <c r="G23" s="3882"/>
      <c r="H23" s="3882"/>
      <c r="I23" s="3882"/>
      <c r="J23" s="3882"/>
      <c r="K23" s="3882"/>
      <c r="L23" s="3882"/>
      <c r="M23" s="3882"/>
      <c r="N23" s="3882"/>
      <c r="O23" s="3882"/>
      <c r="P23" s="3882"/>
      <c r="Q23" s="3882"/>
      <c r="R23" s="3882"/>
      <c r="S23" s="3882"/>
      <c r="T23" s="3882"/>
      <c r="U23" s="3882"/>
      <c r="V23" s="3882"/>
      <c r="W23" s="3882"/>
      <c r="X23" s="3882"/>
      <c r="Y23" s="3882"/>
      <c r="Z23" s="3882"/>
      <c r="AA23" s="3882"/>
      <c r="AB23" s="3882"/>
      <c r="AC23" s="3882"/>
      <c r="AD23" s="3882"/>
      <c r="AE23" s="3882"/>
      <c r="AF23" s="3882"/>
      <c r="AG23" s="3882"/>
      <c r="AH23" s="3882"/>
      <c r="AI23" s="3882"/>
      <c r="AJ23" s="3882"/>
      <c r="AK23" s="3882"/>
      <c r="AL23" s="3882"/>
      <c r="AM23" s="3882"/>
      <c r="AN23" s="3882"/>
      <c r="AO23" s="3882"/>
      <c r="AP23" s="3882"/>
      <c r="AQ23" s="3882"/>
      <c r="AR23" s="3882"/>
    </row>
    <row r="24" spans="1:44" s="1" customFormat="1" ht="24.75" thickBot="1">
      <c r="A24" s="2741">
        <v>4</v>
      </c>
      <c r="B24" s="425" t="s">
        <v>960</v>
      </c>
      <c r="C24" s="2742">
        <f>+C39*C45+C50*C56</f>
        <v>0</v>
      </c>
      <c r="D24" s="2743">
        <f>+D39*D45+D50*D56+D61*D67+D72*D78</f>
        <v>0</v>
      </c>
      <c r="E24" s="2744">
        <f t="shared" ref="E24:I24" si="24">+E39*E45+E50*E56+E61*E67+E72*E78</f>
        <v>0</v>
      </c>
      <c r="F24" s="2744">
        <f>+F39*F45+F50*F56+F61*F67+F72*F78</f>
        <v>0</v>
      </c>
      <c r="G24" s="2744">
        <f t="shared" si="24"/>
        <v>37.949725253494414</v>
      </c>
      <c r="H24" s="2744">
        <f t="shared" si="24"/>
        <v>227.6983515209665</v>
      </c>
      <c r="I24" s="2745">
        <f t="shared" si="24"/>
        <v>227.6983515209665</v>
      </c>
      <c r="J24" s="2742">
        <f>+J39*J45+J50*J56</f>
        <v>0</v>
      </c>
      <c r="K24" s="2744">
        <f>+K39*K45+K50*K56+K61*K67+K72*K78</f>
        <v>0</v>
      </c>
      <c r="L24" s="2744">
        <f t="shared" ref="L24:O24" si="25">+L39*L45+L50*L56+L61*L67+L72*L78</f>
        <v>0</v>
      </c>
      <c r="M24" s="2744">
        <f t="shared" si="25"/>
        <v>0</v>
      </c>
      <c r="N24" s="2744">
        <f t="shared" si="25"/>
        <v>43.618061749654878</v>
      </c>
      <c r="O24" s="2744">
        <f t="shared" si="25"/>
        <v>261.70837049792925</v>
      </c>
      <c r="P24" s="2745">
        <f>+P39*P45+P50*P56+P61*P67+P72*P78</f>
        <v>261.70837049792925</v>
      </c>
      <c r="Q24" s="2742">
        <f>+Q39*Q45+Q50*Q56</f>
        <v>0</v>
      </c>
      <c r="R24" s="2744">
        <f>+R39*R45+R50*R56+R61*R67+R72*R78</f>
        <v>0</v>
      </c>
      <c r="S24" s="2744">
        <f t="shared" ref="S24:W24" si="26">+S39*S45+S50*S56+S61*S67+S72*S78</f>
        <v>0</v>
      </c>
      <c r="T24" s="2744">
        <f t="shared" si="26"/>
        <v>0</v>
      </c>
      <c r="U24" s="2744">
        <f t="shared" si="26"/>
        <v>27.432212996850701</v>
      </c>
      <c r="V24" s="2744">
        <f t="shared" si="26"/>
        <v>164.59327798110422</v>
      </c>
      <c r="W24" s="2746">
        <f t="shared" si="26"/>
        <v>164.59327798110422</v>
      </c>
      <c r="X24" s="2742">
        <f>+X39*X45+X50*X56</f>
        <v>0</v>
      </c>
      <c r="Y24" s="2744">
        <f>+Y39*Y45+Y50*Y56+Y61*Y67+Y72*Y78</f>
        <v>0</v>
      </c>
      <c r="Z24" s="2744">
        <f t="shared" ref="Z24:AD24" si="27">+Z39*Z45+Z50*Z56+Z61*Z67+Z72*Z78</f>
        <v>0</v>
      </c>
      <c r="AA24" s="2744">
        <f t="shared" si="27"/>
        <v>0</v>
      </c>
      <c r="AB24" s="2744">
        <f t="shared" si="27"/>
        <v>0</v>
      </c>
      <c r="AC24" s="2744">
        <f t="shared" si="27"/>
        <v>0</v>
      </c>
      <c r="AD24" s="2746">
        <f t="shared" si="27"/>
        <v>0</v>
      </c>
      <c r="AE24" s="2742">
        <f>+AE39*AE45+AE50*AE56</f>
        <v>0</v>
      </c>
      <c r="AF24" s="2744">
        <f>+AF39*AF45+AF50*AF56+AF61*AF67+AF72*AF78</f>
        <v>0</v>
      </c>
      <c r="AG24" s="2744">
        <f t="shared" ref="AG24:AK24" si="28">+AG39*AG45+AG50*AG56+AG61*AG67+AG72*AG78</f>
        <v>0</v>
      </c>
      <c r="AH24" s="2744">
        <f t="shared" si="28"/>
        <v>0</v>
      </c>
      <c r="AI24" s="2744">
        <f t="shared" si="28"/>
        <v>0</v>
      </c>
      <c r="AJ24" s="2744">
        <f t="shared" si="28"/>
        <v>0</v>
      </c>
      <c r="AK24" s="2746">
        <f t="shared" si="28"/>
        <v>0</v>
      </c>
      <c r="AL24" s="2742">
        <f>C24+J24+Q24+X24+AE24</f>
        <v>0</v>
      </c>
      <c r="AM24" s="2744">
        <f t="shared" ref="AM24" si="29">D24+K24+R24+Y24+AF24</f>
        <v>0</v>
      </c>
      <c r="AN24" s="2744">
        <f t="shared" ref="AN24" si="30">E24+L24+S24+Z24+AG24</f>
        <v>0</v>
      </c>
      <c r="AO24" s="2744">
        <f t="shared" ref="AO24" si="31">F24+M24+T24+AA24+AH24</f>
        <v>0</v>
      </c>
      <c r="AP24" s="2744">
        <f t="shared" ref="AP24" si="32">G24+N24+U24+AB24+AI24</f>
        <v>109</v>
      </c>
      <c r="AQ24" s="2744">
        <f t="shared" ref="AQ24" si="33">H24+O24+V24+AC24+AJ24</f>
        <v>654</v>
      </c>
      <c r="AR24" s="2746">
        <f t="shared" ref="AR24" si="34">I24+P24+W24+AD24+AK24</f>
        <v>654</v>
      </c>
    </row>
    <row r="25" spans="1:44" s="715" customFormat="1" ht="13.5" thickBot="1">
      <c r="A25" s="2747"/>
      <c r="B25" s="2748"/>
      <c r="C25" s="3883"/>
      <c r="D25" s="3883"/>
      <c r="E25" s="3883"/>
      <c r="F25" s="3883"/>
      <c r="G25" s="3883"/>
      <c r="H25" s="3883"/>
      <c r="I25" s="3883"/>
      <c r="J25" s="3884"/>
      <c r="K25" s="3885"/>
      <c r="L25" s="3886"/>
      <c r="M25" s="3884"/>
      <c r="N25" s="3884"/>
      <c r="O25" s="3884"/>
      <c r="P25" s="3884"/>
      <c r="Q25" s="3884"/>
      <c r="R25" s="3884"/>
      <c r="S25" s="3884"/>
      <c r="T25" s="3884"/>
      <c r="U25" s="3884"/>
      <c r="V25" s="3884"/>
      <c r="W25" s="3884"/>
      <c r="X25" s="3884"/>
      <c r="Y25" s="3884"/>
      <c r="Z25" s="3884"/>
      <c r="AA25" s="3884"/>
      <c r="AB25" s="3884"/>
      <c r="AC25" s="3884"/>
      <c r="AD25" s="3884"/>
      <c r="AE25" s="3884"/>
      <c r="AF25" s="3884"/>
      <c r="AG25" s="3884"/>
      <c r="AH25" s="3884"/>
      <c r="AI25" s="3884"/>
      <c r="AJ25" s="3884"/>
      <c r="AK25" s="3884"/>
      <c r="AL25" s="3884"/>
      <c r="AM25" s="3884"/>
      <c r="AN25" s="3884"/>
      <c r="AO25" s="3884"/>
      <c r="AP25" s="3884"/>
      <c r="AQ25" s="3884"/>
      <c r="AR25" s="3884"/>
    </row>
    <row r="26" spans="1:44" s="715" customFormat="1">
      <c r="A26" s="2750" t="s">
        <v>574</v>
      </c>
      <c r="B26" s="4621" t="s">
        <v>951</v>
      </c>
      <c r="C26" s="3887">
        <f>'11. Амортиз. план'!E35</f>
        <v>159</v>
      </c>
      <c r="D26" s="3888">
        <f>'11. Амортиз. план'!F35</f>
        <v>185.11936551521092</v>
      </c>
      <c r="E26" s="3888">
        <f>'11. Амортиз. план'!G35</f>
        <v>213.39525527353666</v>
      </c>
      <c r="F26" s="3888">
        <f>'11. Амортиз. план'!H35</f>
        <v>223.18882332827764</v>
      </c>
      <c r="G26" s="3888">
        <f>'11. Амортиз. план'!I35</f>
        <v>232.61737966001067</v>
      </c>
      <c r="H26" s="3888">
        <f>'11. Амортиз. план'!J35</f>
        <v>226.31924198805223</v>
      </c>
      <c r="I26" s="3889">
        <f>'11. Амортиз. план'!K35</f>
        <v>251.67713596568362</v>
      </c>
      <c r="J26" s="3890">
        <f>'11. Амортиз. план'!L35</f>
        <v>68</v>
      </c>
      <c r="K26" s="3888">
        <f>'11. Амортиз. план'!M35</f>
        <v>73.197972404317937</v>
      </c>
      <c r="L26" s="3888">
        <f>'11. Амортиз. план'!N35</f>
        <v>74.824565818604697</v>
      </c>
      <c r="M26" s="3888">
        <f>'11. Амортиз. план'!O35</f>
        <v>83.180832090129371</v>
      </c>
      <c r="N26" s="3888">
        <f>'11. Амортиз. план'!P35</f>
        <v>88.288973128729907</v>
      </c>
      <c r="O26" s="3888">
        <f>'11. Амортиз. план'!Q35</f>
        <v>69.917408864166049</v>
      </c>
      <c r="P26" s="3891">
        <f>'11. Амортиз. план'!R35</f>
        <v>66.095684364645464</v>
      </c>
      <c r="Q26" s="3887">
        <f>'11. Амортиз. план'!S35</f>
        <v>15.8</v>
      </c>
      <c r="R26" s="3888">
        <f>'11. Амортиз. план'!T35</f>
        <v>14.279822080471053</v>
      </c>
      <c r="S26" s="3888">
        <f>'11. Амортиз. план'!U35</f>
        <v>15.212338907858694</v>
      </c>
      <c r="T26" s="3888">
        <f>'11. Амортиз. план'!V35</f>
        <v>17.212504581593045</v>
      </c>
      <c r="U26" s="3888">
        <f>'11. Амортиз. план'!W35</f>
        <v>17.035807211259467</v>
      </c>
      <c r="V26" s="3888">
        <f>'11. Амортиз. план'!X35</f>
        <v>14.650509147781801</v>
      </c>
      <c r="W26" s="3889">
        <f>'11. Амортиз. план'!Y35</f>
        <v>15.074339669670806</v>
      </c>
      <c r="X26" s="3890">
        <f>'11. Амортиз. план'!Z35</f>
        <v>0.80000000000000016</v>
      </c>
      <c r="Y26" s="3888">
        <f>'11. Амортиз. план'!AA35</f>
        <v>0.82313000000000014</v>
      </c>
      <c r="Z26" s="3888">
        <f>'11. Амортиз. план'!AB35</f>
        <v>0.87313000000000018</v>
      </c>
      <c r="AA26" s="3888">
        <f>'11. Амортиз. план'!AC35</f>
        <v>0.97313000000000027</v>
      </c>
      <c r="AB26" s="3888">
        <f>'11. Амортиз. план'!AD35</f>
        <v>0.22313</v>
      </c>
      <c r="AC26" s="3888">
        <f>'11. Амортиз. план'!AE35</f>
        <v>0.22313</v>
      </c>
      <c r="AD26" s="3889">
        <f>'11. Амортиз. план'!AF35</f>
        <v>0.22313</v>
      </c>
      <c r="AE26" s="3887">
        <f>'11. Амортиз. план'!AG35</f>
        <v>0</v>
      </c>
      <c r="AF26" s="3888">
        <f>'11. Амортиз. план'!AH35</f>
        <v>0</v>
      </c>
      <c r="AG26" s="3888">
        <f>'11. Амортиз. план'!AI35</f>
        <v>0</v>
      </c>
      <c r="AH26" s="3888">
        <f>'11. Амортиз. план'!AJ35</f>
        <v>0</v>
      </c>
      <c r="AI26" s="3888">
        <f>'11. Амортиз. план'!AK35</f>
        <v>0</v>
      </c>
      <c r="AJ26" s="3888">
        <f>'11. Амортиз. план'!AL35</f>
        <v>0</v>
      </c>
      <c r="AK26" s="3889">
        <f>'11. Амортиз. план'!AM35</f>
        <v>0</v>
      </c>
      <c r="AL26" s="3887">
        <f t="shared" ref="AL26:AR26" si="35">C26+J26+Q26+X26+AE26</f>
        <v>243.60000000000002</v>
      </c>
      <c r="AM26" s="3888">
        <f t="shared" si="35"/>
        <v>273.42028999999991</v>
      </c>
      <c r="AN26" s="3888">
        <f t="shared" si="35"/>
        <v>304.30529000000007</v>
      </c>
      <c r="AO26" s="3888">
        <f t="shared" si="35"/>
        <v>324.55529000000007</v>
      </c>
      <c r="AP26" s="3888">
        <f t="shared" si="35"/>
        <v>338.16529000000008</v>
      </c>
      <c r="AQ26" s="3888">
        <f t="shared" si="35"/>
        <v>311.11029000000013</v>
      </c>
      <c r="AR26" s="3889">
        <f t="shared" si="35"/>
        <v>333.07028999999989</v>
      </c>
    </row>
    <row r="27" spans="1:44" s="715" customFormat="1" ht="24">
      <c r="A27" s="2751" t="s">
        <v>575</v>
      </c>
      <c r="B27" s="983" t="s">
        <v>950</v>
      </c>
      <c r="C27" s="2752">
        <f>C26-C15</f>
        <v>119.602</v>
      </c>
      <c r="D27" s="2753">
        <f>D26-D15</f>
        <v>-256.05114386816712</v>
      </c>
      <c r="E27" s="2753">
        <f t="shared" ref="E27:AK27" si="36">E26-E15</f>
        <v>6.1921940203319537E-2</v>
      </c>
      <c r="F27" s="2753">
        <f t="shared" si="36"/>
        <v>-0.47784333838902171</v>
      </c>
      <c r="G27" s="2753">
        <f t="shared" si="36"/>
        <v>-0.21595367332267301</v>
      </c>
      <c r="H27" s="2753">
        <f t="shared" si="36"/>
        <v>-1.4091345281116219E-2</v>
      </c>
      <c r="I27" s="2754">
        <f t="shared" si="36"/>
        <v>-0.48953070098303897</v>
      </c>
      <c r="J27" s="2755">
        <f t="shared" si="36"/>
        <v>-17.709000000000003</v>
      </c>
      <c r="K27" s="2753">
        <f t="shared" si="36"/>
        <v>57.166337015577994</v>
      </c>
      <c r="L27" s="2753">
        <f t="shared" si="36"/>
        <v>0.49123248527136809</v>
      </c>
      <c r="M27" s="2753">
        <f t="shared" si="36"/>
        <v>1.4165423462713989E-2</v>
      </c>
      <c r="N27" s="2753">
        <f t="shared" si="36"/>
        <v>0.45563979539657851</v>
      </c>
      <c r="O27" s="2753">
        <f t="shared" si="36"/>
        <v>8.4075530832720347E-2</v>
      </c>
      <c r="P27" s="2756">
        <f t="shared" si="36"/>
        <v>0.42901769797879297</v>
      </c>
      <c r="Q27" s="2752">
        <f t="shared" si="36"/>
        <v>-0.87599999999999767</v>
      </c>
      <c r="R27" s="2753">
        <f t="shared" si="36"/>
        <v>13.481966852589016</v>
      </c>
      <c r="S27" s="2753">
        <f t="shared" si="36"/>
        <v>-0.12099442547463823</v>
      </c>
      <c r="T27" s="2753">
        <f t="shared" si="36"/>
        <v>0.14583791492638198</v>
      </c>
      <c r="U27" s="2753">
        <f t="shared" si="36"/>
        <v>-0.2975261220738652</v>
      </c>
      <c r="V27" s="2753">
        <f t="shared" si="36"/>
        <v>-0.18282418555153157</v>
      </c>
      <c r="W27" s="2754">
        <f t="shared" si="36"/>
        <v>-9.232699699586E-2</v>
      </c>
      <c r="X27" s="2755">
        <f t="shared" si="36"/>
        <v>0.80000000000000016</v>
      </c>
      <c r="Y27" s="2753">
        <f t="shared" si="36"/>
        <v>0.82313000000000014</v>
      </c>
      <c r="Z27" s="2753">
        <f t="shared" si="36"/>
        <v>-0.12686999999999982</v>
      </c>
      <c r="AA27" s="2753">
        <f t="shared" si="36"/>
        <v>-2.6869999999999727E-2</v>
      </c>
      <c r="AB27" s="2753">
        <f t="shared" si="36"/>
        <v>0.22313</v>
      </c>
      <c r="AC27" s="2753">
        <f t="shared" si="36"/>
        <v>0.22313</v>
      </c>
      <c r="AD27" s="2754">
        <f t="shared" si="36"/>
        <v>0.22313</v>
      </c>
      <c r="AE27" s="2752">
        <f t="shared" si="36"/>
        <v>0</v>
      </c>
      <c r="AF27" s="2753">
        <f t="shared" si="36"/>
        <v>0</v>
      </c>
      <c r="AG27" s="2753">
        <f t="shared" si="36"/>
        <v>0</v>
      </c>
      <c r="AH27" s="2753">
        <f t="shared" si="36"/>
        <v>0</v>
      </c>
      <c r="AI27" s="2753">
        <f t="shared" si="36"/>
        <v>0</v>
      </c>
      <c r="AJ27" s="2753">
        <f t="shared" si="36"/>
        <v>0</v>
      </c>
      <c r="AK27" s="2754">
        <f t="shared" si="36"/>
        <v>0</v>
      </c>
      <c r="AL27" s="2752">
        <f>AL26-AL15</f>
        <v>101.81700000000004</v>
      </c>
      <c r="AM27" s="2753">
        <f t="shared" ref="AM27:AR27" si="37">AM26-AM15</f>
        <v>-184.57971000000015</v>
      </c>
      <c r="AN27" s="2753">
        <f t="shared" si="37"/>
        <v>0.30529000000007045</v>
      </c>
      <c r="AO27" s="2753">
        <f t="shared" si="37"/>
        <v>-0.34470999999990681</v>
      </c>
      <c r="AP27" s="2753">
        <f t="shared" si="37"/>
        <v>0.16529000000008409</v>
      </c>
      <c r="AQ27" s="2753">
        <f t="shared" si="37"/>
        <v>0.11029000000013411</v>
      </c>
      <c r="AR27" s="2754">
        <f t="shared" si="37"/>
        <v>7.0289999999886277E-2</v>
      </c>
    </row>
    <row r="28" spans="1:44" s="715" customFormat="1" ht="24">
      <c r="A28" s="2751" t="s">
        <v>964</v>
      </c>
      <c r="B28" s="4622" t="s">
        <v>952</v>
      </c>
      <c r="C28" s="3892">
        <f>'11. Амортиз. план'!E131</f>
        <v>79</v>
      </c>
      <c r="D28" s="3893">
        <f>'11. Амортиз. план'!F131</f>
        <v>105.84308721295388</v>
      </c>
      <c r="E28" s="3893">
        <f>'11. Амортиз. план'!G131</f>
        <v>143.35268122227566</v>
      </c>
      <c r="F28" s="3893">
        <f>'11. Амортиз. план'!H131</f>
        <v>196.0254388815824</v>
      </c>
      <c r="G28" s="3893">
        <f>'11. Амортиз. план'!I131</f>
        <v>230.16632217832139</v>
      </c>
      <c r="H28" s="3893">
        <f>'11. Амортиз. план'!J131</f>
        <v>246.56239145965728</v>
      </c>
      <c r="I28" s="3894">
        <f>'11. Амортиз. план'!K131</f>
        <v>251.6861906028976</v>
      </c>
      <c r="J28" s="3895">
        <f>'11. Амортиз. план'!L131</f>
        <v>3</v>
      </c>
      <c r="K28" s="3895">
        <f>'11. Амортиз. план'!M131</f>
        <v>4.362073660451423</v>
      </c>
      <c r="L28" s="3893">
        <f>'11. Амортиз. план'!N131</f>
        <v>11.787817996023918</v>
      </c>
      <c r="M28" s="3893">
        <f>'11. Амортиз. план'!O131</f>
        <v>53.424416474510835</v>
      </c>
      <c r="N28" s="3893">
        <f>'11. Амортиз. план'!P131</f>
        <v>88.360454717772086</v>
      </c>
      <c r="O28" s="3893">
        <f>'11. Амортиз. план'!Q131</f>
        <v>90.629768276577451</v>
      </c>
      <c r="P28" s="3896">
        <f>'11. Амортиз. план'!R131</f>
        <v>92.563958082969421</v>
      </c>
      <c r="Q28" s="3892">
        <f>'11. Амортиз. план'!S131</f>
        <v>3.3</v>
      </c>
      <c r="R28" s="3893">
        <f>'11. Амортиз. план'!T131</f>
        <v>3.4353091265947007</v>
      </c>
      <c r="S28" s="3893">
        <f>'11. Амортиз. план'!U131</f>
        <v>28.757880781700422</v>
      </c>
      <c r="T28" s="3893">
        <f>'11. Амортиз. план'!V131</f>
        <v>77.395534643906799</v>
      </c>
      <c r="U28" s="3893">
        <f>'11. Амортиз. план'!W131</f>
        <v>101.60371310390657</v>
      </c>
      <c r="V28" s="3893">
        <f>'11. Амортиз. план'!X131</f>
        <v>103.32833026376534</v>
      </c>
      <c r="W28" s="3894">
        <f>'11. Амортиз. план'!Y131</f>
        <v>103.86234131413306</v>
      </c>
      <c r="X28" s="3895">
        <f>'11. Амортиз. план'!Z131</f>
        <v>0</v>
      </c>
      <c r="Y28" s="3893">
        <f>'11. Амортиз. план'!AA131</f>
        <v>0</v>
      </c>
      <c r="Z28" s="3893">
        <f>'11. Амортиз. план'!AB131</f>
        <v>0</v>
      </c>
      <c r="AA28" s="3893">
        <f>'11. Амортиз. план'!AC131</f>
        <v>0</v>
      </c>
      <c r="AB28" s="3893">
        <f>'11. Амортиз. план'!AD131</f>
        <v>0</v>
      </c>
      <c r="AC28" s="3893">
        <f>'11. Амортиз. план'!AE131</f>
        <v>0</v>
      </c>
      <c r="AD28" s="3894">
        <f>'11. Амортиз. план'!AF131</f>
        <v>0</v>
      </c>
      <c r="AE28" s="3892">
        <f>'11. Амортиз. план'!AG131</f>
        <v>0</v>
      </c>
      <c r="AF28" s="3893">
        <f>'11. Амортиз. план'!AH131</f>
        <v>0</v>
      </c>
      <c r="AG28" s="3893">
        <f>'11. Амортиз. план'!AI131</f>
        <v>0</v>
      </c>
      <c r="AH28" s="3893">
        <f>'11. Амортиз. план'!AJ131</f>
        <v>0</v>
      </c>
      <c r="AI28" s="3893">
        <f>'11. Амортиз. план'!AK131</f>
        <v>0</v>
      </c>
      <c r="AJ28" s="3893">
        <f>'11. Амортиз. план'!AL131</f>
        <v>0</v>
      </c>
      <c r="AK28" s="3894">
        <f>'11. Амортиз. план'!AM131</f>
        <v>0</v>
      </c>
      <c r="AL28" s="3892">
        <f t="shared" ref="AL28:AR31" si="38">C28+J28+Q28+X28+AE28</f>
        <v>85.3</v>
      </c>
      <c r="AM28" s="3893">
        <f t="shared" si="38"/>
        <v>113.64047000000001</v>
      </c>
      <c r="AN28" s="3893">
        <f t="shared" si="38"/>
        <v>183.89837999999997</v>
      </c>
      <c r="AO28" s="3893">
        <f t="shared" si="38"/>
        <v>326.84539000000001</v>
      </c>
      <c r="AP28" s="3893">
        <f t="shared" si="38"/>
        <v>420.13049000000001</v>
      </c>
      <c r="AQ28" s="3893">
        <f t="shared" si="38"/>
        <v>440.52049000000005</v>
      </c>
      <c r="AR28" s="3894">
        <f t="shared" si="38"/>
        <v>448.11249000000009</v>
      </c>
    </row>
    <row r="29" spans="1:44" s="715" customFormat="1" ht="36">
      <c r="A29" s="2751" t="s">
        <v>965</v>
      </c>
      <c r="B29" s="983" t="s">
        <v>953</v>
      </c>
      <c r="C29" s="2752">
        <f>C28-C18-C24</f>
        <v>-396.43533333333323</v>
      </c>
      <c r="D29" s="2753">
        <f>D28-D18-D24</f>
        <v>-411.17758302833289</v>
      </c>
      <c r="E29" s="2753">
        <f t="shared" ref="E29:AK29" si="39">E28-E18-E24</f>
        <v>-224.98065211105759</v>
      </c>
      <c r="F29" s="2753">
        <f>F28-F18-F24</f>
        <v>-189.34422778508431</v>
      </c>
      <c r="G29" s="2753">
        <f t="shared" si="39"/>
        <v>-205.95006974183966</v>
      </c>
      <c r="H29" s="2753">
        <f t="shared" si="39"/>
        <v>-229.80262672797588</v>
      </c>
      <c r="I29" s="2754">
        <f t="shared" si="39"/>
        <v>-224.67882758473556</v>
      </c>
      <c r="J29" s="2755">
        <f t="shared" si="39"/>
        <v>-38.291333333333327</v>
      </c>
      <c r="K29" s="2753">
        <f t="shared" si="39"/>
        <v>-32.51302553525904</v>
      </c>
      <c r="L29" s="2753">
        <f t="shared" si="39"/>
        <v>-10.885515337309414</v>
      </c>
      <c r="M29" s="2753">
        <f t="shared" si="39"/>
        <v>-0.74225019215582222</v>
      </c>
      <c r="N29" s="2753">
        <f t="shared" si="39"/>
        <v>-12.524273698549457</v>
      </c>
      <c r="O29" s="2753">
        <f t="shared" si="39"/>
        <v>-222.64526888801848</v>
      </c>
      <c r="P29" s="2756">
        <f t="shared" si="39"/>
        <v>-222.11107908162649</v>
      </c>
      <c r="Q29" s="2752">
        <f>Q28-Q18-Q24</f>
        <v>-15.277333333333331</v>
      </c>
      <c r="R29" s="2753">
        <f t="shared" si="39"/>
        <v>-2.9829214364079797</v>
      </c>
      <c r="S29" s="2753">
        <f t="shared" si="39"/>
        <v>-0.57545255163291031</v>
      </c>
      <c r="T29" s="2753">
        <f t="shared" si="39"/>
        <v>-0.2711320227598577</v>
      </c>
      <c r="U29" s="2753">
        <f t="shared" si="39"/>
        <v>-0.49516655961080147</v>
      </c>
      <c r="V29" s="2753">
        <f t="shared" si="39"/>
        <v>-84.931614384005556</v>
      </c>
      <c r="W29" s="2754">
        <f t="shared" si="39"/>
        <v>-84.397603333637818</v>
      </c>
      <c r="X29" s="2755">
        <f t="shared" si="39"/>
        <v>0</v>
      </c>
      <c r="Y29" s="2753">
        <f t="shared" si="39"/>
        <v>0</v>
      </c>
      <c r="Z29" s="2753">
        <f t="shared" si="39"/>
        <v>0</v>
      </c>
      <c r="AA29" s="2753">
        <f t="shared" si="39"/>
        <v>0</v>
      </c>
      <c r="AB29" s="2753">
        <f t="shared" si="39"/>
        <v>0</v>
      </c>
      <c r="AC29" s="2753">
        <f t="shared" si="39"/>
        <v>0</v>
      </c>
      <c r="AD29" s="2754">
        <f t="shared" si="39"/>
        <v>0</v>
      </c>
      <c r="AE29" s="2752">
        <f t="shared" si="39"/>
        <v>0</v>
      </c>
      <c r="AF29" s="2753">
        <f t="shared" si="39"/>
        <v>0</v>
      </c>
      <c r="AG29" s="2753">
        <f t="shared" si="39"/>
        <v>0</v>
      </c>
      <c r="AH29" s="2753">
        <f t="shared" si="39"/>
        <v>0</v>
      </c>
      <c r="AI29" s="2753">
        <f t="shared" si="39"/>
        <v>0</v>
      </c>
      <c r="AJ29" s="2753">
        <f t="shared" si="39"/>
        <v>0</v>
      </c>
      <c r="AK29" s="2754">
        <f t="shared" si="39"/>
        <v>0</v>
      </c>
      <c r="AL29" s="2752">
        <f>C29+J29+Q29+X29+AE29</f>
        <v>-450.00399999999991</v>
      </c>
      <c r="AM29" s="2753">
        <f t="shared" si="38"/>
        <v>-446.67352999999991</v>
      </c>
      <c r="AN29" s="2753">
        <f>E29+L29+S29+Z29+AG29</f>
        <v>-236.44161999999992</v>
      </c>
      <c r="AO29" s="2753">
        <f t="shared" si="38"/>
        <v>-190.35760999999997</v>
      </c>
      <c r="AP29" s="2753">
        <f t="shared" si="38"/>
        <v>-218.9695099999999</v>
      </c>
      <c r="AQ29" s="2753">
        <f t="shared" si="38"/>
        <v>-537.37950999999987</v>
      </c>
      <c r="AR29" s="2754">
        <f t="shared" si="38"/>
        <v>-531.18750999999986</v>
      </c>
    </row>
    <row r="30" spans="1:44" s="715" customFormat="1" ht="24.75" thickBot="1">
      <c r="A30" s="2757" t="s">
        <v>966</v>
      </c>
      <c r="B30" s="4623" t="s">
        <v>954</v>
      </c>
      <c r="C30" s="3897">
        <f>'11. Амортиз. план'!E214</f>
        <v>370.29900000000004</v>
      </c>
      <c r="D30" s="3898">
        <f>'11. Амортиз. план'!F214</f>
        <v>370.29900000000004</v>
      </c>
      <c r="E30" s="3898">
        <f>'11. Амортиз. план'!G214</f>
        <v>367.29900000000004</v>
      </c>
      <c r="F30" s="3898">
        <f>'11. Амортиз. план'!H214</f>
        <v>354.29900000000004</v>
      </c>
      <c r="G30" s="3898">
        <f>'11. Амортиз. план'!I214</f>
        <v>947.87132000000008</v>
      </c>
      <c r="H30" s="3898">
        <f>'11. Амортиз. план'!J214</f>
        <v>944.87132000000008</v>
      </c>
      <c r="I30" s="3899">
        <f>'11. Амортиз. план'!K214</f>
        <v>944.87132000000008</v>
      </c>
      <c r="J30" s="3900">
        <f>'11. Амортиз. план'!L214</f>
        <v>713.31399999999996</v>
      </c>
      <c r="K30" s="3898">
        <f>'11. Амортиз. план'!M214</f>
        <v>713.31399999999996</v>
      </c>
      <c r="L30" s="3898">
        <f>'11. Амортиз. план'!N214</f>
        <v>713.31399999999996</v>
      </c>
      <c r="M30" s="3898">
        <f>'11. Амортиз. план'!O214</f>
        <v>713.31399999999996</v>
      </c>
      <c r="N30" s="3898">
        <f>'11. Амортиз. план'!P214</f>
        <v>1666.96036</v>
      </c>
      <c r="O30" s="3898">
        <f>'11. Амортиз. план'!Q214</f>
        <v>1666.96036</v>
      </c>
      <c r="P30" s="3901">
        <f>'11. Амортиз. план'!R214</f>
        <v>1666.96036</v>
      </c>
      <c r="Q30" s="3897">
        <f>'11. Амортиз. план'!S214</f>
        <v>78.7</v>
      </c>
      <c r="R30" s="3898">
        <f>'11. Амортиз. план'!T214</f>
        <v>78.7</v>
      </c>
      <c r="S30" s="3898">
        <f>'11. Амортиз. план'!U214</f>
        <v>78.7</v>
      </c>
      <c r="T30" s="3898">
        <f>'11. Амортиз. план'!V214</f>
        <v>74.7</v>
      </c>
      <c r="U30" s="3898">
        <f>'11. Амортиз. план'!W214</f>
        <v>821.6536000000001</v>
      </c>
      <c r="V30" s="3898">
        <f>'11. Амортиз. план'!X214</f>
        <v>821.6536000000001</v>
      </c>
      <c r="W30" s="3899">
        <f>'11. Амортиз. план'!Y214</f>
        <v>821.6536000000001</v>
      </c>
      <c r="X30" s="3900">
        <f>'11. Амортиз. план'!Z214</f>
        <v>0.8</v>
      </c>
      <c r="Y30" s="3898">
        <f>'11. Амортиз. план'!AA214</f>
        <v>0.8</v>
      </c>
      <c r="Z30" s="3898">
        <f>'11. Амортиз. план'!AB214</f>
        <v>0.8</v>
      </c>
      <c r="AA30" s="3898">
        <f>'11. Амортиз. план'!AC214</f>
        <v>0.8</v>
      </c>
      <c r="AB30" s="3898">
        <f>'11. Амортиз. план'!AD214</f>
        <v>0.8</v>
      </c>
      <c r="AC30" s="3898">
        <f>'11. Амортиз. план'!AE214</f>
        <v>0.8</v>
      </c>
      <c r="AD30" s="3899">
        <f>'11. Амортиз. план'!AF214</f>
        <v>0.8</v>
      </c>
      <c r="AE30" s="3897">
        <f>'11. Амортиз. план'!AG214</f>
        <v>0</v>
      </c>
      <c r="AF30" s="3898">
        <f>'11. Амортиз. план'!AH214</f>
        <v>0</v>
      </c>
      <c r="AG30" s="3898">
        <f>'11. Амортиз. план'!AI214</f>
        <v>0</v>
      </c>
      <c r="AH30" s="3898">
        <f>'11. Амортиз. план'!AJ214</f>
        <v>0</v>
      </c>
      <c r="AI30" s="3898">
        <f>'11. Амортиз. план'!AK214</f>
        <v>0</v>
      </c>
      <c r="AJ30" s="3898">
        <f>'11. Амортиз. план'!AL214</f>
        <v>0</v>
      </c>
      <c r="AK30" s="3899">
        <f>'11. Амортиз. план'!AM214</f>
        <v>0</v>
      </c>
      <c r="AL30" s="3897">
        <f>C30+J30+Q30+X30+AE30</f>
        <v>1163.1130000000001</v>
      </c>
      <c r="AM30" s="3898">
        <f t="shared" si="38"/>
        <v>1163.1130000000001</v>
      </c>
      <c r="AN30" s="3898">
        <f t="shared" si="38"/>
        <v>1160.1130000000001</v>
      </c>
      <c r="AO30" s="3898">
        <f t="shared" si="38"/>
        <v>1143.1130000000001</v>
      </c>
      <c r="AP30" s="3898">
        <f t="shared" si="38"/>
        <v>3437.2852800000005</v>
      </c>
      <c r="AQ30" s="3898">
        <f t="shared" si="38"/>
        <v>3434.2852800000005</v>
      </c>
      <c r="AR30" s="3899">
        <f t="shared" si="38"/>
        <v>3434.2852800000005</v>
      </c>
    </row>
    <row r="31" spans="1:44" s="715" customFormat="1" ht="48.75" thickBot="1">
      <c r="A31" s="2758" t="s">
        <v>967</v>
      </c>
      <c r="B31" s="423" t="s">
        <v>1057</v>
      </c>
      <c r="C31" s="694">
        <v>396.44</v>
      </c>
      <c r="D31" s="696">
        <v>411.18</v>
      </c>
      <c r="E31" s="696">
        <v>224.98</v>
      </c>
      <c r="F31" s="696">
        <v>189.34</v>
      </c>
      <c r="G31" s="696">
        <v>205.95</v>
      </c>
      <c r="H31" s="696">
        <v>229.8</v>
      </c>
      <c r="I31" s="695">
        <v>224.68</v>
      </c>
      <c r="J31" s="694">
        <v>38.29</v>
      </c>
      <c r="K31" s="696">
        <v>32.51</v>
      </c>
      <c r="L31" s="696">
        <v>10.89</v>
      </c>
      <c r="M31" s="696">
        <v>0.74</v>
      </c>
      <c r="N31" s="696">
        <v>12.52</v>
      </c>
      <c r="O31" s="696">
        <v>222.65</v>
      </c>
      <c r="P31" s="695">
        <v>222.11</v>
      </c>
      <c r="Q31" s="694">
        <v>15.28</v>
      </c>
      <c r="R31" s="696">
        <v>2.98</v>
      </c>
      <c r="S31" s="696">
        <v>0.57999999999999996</v>
      </c>
      <c r="T31" s="696">
        <v>0.27</v>
      </c>
      <c r="U31" s="696">
        <v>0.5</v>
      </c>
      <c r="V31" s="696">
        <v>84.93</v>
      </c>
      <c r="W31" s="4624">
        <v>84.4</v>
      </c>
      <c r="X31" s="4625">
        <v>0</v>
      </c>
      <c r="Y31" s="696">
        <v>0</v>
      </c>
      <c r="Z31" s="696">
        <v>0</v>
      </c>
      <c r="AA31" s="696">
        <v>0</v>
      </c>
      <c r="AB31" s="696">
        <v>0</v>
      </c>
      <c r="AC31" s="696">
        <v>0</v>
      </c>
      <c r="AD31" s="695">
        <v>0</v>
      </c>
      <c r="AE31" s="694">
        <v>0</v>
      </c>
      <c r="AF31" s="696">
        <v>0</v>
      </c>
      <c r="AG31" s="696">
        <v>0</v>
      </c>
      <c r="AH31" s="696">
        <v>0</v>
      </c>
      <c r="AI31" s="696">
        <v>0</v>
      </c>
      <c r="AJ31" s="696">
        <v>0</v>
      </c>
      <c r="AK31" s="695">
        <v>0</v>
      </c>
      <c r="AL31" s="2759">
        <f>C31+J31+Q31+X31+AE31</f>
        <v>450.01</v>
      </c>
      <c r="AM31" s="2760">
        <f t="shared" si="38"/>
        <v>446.67</v>
      </c>
      <c r="AN31" s="2760">
        <f t="shared" si="38"/>
        <v>236.45000000000002</v>
      </c>
      <c r="AO31" s="2760">
        <f t="shared" si="38"/>
        <v>190.35000000000002</v>
      </c>
      <c r="AP31" s="2760">
        <f t="shared" si="38"/>
        <v>218.97</v>
      </c>
      <c r="AQ31" s="2760">
        <f t="shared" si="38"/>
        <v>537.38000000000011</v>
      </c>
      <c r="AR31" s="2761">
        <f t="shared" si="38"/>
        <v>531.19000000000005</v>
      </c>
    </row>
    <row r="32" spans="1:44" s="715" customFormat="1" ht="24.75" thickBot="1">
      <c r="A32" s="2762" t="s">
        <v>968</v>
      </c>
      <c r="B32" s="690" t="s">
        <v>955</v>
      </c>
      <c r="C32" s="2763">
        <f>IF(C31=0,0,C31/C30)</f>
        <v>1.0705943035222887</v>
      </c>
      <c r="D32" s="2764">
        <f t="shared" ref="D32:AR32" si="40">IF(D31=0,0,D31/D30)</f>
        <v>1.1103999740750041</v>
      </c>
      <c r="E32" s="2764">
        <f t="shared" si="40"/>
        <v>0.61252549013201774</v>
      </c>
      <c r="F32" s="2764">
        <f t="shared" si="40"/>
        <v>0.53440737907812319</v>
      </c>
      <c r="G32" s="2764">
        <f t="shared" si="40"/>
        <v>0.21727632818345002</v>
      </c>
      <c r="H32" s="2764">
        <f t="shared" si="40"/>
        <v>0.2432077206026319</v>
      </c>
      <c r="I32" s="2765">
        <f t="shared" si="40"/>
        <v>0.23778899332027559</v>
      </c>
      <c r="J32" s="2766">
        <f t="shared" si="40"/>
        <v>5.3679024945535905E-2</v>
      </c>
      <c r="K32" s="2764">
        <f t="shared" si="40"/>
        <v>4.5576001592566528E-2</v>
      </c>
      <c r="L32" s="2764">
        <f t="shared" si="40"/>
        <v>1.526676891242847E-2</v>
      </c>
      <c r="M32" s="2764">
        <f t="shared" si="40"/>
        <v>1.0374112943247996E-3</v>
      </c>
      <c r="N32" s="2764">
        <f t="shared" si="40"/>
        <v>7.5106764986301172E-3</v>
      </c>
      <c r="O32" s="2764">
        <f t="shared" si="40"/>
        <v>0.13356646345207632</v>
      </c>
      <c r="P32" s="2767">
        <f t="shared" si="40"/>
        <v>0.13324252053600125</v>
      </c>
      <c r="Q32" s="2766">
        <f t="shared" si="40"/>
        <v>0.19415501905972044</v>
      </c>
      <c r="R32" s="2764">
        <f t="shared" si="40"/>
        <v>3.7865311308767469E-2</v>
      </c>
      <c r="S32" s="2764">
        <f t="shared" si="40"/>
        <v>7.3697585768742052E-3</v>
      </c>
      <c r="T32" s="2764">
        <f t="shared" si="40"/>
        <v>3.6144578313253013E-3</v>
      </c>
      <c r="U32" s="2764">
        <f t="shared" si="40"/>
        <v>6.0852894699177363E-4</v>
      </c>
      <c r="V32" s="2764">
        <f t="shared" si="40"/>
        <v>0.10336472693602267</v>
      </c>
      <c r="W32" s="2767">
        <f t="shared" si="40"/>
        <v>0.1027196862522114</v>
      </c>
      <c r="X32" s="2763">
        <f t="shared" si="40"/>
        <v>0</v>
      </c>
      <c r="Y32" s="2764">
        <f>IF(Y31=0,0,Y31/Y30)</f>
        <v>0</v>
      </c>
      <c r="Z32" s="2764">
        <f t="shared" si="40"/>
        <v>0</v>
      </c>
      <c r="AA32" s="2764">
        <f t="shared" si="40"/>
        <v>0</v>
      </c>
      <c r="AB32" s="2764">
        <f t="shared" si="40"/>
        <v>0</v>
      </c>
      <c r="AC32" s="2764">
        <f t="shared" si="40"/>
        <v>0</v>
      </c>
      <c r="AD32" s="2764">
        <f t="shared" si="40"/>
        <v>0</v>
      </c>
      <c r="AE32" s="2763">
        <f t="shared" si="40"/>
        <v>0</v>
      </c>
      <c r="AF32" s="2764">
        <f t="shared" si="40"/>
        <v>0</v>
      </c>
      <c r="AG32" s="2764">
        <f t="shared" si="40"/>
        <v>0</v>
      </c>
      <c r="AH32" s="2764">
        <f t="shared" si="40"/>
        <v>0</v>
      </c>
      <c r="AI32" s="2764">
        <f t="shared" si="40"/>
        <v>0</v>
      </c>
      <c r="AJ32" s="2764">
        <f t="shared" si="40"/>
        <v>0</v>
      </c>
      <c r="AK32" s="2764">
        <f t="shared" si="40"/>
        <v>0</v>
      </c>
      <c r="AL32" s="2763">
        <f t="shared" si="40"/>
        <v>0.38690135868140069</v>
      </c>
      <c r="AM32" s="2764">
        <f t="shared" si="40"/>
        <v>0.38402975463261091</v>
      </c>
      <c r="AN32" s="2764">
        <f t="shared" si="40"/>
        <v>0.20381635237257062</v>
      </c>
      <c r="AO32" s="2764">
        <f t="shared" si="40"/>
        <v>0.16651897056546466</v>
      </c>
      <c r="AP32" s="2764">
        <f t="shared" si="40"/>
        <v>6.3704342864436311E-2</v>
      </c>
      <c r="AQ32" s="2764">
        <f t="shared" si="40"/>
        <v>0.15647506138453357</v>
      </c>
      <c r="AR32" s="2764">
        <f t="shared" si="40"/>
        <v>0.15467264851101711</v>
      </c>
    </row>
    <row r="33" spans="1:44" s="715" customFormat="1" ht="24.75" thickBot="1">
      <c r="A33" s="2758">
        <v>8</v>
      </c>
      <c r="B33" s="423" t="s">
        <v>1068</v>
      </c>
      <c r="C33" s="2768">
        <f>C29+C31</f>
        <v>4.6666666667647405E-3</v>
      </c>
      <c r="D33" s="2769">
        <f>D29+D31</f>
        <v>2.4169716671167407E-3</v>
      </c>
      <c r="E33" s="2769">
        <f t="shared" ref="E33:H33" si="41">E29+E31</f>
        <v>-6.5211105760454302E-4</v>
      </c>
      <c r="F33" s="2769">
        <f t="shared" si="41"/>
        <v>-4.2277850843106535E-3</v>
      </c>
      <c r="G33" s="2769">
        <f t="shared" si="41"/>
        <v>-6.9741839666903616E-5</v>
      </c>
      <c r="H33" s="2769">
        <f t="shared" si="41"/>
        <v>-2.6267279758656059E-3</v>
      </c>
      <c r="I33" s="2770">
        <f>I29+I31</f>
        <v>1.1724152644490005E-3</v>
      </c>
      <c r="J33" s="2768">
        <f t="shared" ref="J33:AR33" si="42">J29+J31</f>
        <v>-1.3333333333278574E-3</v>
      </c>
      <c r="K33" s="2769">
        <f t="shared" si="42"/>
        <v>-3.0255352590415896E-3</v>
      </c>
      <c r="L33" s="2769">
        <f t="shared" si="42"/>
        <v>4.4846626905865605E-3</v>
      </c>
      <c r="M33" s="2769">
        <f t="shared" si="42"/>
        <v>-2.2501921558222282E-3</v>
      </c>
      <c r="N33" s="2769">
        <f t="shared" si="42"/>
        <v>-4.273698549457805E-3</v>
      </c>
      <c r="O33" s="2769">
        <f t="shared" si="42"/>
        <v>4.731111981527647E-3</v>
      </c>
      <c r="P33" s="2770">
        <f t="shared" si="42"/>
        <v>-1.0790816264716341E-3</v>
      </c>
      <c r="Q33" s="4626">
        <f t="shared" si="42"/>
        <v>2.6666666666681493E-3</v>
      </c>
      <c r="R33" s="2769">
        <f t="shared" si="42"/>
        <v>-2.9214364079797051E-3</v>
      </c>
      <c r="S33" s="2769">
        <f t="shared" si="42"/>
        <v>4.5474483670896459E-3</v>
      </c>
      <c r="T33" s="2769">
        <f t="shared" si="42"/>
        <v>-1.1320227598576871E-3</v>
      </c>
      <c r="U33" s="2769">
        <f t="shared" si="42"/>
        <v>4.8334403891985289E-3</v>
      </c>
      <c r="V33" s="2769">
        <f t="shared" si="42"/>
        <v>-1.614384005549141E-3</v>
      </c>
      <c r="W33" s="2770">
        <f t="shared" si="42"/>
        <v>2.396666362187716E-3</v>
      </c>
      <c r="X33" s="2768">
        <f t="shared" si="42"/>
        <v>0</v>
      </c>
      <c r="Y33" s="2769">
        <f t="shared" si="42"/>
        <v>0</v>
      </c>
      <c r="Z33" s="2769">
        <f t="shared" si="42"/>
        <v>0</v>
      </c>
      <c r="AA33" s="2769">
        <f t="shared" si="42"/>
        <v>0</v>
      </c>
      <c r="AB33" s="2769">
        <f t="shared" si="42"/>
        <v>0</v>
      </c>
      <c r="AC33" s="2769">
        <f t="shared" si="42"/>
        <v>0</v>
      </c>
      <c r="AD33" s="2769">
        <f t="shared" si="42"/>
        <v>0</v>
      </c>
      <c r="AE33" s="2768">
        <f t="shared" si="42"/>
        <v>0</v>
      </c>
      <c r="AF33" s="2769">
        <f t="shared" si="42"/>
        <v>0</v>
      </c>
      <c r="AG33" s="2769">
        <f t="shared" si="42"/>
        <v>0</v>
      </c>
      <c r="AH33" s="2769">
        <f t="shared" si="42"/>
        <v>0</v>
      </c>
      <c r="AI33" s="2769">
        <f t="shared" si="42"/>
        <v>0</v>
      </c>
      <c r="AJ33" s="2769">
        <f t="shared" si="42"/>
        <v>0</v>
      </c>
      <c r="AK33" s="2769">
        <f t="shared" si="42"/>
        <v>0</v>
      </c>
      <c r="AL33" s="2768">
        <f t="shared" si="42"/>
        <v>6.0000000000854925E-3</v>
      </c>
      <c r="AM33" s="2769">
        <f t="shared" si="42"/>
        <v>-3.5299999998983367E-3</v>
      </c>
      <c r="AN33" s="2769">
        <f t="shared" si="42"/>
        <v>8.3800000001019725E-3</v>
      </c>
      <c r="AO33" s="2769">
        <f t="shared" si="42"/>
        <v>-7.6099999999428292E-3</v>
      </c>
      <c r="AP33" s="2769">
        <f t="shared" si="42"/>
        <v>4.9000000009868927E-4</v>
      </c>
      <c r="AQ33" s="2769">
        <f t="shared" si="42"/>
        <v>4.9000000024079782E-4</v>
      </c>
      <c r="AR33" s="2769">
        <f t="shared" si="42"/>
        <v>2.4900000001935041E-3</v>
      </c>
    </row>
    <row r="34" spans="1:44" s="715" customFormat="1" ht="13.5" hidden="1" thickBot="1">
      <c r="A34" s="2771"/>
      <c r="B34" s="1042"/>
      <c r="C34" s="1042"/>
      <c r="D34" s="1042"/>
      <c r="E34" s="1042"/>
      <c r="F34" s="1042"/>
      <c r="G34" s="1042"/>
      <c r="H34" s="1042"/>
      <c r="I34" s="1042"/>
      <c r="J34" s="1042"/>
      <c r="K34" s="1042"/>
      <c r="L34" s="1042"/>
      <c r="M34" s="1042"/>
      <c r="N34" s="1042"/>
      <c r="O34" s="1042"/>
      <c r="P34" s="1042"/>
      <c r="Q34" s="1042"/>
      <c r="R34" s="1042"/>
      <c r="S34" s="1042"/>
      <c r="T34" s="1042"/>
      <c r="U34" s="1042"/>
      <c r="V34" s="1042"/>
      <c r="W34" s="1043"/>
      <c r="X34" s="1042"/>
      <c r="Y34" s="1042"/>
      <c r="Z34" s="1042"/>
      <c r="AA34" s="1042"/>
      <c r="AB34" s="1042"/>
      <c r="AC34" s="1042"/>
      <c r="AD34" s="1043"/>
      <c r="AE34" s="1042"/>
      <c r="AF34" s="1042"/>
      <c r="AG34" s="1042"/>
      <c r="AH34" s="1042"/>
      <c r="AI34" s="1042"/>
      <c r="AJ34" s="1042"/>
      <c r="AK34" s="1043"/>
      <c r="AL34" s="1042"/>
      <c r="AM34" s="1042"/>
      <c r="AN34" s="1042"/>
      <c r="AO34" s="1042"/>
      <c r="AP34" s="1042"/>
      <c r="AQ34" s="1042"/>
      <c r="AR34" s="1043"/>
    </row>
    <row r="35" spans="1:44" s="711" customFormat="1" ht="12.75" customHeight="1">
      <c r="A35" s="5379">
        <v>9</v>
      </c>
      <c r="B35" s="5403" t="s">
        <v>1460</v>
      </c>
      <c r="C35" s="5383" t="s">
        <v>215</v>
      </c>
      <c r="D35" s="5384"/>
      <c r="E35" s="5384"/>
      <c r="F35" s="5384"/>
      <c r="G35" s="5384"/>
      <c r="H35" s="5384"/>
      <c r="I35" s="5385"/>
      <c r="J35" s="5386" t="s">
        <v>178</v>
      </c>
      <c r="K35" s="5384"/>
      <c r="L35" s="5384"/>
      <c r="M35" s="5384"/>
      <c r="N35" s="5384"/>
      <c r="O35" s="5384"/>
      <c r="P35" s="5387"/>
      <c r="Q35" s="5383" t="s">
        <v>188</v>
      </c>
      <c r="R35" s="5384"/>
      <c r="S35" s="5384"/>
      <c r="T35" s="5384"/>
      <c r="U35" s="5384"/>
      <c r="V35" s="5384"/>
      <c r="W35" s="5385"/>
      <c r="X35" s="5376" t="s">
        <v>1037</v>
      </c>
      <c r="Y35" s="5377"/>
      <c r="Z35" s="5377"/>
      <c r="AA35" s="5377"/>
      <c r="AB35" s="5377"/>
      <c r="AC35" s="5377"/>
      <c r="AD35" s="5378"/>
      <c r="AE35" s="5376" t="s">
        <v>1102</v>
      </c>
      <c r="AF35" s="5377"/>
      <c r="AG35" s="5377"/>
      <c r="AH35" s="5377"/>
      <c r="AI35" s="5377"/>
      <c r="AJ35" s="5377"/>
      <c r="AK35" s="5378"/>
      <c r="AL35" s="5376" t="s">
        <v>1271</v>
      </c>
      <c r="AM35" s="5377"/>
      <c r="AN35" s="5377"/>
      <c r="AO35" s="5377"/>
      <c r="AP35" s="5377"/>
      <c r="AQ35" s="5377"/>
      <c r="AR35" s="5378"/>
    </row>
    <row r="36" spans="1:44" s="1" customFormat="1" ht="13.5" thickBot="1">
      <c r="A36" s="5400"/>
      <c r="B36" s="5382"/>
      <c r="C36" s="2772" t="str">
        <f t="shared" ref="C36:AR36" si="43">C8</f>
        <v>2020 г.</v>
      </c>
      <c r="D36" s="2773" t="str">
        <f t="shared" si="43"/>
        <v>2021 г.</v>
      </c>
      <c r="E36" s="2773" t="str">
        <f t="shared" si="43"/>
        <v>2022 г.</v>
      </c>
      <c r="F36" s="2773" t="str">
        <f t="shared" si="43"/>
        <v>2023 г.</v>
      </c>
      <c r="G36" s="2773" t="str">
        <f t="shared" si="43"/>
        <v>2024 г.</v>
      </c>
      <c r="H36" s="2773" t="str">
        <f t="shared" si="43"/>
        <v>2025 г.</v>
      </c>
      <c r="I36" s="2774" t="str">
        <f t="shared" si="43"/>
        <v>2026 г.</v>
      </c>
      <c r="J36" s="2772" t="str">
        <f t="shared" si="43"/>
        <v>2020 г.</v>
      </c>
      <c r="K36" s="2773" t="str">
        <f t="shared" si="43"/>
        <v>2021 г.</v>
      </c>
      <c r="L36" s="2773" t="str">
        <f t="shared" si="43"/>
        <v>2022 г.</v>
      </c>
      <c r="M36" s="2773" t="str">
        <f t="shared" si="43"/>
        <v>2023 г.</v>
      </c>
      <c r="N36" s="2773" t="str">
        <f t="shared" si="43"/>
        <v>2024 г.</v>
      </c>
      <c r="O36" s="2773" t="str">
        <f t="shared" si="43"/>
        <v>2025 г.</v>
      </c>
      <c r="P36" s="2774" t="str">
        <f t="shared" si="43"/>
        <v>2026 г.</v>
      </c>
      <c r="Q36" s="2775" t="str">
        <f t="shared" si="43"/>
        <v>2020 г.</v>
      </c>
      <c r="R36" s="2773" t="str">
        <f t="shared" si="43"/>
        <v>2021 г.</v>
      </c>
      <c r="S36" s="2773" t="str">
        <f t="shared" si="43"/>
        <v>2022 г.</v>
      </c>
      <c r="T36" s="2773" t="str">
        <f t="shared" si="43"/>
        <v>2023 г.</v>
      </c>
      <c r="U36" s="2773" t="str">
        <f t="shared" si="43"/>
        <v>2024 г.</v>
      </c>
      <c r="V36" s="2773" t="str">
        <f t="shared" si="43"/>
        <v>2025 г.</v>
      </c>
      <c r="W36" s="2774" t="str">
        <f t="shared" si="43"/>
        <v>2026 г.</v>
      </c>
      <c r="X36" s="2775" t="str">
        <f t="shared" si="43"/>
        <v>2020 г.</v>
      </c>
      <c r="Y36" s="2773" t="str">
        <f t="shared" si="43"/>
        <v>2021 г.</v>
      </c>
      <c r="Z36" s="2773" t="str">
        <f t="shared" si="43"/>
        <v>2022 г.</v>
      </c>
      <c r="AA36" s="2773" t="str">
        <f t="shared" si="43"/>
        <v>2023 г.</v>
      </c>
      <c r="AB36" s="2773" t="str">
        <f t="shared" si="43"/>
        <v>2024 г.</v>
      </c>
      <c r="AC36" s="2773" t="str">
        <f t="shared" si="43"/>
        <v>2025 г.</v>
      </c>
      <c r="AD36" s="2774" t="str">
        <f t="shared" si="43"/>
        <v>2026 г.</v>
      </c>
      <c r="AE36" s="2775" t="str">
        <f t="shared" si="43"/>
        <v>2020 г.</v>
      </c>
      <c r="AF36" s="2773" t="str">
        <f t="shared" si="43"/>
        <v>2021 г.</v>
      </c>
      <c r="AG36" s="2773" t="str">
        <f t="shared" si="43"/>
        <v>2022 г.</v>
      </c>
      <c r="AH36" s="2773" t="str">
        <f t="shared" si="43"/>
        <v>2023 г.</v>
      </c>
      <c r="AI36" s="2773" t="str">
        <f t="shared" si="43"/>
        <v>2024 г.</v>
      </c>
      <c r="AJ36" s="2773" t="str">
        <f t="shared" si="43"/>
        <v>2025 г.</v>
      </c>
      <c r="AK36" s="2774" t="str">
        <f t="shared" si="43"/>
        <v>2026 г.</v>
      </c>
      <c r="AL36" s="2775" t="str">
        <f t="shared" si="43"/>
        <v>2020 г.</v>
      </c>
      <c r="AM36" s="2773" t="str">
        <f t="shared" si="43"/>
        <v>2021 г.</v>
      </c>
      <c r="AN36" s="2773" t="str">
        <f t="shared" si="43"/>
        <v>2022 г.</v>
      </c>
      <c r="AO36" s="2773" t="str">
        <f t="shared" si="43"/>
        <v>2023 г.</v>
      </c>
      <c r="AP36" s="2773" t="str">
        <f t="shared" si="43"/>
        <v>2024 г.</v>
      </c>
      <c r="AQ36" s="2773" t="str">
        <f t="shared" si="43"/>
        <v>2025 г.</v>
      </c>
      <c r="AR36" s="2774" t="str">
        <f t="shared" si="43"/>
        <v>2026 г.</v>
      </c>
    </row>
    <row r="37" spans="1:44" s="1" customFormat="1">
      <c r="A37" s="4637" t="s">
        <v>969</v>
      </c>
      <c r="B37" s="2776" t="s">
        <v>199</v>
      </c>
      <c r="C37" s="4627"/>
      <c r="D37" s="4628">
        <f t="shared" ref="D37:I37" si="44">C43</f>
        <v>0</v>
      </c>
      <c r="E37" s="4629">
        <f t="shared" si="44"/>
        <v>0</v>
      </c>
      <c r="F37" s="4629">
        <f t="shared" si="44"/>
        <v>0</v>
      </c>
      <c r="G37" s="4629">
        <f t="shared" si="44"/>
        <v>0</v>
      </c>
      <c r="H37" s="4629">
        <f t="shared" si="44"/>
        <v>0</v>
      </c>
      <c r="I37" s="4630">
        <f t="shared" si="44"/>
        <v>0</v>
      </c>
      <c r="J37" s="4627"/>
      <c r="K37" s="4631">
        <f t="shared" ref="K37:P37" si="45">J43</f>
        <v>0</v>
      </c>
      <c r="L37" s="4629">
        <f t="shared" si="45"/>
        <v>0</v>
      </c>
      <c r="M37" s="4629">
        <f t="shared" si="45"/>
        <v>0</v>
      </c>
      <c r="N37" s="4629">
        <f t="shared" si="45"/>
        <v>0</v>
      </c>
      <c r="O37" s="4629">
        <f t="shared" si="45"/>
        <v>0</v>
      </c>
      <c r="P37" s="4630">
        <f t="shared" si="45"/>
        <v>0</v>
      </c>
      <c r="Q37" s="4627"/>
      <c r="R37" s="4631">
        <f t="shared" ref="R37:W37" si="46">Q43</f>
        <v>0</v>
      </c>
      <c r="S37" s="4629">
        <f t="shared" si="46"/>
        <v>0</v>
      </c>
      <c r="T37" s="4629">
        <f t="shared" si="46"/>
        <v>0</v>
      </c>
      <c r="U37" s="4629">
        <f t="shared" si="46"/>
        <v>0</v>
      </c>
      <c r="V37" s="4629">
        <f t="shared" si="46"/>
        <v>0</v>
      </c>
      <c r="W37" s="4630">
        <f t="shared" si="46"/>
        <v>0</v>
      </c>
      <c r="X37" s="4627"/>
      <c r="Y37" s="4631">
        <f t="shared" ref="Y37:AD37" si="47">X43</f>
        <v>0</v>
      </c>
      <c r="Z37" s="4629">
        <f t="shared" si="47"/>
        <v>0</v>
      </c>
      <c r="AA37" s="4629">
        <f t="shared" si="47"/>
        <v>0</v>
      </c>
      <c r="AB37" s="4629">
        <f t="shared" si="47"/>
        <v>0</v>
      </c>
      <c r="AC37" s="4629">
        <f t="shared" si="47"/>
        <v>0</v>
      </c>
      <c r="AD37" s="4630">
        <f t="shared" si="47"/>
        <v>0</v>
      </c>
      <c r="AE37" s="4627"/>
      <c r="AF37" s="4631">
        <f t="shared" ref="AF37:AK37" si="48">AE43</f>
        <v>0</v>
      </c>
      <c r="AG37" s="4629">
        <f t="shared" si="48"/>
        <v>0</v>
      </c>
      <c r="AH37" s="4629">
        <f t="shared" si="48"/>
        <v>0</v>
      </c>
      <c r="AI37" s="4629">
        <f t="shared" si="48"/>
        <v>0</v>
      </c>
      <c r="AJ37" s="4629">
        <f t="shared" si="48"/>
        <v>0</v>
      </c>
      <c r="AK37" s="4630">
        <f t="shared" si="48"/>
        <v>0</v>
      </c>
      <c r="AL37" s="4632">
        <f>C37+J37+Q37+X37+AE37</f>
        <v>0</v>
      </c>
      <c r="AM37" s="4633">
        <f t="shared" ref="AM37" si="49">AL43</f>
        <v>0</v>
      </c>
      <c r="AN37" s="4634">
        <f>AM43</f>
        <v>0</v>
      </c>
      <c r="AO37" s="4634">
        <f t="shared" ref="AO37:AR37" si="50">AN43</f>
        <v>0</v>
      </c>
      <c r="AP37" s="4634">
        <f t="shared" si="50"/>
        <v>0</v>
      </c>
      <c r="AQ37" s="4634">
        <f t="shared" si="50"/>
        <v>0</v>
      </c>
      <c r="AR37" s="4635">
        <f t="shared" si="50"/>
        <v>0</v>
      </c>
    </row>
    <row r="38" spans="1:44" s="1" customFormat="1">
      <c r="A38" s="4636" t="s">
        <v>970</v>
      </c>
      <c r="B38" s="2778" t="s">
        <v>200</v>
      </c>
      <c r="C38" s="436"/>
      <c r="D38" s="450"/>
      <c r="E38" s="450"/>
      <c r="F38" s="450"/>
      <c r="G38" s="450"/>
      <c r="H38" s="450"/>
      <c r="I38" s="451"/>
      <c r="J38" s="436"/>
      <c r="K38" s="450"/>
      <c r="L38" s="450"/>
      <c r="M38" s="450"/>
      <c r="N38" s="450"/>
      <c r="O38" s="450"/>
      <c r="P38" s="451"/>
      <c r="Q38" s="436"/>
      <c r="R38" s="450"/>
      <c r="S38" s="450"/>
      <c r="T38" s="450"/>
      <c r="U38" s="450"/>
      <c r="V38" s="450"/>
      <c r="W38" s="451"/>
      <c r="X38" s="436"/>
      <c r="Y38" s="450"/>
      <c r="Z38" s="450"/>
      <c r="AA38" s="450"/>
      <c r="AB38" s="450"/>
      <c r="AC38" s="450"/>
      <c r="AD38" s="451"/>
      <c r="AE38" s="436"/>
      <c r="AF38" s="450"/>
      <c r="AG38" s="450"/>
      <c r="AH38" s="450"/>
      <c r="AI38" s="450"/>
      <c r="AJ38" s="450"/>
      <c r="AK38" s="451"/>
      <c r="AL38" s="2777">
        <f>C38+J38+Q38+X38+AE38</f>
        <v>0</v>
      </c>
      <c r="AM38" s="2779">
        <f t="shared" ref="AL38:AR40" si="51">D38+K38+R38+Y38+AF38</f>
        <v>0</v>
      </c>
      <c r="AN38" s="2779">
        <f t="shared" si="51"/>
        <v>0</v>
      </c>
      <c r="AO38" s="2779">
        <f t="shared" si="51"/>
        <v>0</v>
      </c>
      <c r="AP38" s="2779">
        <f t="shared" si="51"/>
        <v>0</v>
      </c>
      <c r="AQ38" s="2779">
        <f t="shared" si="51"/>
        <v>0</v>
      </c>
      <c r="AR38" s="2780">
        <f t="shared" si="51"/>
        <v>0</v>
      </c>
    </row>
    <row r="39" spans="1:44" s="1" customFormat="1">
      <c r="A39" s="4636" t="s">
        <v>971</v>
      </c>
      <c r="B39" s="2778" t="s">
        <v>201</v>
      </c>
      <c r="C39" s="436"/>
      <c r="D39" s="450"/>
      <c r="E39" s="450"/>
      <c r="F39" s="450"/>
      <c r="G39" s="450"/>
      <c r="H39" s="450"/>
      <c r="I39" s="451"/>
      <c r="J39" s="436"/>
      <c r="K39" s="450"/>
      <c r="L39" s="450"/>
      <c r="M39" s="450"/>
      <c r="N39" s="450"/>
      <c r="O39" s="450"/>
      <c r="P39" s="451"/>
      <c r="Q39" s="436"/>
      <c r="R39" s="450"/>
      <c r="S39" s="450"/>
      <c r="T39" s="450"/>
      <c r="U39" s="450"/>
      <c r="V39" s="450"/>
      <c r="W39" s="451"/>
      <c r="X39" s="436"/>
      <c r="Y39" s="450"/>
      <c r="Z39" s="450"/>
      <c r="AA39" s="450"/>
      <c r="AB39" s="450"/>
      <c r="AC39" s="450"/>
      <c r="AD39" s="451"/>
      <c r="AE39" s="436"/>
      <c r="AF39" s="450"/>
      <c r="AG39" s="450"/>
      <c r="AH39" s="450"/>
      <c r="AI39" s="450"/>
      <c r="AJ39" s="450"/>
      <c r="AK39" s="451"/>
      <c r="AL39" s="2777">
        <f t="shared" si="51"/>
        <v>0</v>
      </c>
      <c r="AM39" s="2779">
        <f t="shared" si="51"/>
        <v>0</v>
      </c>
      <c r="AN39" s="2779">
        <f t="shared" si="51"/>
        <v>0</v>
      </c>
      <c r="AO39" s="2779">
        <f t="shared" si="51"/>
        <v>0</v>
      </c>
      <c r="AP39" s="2779">
        <f t="shared" si="51"/>
        <v>0</v>
      </c>
      <c r="AQ39" s="2779">
        <f t="shared" si="51"/>
        <v>0</v>
      </c>
      <c r="AR39" s="2780">
        <f t="shared" si="51"/>
        <v>0</v>
      </c>
    </row>
    <row r="40" spans="1:44" s="1" customFormat="1">
      <c r="A40" s="4636" t="s">
        <v>972</v>
      </c>
      <c r="B40" s="2778" t="s">
        <v>202</v>
      </c>
      <c r="C40" s="436"/>
      <c r="D40" s="450"/>
      <c r="E40" s="450"/>
      <c r="F40" s="450"/>
      <c r="G40" s="450"/>
      <c r="H40" s="450"/>
      <c r="I40" s="451"/>
      <c r="J40" s="436"/>
      <c r="K40" s="450"/>
      <c r="L40" s="450"/>
      <c r="M40" s="450"/>
      <c r="N40" s="450"/>
      <c r="O40" s="450"/>
      <c r="P40" s="451"/>
      <c r="Q40" s="436"/>
      <c r="R40" s="450"/>
      <c r="S40" s="450"/>
      <c r="T40" s="450"/>
      <c r="U40" s="450"/>
      <c r="V40" s="450"/>
      <c r="W40" s="451"/>
      <c r="X40" s="436"/>
      <c r="Y40" s="450"/>
      <c r="Z40" s="450"/>
      <c r="AA40" s="450"/>
      <c r="AB40" s="450"/>
      <c r="AC40" s="450"/>
      <c r="AD40" s="451"/>
      <c r="AE40" s="436"/>
      <c r="AF40" s="450"/>
      <c r="AG40" s="450"/>
      <c r="AH40" s="450"/>
      <c r="AI40" s="450"/>
      <c r="AJ40" s="450"/>
      <c r="AK40" s="451"/>
      <c r="AL40" s="2777">
        <f t="shared" si="51"/>
        <v>0</v>
      </c>
      <c r="AM40" s="2779">
        <f t="shared" si="51"/>
        <v>0</v>
      </c>
      <c r="AN40" s="2779">
        <f t="shared" si="51"/>
        <v>0</v>
      </c>
      <c r="AO40" s="2779">
        <f t="shared" si="51"/>
        <v>0</v>
      </c>
      <c r="AP40" s="2779">
        <f t="shared" si="51"/>
        <v>0</v>
      </c>
      <c r="AQ40" s="2779">
        <f t="shared" si="51"/>
        <v>0</v>
      </c>
      <c r="AR40" s="2780">
        <f t="shared" si="51"/>
        <v>0</v>
      </c>
    </row>
    <row r="41" spans="1:44" s="1" customFormat="1">
      <c r="A41" s="4636" t="s">
        <v>973</v>
      </c>
      <c r="B41" s="2778" t="s">
        <v>203</v>
      </c>
      <c r="C41" s="2781">
        <f t="shared" ref="C41:I41" si="52">IF(C37=0,0,C40/((C37+C43)/2))</f>
        <v>0</v>
      </c>
      <c r="D41" s="1527">
        <f t="shared" si="52"/>
        <v>0</v>
      </c>
      <c r="E41" s="1527">
        <f t="shared" si="52"/>
        <v>0</v>
      </c>
      <c r="F41" s="1527">
        <f t="shared" si="52"/>
        <v>0</v>
      </c>
      <c r="G41" s="1527">
        <f t="shared" si="52"/>
        <v>0</v>
      </c>
      <c r="H41" s="1527">
        <f t="shared" si="52"/>
        <v>0</v>
      </c>
      <c r="I41" s="2782">
        <f t="shared" si="52"/>
        <v>0</v>
      </c>
      <c r="J41" s="2783">
        <f>IF(J37=0,0,J40/((J37+J43)/2))</f>
        <v>0</v>
      </c>
      <c r="K41" s="2784">
        <f>IF(K37=0,0,K40/((K37+K43)/2))</f>
        <v>0</v>
      </c>
      <c r="L41" s="2784">
        <f t="shared" ref="L41:P41" si="53">IF(L37=0,0,L40/((L37+L43)/2))</f>
        <v>0</v>
      </c>
      <c r="M41" s="2784">
        <f t="shared" si="53"/>
        <v>0</v>
      </c>
      <c r="N41" s="2784">
        <f t="shared" si="53"/>
        <v>0</v>
      </c>
      <c r="O41" s="2784">
        <f t="shared" si="53"/>
        <v>0</v>
      </c>
      <c r="P41" s="2785">
        <f t="shared" si="53"/>
        <v>0</v>
      </c>
      <c r="Q41" s="2783">
        <f>IF(Q37=0,0,Q40/((Q37+Q43)/2))</f>
        <v>0</v>
      </c>
      <c r="R41" s="2784">
        <f>IF(R37=0,0,R40/((R37+R43)/2))</f>
        <v>0</v>
      </c>
      <c r="S41" s="2784">
        <f t="shared" ref="S41:W41" si="54">IF(S37=0,0,S40/((S37+S43)/2))</f>
        <v>0</v>
      </c>
      <c r="T41" s="2784">
        <f t="shared" si="54"/>
        <v>0</v>
      </c>
      <c r="U41" s="2784">
        <f t="shared" si="54"/>
        <v>0</v>
      </c>
      <c r="V41" s="2784">
        <f t="shared" si="54"/>
        <v>0</v>
      </c>
      <c r="W41" s="2785">
        <f t="shared" si="54"/>
        <v>0</v>
      </c>
      <c r="X41" s="2783">
        <f>IF(X37=0,0,X40/((X37+X43)/2))</f>
        <v>0</v>
      </c>
      <c r="Y41" s="2784">
        <f>IF(Y37=0,0,Y40/((Y37+Y43)/2))</f>
        <v>0</v>
      </c>
      <c r="Z41" s="2784">
        <f t="shared" ref="Z41:AD41" si="55">IF(Z37=0,0,Z40/((Z37+Z43)/2))</f>
        <v>0</v>
      </c>
      <c r="AA41" s="2784">
        <f t="shared" si="55"/>
        <v>0</v>
      </c>
      <c r="AB41" s="2784">
        <f t="shared" si="55"/>
        <v>0</v>
      </c>
      <c r="AC41" s="2784">
        <f t="shared" si="55"/>
        <v>0</v>
      </c>
      <c r="AD41" s="2785">
        <f t="shared" si="55"/>
        <v>0</v>
      </c>
      <c r="AE41" s="2783">
        <f>IF(AE37=0,0,AE40/((AE37+AE43)/2))</f>
        <v>0</v>
      </c>
      <c r="AF41" s="2784">
        <f>IF(AF37=0,0,AF40/((AF37+AF43)/2))</f>
        <v>0</v>
      </c>
      <c r="AG41" s="2784">
        <f t="shared" ref="AG41:AK41" si="56">IF(AG37=0,0,AG40/((AG37+AG43)/2))</f>
        <v>0</v>
      </c>
      <c r="AH41" s="2784">
        <f t="shared" si="56"/>
        <v>0</v>
      </c>
      <c r="AI41" s="2784">
        <f t="shared" si="56"/>
        <v>0</v>
      </c>
      <c r="AJ41" s="2784">
        <f t="shared" si="56"/>
        <v>0</v>
      </c>
      <c r="AK41" s="2785">
        <f t="shared" si="56"/>
        <v>0</v>
      </c>
      <c r="AL41" s="2783">
        <f>IF(AL37=0,0,AL40/((AL37+AL43)/2))</f>
        <v>0</v>
      </c>
      <c r="AM41" s="2784">
        <f>IF(AM37=0,0,AM40/((AM37+AM43)/2))</f>
        <v>0</v>
      </c>
      <c r="AN41" s="2784">
        <f t="shared" ref="AN41:AR41" si="57">IF(AN37=0,0,AN40/((AN37+AN43)/2))</f>
        <v>0</v>
      </c>
      <c r="AO41" s="2784">
        <f t="shared" si="57"/>
        <v>0</v>
      </c>
      <c r="AP41" s="2784">
        <f t="shared" si="57"/>
        <v>0</v>
      </c>
      <c r="AQ41" s="2784">
        <f t="shared" si="57"/>
        <v>0</v>
      </c>
      <c r="AR41" s="2785">
        <f t="shared" si="57"/>
        <v>0</v>
      </c>
    </row>
    <row r="42" spans="1:44" s="1" customFormat="1">
      <c r="A42" s="4636" t="s">
        <v>974</v>
      </c>
      <c r="B42" s="2778" t="s">
        <v>204</v>
      </c>
      <c r="C42" s="2786">
        <f>C39+C40</f>
        <v>0</v>
      </c>
      <c r="D42" s="2787">
        <f t="shared" ref="D42:I42" si="58">D39+D40</f>
        <v>0</v>
      </c>
      <c r="E42" s="2787">
        <f t="shared" si="58"/>
        <v>0</v>
      </c>
      <c r="F42" s="2787">
        <f t="shared" si="58"/>
        <v>0</v>
      </c>
      <c r="G42" s="2787">
        <f t="shared" si="58"/>
        <v>0</v>
      </c>
      <c r="H42" s="2787">
        <f t="shared" si="58"/>
        <v>0</v>
      </c>
      <c r="I42" s="2788">
        <f t="shared" si="58"/>
        <v>0</v>
      </c>
      <c r="J42" s="2786">
        <f>J39+J40</f>
        <v>0</v>
      </c>
      <c r="K42" s="2787">
        <f t="shared" ref="K42:P42" si="59">K39+K40</f>
        <v>0</v>
      </c>
      <c r="L42" s="2787">
        <f t="shared" si="59"/>
        <v>0</v>
      </c>
      <c r="M42" s="2787">
        <f t="shared" si="59"/>
        <v>0</v>
      </c>
      <c r="N42" s="2787">
        <f t="shared" si="59"/>
        <v>0</v>
      </c>
      <c r="O42" s="2787">
        <f t="shared" si="59"/>
        <v>0</v>
      </c>
      <c r="P42" s="2788">
        <f t="shared" si="59"/>
        <v>0</v>
      </c>
      <c r="Q42" s="2786">
        <f>Q39+Q40</f>
        <v>0</v>
      </c>
      <c r="R42" s="2787">
        <f t="shared" ref="R42:W42" si="60">R39+R40</f>
        <v>0</v>
      </c>
      <c r="S42" s="2787">
        <f t="shared" si="60"/>
        <v>0</v>
      </c>
      <c r="T42" s="2787">
        <f t="shared" si="60"/>
        <v>0</v>
      </c>
      <c r="U42" s="2787">
        <f t="shared" si="60"/>
        <v>0</v>
      </c>
      <c r="V42" s="2787">
        <f t="shared" si="60"/>
        <v>0</v>
      </c>
      <c r="W42" s="2788">
        <f t="shared" si="60"/>
        <v>0</v>
      </c>
      <c r="X42" s="2786">
        <f>X39+X40</f>
        <v>0</v>
      </c>
      <c r="Y42" s="2787">
        <f t="shared" ref="Y42:AD42" si="61">Y39+Y40</f>
        <v>0</v>
      </c>
      <c r="Z42" s="2787">
        <f t="shared" si="61"/>
        <v>0</v>
      </c>
      <c r="AA42" s="2787">
        <f t="shared" si="61"/>
        <v>0</v>
      </c>
      <c r="AB42" s="2787">
        <f t="shared" si="61"/>
        <v>0</v>
      </c>
      <c r="AC42" s="2787">
        <f t="shared" si="61"/>
        <v>0</v>
      </c>
      <c r="AD42" s="2788">
        <f t="shared" si="61"/>
        <v>0</v>
      </c>
      <c r="AE42" s="2786">
        <f>AE39+AE40</f>
        <v>0</v>
      </c>
      <c r="AF42" s="2787">
        <f t="shared" ref="AF42:AK42" si="62">AF39+AF40</f>
        <v>0</v>
      </c>
      <c r="AG42" s="2787">
        <f t="shared" si="62"/>
        <v>0</v>
      </c>
      <c r="AH42" s="2787">
        <f t="shared" si="62"/>
        <v>0</v>
      </c>
      <c r="AI42" s="2787">
        <f t="shared" si="62"/>
        <v>0</v>
      </c>
      <c r="AJ42" s="2787">
        <f t="shared" si="62"/>
        <v>0</v>
      </c>
      <c r="AK42" s="2788">
        <f t="shared" si="62"/>
        <v>0</v>
      </c>
      <c r="AL42" s="2786">
        <f>AL39+AL40</f>
        <v>0</v>
      </c>
      <c r="AM42" s="2787">
        <f t="shared" ref="AM42:AR42" si="63">AM39+AM40</f>
        <v>0</v>
      </c>
      <c r="AN42" s="2787">
        <f t="shared" si="63"/>
        <v>0</v>
      </c>
      <c r="AO42" s="2787">
        <f t="shared" si="63"/>
        <v>0</v>
      </c>
      <c r="AP42" s="2787">
        <f t="shared" si="63"/>
        <v>0</v>
      </c>
      <c r="AQ42" s="2787">
        <f t="shared" si="63"/>
        <v>0</v>
      </c>
      <c r="AR42" s="2788">
        <f t="shared" si="63"/>
        <v>0</v>
      </c>
    </row>
    <row r="43" spans="1:44" s="1" customFormat="1">
      <c r="A43" s="4636" t="s">
        <v>975</v>
      </c>
      <c r="B43" s="2778" t="s">
        <v>205</v>
      </c>
      <c r="C43" s="2786">
        <f>C37+C38-C39</f>
        <v>0</v>
      </c>
      <c r="D43" s="2787">
        <f t="shared" ref="D43:I43" si="64">D37+D38-D39</f>
        <v>0</v>
      </c>
      <c r="E43" s="2787">
        <f t="shared" si="64"/>
        <v>0</v>
      </c>
      <c r="F43" s="2787">
        <f t="shared" si="64"/>
        <v>0</v>
      </c>
      <c r="G43" s="2787">
        <f t="shared" si="64"/>
        <v>0</v>
      </c>
      <c r="H43" s="2787">
        <f t="shared" si="64"/>
        <v>0</v>
      </c>
      <c r="I43" s="2788">
        <f t="shared" si="64"/>
        <v>0</v>
      </c>
      <c r="J43" s="2786">
        <f>J37+J38-J39</f>
        <v>0</v>
      </c>
      <c r="K43" s="2787">
        <f t="shared" ref="K43:P43" si="65">K37+K38-K39</f>
        <v>0</v>
      </c>
      <c r="L43" s="2787">
        <f t="shared" si="65"/>
        <v>0</v>
      </c>
      <c r="M43" s="2787">
        <f t="shared" si="65"/>
        <v>0</v>
      </c>
      <c r="N43" s="2787">
        <f t="shared" si="65"/>
        <v>0</v>
      </c>
      <c r="O43" s="2787">
        <f t="shared" si="65"/>
        <v>0</v>
      </c>
      <c r="P43" s="2788">
        <f t="shared" si="65"/>
        <v>0</v>
      </c>
      <c r="Q43" s="2786">
        <f>Q37+Q38-Q39</f>
        <v>0</v>
      </c>
      <c r="R43" s="2787">
        <f t="shared" ref="R43:W43" si="66">R37+R38-R39</f>
        <v>0</v>
      </c>
      <c r="S43" s="2787">
        <f t="shared" si="66"/>
        <v>0</v>
      </c>
      <c r="T43" s="2787">
        <f t="shared" si="66"/>
        <v>0</v>
      </c>
      <c r="U43" s="2787">
        <f t="shared" si="66"/>
        <v>0</v>
      </c>
      <c r="V43" s="2787">
        <f t="shared" si="66"/>
        <v>0</v>
      </c>
      <c r="W43" s="2788">
        <f t="shared" si="66"/>
        <v>0</v>
      </c>
      <c r="X43" s="2786">
        <f>X37+X38-X39</f>
        <v>0</v>
      </c>
      <c r="Y43" s="2787">
        <f t="shared" ref="Y43:AD43" si="67">Y37+Y38-Y39</f>
        <v>0</v>
      </c>
      <c r="Z43" s="2787">
        <f t="shared" si="67"/>
        <v>0</v>
      </c>
      <c r="AA43" s="2787">
        <f t="shared" si="67"/>
        <v>0</v>
      </c>
      <c r="AB43" s="2787">
        <f t="shared" si="67"/>
        <v>0</v>
      </c>
      <c r="AC43" s="2787">
        <f t="shared" si="67"/>
        <v>0</v>
      </c>
      <c r="AD43" s="2788">
        <f t="shared" si="67"/>
        <v>0</v>
      </c>
      <c r="AE43" s="2786">
        <f>AE37+AE38-AE39</f>
        <v>0</v>
      </c>
      <c r="AF43" s="2787">
        <f t="shared" ref="AF43:AK43" si="68">AF37+AF38-AF39</f>
        <v>0</v>
      </c>
      <c r="AG43" s="2787">
        <f t="shared" si="68"/>
        <v>0</v>
      </c>
      <c r="AH43" s="2787">
        <f t="shared" si="68"/>
        <v>0</v>
      </c>
      <c r="AI43" s="2787">
        <f t="shared" si="68"/>
        <v>0</v>
      </c>
      <c r="AJ43" s="2787">
        <f t="shared" si="68"/>
        <v>0</v>
      </c>
      <c r="AK43" s="2788">
        <f t="shared" si="68"/>
        <v>0</v>
      </c>
      <c r="AL43" s="2786">
        <f>AL37+AL38-AL39</f>
        <v>0</v>
      </c>
      <c r="AM43" s="2787">
        <f t="shared" ref="AM43:AR43" si="69">AM37+AM38-AM39</f>
        <v>0</v>
      </c>
      <c r="AN43" s="2787">
        <f t="shared" si="69"/>
        <v>0</v>
      </c>
      <c r="AO43" s="2787">
        <f t="shared" si="69"/>
        <v>0</v>
      </c>
      <c r="AP43" s="2787">
        <f t="shared" si="69"/>
        <v>0</v>
      </c>
      <c r="AQ43" s="2787">
        <f t="shared" si="69"/>
        <v>0</v>
      </c>
      <c r="AR43" s="2788">
        <f t="shared" si="69"/>
        <v>0</v>
      </c>
    </row>
    <row r="44" spans="1:44" s="1" customFormat="1">
      <c r="A44" s="4636" t="s">
        <v>1418</v>
      </c>
      <c r="B44" s="2778" t="s">
        <v>1419</v>
      </c>
      <c r="C44" s="1497"/>
      <c r="D44" s="1498"/>
      <c r="E44" s="1498"/>
      <c r="F44" s="1498"/>
      <c r="G44" s="1498"/>
      <c r="H44" s="1498"/>
      <c r="I44" s="1499"/>
      <c r="J44" s="1497"/>
      <c r="K44" s="1498"/>
      <c r="L44" s="1498"/>
      <c r="M44" s="1498"/>
      <c r="N44" s="1498"/>
      <c r="O44" s="1498"/>
      <c r="P44" s="1499"/>
      <c r="Q44" s="1497"/>
      <c r="R44" s="1498"/>
      <c r="S44" s="1498"/>
      <c r="T44" s="1498"/>
      <c r="U44" s="1498"/>
      <c r="V44" s="1498"/>
      <c r="W44" s="1499"/>
      <c r="X44" s="1497"/>
      <c r="Y44" s="1498"/>
      <c r="Z44" s="1498"/>
      <c r="AA44" s="1498"/>
      <c r="AB44" s="1498"/>
      <c r="AC44" s="1498"/>
      <c r="AD44" s="1499"/>
      <c r="AE44" s="1497"/>
      <c r="AF44" s="1498"/>
      <c r="AG44" s="1498"/>
      <c r="AH44" s="1498"/>
      <c r="AI44" s="1498"/>
      <c r="AJ44" s="1498"/>
      <c r="AK44" s="1499"/>
      <c r="AL44" s="2786"/>
      <c r="AM44" s="2787"/>
      <c r="AN44" s="2787"/>
      <c r="AO44" s="2787"/>
      <c r="AP44" s="2787"/>
      <c r="AQ44" s="2787"/>
      <c r="AR44" s="2788"/>
    </row>
    <row r="45" spans="1:44" s="1" customFormat="1" ht="13.5" thickBot="1">
      <c r="A45" s="4638" t="s">
        <v>1420</v>
      </c>
      <c r="B45" s="2778" t="s">
        <v>1421</v>
      </c>
      <c r="C45" s="1497"/>
      <c r="D45" s="1498"/>
      <c r="E45" s="1498"/>
      <c r="F45" s="1498"/>
      <c r="G45" s="1498"/>
      <c r="H45" s="1498"/>
      <c r="I45" s="1499"/>
      <c r="J45" s="1497"/>
      <c r="K45" s="1498"/>
      <c r="L45" s="1498"/>
      <c r="M45" s="1498"/>
      <c r="N45" s="1498"/>
      <c r="O45" s="1498"/>
      <c r="P45" s="1499"/>
      <c r="Q45" s="1497"/>
      <c r="R45" s="1498"/>
      <c r="S45" s="1498"/>
      <c r="T45" s="1498"/>
      <c r="U45" s="1498"/>
      <c r="V45" s="1498"/>
      <c r="W45" s="1499"/>
      <c r="X45" s="1497"/>
      <c r="Y45" s="1498"/>
      <c r="Z45" s="1498"/>
      <c r="AA45" s="1498"/>
      <c r="AB45" s="1498"/>
      <c r="AC45" s="1498"/>
      <c r="AD45" s="1499"/>
      <c r="AE45" s="1497"/>
      <c r="AF45" s="1498"/>
      <c r="AG45" s="1498"/>
      <c r="AH45" s="1498"/>
      <c r="AI45" s="1498"/>
      <c r="AJ45" s="1498"/>
      <c r="AK45" s="1499"/>
      <c r="AL45" s="2786"/>
      <c r="AM45" s="2787"/>
      <c r="AN45" s="2787"/>
      <c r="AO45" s="2787"/>
      <c r="AP45" s="2787"/>
      <c r="AQ45" s="2787"/>
      <c r="AR45" s="2788"/>
    </row>
    <row r="46" spans="1:44" s="1" customFormat="1" ht="12.75" customHeight="1">
      <c r="A46" s="5379">
        <v>10</v>
      </c>
      <c r="B46" s="5388" t="s">
        <v>1730</v>
      </c>
      <c r="C46" s="5383" t="s">
        <v>215</v>
      </c>
      <c r="D46" s="5384"/>
      <c r="E46" s="5384"/>
      <c r="F46" s="5384"/>
      <c r="G46" s="5384"/>
      <c r="H46" s="5384"/>
      <c r="I46" s="5385"/>
      <c r="J46" s="5386" t="s">
        <v>178</v>
      </c>
      <c r="K46" s="5384"/>
      <c r="L46" s="5384"/>
      <c r="M46" s="5384"/>
      <c r="N46" s="5384"/>
      <c r="O46" s="5384"/>
      <c r="P46" s="5387"/>
      <c r="Q46" s="5383" t="s">
        <v>188</v>
      </c>
      <c r="R46" s="5384"/>
      <c r="S46" s="5384"/>
      <c r="T46" s="5384"/>
      <c r="U46" s="5384"/>
      <c r="V46" s="5384"/>
      <c r="W46" s="5385"/>
      <c r="X46" s="5376" t="s">
        <v>1037</v>
      </c>
      <c r="Y46" s="5377"/>
      <c r="Z46" s="5377"/>
      <c r="AA46" s="5377"/>
      <c r="AB46" s="5377"/>
      <c r="AC46" s="5377"/>
      <c r="AD46" s="5378"/>
      <c r="AE46" s="5376" t="s">
        <v>1102</v>
      </c>
      <c r="AF46" s="5377"/>
      <c r="AG46" s="5377"/>
      <c r="AH46" s="5377"/>
      <c r="AI46" s="5377"/>
      <c r="AJ46" s="5377"/>
      <c r="AK46" s="5378"/>
      <c r="AL46" s="5376" t="s">
        <v>1271</v>
      </c>
      <c r="AM46" s="5377"/>
      <c r="AN46" s="5377"/>
      <c r="AO46" s="5377"/>
      <c r="AP46" s="5377"/>
      <c r="AQ46" s="5377"/>
      <c r="AR46" s="5378"/>
    </row>
    <row r="47" spans="1:44" s="1" customFormat="1" ht="13.5" thickBot="1">
      <c r="A47" s="5380"/>
      <c r="B47" s="5382"/>
      <c r="C47" s="2789" t="str">
        <f t="shared" ref="C47:AR47" si="70">C36</f>
        <v>2020 г.</v>
      </c>
      <c r="D47" s="2790" t="str">
        <f t="shared" si="70"/>
        <v>2021 г.</v>
      </c>
      <c r="E47" s="2790" t="str">
        <f t="shared" si="70"/>
        <v>2022 г.</v>
      </c>
      <c r="F47" s="2790" t="str">
        <f t="shared" si="70"/>
        <v>2023 г.</v>
      </c>
      <c r="G47" s="2790" t="str">
        <f t="shared" si="70"/>
        <v>2024 г.</v>
      </c>
      <c r="H47" s="2790" t="str">
        <f t="shared" si="70"/>
        <v>2025 г.</v>
      </c>
      <c r="I47" s="2791" t="str">
        <f t="shared" si="70"/>
        <v>2026 г.</v>
      </c>
      <c r="J47" s="2792" t="str">
        <f t="shared" si="70"/>
        <v>2020 г.</v>
      </c>
      <c r="K47" s="2793" t="str">
        <f t="shared" si="70"/>
        <v>2021 г.</v>
      </c>
      <c r="L47" s="2793" t="str">
        <f t="shared" si="70"/>
        <v>2022 г.</v>
      </c>
      <c r="M47" s="2793" t="str">
        <f t="shared" si="70"/>
        <v>2023 г.</v>
      </c>
      <c r="N47" s="2793" t="str">
        <f t="shared" si="70"/>
        <v>2024 г.</v>
      </c>
      <c r="O47" s="2793" t="str">
        <f t="shared" si="70"/>
        <v>2025 г.</v>
      </c>
      <c r="P47" s="2794" t="str">
        <f t="shared" si="70"/>
        <v>2026 г.</v>
      </c>
      <c r="Q47" s="2792" t="str">
        <f t="shared" si="70"/>
        <v>2020 г.</v>
      </c>
      <c r="R47" s="2793" t="str">
        <f t="shared" si="70"/>
        <v>2021 г.</v>
      </c>
      <c r="S47" s="2793" t="str">
        <f t="shared" si="70"/>
        <v>2022 г.</v>
      </c>
      <c r="T47" s="2793" t="str">
        <f t="shared" si="70"/>
        <v>2023 г.</v>
      </c>
      <c r="U47" s="2793" t="str">
        <f t="shared" si="70"/>
        <v>2024 г.</v>
      </c>
      <c r="V47" s="2793" t="str">
        <f t="shared" si="70"/>
        <v>2025 г.</v>
      </c>
      <c r="W47" s="2794" t="str">
        <f t="shared" si="70"/>
        <v>2026 г.</v>
      </c>
      <c r="X47" s="2792" t="str">
        <f t="shared" si="70"/>
        <v>2020 г.</v>
      </c>
      <c r="Y47" s="2793" t="str">
        <f t="shared" si="70"/>
        <v>2021 г.</v>
      </c>
      <c r="Z47" s="2793" t="str">
        <f t="shared" si="70"/>
        <v>2022 г.</v>
      </c>
      <c r="AA47" s="2793" t="str">
        <f t="shared" si="70"/>
        <v>2023 г.</v>
      </c>
      <c r="AB47" s="2793" t="str">
        <f t="shared" si="70"/>
        <v>2024 г.</v>
      </c>
      <c r="AC47" s="2793" t="str">
        <f t="shared" si="70"/>
        <v>2025 г.</v>
      </c>
      <c r="AD47" s="2794" t="str">
        <f t="shared" si="70"/>
        <v>2026 г.</v>
      </c>
      <c r="AE47" s="2792" t="str">
        <f t="shared" si="70"/>
        <v>2020 г.</v>
      </c>
      <c r="AF47" s="2793" t="str">
        <f t="shared" si="70"/>
        <v>2021 г.</v>
      </c>
      <c r="AG47" s="2793" t="str">
        <f t="shared" si="70"/>
        <v>2022 г.</v>
      </c>
      <c r="AH47" s="2793" t="str">
        <f t="shared" si="70"/>
        <v>2023 г.</v>
      </c>
      <c r="AI47" s="2793" t="str">
        <f t="shared" si="70"/>
        <v>2024 г.</v>
      </c>
      <c r="AJ47" s="2793" t="str">
        <f t="shared" si="70"/>
        <v>2025 г.</v>
      </c>
      <c r="AK47" s="2794" t="str">
        <f t="shared" si="70"/>
        <v>2026 г.</v>
      </c>
      <c r="AL47" s="2792" t="str">
        <f t="shared" si="70"/>
        <v>2020 г.</v>
      </c>
      <c r="AM47" s="2793" t="str">
        <f t="shared" si="70"/>
        <v>2021 г.</v>
      </c>
      <c r="AN47" s="2793" t="str">
        <f t="shared" si="70"/>
        <v>2022 г.</v>
      </c>
      <c r="AO47" s="2793" t="str">
        <f t="shared" si="70"/>
        <v>2023 г.</v>
      </c>
      <c r="AP47" s="2793" t="str">
        <f t="shared" si="70"/>
        <v>2024 г.</v>
      </c>
      <c r="AQ47" s="2793" t="str">
        <f t="shared" si="70"/>
        <v>2025 г.</v>
      </c>
      <c r="AR47" s="2794" t="str">
        <f t="shared" si="70"/>
        <v>2026 г.</v>
      </c>
    </row>
    <row r="48" spans="1:44" s="1" customFormat="1">
      <c r="A48" s="4636" t="s">
        <v>976</v>
      </c>
      <c r="B48" s="4641" t="s">
        <v>199</v>
      </c>
      <c r="C48" s="112"/>
      <c r="D48" s="718">
        <f t="shared" ref="D48:I48" si="71">C54</f>
        <v>0</v>
      </c>
      <c r="E48" s="716">
        <f t="shared" si="71"/>
        <v>0</v>
      </c>
      <c r="F48" s="716">
        <f t="shared" si="71"/>
        <v>0</v>
      </c>
      <c r="G48" s="716">
        <f t="shared" si="71"/>
        <v>0</v>
      </c>
      <c r="H48" s="716">
        <f t="shared" si="71"/>
        <v>0</v>
      </c>
      <c r="I48" s="717">
        <f t="shared" si="71"/>
        <v>0</v>
      </c>
      <c r="J48" s="112"/>
      <c r="K48" s="718">
        <f t="shared" ref="K48:P48" si="72">J54</f>
        <v>0</v>
      </c>
      <c r="L48" s="716">
        <f t="shared" si="72"/>
        <v>0</v>
      </c>
      <c r="M48" s="716">
        <f t="shared" si="72"/>
        <v>0</v>
      </c>
      <c r="N48" s="716">
        <f t="shared" si="72"/>
        <v>0</v>
      </c>
      <c r="O48" s="716">
        <f t="shared" si="72"/>
        <v>0</v>
      </c>
      <c r="P48" s="717">
        <f t="shared" si="72"/>
        <v>0</v>
      </c>
      <c r="Q48" s="112"/>
      <c r="R48" s="718">
        <f t="shared" ref="R48:W48" si="73">Q54</f>
        <v>0</v>
      </c>
      <c r="S48" s="716">
        <f t="shared" si="73"/>
        <v>0</v>
      </c>
      <c r="T48" s="716">
        <f t="shared" si="73"/>
        <v>0</v>
      </c>
      <c r="U48" s="716">
        <f t="shared" si="73"/>
        <v>0</v>
      </c>
      <c r="V48" s="716">
        <f t="shared" si="73"/>
        <v>0</v>
      </c>
      <c r="W48" s="717">
        <f t="shared" si="73"/>
        <v>0</v>
      </c>
      <c r="X48" s="112"/>
      <c r="Y48" s="718">
        <f t="shared" ref="Y48:AD48" si="74">X54</f>
        <v>0</v>
      </c>
      <c r="Z48" s="716">
        <f t="shared" si="74"/>
        <v>0</v>
      </c>
      <c r="AA48" s="716">
        <f t="shared" si="74"/>
        <v>0</v>
      </c>
      <c r="AB48" s="716">
        <f t="shared" si="74"/>
        <v>0</v>
      </c>
      <c r="AC48" s="716">
        <f t="shared" si="74"/>
        <v>0</v>
      </c>
      <c r="AD48" s="717">
        <f t="shared" si="74"/>
        <v>0</v>
      </c>
      <c r="AE48" s="112"/>
      <c r="AF48" s="718">
        <f t="shared" ref="AF48:AK48" si="75">AE54</f>
        <v>0</v>
      </c>
      <c r="AG48" s="716">
        <f t="shared" si="75"/>
        <v>0</v>
      </c>
      <c r="AH48" s="716">
        <f t="shared" si="75"/>
        <v>0</v>
      </c>
      <c r="AI48" s="716">
        <f t="shared" si="75"/>
        <v>0</v>
      </c>
      <c r="AJ48" s="716">
        <f t="shared" si="75"/>
        <v>0</v>
      </c>
      <c r="AK48" s="717">
        <f t="shared" si="75"/>
        <v>0</v>
      </c>
      <c r="AL48" s="2777">
        <f t="shared" ref="AL48:AR51" si="76">C48+J48+Q48+X48+AE48</f>
        <v>0</v>
      </c>
      <c r="AM48" s="1503">
        <f t="shared" ref="AM48:AR48" si="77">AL54</f>
        <v>0</v>
      </c>
      <c r="AN48" s="1504">
        <f t="shared" si="77"/>
        <v>0</v>
      </c>
      <c r="AO48" s="1504">
        <f t="shared" si="77"/>
        <v>0</v>
      </c>
      <c r="AP48" s="1504">
        <f t="shared" si="77"/>
        <v>0</v>
      </c>
      <c r="AQ48" s="1504">
        <f t="shared" si="77"/>
        <v>0</v>
      </c>
      <c r="AR48" s="1505">
        <f t="shared" si="77"/>
        <v>0</v>
      </c>
    </row>
    <row r="49" spans="1:44" s="1" customFormat="1">
      <c r="A49" s="4636" t="s">
        <v>977</v>
      </c>
      <c r="B49" s="4642" t="s">
        <v>200</v>
      </c>
      <c r="C49" s="436"/>
      <c r="D49" s="450"/>
      <c r="E49" s="450"/>
      <c r="F49" s="450"/>
      <c r="G49" s="450"/>
      <c r="H49" s="450"/>
      <c r="I49" s="451"/>
      <c r="J49" s="436"/>
      <c r="K49" s="450"/>
      <c r="L49" s="450"/>
      <c r="M49" s="450"/>
      <c r="N49" s="450"/>
      <c r="O49" s="450"/>
      <c r="P49" s="451"/>
      <c r="Q49" s="436"/>
      <c r="R49" s="450"/>
      <c r="S49" s="450"/>
      <c r="T49" s="450"/>
      <c r="U49" s="450"/>
      <c r="V49" s="450"/>
      <c r="W49" s="451"/>
      <c r="X49" s="436"/>
      <c r="Y49" s="450"/>
      <c r="Z49" s="450"/>
      <c r="AA49" s="450"/>
      <c r="AB49" s="450"/>
      <c r="AC49" s="450"/>
      <c r="AD49" s="451"/>
      <c r="AE49" s="436"/>
      <c r="AF49" s="450"/>
      <c r="AG49" s="450"/>
      <c r="AH49" s="450"/>
      <c r="AI49" s="450"/>
      <c r="AJ49" s="450"/>
      <c r="AK49" s="451"/>
      <c r="AL49" s="2777">
        <f t="shared" si="76"/>
        <v>0</v>
      </c>
      <c r="AM49" s="2779">
        <f t="shared" si="76"/>
        <v>0</v>
      </c>
      <c r="AN49" s="2779">
        <f t="shared" si="76"/>
        <v>0</v>
      </c>
      <c r="AO49" s="2779">
        <f t="shared" si="76"/>
        <v>0</v>
      </c>
      <c r="AP49" s="2779">
        <f t="shared" si="76"/>
        <v>0</v>
      </c>
      <c r="AQ49" s="2779">
        <f t="shared" si="76"/>
        <v>0</v>
      </c>
      <c r="AR49" s="2780">
        <f t="shared" si="76"/>
        <v>0</v>
      </c>
    </row>
    <row r="50" spans="1:44" s="1" customFormat="1">
      <c r="A50" s="4636" t="s">
        <v>978</v>
      </c>
      <c r="B50" s="4642" t="s">
        <v>201</v>
      </c>
      <c r="C50" s="436"/>
      <c r="D50" s="450"/>
      <c r="E50" s="450"/>
      <c r="F50" s="450"/>
      <c r="G50" s="450"/>
      <c r="H50" s="450"/>
      <c r="I50" s="450"/>
      <c r="J50" s="436"/>
      <c r="K50" s="450"/>
      <c r="L50" s="450"/>
      <c r="M50" s="450"/>
      <c r="N50" s="450"/>
      <c r="O50" s="450"/>
      <c r="P50" s="450"/>
      <c r="Q50" s="436"/>
      <c r="R50" s="450"/>
      <c r="S50" s="450"/>
      <c r="T50" s="450"/>
      <c r="U50" s="450"/>
      <c r="V50" s="450"/>
      <c r="W50" s="450"/>
      <c r="X50" s="436"/>
      <c r="Y50" s="450"/>
      <c r="Z50" s="450"/>
      <c r="AA50" s="450"/>
      <c r="AB50" s="450"/>
      <c r="AC50" s="450"/>
      <c r="AD50" s="451"/>
      <c r="AE50" s="436"/>
      <c r="AF50" s="450"/>
      <c r="AG50" s="450"/>
      <c r="AH50" s="450"/>
      <c r="AI50" s="450"/>
      <c r="AJ50" s="450"/>
      <c r="AK50" s="451"/>
      <c r="AL50" s="2777">
        <f t="shared" si="76"/>
        <v>0</v>
      </c>
      <c r="AM50" s="2779">
        <f t="shared" si="76"/>
        <v>0</v>
      </c>
      <c r="AN50" s="2779">
        <f t="shared" si="76"/>
        <v>0</v>
      </c>
      <c r="AO50" s="2779">
        <f t="shared" si="76"/>
        <v>0</v>
      </c>
      <c r="AP50" s="2779">
        <f t="shared" si="76"/>
        <v>0</v>
      </c>
      <c r="AQ50" s="2779">
        <f t="shared" si="76"/>
        <v>0</v>
      </c>
      <c r="AR50" s="2780">
        <f t="shared" si="76"/>
        <v>0</v>
      </c>
    </row>
    <row r="51" spans="1:44" s="1" customFormat="1">
      <c r="A51" s="4636" t="s">
        <v>979</v>
      </c>
      <c r="B51" s="4642" t="s">
        <v>202</v>
      </c>
      <c r="C51" s="436"/>
      <c r="D51" s="450"/>
      <c r="E51" s="450"/>
      <c r="F51" s="450"/>
      <c r="G51" s="450"/>
      <c r="H51" s="450"/>
      <c r="I51" s="450"/>
      <c r="J51" s="436"/>
      <c r="K51" s="450"/>
      <c r="L51" s="450"/>
      <c r="M51" s="450"/>
      <c r="N51" s="450"/>
      <c r="O51" s="450"/>
      <c r="P51" s="450"/>
      <c r="Q51" s="436"/>
      <c r="R51" s="450"/>
      <c r="S51" s="450"/>
      <c r="T51" s="450"/>
      <c r="U51" s="450"/>
      <c r="V51" s="450"/>
      <c r="W51" s="450"/>
      <c r="X51" s="436"/>
      <c r="Y51" s="450"/>
      <c r="Z51" s="450"/>
      <c r="AA51" s="450"/>
      <c r="AB51" s="450"/>
      <c r="AC51" s="450"/>
      <c r="AD51" s="451"/>
      <c r="AE51" s="436"/>
      <c r="AF51" s="450"/>
      <c r="AG51" s="450"/>
      <c r="AH51" s="450"/>
      <c r="AI51" s="450"/>
      <c r="AJ51" s="450"/>
      <c r="AK51" s="451"/>
      <c r="AL51" s="2777">
        <f t="shared" si="76"/>
        <v>0</v>
      </c>
      <c r="AM51" s="2779">
        <f t="shared" si="76"/>
        <v>0</v>
      </c>
      <c r="AN51" s="2779">
        <f t="shared" si="76"/>
        <v>0</v>
      </c>
      <c r="AO51" s="2779">
        <f t="shared" si="76"/>
        <v>0</v>
      </c>
      <c r="AP51" s="2779">
        <f t="shared" si="76"/>
        <v>0</v>
      </c>
      <c r="AQ51" s="2779">
        <f t="shared" si="76"/>
        <v>0</v>
      </c>
      <c r="AR51" s="2780">
        <f t="shared" si="76"/>
        <v>0</v>
      </c>
    </row>
    <row r="52" spans="1:44" s="1" customFormat="1">
      <c r="A52" s="4636" t="s">
        <v>980</v>
      </c>
      <c r="B52" s="4642" t="s">
        <v>203</v>
      </c>
      <c r="C52" s="2783">
        <f>IF(C48=0,0,C51/((C48+C54)/2))</f>
        <v>0</v>
      </c>
      <c r="D52" s="2784">
        <f>IF(D48=0,0,D51/((D48+D54)/2))</f>
        <v>0</v>
      </c>
      <c r="E52" s="2784">
        <f t="shared" ref="E52:I52" si="78">IF(E48=0,0,E51/((E48+E54)/2))</f>
        <v>0</v>
      </c>
      <c r="F52" s="2784">
        <f t="shared" si="78"/>
        <v>0</v>
      </c>
      <c r="G52" s="2784">
        <f t="shared" si="78"/>
        <v>0</v>
      </c>
      <c r="H52" s="2784">
        <f t="shared" si="78"/>
        <v>0</v>
      </c>
      <c r="I52" s="2785">
        <f t="shared" si="78"/>
        <v>0</v>
      </c>
      <c r="J52" s="2795">
        <f>IF(J48=0,0,J51/((J48+J54)/2))</f>
        <v>0</v>
      </c>
      <c r="K52" s="2784">
        <f>IF(K48=0,0,K51/((K48+K54)/2))</f>
        <v>0</v>
      </c>
      <c r="L52" s="2784">
        <f t="shared" ref="L52:P52" si="79">IF(L48=0,0,L51/((L48+L54)/2))</f>
        <v>0</v>
      </c>
      <c r="M52" s="2784">
        <f t="shared" si="79"/>
        <v>0</v>
      </c>
      <c r="N52" s="2784">
        <f t="shared" si="79"/>
        <v>0</v>
      </c>
      <c r="O52" s="2784">
        <f t="shared" si="79"/>
        <v>0</v>
      </c>
      <c r="P52" s="2785">
        <f t="shared" si="79"/>
        <v>0</v>
      </c>
      <c r="Q52" s="2795">
        <f>IF(Q48=0,0,Q51/((Q48+Q54)/2))</f>
        <v>0</v>
      </c>
      <c r="R52" s="2784">
        <f>IF(R48=0,0,R51/((R48+R54)/2))</f>
        <v>0</v>
      </c>
      <c r="S52" s="2784">
        <f t="shared" ref="S52:W52" si="80">IF(S48=0,0,S51/((S48+S54)/2))</f>
        <v>0</v>
      </c>
      <c r="T52" s="2784">
        <f t="shared" si="80"/>
        <v>0</v>
      </c>
      <c r="U52" s="2784">
        <f t="shared" si="80"/>
        <v>0</v>
      </c>
      <c r="V52" s="2784">
        <f t="shared" si="80"/>
        <v>0</v>
      </c>
      <c r="W52" s="2785">
        <f t="shared" si="80"/>
        <v>0</v>
      </c>
      <c r="X52" s="2795">
        <f>IF(X48=0,0,X51/((X48+X54)/2))</f>
        <v>0</v>
      </c>
      <c r="Y52" s="2784">
        <f>IF(Y48=0,0,Y51/((Y48+Y54)/2))</f>
        <v>0</v>
      </c>
      <c r="Z52" s="2784">
        <f t="shared" ref="Z52:AD52" si="81">IF(Z48=0,0,Z51/((Z48+Z54)/2))</f>
        <v>0</v>
      </c>
      <c r="AA52" s="2784">
        <f t="shared" si="81"/>
        <v>0</v>
      </c>
      <c r="AB52" s="2784">
        <f t="shared" si="81"/>
        <v>0</v>
      </c>
      <c r="AC52" s="2784">
        <f t="shared" si="81"/>
        <v>0</v>
      </c>
      <c r="AD52" s="2785">
        <f t="shared" si="81"/>
        <v>0</v>
      </c>
      <c r="AE52" s="2795">
        <f>IF(AE48=0,0,AE51/((AE48+AE54)/2))</f>
        <v>0</v>
      </c>
      <c r="AF52" s="2784">
        <f>IF(AF48=0,0,AF51/((AF48+AF54)/2))</f>
        <v>0</v>
      </c>
      <c r="AG52" s="2784">
        <f t="shared" ref="AG52:AK52" si="82">IF(AG48=0,0,AG51/((AG48+AG54)/2))</f>
        <v>0</v>
      </c>
      <c r="AH52" s="2784">
        <f t="shared" si="82"/>
        <v>0</v>
      </c>
      <c r="AI52" s="2784">
        <f t="shared" si="82"/>
        <v>0</v>
      </c>
      <c r="AJ52" s="2784">
        <f t="shared" si="82"/>
        <v>0</v>
      </c>
      <c r="AK52" s="2785">
        <f t="shared" si="82"/>
        <v>0</v>
      </c>
      <c r="AL52" s="2795">
        <f>IF(AL48=0,0,AL51/((AL48+AL54)/2))</f>
        <v>0</v>
      </c>
      <c r="AM52" s="2784">
        <f>IF(AM48=0,0,AM51/((AM48+AM54)/2))</f>
        <v>0</v>
      </c>
      <c r="AN52" s="2784">
        <f t="shared" ref="AN52:AR52" si="83">IF(AN48=0,0,AN51/((AN48+AN54)/2))</f>
        <v>0</v>
      </c>
      <c r="AO52" s="2784">
        <f t="shared" si="83"/>
        <v>0</v>
      </c>
      <c r="AP52" s="2784">
        <f t="shared" si="83"/>
        <v>0</v>
      </c>
      <c r="AQ52" s="2784">
        <f t="shared" si="83"/>
        <v>0</v>
      </c>
      <c r="AR52" s="2785">
        <f t="shared" si="83"/>
        <v>0</v>
      </c>
    </row>
    <row r="53" spans="1:44" s="1" customFormat="1">
      <c r="A53" s="4636" t="s">
        <v>981</v>
      </c>
      <c r="B53" s="4642" t="s">
        <v>204</v>
      </c>
      <c r="C53" s="2786">
        <f>C50+C51</f>
        <v>0</v>
      </c>
      <c r="D53" s="2787">
        <f t="shared" ref="D53:I53" si="84">D50+D51</f>
        <v>0</v>
      </c>
      <c r="E53" s="2787">
        <f t="shared" si="84"/>
        <v>0</v>
      </c>
      <c r="F53" s="2787">
        <f t="shared" si="84"/>
        <v>0</v>
      </c>
      <c r="G53" s="2787">
        <f t="shared" si="84"/>
        <v>0</v>
      </c>
      <c r="H53" s="2787">
        <f t="shared" si="84"/>
        <v>0</v>
      </c>
      <c r="I53" s="2788">
        <f t="shared" si="84"/>
        <v>0</v>
      </c>
      <c r="J53" s="2796">
        <f>J50+J51</f>
        <v>0</v>
      </c>
      <c r="K53" s="2787">
        <f t="shared" ref="K53:P53" si="85">K50+K51</f>
        <v>0</v>
      </c>
      <c r="L53" s="2787">
        <f t="shared" si="85"/>
        <v>0</v>
      </c>
      <c r="M53" s="2787">
        <f t="shared" si="85"/>
        <v>0</v>
      </c>
      <c r="N53" s="2787">
        <f t="shared" si="85"/>
        <v>0</v>
      </c>
      <c r="O53" s="2787">
        <f t="shared" si="85"/>
        <v>0</v>
      </c>
      <c r="P53" s="2788">
        <f t="shared" si="85"/>
        <v>0</v>
      </c>
      <c r="Q53" s="2796">
        <f>Q50+Q51</f>
        <v>0</v>
      </c>
      <c r="R53" s="2787">
        <f t="shared" ref="R53:W53" si="86">R50+R51</f>
        <v>0</v>
      </c>
      <c r="S53" s="2787">
        <f t="shared" si="86"/>
        <v>0</v>
      </c>
      <c r="T53" s="2787">
        <f t="shared" si="86"/>
        <v>0</v>
      </c>
      <c r="U53" s="2787">
        <f t="shared" si="86"/>
        <v>0</v>
      </c>
      <c r="V53" s="2787">
        <f t="shared" si="86"/>
        <v>0</v>
      </c>
      <c r="W53" s="2788">
        <f t="shared" si="86"/>
        <v>0</v>
      </c>
      <c r="X53" s="2796">
        <f>X50+X51</f>
        <v>0</v>
      </c>
      <c r="Y53" s="2787">
        <f t="shared" ref="Y53:AD53" si="87">Y50+Y51</f>
        <v>0</v>
      </c>
      <c r="Z53" s="2787">
        <f t="shared" si="87"/>
        <v>0</v>
      </c>
      <c r="AA53" s="2787">
        <f t="shared" si="87"/>
        <v>0</v>
      </c>
      <c r="AB53" s="2787">
        <f t="shared" si="87"/>
        <v>0</v>
      </c>
      <c r="AC53" s="2787">
        <f t="shared" si="87"/>
        <v>0</v>
      </c>
      <c r="AD53" s="2788">
        <f t="shared" si="87"/>
        <v>0</v>
      </c>
      <c r="AE53" s="2796">
        <f>AE50+AE51</f>
        <v>0</v>
      </c>
      <c r="AF53" s="2787">
        <f t="shared" ref="AF53:AK53" si="88">AF50+AF51</f>
        <v>0</v>
      </c>
      <c r="AG53" s="2787">
        <f t="shared" si="88"/>
        <v>0</v>
      </c>
      <c r="AH53" s="2787">
        <f t="shared" si="88"/>
        <v>0</v>
      </c>
      <c r="AI53" s="2787">
        <f t="shared" si="88"/>
        <v>0</v>
      </c>
      <c r="AJ53" s="2787">
        <f t="shared" si="88"/>
        <v>0</v>
      </c>
      <c r="AK53" s="2788">
        <f t="shared" si="88"/>
        <v>0</v>
      </c>
      <c r="AL53" s="2796">
        <f>AL50+AL51</f>
        <v>0</v>
      </c>
      <c r="AM53" s="2787">
        <f t="shared" ref="AM53:AR53" si="89">AM50+AM51</f>
        <v>0</v>
      </c>
      <c r="AN53" s="2787">
        <f t="shared" si="89"/>
        <v>0</v>
      </c>
      <c r="AO53" s="2787">
        <f t="shared" si="89"/>
        <v>0</v>
      </c>
      <c r="AP53" s="2787">
        <f t="shared" si="89"/>
        <v>0</v>
      </c>
      <c r="AQ53" s="2787">
        <f t="shared" si="89"/>
        <v>0</v>
      </c>
      <c r="AR53" s="2788">
        <f t="shared" si="89"/>
        <v>0</v>
      </c>
    </row>
    <row r="54" spans="1:44" s="1" customFormat="1">
      <c r="A54" s="4640" t="s">
        <v>982</v>
      </c>
      <c r="B54" s="4643" t="s">
        <v>205</v>
      </c>
      <c r="C54" s="2797">
        <f>C48+C49-C50</f>
        <v>0</v>
      </c>
      <c r="D54" s="2798">
        <f t="shared" ref="D54:I54" si="90">D48+D49-D50</f>
        <v>0</v>
      </c>
      <c r="E54" s="2798">
        <f t="shared" si="90"/>
        <v>0</v>
      </c>
      <c r="F54" s="2798">
        <f t="shared" si="90"/>
        <v>0</v>
      </c>
      <c r="G54" s="2798">
        <f t="shared" si="90"/>
        <v>0</v>
      </c>
      <c r="H54" s="2798">
        <f t="shared" si="90"/>
        <v>0</v>
      </c>
      <c r="I54" s="2799">
        <f t="shared" si="90"/>
        <v>0</v>
      </c>
      <c r="J54" s="2800">
        <f>J48+J49-J50</f>
        <v>0</v>
      </c>
      <c r="K54" s="2798">
        <f t="shared" ref="K54:P54" si="91">K48+K49-K50</f>
        <v>0</v>
      </c>
      <c r="L54" s="2798">
        <f t="shared" si="91"/>
        <v>0</v>
      </c>
      <c r="M54" s="2798">
        <f t="shared" si="91"/>
        <v>0</v>
      </c>
      <c r="N54" s="2798">
        <f t="shared" si="91"/>
        <v>0</v>
      </c>
      <c r="O54" s="2798">
        <f t="shared" si="91"/>
        <v>0</v>
      </c>
      <c r="P54" s="2799">
        <f t="shared" si="91"/>
        <v>0</v>
      </c>
      <c r="Q54" s="2800">
        <f>Q48+Q49-Q50</f>
        <v>0</v>
      </c>
      <c r="R54" s="2798">
        <f t="shared" ref="R54:W54" si="92">R48+R49-R50</f>
        <v>0</v>
      </c>
      <c r="S54" s="2798">
        <f t="shared" si="92"/>
        <v>0</v>
      </c>
      <c r="T54" s="2798">
        <f t="shared" si="92"/>
        <v>0</v>
      </c>
      <c r="U54" s="2798">
        <f t="shared" si="92"/>
        <v>0</v>
      </c>
      <c r="V54" s="2798">
        <f t="shared" si="92"/>
        <v>0</v>
      </c>
      <c r="W54" s="2799">
        <f t="shared" si="92"/>
        <v>0</v>
      </c>
      <c r="X54" s="2800">
        <f>X48+X49-X50</f>
        <v>0</v>
      </c>
      <c r="Y54" s="2798">
        <f t="shared" ref="Y54:AD54" si="93">Y48+Y49-Y50</f>
        <v>0</v>
      </c>
      <c r="Z54" s="2798">
        <f t="shared" si="93"/>
        <v>0</v>
      </c>
      <c r="AA54" s="2798">
        <f t="shared" si="93"/>
        <v>0</v>
      </c>
      <c r="AB54" s="2798">
        <f t="shared" si="93"/>
        <v>0</v>
      </c>
      <c r="AC54" s="2798">
        <f t="shared" si="93"/>
        <v>0</v>
      </c>
      <c r="AD54" s="2799">
        <f t="shared" si="93"/>
        <v>0</v>
      </c>
      <c r="AE54" s="2800">
        <f>AE48+AE49-AE50</f>
        <v>0</v>
      </c>
      <c r="AF54" s="2798">
        <f t="shared" ref="AF54:AK54" si="94">AF48+AF49-AF50</f>
        <v>0</v>
      </c>
      <c r="AG54" s="2798">
        <f t="shared" si="94"/>
        <v>0</v>
      </c>
      <c r="AH54" s="2798">
        <f t="shared" si="94"/>
        <v>0</v>
      </c>
      <c r="AI54" s="2798">
        <f t="shared" si="94"/>
        <v>0</v>
      </c>
      <c r="AJ54" s="2798">
        <f t="shared" si="94"/>
        <v>0</v>
      </c>
      <c r="AK54" s="2799">
        <f t="shared" si="94"/>
        <v>0</v>
      </c>
      <c r="AL54" s="2800">
        <f>AL48+AL49-AL50</f>
        <v>0</v>
      </c>
      <c r="AM54" s="2798">
        <f t="shared" ref="AM54:AR54" si="95">AM48+AM49-AM50</f>
        <v>0</v>
      </c>
      <c r="AN54" s="2798">
        <f t="shared" si="95"/>
        <v>0</v>
      </c>
      <c r="AO54" s="2798">
        <f t="shared" si="95"/>
        <v>0</v>
      </c>
      <c r="AP54" s="2798">
        <f t="shared" si="95"/>
        <v>0</v>
      </c>
      <c r="AQ54" s="2798">
        <f t="shared" si="95"/>
        <v>0</v>
      </c>
      <c r="AR54" s="2799">
        <f t="shared" si="95"/>
        <v>0</v>
      </c>
    </row>
    <row r="55" spans="1:44" s="1" customFormat="1">
      <c r="A55" s="4636" t="s">
        <v>1422</v>
      </c>
      <c r="B55" s="2778" t="s">
        <v>1419</v>
      </c>
      <c r="C55" s="1497"/>
      <c r="D55" s="1498"/>
      <c r="E55" s="1498"/>
      <c r="F55" s="1498"/>
      <c r="G55" s="1498"/>
      <c r="H55" s="1498"/>
      <c r="I55" s="1499"/>
      <c r="J55" s="1497"/>
      <c r="K55" s="1498"/>
      <c r="L55" s="1498"/>
      <c r="M55" s="1498"/>
      <c r="N55" s="1498"/>
      <c r="O55" s="1498"/>
      <c r="P55" s="1499"/>
      <c r="Q55" s="1497"/>
      <c r="R55" s="1498"/>
      <c r="S55" s="1498"/>
      <c r="T55" s="1498"/>
      <c r="U55" s="1498"/>
      <c r="V55" s="1498"/>
      <c r="W55" s="1499"/>
      <c r="X55" s="1497"/>
      <c r="Y55" s="1498"/>
      <c r="Z55" s="1498"/>
      <c r="AA55" s="1498"/>
      <c r="AB55" s="1498"/>
      <c r="AC55" s="1498"/>
      <c r="AD55" s="1499"/>
      <c r="AE55" s="1497"/>
      <c r="AF55" s="1498"/>
      <c r="AG55" s="1498"/>
      <c r="AH55" s="1498"/>
      <c r="AI55" s="1498"/>
      <c r="AJ55" s="1498"/>
      <c r="AK55" s="1499"/>
      <c r="AL55" s="2786"/>
      <c r="AM55" s="2787"/>
      <c r="AN55" s="2787"/>
      <c r="AO55" s="2787"/>
      <c r="AP55" s="2787"/>
      <c r="AQ55" s="2787"/>
      <c r="AR55" s="2788"/>
    </row>
    <row r="56" spans="1:44" s="1" customFormat="1" ht="13.5" thickBot="1">
      <c r="A56" s="4638" t="s">
        <v>1423</v>
      </c>
      <c r="B56" s="2801" t="s">
        <v>1421</v>
      </c>
      <c r="C56" s="1500"/>
      <c r="D56" s="1501"/>
      <c r="E56" s="1501"/>
      <c r="F56" s="1501"/>
      <c r="G56" s="1501"/>
      <c r="H56" s="1501"/>
      <c r="I56" s="1502"/>
      <c r="J56" s="1500"/>
      <c r="K56" s="1501"/>
      <c r="L56" s="1501"/>
      <c r="M56" s="1501"/>
      <c r="N56" s="1501"/>
      <c r="O56" s="1501"/>
      <c r="P56" s="1502"/>
      <c r="Q56" s="1500"/>
      <c r="R56" s="1501"/>
      <c r="S56" s="1501"/>
      <c r="T56" s="1501"/>
      <c r="U56" s="1501"/>
      <c r="V56" s="1501"/>
      <c r="W56" s="1502"/>
      <c r="X56" s="1500"/>
      <c r="Y56" s="1501"/>
      <c r="Z56" s="1501"/>
      <c r="AA56" s="1501"/>
      <c r="AB56" s="1501"/>
      <c r="AC56" s="1501"/>
      <c r="AD56" s="1502"/>
      <c r="AE56" s="1500"/>
      <c r="AF56" s="1501"/>
      <c r="AG56" s="1501"/>
      <c r="AH56" s="1501"/>
      <c r="AI56" s="1501"/>
      <c r="AJ56" s="1501"/>
      <c r="AK56" s="1502"/>
      <c r="AL56" s="2802"/>
      <c r="AM56" s="2803"/>
      <c r="AN56" s="2803"/>
      <c r="AO56" s="2803"/>
      <c r="AP56" s="2803"/>
      <c r="AQ56" s="2803"/>
      <c r="AR56" s="2804"/>
    </row>
    <row r="57" spans="1:44" s="1" customFormat="1">
      <c r="A57" s="5379">
        <v>11</v>
      </c>
      <c r="B57" s="5388" t="s">
        <v>1424</v>
      </c>
      <c r="C57" s="5389" t="s">
        <v>215</v>
      </c>
      <c r="D57" s="5390"/>
      <c r="E57" s="5390"/>
      <c r="F57" s="5390"/>
      <c r="G57" s="5390"/>
      <c r="H57" s="5390"/>
      <c r="I57" s="5391"/>
      <c r="J57" s="5392" t="s">
        <v>178</v>
      </c>
      <c r="K57" s="5390"/>
      <c r="L57" s="5390"/>
      <c r="M57" s="5390"/>
      <c r="N57" s="5390"/>
      <c r="O57" s="5390"/>
      <c r="P57" s="5393"/>
      <c r="Q57" s="5389" t="s">
        <v>188</v>
      </c>
      <c r="R57" s="5390"/>
      <c r="S57" s="5390"/>
      <c r="T57" s="5390"/>
      <c r="U57" s="5390"/>
      <c r="V57" s="5390"/>
      <c r="W57" s="5391"/>
      <c r="X57" s="5394" t="s">
        <v>1037</v>
      </c>
      <c r="Y57" s="5395"/>
      <c r="Z57" s="5395"/>
      <c r="AA57" s="5395"/>
      <c r="AB57" s="5395"/>
      <c r="AC57" s="5395"/>
      <c r="AD57" s="5396"/>
      <c r="AE57" s="5394" t="s">
        <v>1102</v>
      </c>
      <c r="AF57" s="5395"/>
      <c r="AG57" s="5395"/>
      <c r="AH57" s="5395"/>
      <c r="AI57" s="5395"/>
      <c r="AJ57" s="5395"/>
      <c r="AK57" s="5396"/>
      <c r="AL57" s="5376" t="s">
        <v>1271</v>
      </c>
      <c r="AM57" s="5377"/>
      <c r="AN57" s="5377"/>
      <c r="AO57" s="5377"/>
      <c r="AP57" s="5377"/>
      <c r="AQ57" s="5377"/>
      <c r="AR57" s="5378"/>
    </row>
    <row r="58" spans="1:44" s="1" customFormat="1" ht="13.5" thickBot="1">
      <c r="A58" s="5380"/>
      <c r="B58" s="5382"/>
      <c r="C58" s="2805" t="str">
        <f t="shared" ref="C58:AR58" si="96">C8</f>
        <v>2020 г.</v>
      </c>
      <c r="D58" s="2806" t="str">
        <f t="shared" si="96"/>
        <v>2021 г.</v>
      </c>
      <c r="E58" s="2806" t="str">
        <f t="shared" si="96"/>
        <v>2022 г.</v>
      </c>
      <c r="F58" s="2806" t="str">
        <f t="shared" si="96"/>
        <v>2023 г.</v>
      </c>
      <c r="G58" s="2806" t="str">
        <f t="shared" si="96"/>
        <v>2024 г.</v>
      </c>
      <c r="H58" s="2806" t="str">
        <f t="shared" si="96"/>
        <v>2025 г.</v>
      </c>
      <c r="I58" s="2807" t="str">
        <f t="shared" si="96"/>
        <v>2026 г.</v>
      </c>
      <c r="J58" s="2805" t="str">
        <f t="shared" si="96"/>
        <v>2020 г.</v>
      </c>
      <c r="K58" s="2806" t="str">
        <f t="shared" si="96"/>
        <v>2021 г.</v>
      </c>
      <c r="L58" s="2806" t="str">
        <f t="shared" si="96"/>
        <v>2022 г.</v>
      </c>
      <c r="M58" s="2806" t="str">
        <f t="shared" si="96"/>
        <v>2023 г.</v>
      </c>
      <c r="N58" s="2806" t="str">
        <f t="shared" si="96"/>
        <v>2024 г.</v>
      </c>
      <c r="O58" s="2806" t="str">
        <f t="shared" si="96"/>
        <v>2025 г.</v>
      </c>
      <c r="P58" s="2807" t="str">
        <f t="shared" si="96"/>
        <v>2026 г.</v>
      </c>
      <c r="Q58" s="2805" t="str">
        <f t="shared" si="96"/>
        <v>2020 г.</v>
      </c>
      <c r="R58" s="2806" t="str">
        <f t="shared" si="96"/>
        <v>2021 г.</v>
      </c>
      <c r="S58" s="2806" t="str">
        <f t="shared" si="96"/>
        <v>2022 г.</v>
      </c>
      <c r="T58" s="2806" t="str">
        <f t="shared" si="96"/>
        <v>2023 г.</v>
      </c>
      <c r="U58" s="2806" t="str">
        <f t="shared" si="96"/>
        <v>2024 г.</v>
      </c>
      <c r="V58" s="2806" t="str">
        <f t="shared" si="96"/>
        <v>2025 г.</v>
      </c>
      <c r="W58" s="2807" t="str">
        <f t="shared" si="96"/>
        <v>2026 г.</v>
      </c>
      <c r="X58" s="2805" t="str">
        <f t="shared" si="96"/>
        <v>2020 г.</v>
      </c>
      <c r="Y58" s="2806" t="str">
        <f t="shared" si="96"/>
        <v>2021 г.</v>
      </c>
      <c r="Z58" s="2806" t="str">
        <f t="shared" si="96"/>
        <v>2022 г.</v>
      </c>
      <c r="AA58" s="2806" t="str">
        <f t="shared" si="96"/>
        <v>2023 г.</v>
      </c>
      <c r="AB58" s="2806" t="str">
        <f t="shared" si="96"/>
        <v>2024 г.</v>
      </c>
      <c r="AC58" s="2806" t="str">
        <f t="shared" si="96"/>
        <v>2025 г.</v>
      </c>
      <c r="AD58" s="2807" t="str">
        <f t="shared" si="96"/>
        <v>2026 г.</v>
      </c>
      <c r="AE58" s="2805" t="str">
        <f t="shared" si="96"/>
        <v>2020 г.</v>
      </c>
      <c r="AF58" s="2806" t="str">
        <f t="shared" si="96"/>
        <v>2021 г.</v>
      </c>
      <c r="AG58" s="2806" t="str">
        <f t="shared" si="96"/>
        <v>2022 г.</v>
      </c>
      <c r="AH58" s="2806" t="str">
        <f t="shared" si="96"/>
        <v>2023 г.</v>
      </c>
      <c r="AI58" s="2806" t="str">
        <f t="shared" si="96"/>
        <v>2024 г.</v>
      </c>
      <c r="AJ58" s="2806" t="str">
        <f t="shared" si="96"/>
        <v>2025 г.</v>
      </c>
      <c r="AK58" s="2807" t="str">
        <f t="shared" si="96"/>
        <v>2026 г.</v>
      </c>
      <c r="AL58" s="2805" t="str">
        <f t="shared" si="96"/>
        <v>2020 г.</v>
      </c>
      <c r="AM58" s="2806" t="str">
        <f t="shared" si="96"/>
        <v>2021 г.</v>
      </c>
      <c r="AN58" s="2806" t="str">
        <f t="shared" si="96"/>
        <v>2022 г.</v>
      </c>
      <c r="AO58" s="2806" t="str">
        <f t="shared" si="96"/>
        <v>2023 г.</v>
      </c>
      <c r="AP58" s="2806" t="str">
        <f t="shared" si="96"/>
        <v>2024 г.</v>
      </c>
      <c r="AQ58" s="2806" t="str">
        <f t="shared" si="96"/>
        <v>2025 г.</v>
      </c>
      <c r="AR58" s="2807" t="str">
        <f t="shared" si="96"/>
        <v>2026 г.</v>
      </c>
    </row>
    <row r="59" spans="1:44" s="1" customFormat="1">
      <c r="A59" s="4636" t="s">
        <v>983</v>
      </c>
      <c r="B59" s="2776" t="s">
        <v>199</v>
      </c>
      <c r="C59" s="427"/>
      <c r="D59" s="1524">
        <f t="shared" ref="D59:I59" si="97">C65</f>
        <v>0</v>
      </c>
      <c r="E59" s="1525">
        <f t="shared" si="97"/>
        <v>0</v>
      </c>
      <c r="F59" s="1525">
        <f t="shared" si="97"/>
        <v>0</v>
      </c>
      <c r="G59" s="1525">
        <f t="shared" si="97"/>
        <v>0</v>
      </c>
      <c r="H59" s="1525">
        <f t="shared" si="97"/>
        <v>0</v>
      </c>
      <c r="I59" s="1526">
        <f t="shared" si="97"/>
        <v>0</v>
      </c>
      <c r="J59" s="427"/>
      <c r="K59" s="1524">
        <f t="shared" ref="K59:P59" si="98">J65</f>
        <v>0</v>
      </c>
      <c r="L59" s="1525">
        <f t="shared" si="98"/>
        <v>0</v>
      </c>
      <c r="M59" s="1525">
        <f t="shared" si="98"/>
        <v>0</v>
      </c>
      <c r="N59" s="1525">
        <f t="shared" si="98"/>
        <v>0</v>
      </c>
      <c r="O59" s="1525">
        <f t="shared" si="98"/>
        <v>0</v>
      </c>
      <c r="P59" s="1526">
        <f t="shared" si="98"/>
        <v>0</v>
      </c>
      <c r="Q59" s="427"/>
      <c r="R59" s="1524">
        <f t="shared" ref="R59:W59" si="99">Q65</f>
        <v>0</v>
      </c>
      <c r="S59" s="1525">
        <f t="shared" si="99"/>
        <v>0</v>
      </c>
      <c r="T59" s="1525">
        <f t="shared" si="99"/>
        <v>0</v>
      </c>
      <c r="U59" s="1525">
        <f t="shared" si="99"/>
        <v>0</v>
      </c>
      <c r="V59" s="1525">
        <f t="shared" si="99"/>
        <v>0</v>
      </c>
      <c r="W59" s="1526">
        <f t="shared" si="99"/>
        <v>0</v>
      </c>
      <c r="X59" s="427"/>
      <c r="Y59" s="1524">
        <f t="shared" ref="Y59:AD59" si="100">X65</f>
        <v>0</v>
      </c>
      <c r="Z59" s="1525">
        <f t="shared" si="100"/>
        <v>0</v>
      </c>
      <c r="AA59" s="1525">
        <f t="shared" si="100"/>
        <v>0</v>
      </c>
      <c r="AB59" s="1525">
        <f t="shared" si="100"/>
        <v>0</v>
      </c>
      <c r="AC59" s="1525">
        <f t="shared" si="100"/>
        <v>0</v>
      </c>
      <c r="AD59" s="1526">
        <f t="shared" si="100"/>
        <v>0</v>
      </c>
      <c r="AE59" s="427"/>
      <c r="AF59" s="1524">
        <f t="shared" ref="AF59:AK59" si="101">AE65</f>
        <v>0</v>
      </c>
      <c r="AG59" s="1525">
        <f t="shared" si="101"/>
        <v>0</v>
      </c>
      <c r="AH59" s="1525">
        <f t="shared" si="101"/>
        <v>0</v>
      </c>
      <c r="AI59" s="1525">
        <f t="shared" si="101"/>
        <v>0</v>
      </c>
      <c r="AJ59" s="1525">
        <f t="shared" si="101"/>
        <v>0</v>
      </c>
      <c r="AK59" s="1526">
        <f t="shared" si="101"/>
        <v>0</v>
      </c>
      <c r="AL59" s="427"/>
      <c r="AM59" s="1524">
        <f>AL65</f>
        <v>0</v>
      </c>
      <c r="AN59" s="1525">
        <f t="shared" ref="AN59:AR59" si="102">AM65</f>
        <v>0</v>
      </c>
      <c r="AO59" s="1525">
        <f t="shared" si="102"/>
        <v>0</v>
      </c>
      <c r="AP59" s="1525">
        <f t="shared" si="102"/>
        <v>0</v>
      </c>
      <c r="AQ59" s="1525">
        <f t="shared" si="102"/>
        <v>0</v>
      </c>
      <c r="AR59" s="1526">
        <f t="shared" si="102"/>
        <v>0</v>
      </c>
    </row>
    <row r="60" spans="1:44" s="1" customFormat="1">
      <c r="A60" s="4636" t="s">
        <v>984</v>
      </c>
      <c r="B60" s="2778" t="s">
        <v>200</v>
      </c>
      <c r="C60" s="426"/>
      <c r="D60" s="2779">
        <f>+'9.Инвестиционна програма'!V140</f>
        <v>0</v>
      </c>
      <c r="E60" s="2779">
        <f>+'9.Инвестиционна програма'!W140</f>
        <v>0</v>
      </c>
      <c r="F60" s="2779">
        <f>+'9.Инвестиционна програма'!X140</f>
        <v>0</v>
      </c>
      <c r="G60" s="2779">
        <f>+'9.Инвестиционна програма'!Y140</f>
        <v>0</v>
      </c>
      <c r="H60" s="2779">
        <f>+'9.Инвестиционна програма'!Z140</f>
        <v>0</v>
      </c>
      <c r="I60" s="2780">
        <f>+'9.Инвестиционна програма'!AA140</f>
        <v>0</v>
      </c>
      <c r="J60" s="426"/>
      <c r="K60" s="2779">
        <f>+'9.Инвестиционна програма'!V141</f>
        <v>0</v>
      </c>
      <c r="L60" s="2779">
        <f>+'9.Инвестиционна програма'!W141</f>
        <v>0</v>
      </c>
      <c r="M60" s="2779">
        <f>+'9.Инвестиционна програма'!X141</f>
        <v>0</v>
      </c>
      <c r="N60" s="2779">
        <f>+'9.Инвестиционна програма'!Y141</f>
        <v>0</v>
      </c>
      <c r="O60" s="2779">
        <f>+'9.Инвестиционна програма'!Z141</f>
        <v>0</v>
      </c>
      <c r="P60" s="2779">
        <f>+'9.Инвестиционна програма'!AA141</f>
        <v>0</v>
      </c>
      <c r="Q60" s="426"/>
      <c r="R60" s="2779">
        <f>+'9.Инвестиционна програма'!V142</f>
        <v>0</v>
      </c>
      <c r="S60" s="2779">
        <f>+'9.Инвестиционна програма'!W142</f>
        <v>0</v>
      </c>
      <c r="T60" s="2779">
        <f>+'9.Инвестиционна програма'!X142</f>
        <v>0</v>
      </c>
      <c r="U60" s="2779">
        <f>+'9.Инвестиционна програма'!Y142</f>
        <v>0</v>
      </c>
      <c r="V60" s="2779">
        <f>+'9.Инвестиционна програма'!Z142</f>
        <v>0</v>
      </c>
      <c r="W60" s="2779">
        <f>+'9.Инвестиционна програма'!AA142</f>
        <v>0</v>
      </c>
      <c r="X60" s="426"/>
      <c r="Y60" s="2779">
        <f>+'9.Инвестиционна програма'!V143</f>
        <v>0</v>
      </c>
      <c r="Z60" s="2779">
        <f>+'9.Инвестиционна програма'!W143</f>
        <v>0</v>
      </c>
      <c r="AA60" s="2779">
        <f>+'9.Инвестиционна програма'!X143</f>
        <v>0</v>
      </c>
      <c r="AB60" s="2779">
        <f>+'9.Инвестиционна програма'!Y143</f>
        <v>0</v>
      </c>
      <c r="AC60" s="2779">
        <f>+'9.Инвестиционна програма'!Z143</f>
        <v>0</v>
      </c>
      <c r="AD60" s="2779">
        <f>+'9.Инвестиционна програма'!AA143</f>
        <v>0</v>
      </c>
      <c r="AE60" s="426"/>
      <c r="AF60" s="2779">
        <f>+'9.Инвестиционна програма'!V144</f>
        <v>0</v>
      </c>
      <c r="AG60" s="2779">
        <f>+'9.Инвестиционна програма'!W144</f>
        <v>0</v>
      </c>
      <c r="AH60" s="2779">
        <f>+'9.Инвестиционна програма'!X144</f>
        <v>0</v>
      </c>
      <c r="AI60" s="2779">
        <f>+'9.Инвестиционна програма'!Y144</f>
        <v>0</v>
      </c>
      <c r="AJ60" s="2779">
        <f>+'9.Инвестиционна програма'!Z144</f>
        <v>0</v>
      </c>
      <c r="AK60" s="2779">
        <f>+'9.Инвестиционна програма'!AA144</f>
        <v>0</v>
      </c>
      <c r="AL60" s="426"/>
      <c r="AM60" s="2779">
        <f t="shared" ref="AM60:AR60" si="103">D60+K60+R60+Y60+AF60</f>
        <v>0</v>
      </c>
      <c r="AN60" s="2779">
        <f t="shared" si="103"/>
        <v>0</v>
      </c>
      <c r="AO60" s="2779">
        <f t="shared" si="103"/>
        <v>0</v>
      </c>
      <c r="AP60" s="2779">
        <f t="shared" si="103"/>
        <v>0</v>
      </c>
      <c r="AQ60" s="2779">
        <f t="shared" si="103"/>
        <v>0</v>
      </c>
      <c r="AR60" s="2780">
        <f t="shared" si="103"/>
        <v>0</v>
      </c>
    </row>
    <row r="61" spans="1:44" s="1" customFormat="1">
      <c r="A61" s="4636" t="s">
        <v>985</v>
      </c>
      <c r="B61" s="2778" t="s">
        <v>201</v>
      </c>
      <c r="C61" s="426"/>
      <c r="D61" s="2779">
        <f>IFERROR(D60/$AM60*$AM61,0)</f>
        <v>0</v>
      </c>
      <c r="E61" s="2779">
        <f>IFERROR(SUM($D60:E60)/SUM($AM60:AN60)*AN61,0)</f>
        <v>0</v>
      </c>
      <c r="F61" s="2779">
        <f>IFERROR(SUM($D60:F60)/SUM($AM60:AO60)*AO61,0)</f>
        <v>0</v>
      </c>
      <c r="G61" s="2779">
        <f>IFERROR(SUM($D60:G60)/SUM($AM60:AP60)*AP61,0)</f>
        <v>0</v>
      </c>
      <c r="H61" s="2779">
        <f>IFERROR(SUM($D60:H60)/SUM($AM60:AQ60)*AQ61,0)</f>
        <v>0</v>
      </c>
      <c r="I61" s="2779">
        <f>IFERROR(SUM($D60:I60)/SUM($AM60:AR60)*AR61,0)</f>
        <v>0</v>
      </c>
      <c r="J61" s="426"/>
      <c r="K61" s="2779">
        <f>IFERROR(K60/$AM60*$AM61,0)</f>
        <v>0</v>
      </c>
      <c r="L61" s="2779">
        <f>IFERROR(SUM($K60:L60)/SUM($AM60:AN60)*AN61,0)</f>
        <v>0</v>
      </c>
      <c r="M61" s="2779">
        <f>IFERROR(SUM($K60:M60)/SUM($AM60:AO60)*AO61,0)</f>
        <v>0</v>
      </c>
      <c r="N61" s="2779">
        <f>IFERROR(SUM($K60:N60)/SUM($AM60:AP60)*AP61,0)</f>
        <v>0</v>
      </c>
      <c r="O61" s="2779">
        <f>IFERROR(SUM($K60:O60)/SUM($AM60:AQ60)*AQ61,0)</f>
        <v>0</v>
      </c>
      <c r="P61" s="2779">
        <f>IFERROR(SUM($K60:P60)/SUM($AM60:AR60)*AR61,0)</f>
        <v>0</v>
      </c>
      <c r="Q61" s="426"/>
      <c r="R61" s="2779">
        <f>IFERROR(R60/$AM60*$AM61,0)</f>
        <v>0</v>
      </c>
      <c r="S61" s="2779">
        <f>IFERROR(SUM($R60:S60)/SUM($AM60:AN60)*AN61,0)</f>
        <v>0</v>
      </c>
      <c r="T61" s="2779">
        <f>IFERROR(SUM($R60:T60)/SUM($AM60:AO60)*AO61,0)</f>
        <v>0</v>
      </c>
      <c r="U61" s="2779">
        <f>IFERROR(SUM($R60:U60)/SUM($AM60:AP60)*AP61,0)</f>
        <v>0</v>
      </c>
      <c r="V61" s="2779">
        <f>IFERROR(SUM($R60:V60)/SUM($AM60:AQ60)*AQ61,0)</f>
        <v>0</v>
      </c>
      <c r="W61" s="2779">
        <f>IFERROR(SUM($R60:W60)/SUM($AM60:AR60)*AR61,0)</f>
        <v>0</v>
      </c>
      <c r="X61" s="426"/>
      <c r="Y61" s="2779">
        <f>IFERROR(Y60/$AM60*$AM61,0)</f>
        <v>0</v>
      </c>
      <c r="Z61" s="2779">
        <f>IFERROR(SUM($Y60:Z60)/SUM($AM60:AN60)*AN61,0)</f>
        <v>0</v>
      </c>
      <c r="AA61" s="2779">
        <f>IFERROR(SUM($Y60:AA60)/SUM($AM60:AO60)*AO61,0)</f>
        <v>0</v>
      </c>
      <c r="AB61" s="2779">
        <f>IFERROR(SUM($Y60:AB60)/SUM($AM60:AP60)*AP61,0)</f>
        <v>0</v>
      </c>
      <c r="AC61" s="2779">
        <f>IFERROR(SUM($Y60:AC60)/SUM($AM60:AQ60)*AQ61,0)</f>
        <v>0</v>
      </c>
      <c r="AD61" s="2779">
        <f>IFERROR(SUM($Y60:AD60)/SUM($AM60:AR60)*AR61,0)</f>
        <v>0</v>
      </c>
      <c r="AE61" s="426"/>
      <c r="AF61" s="2779">
        <f>IFERROR(AF60/$AM60*$AM61,0)</f>
        <v>0</v>
      </c>
      <c r="AG61" s="2779">
        <f>IFERROR(SUM($AF60:AG60)/SUM($AM60:AN60)*AN61,0)</f>
        <v>0</v>
      </c>
      <c r="AH61" s="2779">
        <f>IFERROR(SUM($AF60:AH60)/SUM($AM60:AO60)*AO61,0)</f>
        <v>0</v>
      </c>
      <c r="AI61" s="2779">
        <f>IFERROR(SUM($AF60:AI60)/SUM($AM60:AP60)*AP61,0)</f>
        <v>0</v>
      </c>
      <c r="AJ61" s="2779">
        <f>IFERROR(SUM($AF60:AJ60)/SUM($AM60:AQ60)*AQ61,0)</f>
        <v>0</v>
      </c>
      <c r="AK61" s="2779">
        <f>IFERROR(SUM($AF60:AK60)/SUM($AM60:AR60)*AR61,0)</f>
        <v>0</v>
      </c>
      <c r="AL61" s="426"/>
      <c r="AM61" s="450"/>
      <c r="AN61" s="450"/>
      <c r="AO61" s="450"/>
      <c r="AP61" s="450"/>
      <c r="AQ61" s="450"/>
      <c r="AR61" s="451"/>
    </row>
    <row r="62" spans="1:44" s="1" customFormat="1">
      <c r="A62" s="4636" t="s">
        <v>986</v>
      </c>
      <c r="B62" s="2778" t="s">
        <v>202</v>
      </c>
      <c r="C62" s="426"/>
      <c r="D62" s="2779">
        <f>+(D65+D59+D60)/2*D63</f>
        <v>0</v>
      </c>
      <c r="E62" s="2779">
        <f t="shared" ref="E62:I62" si="104">+(E65+E59+E60)/2*E63</f>
        <v>0</v>
      </c>
      <c r="F62" s="2779">
        <f t="shared" si="104"/>
        <v>0</v>
      </c>
      <c r="G62" s="2779">
        <f t="shared" si="104"/>
        <v>0</v>
      </c>
      <c r="H62" s="2779">
        <f>+(H65+H59+H60)/2*H63</f>
        <v>0</v>
      </c>
      <c r="I62" s="2779">
        <f t="shared" si="104"/>
        <v>0</v>
      </c>
      <c r="J62" s="426"/>
      <c r="K62" s="2779">
        <f>+(K65+K59+K60)/2*K63</f>
        <v>0</v>
      </c>
      <c r="L62" s="2779">
        <f t="shared" ref="L62:P62" si="105">+(L65+L59+L60)/2*L63</f>
        <v>0</v>
      </c>
      <c r="M62" s="2779">
        <f t="shared" si="105"/>
        <v>0</v>
      </c>
      <c r="N62" s="2779">
        <f t="shared" si="105"/>
        <v>0</v>
      </c>
      <c r="O62" s="2779">
        <f t="shared" si="105"/>
        <v>0</v>
      </c>
      <c r="P62" s="2779">
        <f t="shared" si="105"/>
        <v>0</v>
      </c>
      <c r="Q62" s="426"/>
      <c r="R62" s="2779">
        <f t="shared" ref="R62:W62" si="106">+(R65+R59+R60)/2*R63</f>
        <v>0</v>
      </c>
      <c r="S62" s="2779">
        <f t="shared" si="106"/>
        <v>0</v>
      </c>
      <c r="T62" s="2779">
        <f t="shared" si="106"/>
        <v>0</v>
      </c>
      <c r="U62" s="2779">
        <f t="shared" si="106"/>
        <v>0</v>
      </c>
      <c r="V62" s="2779">
        <f t="shared" si="106"/>
        <v>0</v>
      </c>
      <c r="W62" s="2779">
        <f t="shared" si="106"/>
        <v>0</v>
      </c>
      <c r="X62" s="426"/>
      <c r="Y62" s="2779">
        <f t="shared" ref="Y62:AD62" si="107">+(Y65+Y59+Y60)/2*Y63</f>
        <v>0</v>
      </c>
      <c r="Z62" s="2779">
        <f t="shared" si="107"/>
        <v>0</v>
      </c>
      <c r="AA62" s="2779">
        <f t="shared" si="107"/>
        <v>0</v>
      </c>
      <c r="AB62" s="2779">
        <f t="shared" si="107"/>
        <v>0</v>
      </c>
      <c r="AC62" s="2779">
        <f t="shared" si="107"/>
        <v>0</v>
      </c>
      <c r="AD62" s="2779">
        <f t="shared" si="107"/>
        <v>0</v>
      </c>
      <c r="AE62" s="426"/>
      <c r="AF62" s="2779">
        <f t="shared" ref="AF62:AK62" si="108">+(AF65+AF59+AF60)/2*AF63</f>
        <v>0</v>
      </c>
      <c r="AG62" s="2779">
        <f t="shared" si="108"/>
        <v>0</v>
      </c>
      <c r="AH62" s="2779">
        <f t="shared" si="108"/>
        <v>0</v>
      </c>
      <c r="AI62" s="2779">
        <f t="shared" si="108"/>
        <v>0</v>
      </c>
      <c r="AJ62" s="2779">
        <f t="shared" si="108"/>
        <v>0</v>
      </c>
      <c r="AK62" s="2779">
        <f t="shared" si="108"/>
        <v>0</v>
      </c>
      <c r="AL62" s="426"/>
      <c r="AM62" s="450"/>
      <c r="AN62" s="450"/>
      <c r="AO62" s="450"/>
      <c r="AP62" s="450"/>
      <c r="AQ62" s="450"/>
      <c r="AR62" s="451"/>
    </row>
    <row r="63" spans="1:44" s="1" customFormat="1">
      <c r="A63" s="4636" t="s">
        <v>987</v>
      </c>
      <c r="B63" s="2778" t="s">
        <v>203</v>
      </c>
      <c r="C63" s="426"/>
      <c r="D63" s="1527">
        <f>+AM63</f>
        <v>0</v>
      </c>
      <c r="E63" s="1527">
        <f t="shared" ref="E63:I63" si="109">+AN63</f>
        <v>0</v>
      </c>
      <c r="F63" s="1527">
        <f t="shared" si="109"/>
        <v>0</v>
      </c>
      <c r="G63" s="1527">
        <f t="shared" si="109"/>
        <v>0</v>
      </c>
      <c r="H63" s="1527">
        <f t="shared" si="109"/>
        <v>0</v>
      </c>
      <c r="I63" s="1527">
        <f t="shared" si="109"/>
        <v>0</v>
      </c>
      <c r="J63" s="426"/>
      <c r="K63" s="1527">
        <f>+AM63</f>
        <v>0</v>
      </c>
      <c r="L63" s="1527">
        <f t="shared" ref="L63:P63" si="110">+AN63</f>
        <v>0</v>
      </c>
      <c r="M63" s="1527">
        <f t="shared" si="110"/>
        <v>0</v>
      </c>
      <c r="N63" s="1527">
        <f t="shared" si="110"/>
        <v>0</v>
      </c>
      <c r="O63" s="1527">
        <f t="shared" si="110"/>
        <v>0</v>
      </c>
      <c r="P63" s="1527">
        <f t="shared" si="110"/>
        <v>0</v>
      </c>
      <c r="Q63" s="426"/>
      <c r="R63" s="1527">
        <f>+AM63</f>
        <v>0</v>
      </c>
      <c r="S63" s="1527">
        <f t="shared" ref="S63:W63" si="111">+AN63</f>
        <v>0</v>
      </c>
      <c r="T63" s="1527">
        <f t="shared" si="111"/>
        <v>0</v>
      </c>
      <c r="U63" s="1527">
        <f t="shared" si="111"/>
        <v>0</v>
      </c>
      <c r="V63" s="1527">
        <f t="shared" si="111"/>
        <v>0</v>
      </c>
      <c r="W63" s="1527">
        <f t="shared" si="111"/>
        <v>0</v>
      </c>
      <c r="X63" s="426"/>
      <c r="Y63" s="1527">
        <f>+AM63</f>
        <v>0</v>
      </c>
      <c r="Z63" s="1527">
        <f t="shared" ref="Z63:AD63" si="112">+AN63</f>
        <v>0</v>
      </c>
      <c r="AA63" s="1527">
        <f t="shared" si="112"/>
        <v>0</v>
      </c>
      <c r="AB63" s="1527">
        <f t="shared" si="112"/>
        <v>0</v>
      </c>
      <c r="AC63" s="1527">
        <f t="shared" si="112"/>
        <v>0</v>
      </c>
      <c r="AD63" s="1527">
        <f t="shared" si="112"/>
        <v>0</v>
      </c>
      <c r="AE63" s="426"/>
      <c r="AF63" s="1527">
        <f>+AM63</f>
        <v>0</v>
      </c>
      <c r="AG63" s="1527">
        <f t="shared" ref="AG63:AK63" si="113">+AN63</f>
        <v>0</v>
      </c>
      <c r="AH63" s="1527">
        <f t="shared" si="113"/>
        <v>0</v>
      </c>
      <c r="AI63" s="1527">
        <f t="shared" si="113"/>
        <v>0</v>
      </c>
      <c r="AJ63" s="1527">
        <f t="shared" si="113"/>
        <v>0</v>
      </c>
      <c r="AK63" s="1527">
        <f t="shared" si="113"/>
        <v>0</v>
      </c>
      <c r="AL63" s="426"/>
      <c r="AM63" s="1527">
        <f t="shared" ref="AM63:AN63" si="114">IF(AND(AM59=0,AM60=0),0,AM62/((AM59+AM60+AM65)/2))</f>
        <v>0</v>
      </c>
      <c r="AN63" s="1527">
        <f t="shared" si="114"/>
        <v>0</v>
      </c>
      <c r="AO63" s="1527">
        <f>IF(AND(AO59=0,AO60=0),0,AO62/((AO59+AO60+AO65)/2))</f>
        <v>0</v>
      </c>
      <c r="AP63" s="1527">
        <f>IF(AND(AP59=0,AP60=0),0,AP62/((AP59+AP60+AP65)/2))</f>
        <v>0</v>
      </c>
      <c r="AQ63" s="1527">
        <f>IF(AND(AQ59=0,AQ60=0),0,AQ62/((AQ59+AQ60+AQ65)/2))</f>
        <v>0</v>
      </c>
      <c r="AR63" s="1528">
        <f>IF(AND(AR59=0,AR60=0),0,AR62/((AR59+AR60+AR65)/2))</f>
        <v>0</v>
      </c>
    </row>
    <row r="64" spans="1:44" s="1" customFormat="1">
      <c r="A64" s="4636" t="s">
        <v>988</v>
      </c>
      <c r="B64" s="2778" t="s">
        <v>204</v>
      </c>
      <c r="C64" s="426"/>
      <c r="D64" s="2787">
        <f t="shared" ref="D64:I64" si="115">D61+D62</f>
        <v>0</v>
      </c>
      <c r="E64" s="2787">
        <f t="shared" si="115"/>
        <v>0</v>
      </c>
      <c r="F64" s="2787">
        <f t="shared" si="115"/>
        <v>0</v>
      </c>
      <c r="G64" s="2787">
        <f t="shared" si="115"/>
        <v>0</v>
      </c>
      <c r="H64" s="2787">
        <f t="shared" si="115"/>
        <v>0</v>
      </c>
      <c r="I64" s="2788">
        <f t="shared" si="115"/>
        <v>0</v>
      </c>
      <c r="J64" s="426"/>
      <c r="K64" s="2787">
        <f t="shared" ref="K64:P64" si="116">K61+K62</f>
        <v>0</v>
      </c>
      <c r="L64" s="2787">
        <f t="shared" si="116"/>
        <v>0</v>
      </c>
      <c r="M64" s="2787">
        <f t="shared" si="116"/>
        <v>0</v>
      </c>
      <c r="N64" s="2787">
        <f t="shared" si="116"/>
        <v>0</v>
      </c>
      <c r="O64" s="2787">
        <f t="shared" si="116"/>
        <v>0</v>
      </c>
      <c r="P64" s="2788">
        <f t="shared" si="116"/>
        <v>0</v>
      </c>
      <c r="Q64" s="426"/>
      <c r="R64" s="2787">
        <f t="shared" ref="R64:W64" si="117">R61+R62</f>
        <v>0</v>
      </c>
      <c r="S64" s="2787">
        <f t="shared" si="117"/>
        <v>0</v>
      </c>
      <c r="T64" s="2787">
        <f t="shared" si="117"/>
        <v>0</v>
      </c>
      <c r="U64" s="2787">
        <f t="shared" si="117"/>
        <v>0</v>
      </c>
      <c r="V64" s="2787">
        <f t="shared" si="117"/>
        <v>0</v>
      </c>
      <c r="W64" s="2788">
        <f t="shared" si="117"/>
        <v>0</v>
      </c>
      <c r="X64" s="426"/>
      <c r="Y64" s="2787">
        <f t="shared" ref="Y64:AD64" si="118">Y61+Y62</f>
        <v>0</v>
      </c>
      <c r="Z64" s="2787">
        <f t="shared" si="118"/>
        <v>0</v>
      </c>
      <c r="AA64" s="2787">
        <f t="shared" si="118"/>
        <v>0</v>
      </c>
      <c r="AB64" s="2787">
        <f t="shared" si="118"/>
        <v>0</v>
      </c>
      <c r="AC64" s="2787">
        <f t="shared" si="118"/>
        <v>0</v>
      </c>
      <c r="AD64" s="2788">
        <f t="shared" si="118"/>
        <v>0</v>
      </c>
      <c r="AE64" s="426"/>
      <c r="AF64" s="2787">
        <f t="shared" ref="AF64:AK64" si="119">AF61+AF62</f>
        <v>0</v>
      </c>
      <c r="AG64" s="2787">
        <f t="shared" si="119"/>
        <v>0</v>
      </c>
      <c r="AH64" s="2787">
        <f t="shared" si="119"/>
        <v>0</v>
      </c>
      <c r="AI64" s="2787">
        <f t="shared" si="119"/>
        <v>0</v>
      </c>
      <c r="AJ64" s="2787">
        <f t="shared" si="119"/>
        <v>0</v>
      </c>
      <c r="AK64" s="2788">
        <f t="shared" si="119"/>
        <v>0</v>
      </c>
      <c r="AL64" s="426"/>
      <c r="AM64" s="2787">
        <f t="shared" ref="AM64:AN64" si="120">AM61+AM62</f>
        <v>0</v>
      </c>
      <c r="AN64" s="2787">
        <f t="shared" si="120"/>
        <v>0</v>
      </c>
      <c r="AO64" s="2787">
        <f>AO61+AO62</f>
        <v>0</v>
      </c>
      <c r="AP64" s="2787">
        <f>AP61+AP62</f>
        <v>0</v>
      </c>
      <c r="AQ64" s="2787">
        <f>AQ61+AQ62</f>
        <v>0</v>
      </c>
      <c r="AR64" s="2788">
        <f>AR61+AR62</f>
        <v>0</v>
      </c>
    </row>
    <row r="65" spans="1:44" s="1" customFormat="1">
      <c r="A65" s="4640" t="s">
        <v>989</v>
      </c>
      <c r="B65" s="4639" t="s">
        <v>205</v>
      </c>
      <c r="C65" s="426"/>
      <c r="D65" s="2798">
        <f t="shared" ref="D65:I65" si="121">D59+D60-D61</f>
        <v>0</v>
      </c>
      <c r="E65" s="2798">
        <f t="shared" si="121"/>
        <v>0</v>
      </c>
      <c r="F65" s="2798">
        <f t="shared" si="121"/>
        <v>0</v>
      </c>
      <c r="G65" s="2798">
        <f t="shared" si="121"/>
        <v>0</v>
      </c>
      <c r="H65" s="2798">
        <f t="shared" si="121"/>
        <v>0</v>
      </c>
      <c r="I65" s="2799">
        <f t="shared" si="121"/>
        <v>0</v>
      </c>
      <c r="J65" s="426"/>
      <c r="K65" s="2798">
        <f t="shared" ref="K65:P65" si="122">K59+K60-K61</f>
        <v>0</v>
      </c>
      <c r="L65" s="2798">
        <f t="shared" si="122"/>
        <v>0</v>
      </c>
      <c r="M65" s="2798">
        <f t="shared" si="122"/>
        <v>0</v>
      </c>
      <c r="N65" s="2798">
        <f t="shared" si="122"/>
        <v>0</v>
      </c>
      <c r="O65" s="2798">
        <f t="shared" si="122"/>
        <v>0</v>
      </c>
      <c r="P65" s="2799">
        <f t="shared" si="122"/>
        <v>0</v>
      </c>
      <c r="Q65" s="426"/>
      <c r="R65" s="2798">
        <f t="shared" ref="R65:W65" si="123">R59+R60-R61</f>
        <v>0</v>
      </c>
      <c r="S65" s="2798">
        <f t="shared" si="123"/>
        <v>0</v>
      </c>
      <c r="T65" s="2798">
        <f t="shared" si="123"/>
        <v>0</v>
      </c>
      <c r="U65" s="2798">
        <f t="shared" si="123"/>
        <v>0</v>
      </c>
      <c r="V65" s="2798">
        <f t="shared" si="123"/>
        <v>0</v>
      </c>
      <c r="W65" s="2799">
        <f t="shared" si="123"/>
        <v>0</v>
      </c>
      <c r="X65" s="426"/>
      <c r="Y65" s="2798">
        <f>Y59+Y60-Y61</f>
        <v>0</v>
      </c>
      <c r="Z65" s="2798">
        <f t="shared" ref="Z65:AD65" si="124">Z59+Z60-Z61</f>
        <v>0</v>
      </c>
      <c r="AA65" s="2798">
        <f t="shared" si="124"/>
        <v>0</v>
      </c>
      <c r="AB65" s="2798">
        <f t="shared" si="124"/>
        <v>0</v>
      </c>
      <c r="AC65" s="2798">
        <f t="shared" si="124"/>
        <v>0</v>
      </c>
      <c r="AD65" s="2799">
        <f t="shared" si="124"/>
        <v>0</v>
      </c>
      <c r="AE65" s="426"/>
      <c r="AF65" s="2798">
        <f t="shared" ref="AF65:AK65" si="125">AF59+AF60-AF61</f>
        <v>0</v>
      </c>
      <c r="AG65" s="2798">
        <f t="shared" si="125"/>
        <v>0</v>
      </c>
      <c r="AH65" s="2798">
        <f t="shared" si="125"/>
        <v>0</v>
      </c>
      <c r="AI65" s="2798">
        <f t="shared" si="125"/>
        <v>0</v>
      </c>
      <c r="AJ65" s="2798">
        <f t="shared" si="125"/>
        <v>0</v>
      </c>
      <c r="AK65" s="2799">
        <f t="shared" si="125"/>
        <v>0</v>
      </c>
      <c r="AL65" s="426"/>
      <c r="AM65" s="2798">
        <f t="shared" ref="AM65:AN65" si="126">AM59+AM60-AM61</f>
        <v>0</v>
      </c>
      <c r="AN65" s="2798">
        <f t="shared" si="126"/>
        <v>0</v>
      </c>
      <c r="AO65" s="2798">
        <f>AO59+AO60-AO61</f>
        <v>0</v>
      </c>
      <c r="AP65" s="2798">
        <f>AP59+AP60-AP61</f>
        <v>0</v>
      </c>
      <c r="AQ65" s="2798">
        <f>AQ59+AQ60-AQ61</f>
        <v>0</v>
      </c>
      <c r="AR65" s="2799">
        <f>AR59+AR60-AR61</f>
        <v>0</v>
      </c>
    </row>
    <row r="66" spans="1:44" s="1" customFormat="1">
      <c r="A66" s="4636" t="s">
        <v>1425</v>
      </c>
      <c r="B66" s="2778" t="s">
        <v>1419</v>
      </c>
      <c r="C66" s="426"/>
      <c r="D66" s="2808">
        <f>IFERROR('9.Инвестиционна програма'!V147/D60,0)</f>
        <v>0</v>
      </c>
      <c r="E66" s="2808">
        <f>IFERROR(SUM('9.Инвестиционна програма'!$V147:W147)/SUM($D60:E60),0)</f>
        <v>0</v>
      </c>
      <c r="F66" s="2808">
        <f>IFERROR(SUM('9.Инвестиционна програма'!$V147:X147)/SUM($D60:F60),0)</f>
        <v>0</v>
      </c>
      <c r="G66" s="2808">
        <f>IFERROR(SUM('9.Инвестиционна програма'!$V147:Y147)/SUM($D60:G60),0)</f>
        <v>0</v>
      </c>
      <c r="H66" s="2808">
        <f>IFERROR(SUM('9.Инвестиционна програма'!$V147:Z147)/SUM($D60:H60),0)</f>
        <v>0</v>
      </c>
      <c r="I66" s="2809">
        <f>IFERROR(SUM('9.Инвестиционна програма'!$V147:AA147)/SUM($D60:I60),0)</f>
        <v>0</v>
      </c>
      <c r="J66" s="1529"/>
      <c r="K66" s="2808">
        <f>IFERROR('9.Инвестиционна програма'!V148/K60,0)</f>
        <v>0</v>
      </c>
      <c r="L66" s="2808">
        <f>IFERROR(SUM('9.Инвестиционна програма'!$V148:W148)/SUM($K60:L60),0)</f>
        <v>0</v>
      </c>
      <c r="M66" s="2808">
        <f>IFERROR(SUM('9.Инвестиционна програма'!$V148:X148)/SUM($K60:M60),0)</f>
        <v>0</v>
      </c>
      <c r="N66" s="2808">
        <f>IFERROR(SUM('9.Инвестиционна програма'!$V148:Y148)/SUM($K60:N60),0)</f>
        <v>0</v>
      </c>
      <c r="O66" s="2808">
        <f>IFERROR(SUM('9.Инвестиционна програма'!$V148:Z148)/SUM($K60:O60),0)</f>
        <v>0</v>
      </c>
      <c r="P66" s="2809">
        <f>IFERROR(SUM('9.Инвестиционна програма'!$V148:AA148)/SUM($K60:P60),0)</f>
        <v>0</v>
      </c>
      <c r="Q66" s="1529"/>
      <c r="R66" s="2808">
        <f>IFERROR('9.Инвестиционна програма'!V149/R60,0)</f>
        <v>0</v>
      </c>
      <c r="S66" s="2808">
        <f>IFERROR(SUM('9.Инвестиционна програма'!$V149:W149)/SUM($R60:S60),0)</f>
        <v>0</v>
      </c>
      <c r="T66" s="2808">
        <f>IFERROR(SUM('9.Инвестиционна програма'!$V149:X149)/SUM($R60:T60),0)</f>
        <v>0</v>
      </c>
      <c r="U66" s="2808">
        <f>IFERROR(SUM('9.Инвестиционна програма'!$V149:Y149)/SUM($R60:U60),0)</f>
        <v>0</v>
      </c>
      <c r="V66" s="2808">
        <f>IFERROR(SUM('9.Инвестиционна програма'!$V149:Z149)/SUM($R60:V60),0)</f>
        <v>0</v>
      </c>
      <c r="W66" s="2809">
        <f>IFERROR(SUM('9.Инвестиционна програма'!$V149:AA149)/SUM($R60:W60),0)</f>
        <v>0</v>
      </c>
      <c r="X66" s="1529"/>
      <c r="Y66" s="2808">
        <f>IFERROR('9.Инвестиционна програма'!V150/Y60,0)</f>
        <v>0</v>
      </c>
      <c r="Z66" s="2808">
        <f>IFERROR(SUM('9.Инвестиционна програма'!$V150:W150)/SUM($Y60:Z60),0)</f>
        <v>0</v>
      </c>
      <c r="AA66" s="2808">
        <f>IFERROR(SUM('9.Инвестиционна програма'!$V150:X150)/SUM($Y60:AA60),0)</f>
        <v>0</v>
      </c>
      <c r="AB66" s="2808">
        <f>IFERROR(SUM('9.Инвестиционна програма'!$V150:Y150)/SUM($Y60:AB60),0)</f>
        <v>0</v>
      </c>
      <c r="AC66" s="2808">
        <f>IFERROR(SUM('9.Инвестиционна програма'!$V150:Z150)/SUM($Y60:AC60),0)</f>
        <v>0</v>
      </c>
      <c r="AD66" s="2809">
        <f>IFERROR(SUM('9.Инвестиционна програма'!$V150:AA150)/SUM($Y60:AD60),0)</f>
        <v>0</v>
      </c>
      <c r="AE66" s="1529"/>
      <c r="AF66" s="2808">
        <f>IFERROR('9.Инвестиционна програма'!V151/AF60,0)</f>
        <v>0</v>
      </c>
      <c r="AG66" s="2808">
        <f>IFERROR(SUM('9.Инвестиционна програма'!$V151:W151)/SUM($AF60:AG60),0)</f>
        <v>0</v>
      </c>
      <c r="AH66" s="2808">
        <f>IFERROR(SUM('9.Инвестиционна програма'!$V151:X151)/SUM($AF60:AH60),0)</f>
        <v>0</v>
      </c>
      <c r="AI66" s="2808">
        <f>IFERROR(SUM('9.Инвестиционна програма'!$V151:Y151)/SUM($AF60:AI60),0)</f>
        <v>0</v>
      </c>
      <c r="AJ66" s="2808">
        <f>IFERROR(SUM('9.Инвестиционна програма'!$V151:Z151)/SUM($AF60:AJ60),0)</f>
        <v>0</v>
      </c>
      <c r="AK66" s="2809">
        <f>IFERROR(SUM('9.Инвестиционна програма'!$V151:AA151)/SUM($AF60:AK60),0)</f>
        <v>0</v>
      </c>
      <c r="AL66" s="1529"/>
      <c r="AM66" s="2808">
        <f>IFERROR((SUM(D60*D66,K60*K66,R60*R66,Y60*Y66,AF60*AF66)/AM60),0)</f>
        <v>0</v>
      </c>
      <c r="AN66" s="2808">
        <f>IFERROR(((SUM($D60:E60)*E66+SUM($K60:L60)*L66+SUM($R60:S60)*S66+SUM($Y60:Z60)*Z66+SUM($AF60:AG60)*AG66)/SUM($AM60:AN60)),0)</f>
        <v>0</v>
      </c>
      <c r="AO66" s="2808">
        <f>IFERROR(((SUM($D60:F60)*F66+SUM($K60:M60)*M66+SUM($R60:T60)*T66+SUM($Y60:AA60)*AA66+SUM($AF60:AH60)*AH66)/SUM($AM60:AO60)),0)</f>
        <v>0</v>
      </c>
      <c r="AP66" s="2808">
        <f>IFERROR(((SUM($D60:G60)*G66+SUM($K60:N60)*N66+SUM($R60:U60)*U66+SUM($Y60:AB60)*AB66+SUM($AF60:AI60)*AI66)/SUM($AM60:AP60)),0)</f>
        <v>0</v>
      </c>
      <c r="AQ66" s="2808">
        <f>IFERROR(((SUM($D60:H60)*H66+SUM($K60:O60)*O66+SUM($R60:V60)*V66+SUM($Y60:AC60)*AC66+SUM($AF60:AJ60)*AJ66)/SUM($AM60:AQ60)),0)</f>
        <v>0</v>
      </c>
      <c r="AR66" s="2809">
        <f>IFERROR(((SUM($D60:I60)*I66+SUM($K60:P60)*P66+SUM($R60:W60)*W66+SUM($Y60:AD60)*AD66+SUM($AF60:AK60)*AK66)/SUM($AM60:AR60)),0)</f>
        <v>0</v>
      </c>
    </row>
    <row r="67" spans="1:44" s="1" customFormat="1" ht="13.5" thickBot="1">
      <c r="A67" s="4638" t="s">
        <v>1426</v>
      </c>
      <c r="B67" s="2801" t="s">
        <v>1421</v>
      </c>
      <c r="C67" s="426"/>
      <c r="D67" s="2810">
        <f>IF(D60&gt;0,1-D66,0)</f>
        <v>0</v>
      </c>
      <c r="E67" s="2810">
        <f>IF(SUM($D60:E60)&gt;0,1-E66,0)</f>
        <v>0</v>
      </c>
      <c r="F67" s="2810">
        <f>IF(SUM($D60:F60)&gt;0,1-F66,0)</f>
        <v>0</v>
      </c>
      <c r="G67" s="2810">
        <f>IF(SUM($D60:G60)&gt;0,1-G66,0)</f>
        <v>0</v>
      </c>
      <c r="H67" s="2810">
        <f>IF(SUM($D60:H60)&gt;0,1-H66,0)</f>
        <v>0</v>
      </c>
      <c r="I67" s="2811">
        <f>IF(SUM($D60:I60)&gt;0,1-I66,0)</f>
        <v>0</v>
      </c>
      <c r="J67" s="1529"/>
      <c r="K67" s="2810">
        <f>IF(K60&gt;0,1-K66,0)</f>
        <v>0</v>
      </c>
      <c r="L67" s="2810">
        <f>IF(SUM($K60:L60)&gt;0,1-L66,0)</f>
        <v>0</v>
      </c>
      <c r="M67" s="2810">
        <f>IF(SUM($K60:M60)&gt;0,1-M66,0)</f>
        <v>0</v>
      </c>
      <c r="N67" s="2810">
        <f>IF(SUM($K60:N60)&gt;0,1-N66,0)</f>
        <v>0</v>
      </c>
      <c r="O67" s="2810">
        <f>IF(SUM($K60:O60)&gt;0,1-O66,0)</f>
        <v>0</v>
      </c>
      <c r="P67" s="2811">
        <f>IF(SUM($K60:P60)&gt;0,1-P66,0)</f>
        <v>0</v>
      </c>
      <c r="Q67" s="1529"/>
      <c r="R67" s="2810">
        <f>IF(R60&gt;0,1-R66,0)</f>
        <v>0</v>
      </c>
      <c r="S67" s="2810">
        <f>IF(SUM($R60:S60)&gt;0,1-S66,0)</f>
        <v>0</v>
      </c>
      <c r="T67" s="2810">
        <f>IF(SUM($R60:T60)&gt;0,1-T66,0)</f>
        <v>0</v>
      </c>
      <c r="U67" s="2810">
        <f>IF(SUM($R60:U60)&gt;0,1-U66,0)</f>
        <v>0</v>
      </c>
      <c r="V67" s="2810">
        <f>IF(SUM($R60:V60)&gt;0,1-V66,0)</f>
        <v>0</v>
      </c>
      <c r="W67" s="2811">
        <f>IF(SUM($R60:W60)&gt;0,1-W66,0)</f>
        <v>0</v>
      </c>
      <c r="X67" s="1529"/>
      <c r="Y67" s="2810">
        <f>IF(Y60&gt;0,1-Y66,0)</f>
        <v>0</v>
      </c>
      <c r="Z67" s="2810">
        <f>IF(SUM($Y60:Z60)&gt;0,1-Z66,0)</f>
        <v>0</v>
      </c>
      <c r="AA67" s="2810">
        <f>IF(SUM($Y60:AA60)&gt;0,1-AA66,0)</f>
        <v>0</v>
      </c>
      <c r="AB67" s="2810">
        <f>IF(SUM($Y60:AB60)&gt;0,1-AB66,0)</f>
        <v>0</v>
      </c>
      <c r="AC67" s="2810">
        <f>IF(SUM($Y60:AC60)&gt;0,1-AC66,0)</f>
        <v>0</v>
      </c>
      <c r="AD67" s="2811">
        <f>IF(SUM($Y60:AD60)&gt;0,1-AD66,0)</f>
        <v>0</v>
      </c>
      <c r="AE67" s="1529"/>
      <c r="AF67" s="2810">
        <f>IF(AF60&gt;0,1-AF66,0)</f>
        <v>0</v>
      </c>
      <c r="AG67" s="2810">
        <f>IF(SUM($AF60:AG60)&gt;0,1-AG66,0)</f>
        <v>0</v>
      </c>
      <c r="AH67" s="2810">
        <f>IF(SUM($AF60:AH60)&gt;0,1-AH66,0)</f>
        <v>0</v>
      </c>
      <c r="AI67" s="2810">
        <f>IF(SUM($AF60:AI60)&gt;0,1-AI66,0)</f>
        <v>0</v>
      </c>
      <c r="AJ67" s="2810">
        <f>IF(SUM($AF60:AJ60)&gt;0,1-AJ66,0)</f>
        <v>0</v>
      </c>
      <c r="AK67" s="2811">
        <f>IF(SUM($AF60:AK60)&gt;0,1-AK66,0)</f>
        <v>0</v>
      </c>
      <c r="AL67" s="4777"/>
      <c r="AM67" s="2810">
        <f>IF(AM60&gt;0,1-AM66,0)</f>
        <v>0</v>
      </c>
      <c r="AN67" s="2810">
        <f>IF(SUM($AM60:AN60)&gt;0,1-AN66,0)</f>
        <v>0</v>
      </c>
      <c r="AO67" s="2810">
        <f>IF(SUM($AM60:AO60)&gt;0,1-AO66,0)</f>
        <v>0</v>
      </c>
      <c r="AP67" s="2810">
        <f>IF(SUM($AM60:AP60)&gt;0,1-AP66,0)</f>
        <v>0</v>
      </c>
      <c r="AQ67" s="2810">
        <f>IF(SUM($AM60:AQ60)&gt;0,1-AQ66,0)</f>
        <v>0</v>
      </c>
      <c r="AR67" s="2811">
        <f>IF(SUM($AM60:AR60)&gt;0,1-AR66,0)</f>
        <v>0</v>
      </c>
    </row>
    <row r="68" spans="1:44" s="1" customFormat="1">
      <c r="A68" s="5379" t="s">
        <v>1480</v>
      </c>
      <c r="B68" s="5381" t="s">
        <v>1427</v>
      </c>
      <c r="C68" s="5383" t="s">
        <v>215</v>
      </c>
      <c r="D68" s="5384"/>
      <c r="E68" s="5384"/>
      <c r="F68" s="5384"/>
      <c r="G68" s="5384"/>
      <c r="H68" s="5384"/>
      <c r="I68" s="5385"/>
      <c r="J68" s="5386" t="s">
        <v>178</v>
      </c>
      <c r="K68" s="5384"/>
      <c r="L68" s="5384"/>
      <c r="M68" s="5384"/>
      <c r="N68" s="5384"/>
      <c r="O68" s="5384"/>
      <c r="P68" s="5387"/>
      <c r="Q68" s="5383" t="s">
        <v>188</v>
      </c>
      <c r="R68" s="5384"/>
      <c r="S68" s="5384"/>
      <c r="T68" s="5384"/>
      <c r="U68" s="5384"/>
      <c r="V68" s="5384"/>
      <c r="W68" s="5385"/>
      <c r="X68" s="5376" t="s">
        <v>1037</v>
      </c>
      <c r="Y68" s="5377"/>
      <c r="Z68" s="5377"/>
      <c r="AA68" s="5377"/>
      <c r="AB68" s="5377"/>
      <c r="AC68" s="5377"/>
      <c r="AD68" s="5378"/>
      <c r="AE68" s="5376" t="s">
        <v>1102</v>
      </c>
      <c r="AF68" s="5377"/>
      <c r="AG68" s="5377"/>
      <c r="AH68" s="5377"/>
      <c r="AI68" s="5377"/>
      <c r="AJ68" s="5377"/>
      <c r="AK68" s="5378"/>
      <c r="AL68" s="5376" t="s">
        <v>1271</v>
      </c>
      <c r="AM68" s="5377"/>
      <c r="AN68" s="5377"/>
      <c r="AO68" s="5377"/>
      <c r="AP68" s="5377"/>
      <c r="AQ68" s="5377"/>
      <c r="AR68" s="5378"/>
    </row>
    <row r="69" spans="1:44" s="1" customFormat="1" ht="13.5" thickBot="1">
      <c r="A69" s="5380"/>
      <c r="B69" s="5382"/>
      <c r="C69" s="2805" t="str">
        <f>C36</f>
        <v>2020 г.</v>
      </c>
      <c r="D69" s="2806" t="str">
        <f t="shared" ref="D69:AR69" si="127">D36</f>
        <v>2021 г.</v>
      </c>
      <c r="E69" s="2806" t="str">
        <f t="shared" si="127"/>
        <v>2022 г.</v>
      </c>
      <c r="F69" s="2806" t="str">
        <f t="shared" si="127"/>
        <v>2023 г.</v>
      </c>
      <c r="G69" s="2806" t="str">
        <f t="shared" si="127"/>
        <v>2024 г.</v>
      </c>
      <c r="H69" s="2806" t="str">
        <f t="shared" si="127"/>
        <v>2025 г.</v>
      </c>
      <c r="I69" s="2807" t="str">
        <f t="shared" si="127"/>
        <v>2026 г.</v>
      </c>
      <c r="J69" s="2805" t="str">
        <f>J36</f>
        <v>2020 г.</v>
      </c>
      <c r="K69" s="2806" t="str">
        <f t="shared" si="127"/>
        <v>2021 г.</v>
      </c>
      <c r="L69" s="2806" t="str">
        <f t="shared" si="127"/>
        <v>2022 г.</v>
      </c>
      <c r="M69" s="2806" t="str">
        <f t="shared" si="127"/>
        <v>2023 г.</v>
      </c>
      <c r="N69" s="2806" t="str">
        <f t="shared" si="127"/>
        <v>2024 г.</v>
      </c>
      <c r="O69" s="2806" t="str">
        <f t="shared" si="127"/>
        <v>2025 г.</v>
      </c>
      <c r="P69" s="2807" t="str">
        <f t="shared" si="127"/>
        <v>2026 г.</v>
      </c>
      <c r="Q69" s="2805" t="str">
        <f>Q36</f>
        <v>2020 г.</v>
      </c>
      <c r="R69" s="2806" t="str">
        <f t="shared" si="127"/>
        <v>2021 г.</v>
      </c>
      <c r="S69" s="2806" t="str">
        <f t="shared" si="127"/>
        <v>2022 г.</v>
      </c>
      <c r="T69" s="2806" t="str">
        <f t="shared" si="127"/>
        <v>2023 г.</v>
      </c>
      <c r="U69" s="2806" t="str">
        <f t="shared" si="127"/>
        <v>2024 г.</v>
      </c>
      <c r="V69" s="2806" t="str">
        <f t="shared" si="127"/>
        <v>2025 г.</v>
      </c>
      <c r="W69" s="2807" t="str">
        <f t="shared" si="127"/>
        <v>2026 г.</v>
      </c>
      <c r="X69" s="2805" t="str">
        <f>X36</f>
        <v>2020 г.</v>
      </c>
      <c r="Y69" s="2806" t="str">
        <f t="shared" si="127"/>
        <v>2021 г.</v>
      </c>
      <c r="Z69" s="2806" t="str">
        <f t="shared" si="127"/>
        <v>2022 г.</v>
      </c>
      <c r="AA69" s="2806" t="str">
        <f t="shared" si="127"/>
        <v>2023 г.</v>
      </c>
      <c r="AB69" s="2806" t="str">
        <f t="shared" si="127"/>
        <v>2024 г.</v>
      </c>
      <c r="AC69" s="2806" t="str">
        <f t="shared" si="127"/>
        <v>2025 г.</v>
      </c>
      <c r="AD69" s="2807" t="str">
        <f t="shared" si="127"/>
        <v>2026 г.</v>
      </c>
      <c r="AE69" s="2805" t="str">
        <f>AE36</f>
        <v>2020 г.</v>
      </c>
      <c r="AF69" s="2806" t="str">
        <f t="shared" si="127"/>
        <v>2021 г.</v>
      </c>
      <c r="AG69" s="2806" t="str">
        <f t="shared" si="127"/>
        <v>2022 г.</v>
      </c>
      <c r="AH69" s="2806" t="str">
        <f t="shared" si="127"/>
        <v>2023 г.</v>
      </c>
      <c r="AI69" s="2806" t="str">
        <f t="shared" si="127"/>
        <v>2024 г.</v>
      </c>
      <c r="AJ69" s="2806" t="str">
        <f t="shared" si="127"/>
        <v>2025 г.</v>
      </c>
      <c r="AK69" s="2807" t="str">
        <f t="shared" si="127"/>
        <v>2026 г.</v>
      </c>
      <c r="AL69" s="2805" t="str">
        <f>AL36</f>
        <v>2020 г.</v>
      </c>
      <c r="AM69" s="2806" t="str">
        <f t="shared" si="127"/>
        <v>2021 г.</v>
      </c>
      <c r="AN69" s="2806" t="str">
        <f t="shared" si="127"/>
        <v>2022 г.</v>
      </c>
      <c r="AO69" s="2806" t="str">
        <f t="shared" si="127"/>
        <v>2023 г.</v>
      </c>
      <c r="AP69" s="2806" t="str">
        <f t="shared" si="127"/>
        <v>2024 г.</v>
      </c>
      <c r="AQ69" s="2806" t="str">
        <f t="shared" si="127"/>
        <v>2025 г.</v>
      </c>
      <c r="AR69" s="2807" t="str">
        <f t="shared" si="127"/>
        <v>2026 г.</v>
      </c>
    </row>
    <row r="70" spans="1:44" s="1" customFormat="1">
      <c r="A70" s="4636" t="s">
        <v>1428</v>
      </c>
      <c r="B70" s="2776" t="s">
        <v>199</v>
      </c>
      <c r="C70" s="427"/>
      <c r="D70" s="1524">
        <f t="shared" ref="D70:I70" si="128">C76</f>
        <v>0</v>
      </c>
      <c r="E70" s="1525">
        <f t="shared" si="128"/>
        <v>38.229999999999997</v>
      </c>
      <c r="F70" s="1525">
        <f t="shared" si="128"/>
        <v>1239.0033333333333</v>
      </c>
      <c r="G70" s="1525">
        <f t="shared" si="128"/>
        <v>2949.3983333333335</v>
      </c>
      <c r="H70" s="1525">
        <f t="shared" si="128"/>
        <v>2911.4486080798392</v>
      </c>
      <c r="I70" s="1526">
        <f t="shared" si="128"/>
        <v>2683.7502565588729</v>
      </c>
      <c r="J70" s="427"/>
      <c r="K70" s="1524">
        <f t="shared" ref="K70:P70" si="129">J76</f>
        <v>0</v>
      </c>
      <c r="L70" s="1525">
        <f t="shared" si="129"/>
        <v>64.956000000000003</v>
      </c>
      <c r="M70" s="1525">
        <f t="shared" si="129"/>
        <v>579.49833333333333</v>
      </c>
      <c r="N70" s="1525">
        <f t="shared" si="129"/>
        <v>3389.9333333333334</v>
      </c>
      <c r="O70" s="1525">
        <f t="shared" si="129"/>
        <v>3346.3152715836786</v>
      </c>
      <c r="P70" s="1526">
        <f t="shared" si="129"/>
        <v>3084.6069010857495</v>
      </c>
      <c r="Q70" s="427"/>
      <c r="R70" s="1524">
        <f t="shared" ref="R70:W70" si="130">Q76</f>
        <v>0</v>
      </c>
      <c r="S70" s="1525">
        <f t="shared" si="130"/>
        <v>0</v>
      </c>
      <c r="T70" s="1525">
        <f t="shared" si="130"/>
        <v>1083.2673333333332</v>
      </c>
      <c r="U70" s="1525">
        <f t="shared" si="130"/>
        <v>2131.9923333333331</v>
      </c>
      <c r="V70" s="1525">
        <f t="shared" si="130"/>
        <v>2104.5601203364822</v>
      </c>
      <c r="W70" s="1526">
        <f t="shared" si="130"/>
        <v>1939.966842355378</v>
      </c>
      <c r="X70" s="427"/>
      <c r="Y70" s="1524">
        <f t="shared" ref="Y70:AD70" si="131">X76</f>
        <v>0</v>
      </c>
      <c r="Z70" s="1525">
        <f t="shared" si="131"/>
        <v>0</v>
      </c>
      <c r="AA70" s="1525">
        <f t="shared" si="131"/>
        <v>0</v>
      </c>
      <c r="AB70" s="1525">
        <f t="shared" si="131"/>
        <v>0</v>
      </c>
      <c r="AC70" s="1525">
        <f t="shared" si="131"/>
        <v>0</v>
      </c>
      <c r="AD70" s="1526">
        <f t="shared" si="131"/>
        <v>0</v>
      </c>
      <c r="AE70" s="427"/>
      <c r="AF70" s="1524">
        <f t="shared" ref="AF70:AK70" si="132">AE76</f>
        <v>0</v>
      </c>
      <c r="AG70" s="1525">
        <f t="shared" si="132"/>
        <v>0</v>
      </c>
      <c r="AH70" s="1525">
        <f t="shared" si="132"/>
        <v>0</v>
      </c>
      <c r="AI70" s="1525">
        <f t="shared" si="132"/>
        <v>0</v>
      </c>
      <c r="AJ70" s="1525">
        <f t="shared" si="132"/>
        <v>0</v>
      </c>
      <c r="AK70" s="1526">
        <f t="shared" si="132"/>
        <v>0</v>
      </c>
      <c r="AL70" s="427"/>
      <c r="AM70" s="1524">
        <f t="shared" ref="AM70:AR70" si="133">AL76</f>
        <v>0</v>
      </c>
      <c r="AN70" s="1525">
        <f t="shared" si="133"/>
        <v>103.18600000000001</v>
      </c>
      <c r="AO70" s="1525">
        <f t="shared" si="133"/>
        <v>2901.7689999999998</v>
      </c>
      <c r="AP70" s="1525">
        <f t="shared" si="133"/>
        <v>8471.3240000000005</v>
      </c>
      <c r="AQ70" s="1525">
        <f t="shared" si="133"/>
        <v>8362.3240000000005</v>
      </c>
      <c r="AR70" s="1526">
        <f t="shared" si="133"/>
        <v>7708.3240000000005</v>
      </c>
    </row>
    <row r="71" spans="1:44" s="1" customFormat="1">
      <c r="A71" s="4636" t="s">
        <v>1429</v>
      </c>
      <c r="B71" s="2778" t="s">
        <v>200</v>
      </c>
      <c r="C71" s="426"/>
      <c r="D71" s="2779">
        <f>+'9.Инвестиционна програма'!AC140</f>
        <v>38.229999999999997</v>
      </c>
      <c r="E71" s="2779">
        <f>+'9.Инвестиционна програма'!AD140</f>
        <v>1200.7733333333333</v>
      </c>
      <c r="F71" s="2779">
        <f>+'9.Инвестиционна програма'!AE140</f>
        <v>1710.395</v>
      </c>
      <c r="G71" s="2779">
        <f>+'9.Инвестиционна програма'!AF140</f>
        <v>0</v>
      </c>
      <c r="H71" s="2779">
        <f>+'9.Инвестиционна програма'!AG140</f>
        <v>0</v>
      </c>
      <c r="I71" s="2780">
        <f>+'9.Инвестиционна програма'!AH140</f>
        <v>0</v>
      </c>
      <c r="J71" s="426"/>
      <c r="K71" s="2779">
        <f>+'9.Инвестиционна програма'!AC141</f>
        <v>64.956000000000003</v>
      </c>
      <c r="L71" s="2779">
        <f>+'9.Инвестиционна програма'!AD141</f>
        <v>514.54233333333332</v>
      </c>
      <c r="M71" s="2779">
        <f>+'9.Инвестиционна програма'!AE141</f>
        <v>2810.4349999999999</v>
      </c>
      <c r="N71" s="2779">
        <f>+'9.Инвестиционна програма'!AF141</f>
        <v>0</v>
      </c>
      <c r="O71" s="2779">
        <f>+'9.Инвестиционна програма'!AG141</f>
        <v>0</v>
      </c>
      <c r="P71" s="2779">
        <f>+'9.Инвестиционна програма'!AH141</f>
        <v>0</v>
      </c>
      <c r="Q71" s="426"/>
      <c r="R71" s="2779">
        <f>+'9.Инвестиционна програма'!AC142</f>
        <v>0</v>
      </c>
      <c r="S71" s="2779">
        <f>+'9.Инвестиционна програма'!AD142</f>
        <v>1083.2673333333332</v>
      </c>
      <c r="T71" s="2779">
        <f>+'9.Инвестиционна програма'!AE142</f>
        <v>1048.7249999999999</v>
      </c>
      <c r="U71" s="2779">
        <f>+'9.Инвестиционна програма'!AF142</f>
        <v>0</v>
      </c>
      <c r="V71" s="2779">
        <f>+'9.Инвестиционна програма'!AG142</f>
        <v>0</v>
      </c>
      <c r="W71" s="2779">
        <f>+'9.Инвестиционна програма'!AH142</f>
        <v>0</v>
      </c>
      <c r="X71" s="426"/>
      <c r="Y71" s="2779">
        <f>+'9.Инвестиционна програма'!AC143</f>
        <v>0</v>
      </c>
      <c r="Z71" s="2779">
        <f>+'9.Инвестиционна програма'!AD143</f>
        <v>0</v>
      </c>
      <c r="AA71" s="2779">
        <f>+'9.Инвестиционна програма'!AE143</f>
        <v>0</v>
      </c>
      <c r="AB71" s="2779">
        <f>+'9.Инвестиционна програма'!AF143</f>
        <v>0</v>
      </c>
      <c r="AC71" s="2779">
        <f>+'9.Инвестиционна програма'!AG143</f>
        <v>0</v>
      </c>
      <c r="AD71" s="2779">
        <f>+'9.Инвестиционна програма'!AH143</f>
        <v>0</v>
      </c>
      <c r="AE71" s="426"/>
      <c r="AF71" s="2779">
        <f>+'9.Инвестиционна програма'!AC144</f>
        <v>0</v>
      </c>
      <c r="AG71" s="2779">
        <f>+'9.Инвестиционна програма'!AD144</f>
        <v>0</v>
      </c>
      <c r="AH71" s="2779">
        <f>+'9.Инвестиционна програма'!AE144</f>
        <v>0</v>
      </c>
      <c r="AI71" s="2779">
        <f>+'9.Инвестиционна програма'!AF144</f>
        <v>0</v>
      </c>
      <c r="AJ71" s="2779">
        <f>+'9.Инвестиционна програма'!AG144</f>
        <v>0</v>
      </c>
      <c r="AK71" s="2779">
        <f>+'9.Инвестиционна програма'!AH144</f>
        <v>0</v>
      </c>
      <c r="AL71" s="426"/>
      <c r="AM71" s="2779">
        <f>D71+K71+R71+Y71+AF71</f>
        <v>103.18600000000001</v>
      </c>
      <c r="AN71" s="2779">
        <f t="shared" ref="AN71:AR71" si="134">E71+L71+S71+Z71+AG71</f>
        <v>2798.5829999999996</v>
      </c>
      <c r="AO71" s="2779">
        <f t="shared" si="134"/>
        <v>5569.5550000000003</v>
      </c>
      <c r="AP71" s="2779">
        <f t="shared" si="134"/>
        <v>0</v>
      </c>
      <c r="AQ71" s="2779">
        <f t="shared" si="134"/>
        <v>0</v>
      </c>
      <c r="AR71" s="2780">
        <f t="shared" si="134"/>
        <v>0</v>
      </c>
    </row>
    <row r="72" spans="1:44" s="1" customFormat="1">
      <c r="A72" s="4636" t="s">
        <v>1430</v>
      </c>
      <c r="B72" s="2778" t="s">
        <v>201</v>
      </c>
      <c r="C72" s="426"/>
      <c r="D72" s="2779">
        <f>IFERROR(D71/$AM71*$AM72,0)</f>
        <v>0</v>
      </c>
      <c r="E72" s="2779">
        <f>IFERROR(SUM($D71:E71)/SUM($AM71:AN71)*AN72,0)</f>
        <v>0</v>
      </c>
      <c r="F72" s="2779">
        <f>IFERROR(SUM($D71:F71)/SUM($AM71:AO71)*AO72,0)</f>
        <v>0</v>
      </c>
      <c r="G72" s="2779">
        <f>IFERROR(SUM($D71:G71)/SUM($AM71:AP71)*AP72,0)</f>
        <v>37.949725253494414</v>
      </c>
      <c r="H72" s="2779">
        <f>IFERROR(SUM($D71:H71)/SUM($AM71:AQ71)*AQ72,0)</f>
        <v>227.6983515209665</v>
      </c>
      <c r="I72" s="2779">
        <f>IFERROR(SUM($D71:I71)/SUM($AM71:AR71)*AR72,0)</f>
        <v>227.6983515209665</v>
      </c>
      <c r="J72" s="426"/>
      <c r="K72" s="2779">
        <f>IFERROR(K71/$AM71*$AM72,0)</f>
        <v>0</v>
      </c>
      <c r="L72" s="2779">
        <f>IFERROR(SUM($K71:L71)/SUM($AM71:AN71)*AN72,0)</f>
        <v>0</v>
      </c>
      <c r="M72" s="2779">
        <f>IFERROR(SUM($K71:M71)/SUM($AM71:AO71)*AO72,0)</f>
        <v>0</v>
      </c>
      <c r="N72" s="2779">
        <f>IFERROR(SUM($K71:N71)/SUM($AM71:AP71)*AP72,0)</f>
        <v>43.618061749654878</v>
      </c>
      <c r="O72" s="2779">
        <f>IFERROR(SUM($K71:O71)/SUM($AM71:AQ71)*AQ72,0)</f>
        <v>261.70837049792925</v>
      </c>
      <c r="P72" s="2779">
        <f>IFERROR(SUM($K71:P71)/SUM($AM71:AR71)*AR72,0)</f>
        <v>261.70837049792925</v>
      </c>
      <c r="Q72" s="426"/>
      <c r="R72" s="2779">
        <f>IFERROR(R71/$AM71*$AM72,0)</f>
        <v>0</v>
      </c>
      <c r="S72" s="2779">
        <f>IFERROR(SUM($R71:S71)/SUM($AM71:AN71)*AN72,0)</f>
        <v>0</v>
      </c>
      <c r="T72" s="2779">
        <f>IFERROR(SUM($R71:T71)/SUM($AM71:AO71)*AO72,0)</f>
        <v>0</v>
      </c>
      <c r="U72" s="2779">
        <f>IFERROR(SUM($R71:U71)/SUM($AM71:AP71)*AP72,0)</f>
        <v>27.432212996850701</v>
      </c>
      <c r="V72" s="2779">
        <f>IFERROR(SUM($R71:V71)/SUM($AM71:AQ71)*AQ72,0)</f>
        <v>164.59327798110422</v>
      </c>
      <c r="W72" s="2779">
        <f>IFERROR(SUM($R71:W71)/SUM($AM71:AR71)*AR72,0)</f>
        <v>164.59327798110422</v>
      </c>
      <c r="X72" s="426"/>
      <c r="Y72" s="2779">
        <f>IFERROR(Y71/$AM71*$AM72,0)</f>
        <v>0</v>
      </c>
      <c r="Z72" s="2779">
        <f>IFERROR(SUM($Y71:Z71)/SUM($AM71:AN71)*AN72,0)</f>
        <v>0</v>
      </c>
      <c r="AA72" s="2779">
        <f>IFERROR(SUM($Y71:AA71)/SUM($AM71:AO71)*AO72,0)</f>
        <v>0</v>
      </c>
      <c r="AB72" s="2779">
        <f>IFERROR(SUM($Y71:AB71)/SUM($AM71:AP71)*AP72,0)</f>
        <v>0</v>
      </c>
      <c r="AC72" s="2779">
        <f>IFERROR(SUM($Y71:AC71)/SUM($AM71:AQ71)*AQ72,0)</f>
        <v>0</v>
      </c>
      <c r="AD72" s="2779">
        <f>IFERROR(SUM($Y71:AD71)/SUM($AM71:AR71)*AR72,0)</f>
        <v>0</v>
      </c>
      <c r="AE72" s="426"/>
      <c r="AF72" s="2779">
        <f>IFERROR(AF71/$AM71*$AM72,0)</f>
        <v>0</v>
      </c>
      <c r="AG72" s="2779">
        <f>IFERROR(SUM($AF71:AG71)/SUM($AM71:AN71)*AN72,0)</f>
        <v>0</v>
      </c>
      <c r="AH72" s="2779">
        <f>IFERROR(SUM($AF71:AH71)/SUM($AM71:AO71)*AO72,0)</f>
        <v>0</v>
      </c>
      <c r="AI72" s="2779">
        <f>IFERROR(SUM($AF71:AI71)/SUM($AM71:AP71)*AP72,0)</f>
        <v>0</v>
      </c>
      <c r="AJ72" s="2779">
        <f>IFERROR(SUM($AF71:AJ71)/SUM($AM71:AQ71)*AQ72,0)</f>
        <v>0</v>
      </c>
      <c r="AK72" s="2779">
        <f>IFERROR(SUM($AF71:AK71)/SUM($AM71:AR71)*AR72,0)</f>
        <v>0</v>
      </c>
      <c r="AL72" s="426"/>
      <c r="AM72" s="450"/>
      <c r="AN72" s="450">
        <v>0</v>
      </c>
      <c r="AO72" s="450">
        <v>0</v>
      </c>
      <c r="AP72" s="450">
        <v>109</v>
      </c>
      <c r="AQ72" s="450">
        <v>654</v>
      </c>
      <c r="AR72" s="451">
        <v>654</v>
      </c>
    </row>
    <row r="73" spans="1:44" s="1" customFormat="1">
      <c r="A73" s="4636" t="s">
        <v>986</v>
      </c>
      <c r="B73" s="2778" t="s">
        <v>202</v>
      </c>
      <c r="C73" s="426"/>
      <c r="D73" s="2779">
        <f>+(D76+D70+D71)/2*D74</f>
        <v>0</v>
      </c>
      <c r="E73" s="2779">
        <f t="shared" ref="E73:G73" si="135">+(E76+E70+E71)/2*E74</f>
        <v>1.7079282786925265</v>
      </c>
      <c r="F73" s="2779">
        <f t="shared" si="135"/>
        <v>34.119936466444521</v>
      </c>
      <c r="G73" s="2779">
        <f t="shared" si="135"/>
        <v>56.750506571739351</v>
      </c>
      <c r="H73" s="2779">
        <f>+(H76+H70+H71)/2*H74</f>
        <v>53.965205635703079</v>
      </c>
      <c r="I73" s="2779">
        <f t="shared" ref="I73" si="136">+(I76+I70+I71)/2*I74</f>
        <v>49.787254231648646</v>
      </c>
      <c r="J73" s="426"/>
      <c r="K73" s="2779">
        <f>+(K76+K70+K71)/2*K74</f>
        <v>0</v>
      </c>
      <c r="L73" s="2779">
        <f t="shared" ref="L73:P73" si="137">+(L76+L70+L71)/2*L74</f>
        <v>0.79882076531017232</v>
      </c>
      <c r="M73" s="2779">
        <f t="shared" si="137"/>
        <v>39.216239004276858</v>
      </c>
      <c r="N73" s="2779">
        <f t="shared" si="137"/>
        <v>65.227009772419663</v>
      </c>
      <c r="O73" s="2779">
        <f t="shared" si="137"/>
        <v>62.025684139417486</v>
      </c>
      <c r="P73" s="2779">
        <f t="shared" si="137"/>
        <v>57.223695689914194</v>
      </c>
      <c r="Q73" s="426"/>
      <c r="R73" s="2779">
        <f t="shared" ref="R73:W73" si="138">+(R76+R70+R71)/2*R74</f>
        <v>0</v>
      </c>
      <c r="S73" s="2779">
        <f t="shared" si="138"/>
        <v>1.4932509559973013</v>
      </c>
      <c r="T73" s="2779">
        <f t="shared" si="138"/>
        <v>24.663824529278617</v>
      </c>
      <c r="U73" s="2779">
        <f t="shared" si="138"/>
        <v>41.022483655840965</v>
      </c>
      <c r="V73" s="2779">
        <f t="shared" si="138"/>
        <v>39.009110224879436</v>
      </c>
      <c r="W73" s="2779">
        <f t="shared" si="138"/>
        <v>35.98905007843716</v>
      </c>
      <c r="X73" s="426"/>
      <c r="Y73" s="2779">
        <f t="shared" ref="Y73:AD73" si="139">+(Y76+Y70+Y71)/2*Y74</f>
        <v>0</v>
      </c>
      <c r="Z73" s="2779">
        <f t="shared" si="139"/>
        <v>0</v>
      </c>
      <c r="AA73" s="2779">
        <f t="shared" si="139"/>
        <v>0</v>
      </c>
      <c r="AB73" s="2779">
        <f t="shared" si="139"/>
        <v>0</v>
      </c>
      <c r="AC73" s="2779">
        <f t="shared" si="139"/>
        <v>0</v>
      </c>
      <c r="AD73" s="2779">
        <f t="shared" si="139"/>
        <v>0</v>
      </c>
      <c r="AE73" s="426"/>
      <c r="AF73" s="2779">
        <f t="shared" ref="AF73:AK73" si="140">+(AF76+AF70+AF71)/2*AF74</f>
        <v>0</v>
      </c>
      <c r="AG73" s="2779">
        <f t="shared" si="140"/>
        <v>0</v>
      </c>
      <c r="AH73" s="2779">
        <f t="shared" si="140"/>
        <v>0</v>
      </c>
      <c r="AI73" s="2779">
        <f t="shared" si="140"/>
        <v>0</v>
      </c>
      <c r="AJ73" s="2779">
        <f t="shared" si="140"/>
        <v>0</v>
      </c>
      <c r="AK73" s="2779">
        <f t="shared" si="140"/>
        <v>0</v>
      </c>
      <c r="AL73" s="426"/>
      <c r="AM73" s="450"/>
      <c r="AN73" s="450">
        <v>4</v>
      </c>
      <c r="AO73" s="450">
        <v>98</v>
      </c>
      <c r="AP73" s="450">
        <v>163</v>
      </c>
      <c r="AQ73" s="450">
        <v>155</v>
      </c>
      <c r="AR73" s="451">
        <v>143</v>
      </c>
    </row>
    <row r="74" spans="1:44" s="1" customFormat="1">
      <c r="A74" s="4636" t="s">
        <v>987</v>
      </c>
      <c r="B74" s="2778" t="s">
        <v>203</v>
      </c>
      <c r="C74" s="426"/>
      <c r="D74" s="1527">
        <f>+AM74</f>
        <v>0</v>
      </c>
      <c r="E74" s="1527">
        <f t="shared" ref="E74:I74" si="141">+AN74</f>
        <v>1.3784694784457344E-3</v>
      </c>
      <c r="F74" s="1527">
        <f t="shared" si="141"/>
        <v>1.1568439596927233E-2</v>
      </c>
      <c r="G74" s="1527">
        <f t="shared" si="141"/>
        <v>1.9365974624157518E-2</v>
      </c>
      <c r="H74" s="1527">
        <f t="shared" si="141"/>
        <v>1.9289825774293605E-2</v>
      </c>
      <c r="I74" s="1527">
        <f t="shared" si="141"/>
        <v>1.9373218138100969E-2</v>
      </c>
      <c r="J74" s="426"/>
      <c r="K74" s="1527">
        <f>+AM74</f>
        <v>0</v>
      </c>
      <c r="L74" s="1527">
        <f t="shared" ref="L74:P74" si="142">+AN74</f>
        <v>1.3784694784457344E-3</v>
      </c>
      <c r="M74" s="1527">
        <f t="shared" si="142"/>
        <v>1.1568439596927233E-2</v>
      </c>
      <c r="N74" s="1527">
        <f t="shared" si="142"/>
        <v>1.9365974624157518E-2</v>
      </c>
      <c r="O74" s="1527">
        <f t="shared" si="142"/>
        <v>1.9289825774293605E-2</v>
      </c>
      <c r="P74" s="1527">
        <f t="shared" si="142"/>
        <v>1.9373218138100969E-2</v>
      </c>
      <c r="Q74" s="426"/>
      <c r="R74" s="1527">
        <f>+AM74</f>
        <v>0</v>
      </c>
      <c r="S74" s="1527">
        <f t="shared" ref="S74:W74" si="143">+AN74</f>
        <v>1.3784694784457344E-3</v>
      </c>
      <c r="T74" s="1527">
        <f t="shared" si="143"/>
        <v>1.1568439596927233E-2</v>
      </c>
      <c r="U74" s="1527">
        <f t="shared" si="143"/>
        <v>1.9365974624157518E-2</v>
      </c>
      <c r="V74" s="1527">
        <f t="shared" si="143"/>
        <v>1.9289825774293605E-2</v>
      </c>
      <c r="W74" s="1527">
        <f t="shared" si="143"/>
        <v>1.9373218138100969E-2</v>
      </c>
      <c r="X74" s="426"/>
      <c r="Y74" s="1527">
        <f>+AM74</f>
        <v>0</v>
      </c>
      <c r="Z74" s="1527">
        <f t="shared" ref="Z74:AD74" si="144">+AN74</f>
        <v>1.3784694784457344E-3</v>
      </c>
      <c r="AA74" s="1527">
        <f t="shared" si="144"/>
        <v>1.1568439596927233E-2</v>
      </c>
      <c r="AB74" s="1527">
        <f t="shared" si="144"/>
        <v>1.9365974624157518E-2</v>
      </c>
      <c r="AC74" s="1527">
        <f t="shared" si="144"/>
        <v>1.9289825774293605E-2</v>
      </c>
      <c r="AD74" s="1527">
        <f t="shared" si="144"/>
        <v>1.9373218138100969E-2</v>
      </c>
      <c r="AE74" s="426"/>
      <c r="AF74" s="1527">
        <f>+AM74</f>
        <v>0</v>
      </c>
      <c r="AG74" s="1527">
        <f t="shared" ref="AG74:AK74" si="145">+AN74</f>
        <v>1.3784694784457344E-3</v>
      </c>
      <c r="AH74" s="1527">
        <f t="shared" si="145"/>
        <v>1.1568439596927233E-2</v>
      </c>
      <c r="AI74" s="1527">
        <f t="shared" si="145"/>
        <v>1.9365974624157518E-2</v>
      </c>
      <c r="AJ74" s="1527">
        <f t="shared" si="145"/>
        <v>1.9289825774293605E-2</v>
      </c>
      <c r="AK74" s="1527">
        <f t="shared" si="145"/>
        <v>1.9373218138100969E-2</v>
      </c>
      <c r="AL74" s="426"/>
      <c r="AM74" s="1527">
        <f t="shared" ref="AM74:AN74" si="146">IF(AND(AM70=0,AM71=0),0,AM73/((AM70+AM71+AM76)/2))</f>
        <v>0</v>
      </c>
      <c r="AN74" s="1527">
        <f t="shared" si="146"/>
        <v>1.3784694784457344E-3</v>
      </c>
      <c r="AO74" s="1527">
        <f>IF(AND(AO70=0,AO71=0),0,AO73/((AO70+AO71+AO76)/2))</f>
        <v>1.1568439596927233E-2</v>
      </c>
      <c r="AP74" s="1527">
        <f>IF(AND(AP70=0,AP71=0),0,AP73/((AP70+AP71+AP76)/2))</f>
        <v>1.9365974624157518E-2</v>
      </c>
      <c r="AQ74" s="1527">
        <f>IF(AND(AQ70=0,AQ71=0),0,AQ73/((AQ70+AQ71+AQ76)/2))</f>
        <v>1.9289825774293605E-2</v>
      </c>
      <c r="AR74" s="1528">
        <f>IF(AND(AR70=0,AR71=0),0,AR73/((AR70+AR71+AR76)/2))</f>
        <v>1.9373218138100969E-2</v>
      </c>
    </row>
    <row r="75" spans="1:44" s="1" customFormat="1">
      <c r="A75" s="4636" t="s">
        <v>1431</v>
      </c>
      <c r="B75" s="2778" t="s">
        <v>204</v>
      </c>
      <c r="C75" s="426"/>
      <c r="D75" s="2787">
        <f t="shared" ref="D75:I75" si="147">D72+D73</f>
        <v>0</v>
      </c>
      <c r="E75" s="2787">
        <f t="shared" si="147"/>
        <v>1.7079282786925265</v>
      </c>
      <c r="F75" s="2787">
        <f t="shared" si="147"/>
        <v>34.119936466444521</v>
      </c>
      <c r="G75" s="2787">
        <f t="shared" si="147"/>
        <v>94.700231825233772</v>
      </c>
      <c r="H75" s="2787">
        <f t="shared" si="147"/>
        <v>281.66355715666958</v>
      </c>
      <c r="I75" s="2788">
        <f t="shared" si="147"/>
        <v>277.48560575261513</v>
      </c>
      <c r="J75" s="426"/>
      <c r="K75" s="2787">
        <f t="shared" ref="K75:P75" si="148">K72+K73</f>
        <v>0</v>
      </c>
      <c r="L75" s="2787">
        <f t="shared" si="148"/>
        <v>0.79882076531017232</v>
      </c>
      <c r="M75" s="2787">
        <f t="shared" si="148"/>
        <v>39.216239004276858</v>
      </c>
      <c r="N75" s="2787">
        <f t="shared" si="148"/>
        <v>108.84507152207453</v>
      </c>
      <c r="O75" s="2787">
        <f t="shared" si="148"/>
        <v>323.73405463734673</v>
      </c>
      <c r="P75" s="2788">
        <f t="shared" si="148"/>
        <v>318.93206618784347</v>
      </c>
      <c r="Q75" s="426"/>
      <c r="R75" s="2787">
        <f t="shared" ref="R75:W75" si="149">R72+R73</f>
        <v>0</v>
      </c>
      <c r="S75" s="2787">
        <f t="shared" si="149"/>
        <v>1.4932509559973013</v>
      </c>
      <c r="T75" s="2787">
        <f t="shared" si="149"/>
        <v>24.663824529278617</v>
      </c>
      <c r="U75" s="2787">
        <f t="shared" si="149"/>
        <v>68.454696652691666</v>
      </c>
      <c r="V75" s="2787">
        <f t="shared" si="149"/>
        <v>203.60238820598366</v>
      </c>
      <c r="W75" s="2788">
        <f t="shared" si="149"/>
        <v>200.5823280595414</v>
      </c>
      <c r="X75" s="426"/>
      <c r="Y75" s="2787">
        <f t="shared" ref="Y75:AD75" si="150">Y72+Y73</f>
        <v>0</v>
      </c>
      <c r="Z75" s="2787">
        <f t="shared" si="150"/>
        <v>0</v>
      </c>
      <c r="AA75" s="2787">
        <f t="shared" si="150"/>
        <v>0</v>
      </c>
      <c r="AB75" s="2787">
        <f t="shared" si="150"/>
        <v>0</v>
      </c>
      <c r="AC75" s="2787">
        <f t="shared" si="150"/>
        <v>0</v>
      </c>
      <c r="AD75" s="2788">
        <f t="shared" si="150"/>
        <v>0</v>
      </c>
      <c r="AE75" s="426"/>
      <c r="AF75" s="2787">
        <f t="shared" ref="AF75:AK75" si="151">AF72+AF73</f>
        <v>0</v>
      </c>
      <c r="AG75" s="2787">
        <f t="shared" si="151"/>
        <v>0</v>
      </c>
      <c r="AH75" s="2787">
        <f t="shared" si="151"/>
        <v>0</v>
      </c>
      <c r="AI75" s="2787">
        <f t="shared" si="151"/>
        <v>0</v>
      </c>
      <c r="AJ75" s="2787">
        <f t="shared" si="151"/>
        <v>0</v>
      </c>
      <c r="AK75" s="2788">
        <f t="shared" si="151"/>
        <v>0</v>
      </c>
      <c r="AL75" s="426"/>
      <c r="AM75" s="2787">
        <f t="shared" ref="AM75:AN75" si="152">AM72+AM73</f>
        <v>0</v>
      </c>
      <c r="AN75" s="2787">
        <f t="shared" si="152"/>
        <v>4</v>
      </c>
      <c r="AO75" s="2787">
        <f>AO72+AO73</f>
        <v>98</v>
      </c>
      <c r="AP75" s="2787">
        <f>AP72+AP73</f>
        <v>272</v>
      </c>
      <c r="AQ75" s="2787">
        <f>AQ72+AQ73</f>
        <v>809</v>
      </c>
      <c r="AR75" s="2788">
        <f>AR72+AR73</f>
        <v>797</v>
      </c>
    </row>
    <row r="76" spans="1:44" s="1" customFormat="1">
      <c r="A76" s="4636" t="s">
        <v>1432</v>
      </c>
      <c r="B76" s="2778" t="s">
        <v>205</v>
      </c>
      <c r="C76" s="426"/>
      <c r="D76" s="2787">
        <f t="shared" ref="D76:I76" si="153">D70+D71-D72</f>
        <v>38.229999999999997</v>
      </c>
      <c r="E76" s="2787">
        <f t="shared" si="153"/>
        <v>1239.0033333333333</v>
      </c>
      <c r="F76" s="2787">
        <f t="shared" si="153"/>
        <v>2949.3983333333335</v>
      </c>
      <c r="G76" s="2787">
        <f t="shared" si="153"/>
        <v>2911.4486080798392</v>
      </c>
      <c r="H76" s="2787">
        <f t="shared" si="153"/>
        <v>2683.7502565588729</v>
      </c>
      <c r="I76" s="2788">
        <f t="shared" si="153"/>
        <v>2456.0519050379066</v>
      </c>
      <c r="J76" s="426"/>
      <c r="K76" s="2787">
        <f t="shared" ref="K76:P76" si="154">K70+K71-K72</f>
        <v>64.956000000000003</v>
      </c>
      <c r="L76" s="2787">
        <f t="shared" si="154"/>
        <v>579.49833333333333</v>
      </c>
      <c r="M76" s="2787">
        <f t="shared" si="154"/>
        <v>3389.9333333333334</v>
      </c>
      <c r="N76" s="2787">
        <f t="shared" si="154"/>
        <v>3346.3152715836786</v>
      </c>
      <c r="O76" s="2787">
        <f t="shared" si="154"/>
        <v>3084.6069010857495</v>
      </c>
      <c r="P76" s="2788">
        <f t="shared" si="154"/>
        <v>2822.8985305878205</v>
      </c>
      <c r="Q76" s="426"/>
      <c r="R76" s="2787">
        <f t="shared" ref="R76:W76" si="155">R70+R71-R72</f>
        <v>0</v>
      </c>
      <c r="S76" s="2787">
        <f t="shared" si="155"/>
        <v>1083.2673333333332</v>
      </c>
      <c r="T76" s="2787">
        <f t="shared" si="155"/>
        <v>2131.9923333333331</v>
      </c>
      <c r="U76" s="2787">
        <f t="shared" si="155"/>
        <v>2104.5601203364822</v>
      </c>
      <c r="V76" s="2787">
        <f t="shared" si="155"/>
        <v>1939.966842355378</v>
      </c>
      <c r="W76" s="2788">
        <f t="shared" si="155"/>
        <v>1775.3735643742739</v>
      </c>
      <c r="X76" s="426"/>
      <c r="Y76" s="2787">
        <f t="shared" ref="Y76:AD76" si="156">Y70+Y71-Y72</f>
        <v>0</v>
      </c>
      <c r="Z76" s="2787">
        <f t="shared" si="156"/>
        <v>0</v>
      </c>
      <c r="AA76" s="2787">
        <f t="shared" si="156"/>
        <v>0</v>
      </c>
      <c r="AB76" s="2787">
        <f t="shared" si="156"/>
        <v>0</v>
      </c>
      <c r="AC76" s="2787">
        <f t="shared" si="156"/>
        <v>0</v>
      </c>
      <c r="AD76" s="2788">
        <f t="shared" si="156"/>
        <v>0</v>
      </c>
      <c r="AE76" s="426"/>
      <c r="AF76" s="2787">
        <f t="shared" ref="AF76:AK76" si="157">AF70+AF71-AF72</f>
        <v>0</v>
      </c>
      <c r="AG76" s="2787">
        <f t="shared" si="157"/>
        <v>0</v>
      </c>
      <c r="AH76" s="2787">
        <f t="shared" si="157"/>
        <v>0</v>
      </c>
      <c r="AI76" s="2787">
        <f t="shared" si="157"/>
        <v>0</v>
      </c>
      <c r="AJ76" s="2787">
        <f t="shared" si="157"/>
        <v>0</v>
      </c>
      <c r="AK76" s="2788">
        <f t="shared" si="157"/>
        <v>0</v>
      </c>
      <c r="AL76" s="426"/>
      <c r="AM76" s="2787">
        <f t="shared" ref="AM76:AN76" si="158">AM70+AM71-AM72</f>
        <v>103.18600000000001</v>
      </c>
      <c r="AN76" s="2787">
        <f t="shared" si="158"/>
        <v>2901.7689999999998</v>
      </c>
      <c r="AO76" s="2787">
        <f>AO70+AO71-AO72</f>
        <v>8471.3240000000005</v>
      </c>
      <c r="AP76" s="2787">
        <f>AP70+AP71-AP72</f>
        <v>8362.3240000000005</v>
      </c>
      <c r="AQ76" s="2787">
        <f>AQ70+AQ71-AQ72</f>
        <v>7708.3240000000005</v>
      </c>
      <c r="AR76" s="2788">
        <f>AR70+AR71-AR72</f>
        <v>7054.3240000000005</v>
      </c>
    </row>
    <row r="77" spans="1:44" s="1" customFormat="1">
      <c r="A77" s="4637" t="s">
        <v>1433</v>
      </c>
      <c r="B77" s="2776" t="s">
        <v>1419</v>
      </c>
      <c r="C77" s="4774"/>
      <c r="D77" s="2812">
        <f>IFERROR('9.Инвестиционна програма'!AC147/D71,0)</f>
        <v>0</v>
      </c>
      <c r="E77" s="2812">
        <f>IFERROR(SUM('9.Инвестиционна програма'!$AC147:AD147)/SUM($D71:E71),0)</f>
        <v>0</v>
      </c>
      <c r="F77" s="2812">
        <f>IFERROR(SUM('9.Инвестиционна програма'!$AC147:AE147)/SUM($D71:F71),0)</f>
        <v>0</v>
      </c>
      <c r="G77" s="2812">
        <f>IFERROR(SUM('9.Инвестиционна програма'!$AC147:AF147)/SUM($D71:G71),0)</f>
        <v>0</v>
      </c>
      <c r="H77" s="2812">
        <f>IFERROR(SUM('9.Инвестиционна програма'!$AC147:AG147)/SUM($D71:H71),0)</f>
        <v>0</v>
      </c>
      <c r="I77" s="2813">
        <f>IFERROR(SUM('9.Инвестиционна програма'!$AC147:AH147)/SUM($D71:I71),0)</f>
        <v>0</v>
      </c>
      <c r="J77" s="4775"/>
      <c r="K77" s="2812">
        <f>IFERROR('9.Инвестиционна програма'!AC148/K71,0)</f>
        <v>0</v>
      </c>
      <c r="L77" s="2812">
        <f>IFERROR(SUM('9.Инвестиционна програма'!$AC148:AD148)/SUM($K71:L71),0)</f>
        <v>0</v>
      </c>
      <c r="M77" s="2812">
        <f>IFERROR(SUM('9.Инвестиционна програма'!$AC148:AE148)/SUM($K71:M71),0)</f>
        <v>0</v>
      </c>
      <c r="N77" s="2812">
        <f>IFERROR(SUM('9.Инвестиционна програма'!$AC148:AF148)/SUM($K71:N71),0)</f>
        <v>0</v>
      </c>
      <c r="O77" s="2812">
        <f>IFERROR(SUM('9.Инвестиционна програма'!$AC148:AG148)/SUM($K71:O71),0)</f>
        <v>0</v>
      </c>
      <c r="P77" s="2813">
        <f>IFERROR(SUM('9.Инвестиционна програма'!$AC148:AH148)/SUM($K71:P71),0)</f>
        <v>0</v>
      </c>
      <c r="Q77" s="4775"/>
      <c r="R77" s="2812">
        <f>IFERROR('9.Инвестиционна програма'!AC149/R71,0)</f>
        <v>0</v>
      </c>
      <c r="S77" s="2812">
        <f>IFERROR(SUM('9.Инвестиционна програма'!$AC149:AD149)/SUM($R71:S71),0)</f>
        <v>0</v>
      </c>
      <c r="T77" s="2812">
        <f>IFERROR(SUM('9.Инвестиционна програма'!$AC149:AE149)/SUM($R71:T71),0)</f>
        <v>0</v>
      </c>
      <c r="U77" s="2812">
        <f>IFERROR(SUM('9.Инвестиционна програма'!$AC149:AF149)/SUM($R71:U71),0)</f>
        <v>0</v>
      </c>
      <c r="V77" s="2812">
        <f>IFERROR(SUM('9.Инвестиционна програма'!$AC149:AG149)/SUM($R71:V71),0)</f>
        <v>0</v>
      </c>
      <c r="W77" s="2813">
        <f>IFERROR(SUM('9.Инвестиционна програма'!$AC149:AH149)/SUM($R71:W71),0)</f>
        <v>0</v>
      </c>
      <c r="X77" s="4775"/>
      <c r="Y77" s="2812">
        <f>IFERROR('9.Инвестиционна програма'!AC150/Y71,0)</f>
        <v>0</v>
      </c>
      <c r="Z77" s="2812">
        <f>IFERROR(SUM('9.Инвестиционна програма'!$AC150:AD150)/SUM($Y71:Z71),0)</f>
        <v>0</v>
      </c>
      <c r="AA77" s="2812">
        <f>IFERROR(SUM('9.Инвестиционна програма'!$AC150:AE150)/SUM($Y71:AA71),0)</f>
        <v>0</v>
      </c>
      <c r="AB77" s="2812">
        <f>IFERROR(SUM('9.Инвестиционна програма'!$AC150:AF150)/SUM($Y71:AB71),0)</f>
        <v>0</v>
      </c>
      <c r="AC77" s="2812">
        <f>IFERROR(SUM('9.Инвестиционна програма'!$AC150:AG150)/SUM($Y71:AC71),0)</f>
        <v>0</v>
      </c>
      <c r="AD77" s="2813">
        <f>IFERROR(SUM('9.Инвестиционна програма'!$AC150:AH150)/SUM($Y71:AD71),0)</f>
        <v>0</v>
      </c>
      <c r="AE77" s="4775"/>
      <c r="AF77" s="2812">
        <f>IFERROR('9.Инвестиционна програма'!AC151/AF71,0)</f>
        <v>0</v>
      </c>
      <c r="AG77" s="2812">
        <f>IFERROR(SUM('9.Инвестиционна програма'!$AC151:AD151)/SUM($AF71:AG71),0)</f>
        <v>0</v>
      </c>
      <c r="AH77" s="2812">
        <f>IFERROR(SUM('9.Инвестиционна програма'!$AC151:AE151)/SUM($AF71:AH71),0)</f>
        <v>0</v>
      </c>
      <c r="AI77" s="2812">
        <f>IFERROR(SUM('9.Инвестиционна програма'!$AC151:AF151)/SUM($AF71:AI71),0)</f>
        <v>0</v>
      </c>
      <c r="AJ77" s="2812">
        <f>IFERROR(SUM('9.Инвестиционна програма'!$AC151:AG151)/SUM($AF71:AJ71),0)</f>
        <v>0</v>
      </c>
      <c r="AK77" s="2813">
        <f>IFERROR(SUM('9.Инвестиционна програма'!$AC151:AH151)/SUM($AF71:AK71),0)</f>
        <v>0</v>
      </c>
      <c r="AL77" s="4775"/>
      <c r="AM77" s="2808">
        <f>IFERROR((SUM(D71*D77,K71*K77,R71*R77,Y71*Y77,AF71*AF77)/AM71),0)</f>
        <v>0</v>
      </c>
      <c r="AN77" s="2808">
        <f>IFERROR(((SUM($D71:E71)*E77+SUM($K71:L71)*L77+SUM($R71:S71)*S77+SUM($Y71:Z71)*Z77+SUM($AF71:AG71)*AG77)/SUM($AM71:AN71)),0)</f>
        <v>0</v>
      </c>
      <c r="AO77" s="2808">
        <f>IFERROR(((SUM($D71:F71)*F77+SUM($K71:M71)*M77+SUM($R71:T71)*T77+SUM($Y71:AA71)*AA77+SUM($AF71:AH71)*AH77)/SUM($AM71:AO71)),0)</f>
        <v>0</v>
      </c>
      <c r="AP77" s="2808">
        <f>IFERROR(((SUM($D71:G71)*G77+SUM($K71:N71)*N77+SUM($R71:U71)*U77+SUM($Y71:AB71)*AB77+SUM($AF71:AI71)*AI77)/SUM($AM71:AP71)),0)</f>
        <v>0</v>
      </c>
      <c r="AQ77" s="2808">
        <f>IFERROR(((SUM($D71:H71)*H77+SUM($K71:O71)*O77+SUM($R71:V71)*V77+SUM($Y71:AC71)*AC77+SUM($AF71:AJ71)*AJ77)/SUM($AM71:AQ71)),0)</f>
        <v>0</v>
      </c>
      <c r="AR77" s="2809">
        <f>IFERROR(((SUM($D71:I71)*I77+SUM($K71:P71)*P77+SUM($R71:W71)*W77+SUM($Y71:AD71)*AD77+SUM($AF71:AK71)*AK77)/SUM($AM71:AR71)),0)</f>
        <v>0</v>
      </c>
    </row>
    <row r="78" spans="1:44" s="1" customFormat="1" ht="13.5" thickBot="1">
      <c r="A78" s="4638" t="s">
        <v>1434</v>
      </c>
      <c r="B78" s="2801" t="s">
        <v>1421</v>
      </c>
      <c r="C78" s="4776"/>
      <c r="D78" s="2810">
        <f>IF(D71&gt;0,1-D77,0)</f>
        <v>1</v>
      </c>
      <c r="E78" s="2810">
        <f>IF(SUM($D71:E71)&gt;0,1-E77,0)</f>
        <v>1</v>
      </c>
      <c r="F78" s="2810">
        <f>IF(SUM($D71:F71)&gt;0,1-F77,0)</f>
        <v>1</v>
      </c>
      <c r="G78" s="2810">
        <f>IF(SUM($D71:G71)&gt;0,1-G77,0)</f>
        <v>1</v>
      </c>
      <c r="H78" s="2810">
        <f>IF(SUM($D71:H71)&gt;0,1-H77,0)</f>
        <v>1</v>
      </c>
      <c r="I78" s="2811">
        <f>IF(SUM($D71:I71)&gt;0,1-I77,0)</f>
        <v>1</v>
      </c>
      <c r="J78" s="4777"/>
      <c r="K78" s="2810">
        <f>IF(K71&gt;0,1-K77,0)</f>
        <v>1</v>
      </c>
      <c r="L78" s="2810">
        <f>IF(SUM($K71:L71)&gt;0,1-L77,0)</f>
        <v>1</v>
      </c>
      <c r="M78" s="2810">
        <f>IF(SUM($K71:M71)&gt;0,1-M77,0)</f>
        <v>1</v>
      </c>
      <c r="N78" s="2810">
        <f>IF(SUM($K71:N71)&gt;0,1-N77,0)</f>
        <v>1</v>
      </c>
      <c r="O78" s="2810">
        <f>IF(SUM($K71:O71)&gt;0,1-O77,0)</f>
        <v>1</v>
      </c>
      <c r="P78" s="2811">
        <f>IF(SUM($K71:P71)&gt;0,1-P77,0)</f>
        <v>1</v>
      </c>
      <c r="Q78" s="4777"/>
      <c r="R78" s="2810">
        <f>IF(R71&gt;0,1-R77,0)</f>
        <v>0</v>
      </c>
      <c r="S78" s="2810">
        <f>IF(SUM($R71:S71)&gt;0,1-S77,0)</f>
        <v>1</v>
      </c>
      <c r="T78" s="2810">
        <f>IF(SUM($R71:T71)&gt;0,1-T77,0)</f>
        <v>1</v>
      </c>
      <c r="U78" s="2810">
        <f>IF(SUM($R71:U71)&gt;0,1-U77,0)</f>
        <v>1</v>
      </c>
      <c r="V78" s="2810">
        <f>IF(SUM($R71:V71)&gt;0,1-V77,0)</f>
        <v>1</v>
      </c>
      <c r="W78" s="2811">
        <f>IF(SUM($R71:W71)&gt;0,1-W77,0)</f>
        <v>1</v>
      </c>
      <c r="X78" s="4777"/>
      <c r="Y78" s="2810">
        <f>IF(Y71&gt;0,1-Y77,0)</f>
        <v>0</v>
      </c>
      <c r="Z78" s="2810">
        <f>IF(SUM($Y71:Z71)&gt;0,1-Z77,0)</f>
        <v>0</v>
      </c>
      <c r="AA78" s="2810">
        <f>IF(SUM($Y71:AA71)&gt;0,1-AA77,0)</f>
        <v>0</v>
      </c>
      <c r="AB78" s="2810">
        <f>IF(SUM($Y71:AB71)&gt;0,1-AB77,0)</f>
        <v>0</v>
      </c>
      <c r="AC78" s="2810">
        <f>IF(SUM($Y71:AC71)&gt;0,1-AC77,0)</f>
        <v>0</v>
      </c>
      <c r="AD78" s="2811">
        <f>IF(SUM($Y71:AD71)&gt;0,1-AD77,0)</f>
        <v>0</v>
      </c>
      <c r="AE78" s="4777"/>
      <c r="AF78" s="2810">
        <f>IF(AF71&gt;0,1-AF77,0)</f>
        <v>0</v>
      </c>
      <c r="AG78" s="2810">
        <f>IF(SUM($AF71:AG71)&gt;0,1-AG77,0)</f>
        <v>0</v>
      </c>
      <c r="AH78" s="2810">
        <f>IF(SUM($AF71:AH71)&gt;0,1-AH77,0)</f>
        <v>0</v>
      </c>
      <c r="AI78" s="2810">
        <f>IF(SUM($AF71:AI71)&gt;0,1-AI77,0)</f>
        <v>0</v>
      </c>
      <c r="AJ78" s="2810">
        <f>IF(SUM($AF71:AJ71)&gt;0,1-AJ77,0)</f>
        <v>0</v>
      </c>
      <c r="AK78" s="2811">
        <f>IF(SUM($AF71:AK71)&gt;0,1-AK77,0)</f>
        <v>0</v>
      </c>
      <c r="AL78" s="4777"/>
      <c r="AM78" s="2810">
        <f>IF(AM71&gt;0,1-AM77,0)</f>
        <v>1</v>
      </c>
      <c r="AN78" s="2810">
        <f>IF(SUM($AM71:AN71)&gt;0,1-AN77,0)</f>
        <v>1</v>
      </c>
      <c r="AO78" s="2810">
        <f>IF(SUM($AM71:AO71)&gt;0,1-AO77,0)</f>
        <v>1</v>
      </c>
      <c r="AP78" s="2810">
        <f>IF(SUM($AM71:AP71)&gt;0,1-AP77,0)</f>
        <v>1</v>
      </c>
      <c r="AQ78" s="2810">
        <f>IF(SUM($AM71:AQ71)&gt;0,1-AQ77,0)</f>
        <v>1</v>
      </c>
      <c r="AR78" s="2811">
        <f>IF(SUM($AM71:AR71)&gt;0,1-AR77,0)</f>
        <v>1</v>
      </c>
    </row>
    <row r="79" spans="1:44">
      <c r="A79" s="2706"/>
      <c r="B79" s="2814"/>
      <c r="C79" s="2711"/>
      <c r="D79" s="4781"/>
      <c r="E79" s="4781"/>
      <c r="F79" s="4781"/>
      <c r="G79" s="4781"/>
      <c r="H79" s="4781"/>
      <c r="I79" s="4781"/>
      <c r="J79" s="4782"/>
      <c r="K79" s="4781"/>
      <c r="L79" s="4781"/>
      <c r="M79" s="4781"/>
      <c r="N79" s="4781"/>
      <c r="O79" s="4781"/>
      <c r="P79" s="4781"/>
      <c r="Q79" s="4782"/>
      <c r="R79" s="4781"/>
      <c r="S79" s="4781"/>
      <c r="T79" s="4781"/>
      <c r="U79" s="4781"/>
      <c r="V79" s="4781"/>
      <c r="W79" s="4781"/>
      <c r="X79" s="2711"/>
      <c r="Y79" s="4778"/>
      <c r="Z79" s="4778"/>
      <c r="AA79" s="4778"/>
      <c r="AB79" s="4778"/>
      <c r="AC79" s="4778"/>
      <c r="AD79" s="4778"/>
      <c r="AE79" s="2711"/>
      <c r="AF79" s="4778"/>
      <c r="AG79" s="4778"/>
      <c r="AH79" s="4778"/>
      <c r="AI79" s="4778"/>
      <c r="AJ79" s="4778"/>
      <c r="AK79" s="4778"/>
      <c r="AL79" s="2711"/>
      <c r="AM79" s="4778"/>
      <c r="AN79" s="4778"/>
      <c r="AO79" s="4778"/>
      <c r="AP79" s="4778"/>
      <c r="AQ79" s="4778"/>
      <c r="AR79" s="4778"/>
    </row>
    <row r="80" spans="1:44">
      <c r="A80" s="2706"/>
      <c r="B80" s="1888"/>
      <c r="C80" s="2711"/>
      <c r="D80" s="4781"/>
      <c r="E80" s="4781"/>
      <c r="F80" s="4781"/>
      <c r="G80" s="4781"/>
      <c r="H80" s="4781"/>
      <c r="I80" s="4781"/>
      <c r="J80" s="4782"/>
      <c r="K80" s="4781"/>
      <c r="L80" s="4781"/>
      <c r="M80" s="4781"/>
      <c r="N80" s="4781"/>
      <c r="O80" s="4781"/>
      <c r="P80" s="4781"/>
      <c r="Q80" s="4782"/>
      <c r="R80" s="4781"/>
      <c r="S80" s="4781"/>
      <c r="T80" s="4781"/>
      <c r="U80" s="4781"/>
      <c r="V80" s="4781"/>
      <c r="W80" s="4781"/>
      <c r="X80" s="2711"/>
      <c r="Y80" s="4778"/>
      <c r="Z80" s="4778"/>
      <c r="AA80" s="4778"/>
      <c r="AB80" s="4778"/>
      <c r="AC80" s="4778"/>
      <c r="AD80" s="4778"/>
      <c r="AE80" s="2711"/>
      <c r="AF80" s="4778"/>
      <c r="AG80" s="4778"/>
      <c r="AH80" s="4778"/>
      <c r="AI80" s="4778"/>
      <c r="AJ80" s="4778"/>
      <c r="AK80" s="4778"/>
      <c r="AL80" s="2711"/>
      <c r="AM80" s="4140"/>
      <c r="AN80" s="4140"/>
      <c r="AO80" s="4140"/>
      <c r="AP80" s="4140"/>
      <c r="AQ80" s="4140"/>
      <c r="AR80" s="4140"/>
    </row>
    <row r="81" spans="1:44">
      <c r="A81" s="2706"/>
      <c r="B81" s="2711"/>
      <c r="C81" s="2818"/>
      <c r="D81" s="4783"/>
      <c r="E81" s="4783"/>
      <c r="F81" s="4783"/>
      <c r="G81" s="4783"/>
      <c r="H81" s="4783"/>
      <c r="I81" s="4783"/>
      <c r="J81" s="4782"/>
      <c r="K81" s="4783"/>
      <c r="L81" s="4783"/>
      <c r="M81" s="4783"/>
      <c r="N81" s="4783"/>
      <c r="O81" s="4783"/>
      <c r="P81" s="4783"/>
      <c r="Q81" s="4782"/>
      <c r="R81" s="4783"/>
      <c r="S81" s="4783"/>
      <c r="T81" s="4783"/>
      <c r="U81" s="4783"/>
      <c r="V81" s="4783"/>
      <c r="W81" s="4783"/>
      <c r="X81" s="2711"/>
      <c r="Y81" s="2815" t="str">
        <f>'Приложение '!B81</f>
        <v>Дата: 24 юни 2021 година</v>
      </c>
      <c r="Z81" s="2711"/>
      <c r="AA81" s="2711"/>
      <c r="AB81" s="2711"/>
      <c r="AC81" s="2711"/>
      <c r="AD81" s="2711"/>
      <c r="AE81" s="2711"/>
      <c r="AF81" s="2711"/>
      <c r="AG81" s="2711"/>
      <c r="AH81" s="2816" t="str">
        <f>'Приложение '!C81</f>
        <v xml:space="preserve">Гл. счетоводител/Фин.директор: </v>
      </c>
      <c r="AI81" s="2817" t="s">
        <v>206</v>
      </c>
      <c r="AJ81" s="1810"/>
      <c r="AK81" s="2817"/>
      <c r="AL81" s="2711"/>
      <c r="AM81" s="4784"/>
      <c r="AN81" s="4784"/>
      <c r="AO81" s="4784"/>
      <c r="AP81" s="4784"/>
      <c r="AQ81" s="4784"/>
      <c r="AR81" s="4784"/>
    </row>
    <row r="82" spans="1:44">
      <c r="B82" s="2819"/>
      <c r="C82" s="4436" t="s">
        <v>191</v>
      </c>
      <c r="D82" s="2819"/>
      <c r="E82" s="2819"/>
      <c r="F82" s="2819"/>
      <c r="G82" s="2819"/>
      <c r="H82" s="2819"/>
      <c r="I82" s="2819"/>
      <c r="J82" s="2819"/>
      <c r="K82" s="2819"/>
      <c r="X82" s="2711"/>
      <c r="Y82" s="2711"/>
      <c r="Z82" s="2711"/>
      <c r="AA82" s="2711"/>
      <c r="AB82" s="2711"/>
      <c r="AC82" s="2711"/>
      <c r="AD82" s="2711"/>
      <c r="AE82" s="2711"/>
      <c r="AF82" s="2711"/>
      <c r="AG82" s="2711"/>
      <c r="AH82" s="2820"/>
      <c r="AI82" s="2711"/>
      <c r="AJ82" s="2821" t="s">
        <v>5</v>
      </c>
      <c r="AK82" s="2817"/>
      <c r="AL82" s="2711"/>
      <c r="AM82" s="2711"/>
      <c r="AN82" s="2711"/>
      <c r="AO82" s="2711"/>
      <c r="AP82" s="2711"/>
      <c r="AQ82" s="2711"/>
      <c r="AR82" s="2711"/>
    </row>
    <row r="83" spans="1:44">
      <c r="B83" s="4436"/>
      <c r="C83" s="4615" t="s">
        <v>192</v>
      </c>
      <c r="D83" s="4436"/>
      <c r="E83" s="4436"/>
      <c r="F83" s="4436"/>
      <c r="G83" s="4436"/>
      <c r="H83" s="4436"/>
      <c r="I83" s="4436"/>
      <c r="J83" s="4436"/>
      <c r="K83" s="4436"/>
      <c r="X83" s="2711"/>
      <c r="Y83" s="2711"/>
      <c r="Z83" s="2711"/>
      <c r="AA83" s="2711"/>
      <c r="AB83" s="2711"/>
      <c r="AC83" s="2711"/>
      <c r="AD83" s="2711"/>
      <c r="AE83" s="2711"/>
      <c r="AF83" s="2711"/>
      <c r="AG83" s="2711"/>
      <c r="AH83" s="2820"/>
      <c r="AI83" s="2711"/>
      <c r="AJ83" s="2821"/>
      <c r="AK83" s="2817"/>
      <c r="AL83" s="2711"/>
      <c r="AM83" s="2711"/>
      <c r="AN83" s="2711"/>
      <c r="AO83" s="2711"/>
      <c r="AP83" s="2711"/>
      <c r="AQ83" s="2711"/>
      <c r="AR83" s="2711"/>
    </row>
    <row r="84" spans="1:44" ht="12.75" customHeight="1">
      <c r="B84" s="4437"/>
      <c r="C84" s="4615" t="s">
        <v>1461</v>
      </c>
      <c r="D84" s="4437"/>
      <c r="E84" s="4437"/>
      <c r="F84" s="4437"/>
      <c r="G84" s="4437"/>
      <c r="H84" s="4437"/>
      <c r="I84" s="4437"/>
      <c r="J84" s="4437"/>
      <c r="K84" s="4437"/>
      <c r="X84" s="2711"/>
      <c r="Y84" s="2711"/>
      <c r="Z84" s="2711"/>
      <c r="AA84" s="2711"/>
      <c r="AB84" s="2711"/>
      <c r="AC84" s="2711"/>
      <c r="AD84" s="2711"/>
      <c r="AE84" s="2711"/>
      <c r="AF84" s="2711"/>
      <c r="AG84" s="2711"/>
      <c r="AH84" s="2816" t="str">
        <f>'Приложение '!C85</f>
        <v xml:space="preserve">Управител/Изп.директор: </v>
      </c>
      <c r="AI84" s="2817" t="s">
        <v>206</v>
      </c>
      <c r="AJ84" s="2817"/>
      <c r="AK84" s="2817"/>
      <c r="AL84" s="2711"/>
      <c r="AM84" s="2711"/>
      <c r="AN84" s="2711"/>
      <c r="AO84" s="2711"/>
      <c r="AP84" s="2711"/>
      <c r="AQ84" s="2711"/>
      <c r="AR84" s="2711"/>
    </row>
    <row r="85" spans="1:44" ht="12.75" customHeight="1">
      <c r="B85" s="4437"/>
      <c r="C85" s="4615" t="s">
        <v>1462</v>
      </c>
      <c r="D85" s="4437"/>
      <c r="E85" s="4437"/>
      <c r="F85" s="4437"/>
      <c r="G85" s="4437"/>
      <c r="H85" s="4437"/>
      <c r="I85" s="4437"/>
      <c r="J85" s="4437"/>
      <c r="K85" s="4437"/>
      <c r="X85" s="2711"/>
      <c r="Y85" s="2711"/>
      <c r="Z85" s="2711"/>
      <c r="AA85" s="2711"/>
      <c r="AB85" s="2711"/>
      <c r="AC85" s="2711"/>
      <c r="AD85" s="2711"/>
      <c r="AE85" s="2711"/>
      <c r="AF85" s="2711"/>
      <c r="AG85" s="2711"/>
      <c r="AH85" s="2822"/>
      <c r="AI85" s="2711"/>
      <c r="AJ85" s="2821" t="s">
        <v>6</v>
      </c>
      <c r="AK85" s="2711"/>
      <c r="AL85" s="2711"/>
      <c r="AM85" s="2711"/>
      <c r="AN85" s="2711"/>
      <c r="AO85" s="2711"/>
      <c r="AP85" s="2711"/>
      <c r="AQ85" s="2711"/>
      <c r="AR85" s="2711"/>
    </row>
    <row r="86" spans="1:44" ht="13.5" customHeight="1">
      <c r="B86" s="4437"/>
      <c r="C86" s="5375" t="s">
        <v>1463</v>
      </c>
      <c r="D86" s="5375"/>
      <c r="E86" s="5375"/>
      <c r="F86" s="5375"/>
      <c r="G86" s="5375"/>
      <c r="H86" s="5375"/>
      <c r="I86" s="5375"/>
      <c r="J86" s="5375"/>
      <c r="K86" s="5375"/>
      <c r="L86" s="5375"/>
      <c r="M86" s="5375"/>
      <c r="N86" s="5375"/>
      <c r="O86" s="5375"/>
      <c r="P86" s="5375"/>
      <c r="Q86" s="5375"/>
      <c r="R86" s="5375"/>
      <c r="S86" s="5375"/>
      <c r="T86" s="5375"/>
      <c r="U86" s="5375"/>
      <c r="V86" s="5375"/>
      <c r="W86" s="5375"/>
      <c r="X86" s="2711"/>
      <c r="Y86" s="2711"/>
      <c r="Z86" s="2711"/>
      <c r="AA86" s="2711"/>
      <c r="AB86" s="2711"/>
      <c r="AC86" s="2711"/>
      <c r="AD86" s="2711"/>
      <c r="AE86" s="2711"/>
      <c r="AF86" s="2711"/>
      <c r="AG86" s="2711"/>
      <c r="AH86" s="2711"/>
      <c r="AI86" s="2711"/>
      <c r="AJ86" s="2711"/>
      <c r="AK86" s="2711"/>
      <c r="AL86" s="2711"/>
      <c r="AM86" s="2711"/>
      <c r="AN86" s="2711"/>
      <c r="AO86" s="2711"/>
      <c r="AP86" s="2711"/>
      <c r="AQ86" s="2711"/>
      <c r="AR86" s="2711"/>
    </row>
    <row r="87" spans="1:44" ht="33" customHeight="1">
      <c r="B87" s="4437"/>
      <c r="C87" s="5374" t="s">
        <v>1464</v>
      </c>
      <c r="D87" s="5374"/>
      <c r="E87" s="5374"/>
      <c r="F87" s="5374"/>
      <c r="G87" s="5374"/>
      <c r="H87" s="5374"/>
      <c r="I87" s="5374"/>
      <c r="J87" s="5374"/>
      <c r="K87" s="5374"/>
      <c r="L87" s="5374"/>
      <c r="M87" s="5374"/>
      <c r="N87" s="5374"/>
      <c r="O87" s="5374"/>
      <c r="P87" s="5374"/>
      <c r="Q87" s="5374"/>
      <c r="R87" s="5374"/>
      <c r="S87" s="5374"/>
      <c r="T87" s="5374"/>
      <c r="U87" s="5374"/>
      <c r="V87" s="5374"/>
      <c r="W87" s="5374"/>
      <c r="X87" s="2711"/>
      <c r="Y87" s="2711"/>
      <c r="Z87" s="2711"/>
      <c r="AA87" s="2711"/>
      <c r="AB87" s="2711"/>
      <c r="AC87" s="2711"/>
      <c r="AD87" s="2711"/>
      <c r="AE87" s="2711"/>
      <c r="AF87" s="2711"/>
      <c r="AG87" s="2711"/>
      <c r="AH87" s="2711"/>
      <c r="AI87" s="2711"/>
      <c r="AJ87" s="2711"/>
      <c r="AK87" s="2711"/>
      <c r="AL87" s="2711"/>
      <c r="AM87" s="2711"/>
      <c r="AN87" s="2711"/>
      <c r="AO87" s="2711"/>
      <c r="AP87" s="2711"/>
      <c r="AQ87" s="2711"/>
      <c r="AR87" s="2711"/>
    </row>
    <row r="88" spans="1:44">
      <c r="C88" s="4779"/>
      <c r="D88" s="4780"/>
      <c r="E88" s="4780"/>
      <c r="F88" s="4780"/>
      <c r="G88" s="4780"/>
      <c r="H88" s="4780"/>
      <c r="I88" s="4780"/>
      <c r="J88" s="4779"/>
      <c r="K88" s="4780"/>
      <c r="L88" s="4780"/>
      <c r="M88" s="4780"/>
      <c r="N88" s="4780"/>
      <c r="O88" s="4780"/>
      <c r="P88" s="4780"/>
      <c r="Q88" s="4779"/>
      <c r="R88" s="4780"/>
      <c r="S88" s="4780"/>
      <c r="T88" s="4780"/>
      <c r="U88" s="4780"/>
      <c r="V88" s="4780"/>
      <c r="W88" s="4780"/>
      <c r="X88" s="4779"/>
      <c r="Y88" s="4780"/>
      <c r="Z88" s="4780"/>
      <c r="AA88" s="4780"/>
      <c r="AB88" s="4780"/>
      <c r="AC88" s="4780"/>
      <c r="AD88" s="4780"/>
      <c r="AE88" s="4779"/>
      <c r="AF88" s="4780"/>
      <c r="AG88" s="4780"/>
      <c r="AH88" s="4780"/>
      <c r="AI88" s="4780"/>
      <c r="AJ88" s="4780"/>
      <c r="AK88" s="4780"/>
      <c r="AL88" s="4779"/>
      <c r="AM88" s="4780"/>
      <c r="AN88" s="4780"/>
      <c r="AO88" s="4780"/>
      <c r="AP88" s="4780"/>
      <c r="AQ88" s="4780"/>
      <c r="AR88" s="4780"/>
    </row>
    <row r="89" spans="1:44" ht="12.75" customHeight="1">
      <c r="A89" s="704"/>
      <c r="L89" s="4437"/>
      <c r="M89" s="4437"/>
      <c r="N89" s="4437"/>
      <c r="O89" s="4437"/>
      <c r="P89" s="4437"/>
      <c r="Q89" s="4437"/>
      <c r="R89" s="4437"/>
      <c r="S89" s="4437"/>
      <c r="T89" s="4437"/>
      <c r="U89" s="4437"/>
      <c r="V89" s="4437"/>
    </row>
    <row r="90" spans="1:44">
      <c r="A90" s="704"/>
      <c r="L90" s="4437"/>
      <c r="M90" s="4437"/>
      <c r="N90" s="4437"/>
      <c r="O90" s="4437"/>
      <c r="P90" s="4437"/>
      <c r="Q90" s="4437"/>
      <c r="R90" s="4437"/>
      <c r="S90" s="4437"/>
      <c r="T90" s="4437"/>
      <c r="U90" s="4437"/>
      <c r="V90" s="4437"/>
    </row>
    <row r="91" spans="1:44">
      <c r="A91" s="704"/>
      <c r="L91" s="4437"/>
      <c r="M91" s="4437"/>
      <c r="N91" s="4437"/>
      <c r="O91" s="4437"/>
      <c r="P91" s="4437"/>
      <c r="Q91" s="4437"/>
      <c r="R91" s="4437"/>
      <c r="S91" s="4437"/>
      <c r="T91" s="4437"/>
      <c r="U91" s="4437"/>
      <c r="V91" s="4437"/>
    </row>
    <row r="92" spans="1:44">
      <c r="A92" s="719"/>
      <c r="L92" s="4437"/>
      <c r="M92" s="4437"/>
      <c r="N92" s="4437"/>
      <c r="O92" s="4437"/>
      <c r="P92" s="4437"/>
      <c r="Q92" s="4437"/>
      <c r="R92" s="4437"/>
      <c r="S92" s="4437"/>
      <c r="T92" s="4437"/>
      <c r="U92" s="4437"/>
      <c r="V92" s="4437"/>
    </row>
  </sheetData>
  <sheetProtection password="EB75" sheet="1" objects="1" scenarios="1" formatCells="0" formatColumns="0" formatRows="0"/>
  <mergeCells count="47">
    <mergeCell ref="AL7:AR7"/>
    <mergeCell ref="X35:AD35"/>
    <mergeCell ref="AE35:AK35"/>
    <mergeCell ref="AL35:AR35"/>
    <mergeCell ref="X7:AD7"/>
    <mergeCell ref="AE7:AK7"/>
    <mergeCell ref="A1:W1"/>
    <mergeCell ref="J35:P35"/>
    <mergeCell ref="Q35:W35"/>
    <mergeCell ref="A7:A8"/>
    <mergeCell ref="A35:A36"/>
    <mergeCell ref="B7:B8"/>
    <mergeCell ref="C7:I7"/>
    <mergeCell ref="C35:I35"/>
    <mergeCell ref="B35:B36"/>
    <mergeCell ref="J7:P7"/>
    <mergeCell ref="Q7:W7"/>
    <mergeCell ref="A2:W2"/>
    <mergeCell ref="A4:W4"/>
    <mergeCell ref="A5:W5"/>
    <mergeCell ref="A3:W3"/>
    <mergeCell ref="X46:AD46"/>
    <mergeCell ref="AE46:AK46"/>
    <mergeCell ref="AL46:AR46"/>
    <mergeCell ref="A57:A58"/>
    <mergeCell ref="B57:B58"/>
    <mergeCell ref="C57:I57"/>
    <mergeCell ref="J57:P57"/>
    <mergeCell ref="Q57:W57"/>
    <mergeCell ref="X57:AD57"/>
    <mergeCell ref="AE57:AK57"/>
    <mergeCell ref="AL57:AR57"/>
    <mergeCell ref="A46:A47"/>
    <mergeCell ref="B46:B47"/>
    <mergeCell ref="C46:I46"/>
    <mergeCell ref="J46:P46"/>
    <mergeCell ref="Q46:W46"/>
    <mergeCell ref="A68:A69"/>
    <mergeCell ref="B68:B69"/>
    <mergeCell ref="C68:I68"/>
    <mergeCell ref="J68:P68"/>
    <mergeCell ref="Q68:W68"/>
    <mergeCell ref="C87:W87"/>
    <mergeCell ref="C86:W86"/>
    <mergeCell ref="X68:AD68"/>
    <mergeCell ref="AE68:AK68"/>
    <mergeCell ref="AL68:AR68"/>
  </mergeCells>
  <conditionalFormatting sqref="C29:W29">
    <cfRule type="cellIs" dxfId="44" priority="12" operator="lessThan">
      <formula>0</formula>
    </cfRule>
  </conditionalFormatting>
  <conditionalFormatting sqref="C32:W32">
    <cfRule type="cellIs" dxfId="43" priority="11" operator="greaterThan">
      <formula>1</formula>
    </cfRule>
  </conditionalFormatting>
  <conditionalFormatting sqref="C33:W33">
    <cfRule type="cellIs" dxfId="42" priority="10" operator="greaterThan">
      <formula>0</formula>
    </cfRule>
  </conditionalFormatting>
  <conditionalFormatting sqref="X29:AD29">
    <cfRule type="cellIs" dxfId="41" priority="9" operator="lessThan">
      <formula>0</formula>
    </cfRule>
  </conditionalFormatting>
  <conditionalFormatting sqref="X32:AD32">
    <cfRule type="cellIs" dxfId="40" priority="8" operator="greaterThan">
      <formula>1</formula>
    </cfRule>
  </conditionalFormatting>
  <conditionalFormatting sqref="X33:AD33">
    <cfRule type="cellIs" dxfId="39" priority="7" operator="greaterThan">
      <formula>0</formula>
    </cfRule>
  </conditionalFormatting>
  <conditionalFormatting sqref="AE29:AK29">
    <cfRule type="cellIs" dxfId="38" priority="6" operator="lessThan">
      <formula>0</formula>
    </cfRule>
  </conditionalFormatting>
  <conditionalFormatting sqref="AE32:AK32">
    <cfRule type="cellIs" dxfId="37" priority="5" operator="greaterThan">
      <formula>1</formula>
    </cfRule>
  </conditionalFormatting>
  <conditionalFormatting sqref="AE33:AK33">
    <cfRule type="cellIs" dxfId="36" priority="4" operator="greaterThan">
      <formula>0</formula>
    </cfRule>
  </conditionalFormatting>
  <conditionalFormatting sqref="AL29:AR29">
    <cfRule type="cellIs" dxfId="35" priority="3" operator="lessThan">
      <formula>0</formula>
    </cfRule>
  </conditionalFormatting>
  <conditionalFormatting sqref="AL32:AR32">
    <cfRule type="cellIs" dxfId="34" priority="2" operator="greaterThan">
      <formula>1</formula>
    </cfRule>
  </conditionalFormatting>
  <conditionalFormatting sqref="AL33:AR33">
    <cfRule type="cellIs" dxfId="33" priority="1" operator="greaterThan">
      <formula>0</formula>
    </cfRule>
  </conditionalFormatting>
  <printOptions horizontalCentered="1"/>
  <pageMargins left="0" right="0" top="0.59055118110236227" bottom="0.27559055118110237" header="0.39370078740157483" footer="0.19685039370078741"/>
  <pageSetup paperSize="9" scale="75" pageOrder="overThenDown" orientation="landscape" r:id="rId1"/>
  <headerFooter alignWithMargins="0">
    <oddFooter>&amp;C&amp;A&amp;RСтр. &amp;P от &amp;N</oddFooter>
  </headerFooter>
  <rowBreaks count="2" manualBreakCount="2">
    <brk id="33" max="43" man="1"/>
    <brk id="87" max="43" man="1"/>
  </rowBreaks>
  <colBreaks count="1" manualBreakCount="1">
    <brk id="23" max="86"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AS301"/>
  <sheetViews>
    <sheetView view="pageBreakPreview" zoomScale="80" zoomScaleNormal="85" zoomScaleSheetLayoutView="80" workbookViewId="0">
      <pane xSplit="4" ySplit="8" topLeftCell="T9" activePane="bottomRight" state="frozen"/>
      <selection pane="topRight" activeCell="E1" sqref="E1"/>
      <selection pane="bottomLeft" activeCell="A9" sqref="A9"/>
      <selection pane="bottomRight" activeCell="AD95" sqref="AD95"/>
    </sheetView>
  </sheetViews>
  <sheetFormatPr defaultColWidth="9.140625" defaultRowHeight="12.75"/>
  <cols>
    <col min="1" max="1" width="3.28515625" style="196" customWidth="1"/>
    <col min="2" max="2" width="8.42578125" style="197" customWidth="1"/>
    <col min="3" max="3" width="6.28515625" style="197" customWidth="1"/>
    <col min="4" max="4" width="33.140625" style="197" customWidth="1"/>
    <col min="5" max="5" width="7.28515625" style="196" customWidth="1"/>
    <col min="6" max="11" width="7.28515625" style="197" customWidth="1"/>
    <col min="12" max="12" width="7.28515625" style="196" customWidth="1"/>
    <col min="13" max="18" width="7.28515625" style="197" customWidth="1"/>
    <col min="19" max="19" width="7.28515625" style="196" customWidth="1"/>
    <col min="20" max="25" width="7.28515625" style="197" customWidth="1"/>
    <col min="26" max="26" width="7.28515625" style="196" customWidth="1"/>
    <col min="27" max="32" width="7.28515625" style="197" customWidth="1"/>
    <col min="33" max="33" width="7.28515625" style="196" customWidth="1"/>
    <col min="34" max="39" width="7.28515625" style="197" customWidth="1"/>
    <col min="40" max="40" width="1.42578125" style="1421" customWidth="1"/>
    <col min="41" max="41" width="8.28515625" style="197" customWidth="1"/>
    <col min="42" max="42" width="9.140625" style="197"/>
    <col min="43" max="16384" width="9.140625" style="1421"/>
  </cols>
  <sheetData>
    <row r="1" spans="1:45" ht="13.5">
      <c r="A1" s="2823"/>
      <c r="B1" s="2824"/>
      <c r="C1" s="2824"/>
      <c r="D1" s="2824"/>
      <c r="E1" s="2823"/>
      <c r="F1" s="2825"/>
      <c r="G1" s="2824"/>
      <c r="H1" s="2824"/>
      <c r="I1" s="2824"/>
      <c r="J1" s="2824"/>
      <c r="K1" s="2824"/>
      <c r="L1" s="2823"/>
      <c r="M1" s="2824"/>
      <c r="N1" s="2824"/>
      <c r="O1" s="2824"/>
      <c r="P1" s="2824"/>
      <c r="Q1" s="2824"/>
      <c r="R1" s="2824"/>
      <c r="S1" s="2823"/>
      <c r="T1" s="2824"/>
      <c r="U1" s="2824"/>
      <c r="V1" s="2824"/>
      <c r="W1" s="2824"/>
      <c r="X1" s="2824"/>
      <c r="Y1" s="4431" t="s">
        <v>193</v>
      </c>
      <c r="Z1" s="2823"/>
      <c r="AA1" s="2824"/>
      <c r="AB1" s="2824"/>
      <c r="AC1" s="2824"/>
      <c r="AD1" s="2824"/>
      <c r="AE1" s="2824"/>
      <c r="AF1" s="4431"/>
      <c r="AG1" s="2823"/>
      <c r="AH1" s="2824"/>
      <c r="AI1" s="2824"/>
      <c r="AJ1" s="2824"/>
      <c r="AK1" s="2824"/>
      <c r="AL1" s="2824"/>
      <c r="AM1" s="4431"/>
      <c r="AN1" s="2826"/>
      <c r="AO1" s="2827"/>
      <c r="AP1" s="1422"/>
    </row>
    <row r="2" spans="1:45" ht="18.75">
      <c r="A2" s="5411" t="s">
        <v>1456</v>
      </c>
      <c r="B2" s="5411"/>
      <c r="C2" s="5411"/>
      <c r="D2" s="5411"/>
      <c r="E2" s="5411"/>
      <c r="F2" s="5411"/>
      <c r="G2" s="5411"/>
      <c r="H2" s="5411"/>
      <c r="I2" s="5411"/>
      <c r="J2" s="5411"/>
      <c r="K2" s="5411"/>
      <c r="L2" s="5411"/>
      <c r="M2" s="5411"/>
      <c r="N2" s="5411"/>
      <c r="O2" s="5411"/>
      <c r="P2" s="5411"/>
      <c r="Q2" s="5411"/>
      <c r="R2" s="5411"/>
      <c r="S2" s="5411"/>
      <c r="T2" s="5411"/>
      <c r="U2" s="5411"/>
      <c r="V2" s="5411"/>
      <c r="W2" s="5411"/>
      <c r="X2" s="5411"/>
      <c r="Y2" s="5411"/>
      <c r="Z2" s="4439"/>
      <c r="AA2" s="4439"/>
      <c r="AB2" s="4439"/>
      <c r="AC2" s="4439"/>
      <c r="AD2" s="4439"/>
      <c r="AE2" s="4439"/>
      <c r="AF2" s="4439"/>
      <c r="AG2" s="4439"/>
      <c r="AH2" s="4439"/>
      <c r="AI2" s="4439"/>
      <c r="AJ2" s="4439"/>
      <c r="AK2" s="4439"/>
      <c r="AL2" s="4439"/>
      <c r="AM2" s="4439"/>
      <c r="AN2" s="2828"/>
      <c r="AO2" s="2827"/>
      <c r="AP2" s="1422"/>
    </row>
    <row r="3" spans="1:45" ht="18.75">
      <c r="A3" s="5411" t="s">
        <v>1457</v>
      </c>
      <c r="B3" s="5411"/>
      <c r="C3" s="5411"/>
      <c r="D3" s="5411"/>
      <c r="E3" s="5411"/>
      <c r="F3" s="5411"/>
      <c r="G3" s="5411"/>
      <c r="H3" s="5411"/>
      <c r="I3" s="5411"/>
      <c r="J3" s="5411"/>
      <c r="K3" s="5411"/>
      <c r="L3" s="5411"/>
      <c r="M3" s="5411"/>
      <c r="N3" s="5411"/>
      <c r="O3" s="5411"/>
      <c r="P3" s="5411"/>
      <c r="Q3" s="5411"/>
      <c r="R3" s="5411"/>
      <c r="S3" s="5411"/>
      <c r="T3" s="5411"/>
      <c r="U3" s="5411"/>
      <c r="V3" s="5411"/>
      <c r="W3" s="5411"/>
      <c r="X3" s="5411"/>
      <c r="Y3" s="5411"/>
      <c r="Z3" s="4439"/>
      <c r="AA3" s="4439"/>
      <c r="AB3" s="4439"/>
      <c r="AC3" s="4439"/>
      <c r="AD3" s="4439"/>
      <c r="AE3" s="4439"/>
      <c r="AF3" s="4439"/>
      <c r="AG3" s="4439"/>
      <c r="AH3" s="4439"/>
      <c r="AI3" s="4439"/>
      <c r="AJ3" s="4439"/>
      <c r="AK3" s="4439"/>
      <c r="AL3" s="4439"/>
      <c r="AM3" s="4439"/>
      <c r="AN3" s="2828"/>
      <c r="AO3" s="2827"/>
      <c r="AP3" s="1422"/>
    </row>
    <row r="4" spans="1:45" ht="15.75">
      <c r="A4" s="5410" t="str">
        <f>'1. Обща информация'!A4:D4</f>
        <v>на "Водоснабдяване и канализаиця"ООД, гр. Перник</v>
      </c>
      <c r="B4" s="5410"/>
      <c r="C4" s="5410"/>
      <c r="D4" s="5410"/>
      <c r="E4" s="5410"/>
      <c r="F4" s="5410"/>
      <c r="G4" s="5410"/>
      <c r="H4" s="5410"/>
      <c r="I4" s="5410"/>
      <c r="J4" s="5410"/>
      <c r="K4" s="5410"/>
      <c r="L4" s="5410"/>
      <c r="M4" s="5410"/>
      <c r="N4" s="5410"/>
      <c r="O4" s="5410"/>
      <c r="P4" s="5410"/>
      <c r="Q4" s="5410"/>
      <c r="R4" s="5410"/>
      <c r="S4" s="5410"/>
      <c r="T4" s="5410"/>
      <c r="U4" s="5410"/>
      <c r="V4" s="5410"/>
      <c r="W4" s="5410"/>
      <c r="X4" s="5410"/>
      <c r="Y4" s="5410"/>
      <c r="Z4" s="4438"/>
      <c r="AA4" s="4438"/>
      <c r="AB4" s="4438"/>
      <c r="AC4" s="4438"/>
      <c r="AD4" s="4438"/>
      <c r="AE4" s="4438"/>
      <c r="AF4" s="4438"/>
      <c r="AG4" s="4438"/>
      <c r="AH4" s="4438"/>
      <c r="AI4" s="4438"/>
      <c r="AJ4" s="4438"/>
      <c r="AK4" s="4438"/>
      <c r="AL4" s="4438"/>
      <c r="AM4" s="4438"/>
      <c r="AN4" s="726"/>
      <c r="AO4" s="2829"/>
      <c r="AP4" s="195"/>
      <c r="AQ4" s="195"/>
      <c r="AR4" s="195"/>
      <c r="AS4" s="195"/>
    </row>
    <row r="5" spans="1:45" ht="15.75">
      <c r="A5" s="5410" t="str">
        <f>'1. Обща информация'!A5:D5</f>
        <v>ЕИК по БУЛСТАТ: 823073638</v>
      </c>
      <c r="B5" s="5410"/>
      <c r="C5" s="5410"/>
      <c r="D5" s="5410"/>
      <c r="E5" s="5410"/>
      <c r="F5" s="5410"/>
      <c r="G5" s="5410"/>
      <c r="H5" s="5410"/>
      <c r="I5" s="5410"/>
      <c r="J5" s="5410"/>
      <c r="K5" s="5410"/>
      <c r="L5" s="5410"/>
      <c r="M5" s="5410"/>
      <c r="N5" s="5410"/>
      <c r="O5" s="5410"/>
      <c r="P5" s="5410"/>
      <c r="Q5" s="5410"/>
      <c r="R5" s="5410"/>
      <c r="S5" s="5410"/>
      <c r="T5" s="5410"/>
      <c r="U5" s="5410"/>
      <c r="V5" s="5410"/>
      <c r="W5" s="5410"/>
      <c r="X5" s="5410"/>
      <c r="Y5" s="5410"/>
      <c r="Z5" s="4438"/>
      <c r="AA5" s="4438"/>
      <c r="AB5" s="4438"/>
      <c r="AC5" s="4438"/>
      <c r="AD5" s="4438"/>
      <c r="AE5" s="4438"/>
      <c r="AF5" s="4438"/>
      <c r="AG5" s="4438"/>
      <c r="AH5" s="4438"/>
      <c r="AI5" s="4438"/>
      <c r="AJ5" s="4438"/>
      <c r="AK5" s="4438"/>
      <c r="AL5" s="4438"/>
      <c r="AM5" s="4438"/>
      <c r="AN5" s="726"/>
      <c r="AO5" s="2829"/>
      <c r="AP5" s="195"/>
      <c r="AQ5" s="195"/>
      <c r="AR5" s="195"/>
      <c r="AS5" s="195"/>
    </row>
    <row r="6" spans="1:45" ht="16.5" thickBot="1">
      <c r="A6" s="4438"/>
      <c r="B6" s="4438"/>
      <c r="C6" s="4438"/>
      <c r="D6" s="4438"/>
      <c r="E6" s="4438"/>
      <c r="F6" s="4438"/>
      <c r="G6" s="4438"/>
      <c r="H6" s="4438"/>
      <c r="I6" s="4438"/>
      <c r="J6" s="4438"/>
      <c r="K6" s="4438"/>
      <c r="L6" s="4438"/>
      <c r="M6" s="4438"/>
      <c r="N6" s="4438"/>
      <c r="O6" s="4438"/>
      <c r="P6" s="4438"/>
      <c r="Q6" s="4438"/>
      <c r="R6" s="4438"/>
      <c r="S6" s="4438"/>
      <c r="T6" s="4438"/>
      <c r="U6" s="4438"/>
      <c r="V6" s="4438"/>
      <c r="W6" s="4438"/>
      <c r="X6" s="4438"/>
      <c r="Y6" s="4438"/>
      <c r="Z6" s="4438"/>
      <c r="AA6" s="4438"/>
      <c r="AB6" s="4438"/>
      <c r="AC6" s="4438"/>
      <c r="AD6" s="4438"/>
      <c r="AE6" s="4438"/>
      <c r="AF6" s="4438"/>
      <c r="AG6" s="4438"/>
      <c r="AH6" s="4438"/>
      <c r="AI6" s="4438"/>
      <c r="AJ6" s="4438"/>
      <c r="AK6" s="4438"/>
      <c r="AL6" s="4438"/>
      <c r="AM6" s="4438"/>
      <c r="AN6" s="726"/>
      <c r="AO6" s="2829"/>
      <c r="AP6" s="195"/>
      <c r="AQ6" s="195"/>
      <c r="AR6" s="195"/>
      <c r="AS6" s="195"/>
    </row>
    <row r="7" spans="1:45" ht="13.5" thickBot="1">
      <c r="A7" s="5376" t="s">
        <v>1</v>
      </c>
      <c r="B7" s="5413" t="s">
        <v>1054</v>
      </c>
      <c r="C7" s="5413" t="s">
        <v>1053</v>
      </c>
      <c r="D7" s="5376" t="s">
        <v>90</v>
      </c>
      <c r="E7" s="5376" t="s">
        <v>215</v>
      </c>
      <c r="F7" s="5377"/>
      <c r="G7" s="5377"/>
      <c r="H7" s="5377"/>
      <c r="I7" s="5377"/>
      <c r="J7" s="5377"/>
      <c r="K7" s="5378"/>
      <c r="L7" s="5376" t="s">
        <v>178</v>
      </c>
      <c r="M7" s="5377"/>
      <c r="N7" s="5377"/>
      <c r="O7" s="5377"/>
      <c r="P7" s="5377"/>
      <c r="Q7" s="5377"/>
      <c r="R7" s="5378"/>
      <c r="S7" s="5376" t="s">
        <v>188</v>
      </c>
      <c r="T7" s="5377"/>
      <c r="U7" s="5377"/>
      <c r="V7" s="5377"/>
      <c r="W7" s="5377"/>
      <c r="X7" s="5377"/>
      <c r="Y7" s="5378"/>
      <c r="Z7" s="5376" t="s">
        <v>1037</v>
      </c>
      <c r="AA7" s="5377"/>
      <c r="AB7" s="5377"/>
      <c r="AC7" s="5377"/>
      <c r="AD7" s="5377"/>
      <c r="AE7" s="5377"/>
      <c r="AF7" s="5378"/>
      <c r="AG7" s="5376" t="s">
        <v>1102</v>
      </c>
      <c r="AH7" s="5377"/>
      <c r="AI7" s="5377"/>
      <c r="AJ7" s="5377"/>
      <c r="AK7" s="5377"/>
      <c r="AL7" s="5377"/>
      <c r="AM7" s="5378"/>
      <c r="AN7" s="2830"/>
      <c r="AO7" s="5408" t="s">
        <v>686</v>
      </c>
      <c r="AP7" s="1421"/>
    </row>
    <row r="8" spans="1:45" ht="32.25" customHeight="1" thickBot="1">
      <c r="A8" s="5412"/>
      <c r="B8" s="5414"/>
      <c r="C8" s="5414"/>
      <c r="D8" s="5412"/>
      <c r="E8" s="2831" t="str">
        <f>'Приложение '!C12</f>
        <v>2020 г.</v>
      </c>
      <c r="F8" s="2832" t="str">
        <f>'Приложение '!C13</f>
        <v>2021 г.</v>
      </c>
      <c r="G8" s="2833" t="str">
        <f>'Приложение '!C14</f>
        <v>2022 г.</v>
      </c>
      <c r="H8" s="2833" t="str">
        <f>'Приложение '!C15</f>
        <v>2023 г.</v>
      </c>
      <c r="I8" s="2833" t="str">
        <f>'Приложение '!C16</f>
        <v>2024 г.</v>
      </c>
      <c r="J8" s="2833" t="str">
        <f>'Приложение '!C17</f>
        <v>2025 г.</v>
      </c>
      <c r="K8" s="2834" t="str">
        <f>'Приложение '!C18</f>
        <v>2026 г.</v>
      </c>
      <c r="L8" s="2831" t="str">
        <f>E8</f>
        <v>2020 г.</v>
      </c>
      <c r="M8" s="2832" t="str">
        <f>F8</f>
        <v>2021 г.</v>
      </c>
      <c r="N8" s="2833" t="str">
        <f>G8</f>
        <v>2022 г.</v>
      </c>
      <c r="O8" s="2833" t="str">
        <f>H8</f>
        <v>2023 г.</v>
      </c>
      <c r="P8" s="2835" t="str">
        <f>I8</f>
        <v>2024 г.</v>
      </c>
      <c r="Q8" s="2833" t="str">
        <f t="shared" ref="Q8:AM8" si="0">J8</f>
        <v>2025 г.</v>
      </c>
      <c r="R8" s="2834" t="str">
        <f t="shared" si="0"/>
        <v>2026 г.</v>
      </c>
      <c r="S8" s="2836" t="str">
        <f t="shared" si="0"/>
        <v>2020 г.</v>
      </c>
      <c r="T8" s="2835" t="str">
        <f t="shared" si="0"/>
        <v>2021 г.</v>
      </c>
      <c r="U8" s="2833" t="str">
        <f t="shared" si="0"/>
        <v>2022 г.</v>
      </c>
      <c r="V8" s="2833" t="str">
        <f t="shared" si="0"/>
        <v>2023 г.</v>
      </c>
      <c r="W8" s="2835" t="str">
        <f t="shared" si="0"/>
        <v>2024 г.</v>
      </c>
      <c r="X8" s="2833" t="str">
        <f t="shared" si="0"/>
        <v>2025 г.</v>
      </c>
      <c r="Y8" s="2834" t="str">
        <f t="shared" si="0"/>
        <v>2026 г.</v>
      </c>
      <c r="Z8" s="2836" t="str">
        <f t="shared" si="0"/>
        <v>2020 г.</v>
      </c>
      <c r="AA8" s="2835" t="str">
        <f t="shared" si="0"/>
        <v>2021 г.</v>
      </c>
      <c r="AB8" s="2833" t="str">
        <f t="shared" si="0"/>
        <v>2022 г.</v>
      </c>
      <c r="AC8" s="2833" t="str">
        <f t="shared" si="0"/>
        <v>2023 г.</v>
      </c>
      <c r="AD8" s="2835" t="str">
        <f t="shared" si="0"/>
        <v>2024 г.</v>
      </c>
      <c r="AE8" s="2833" t="str">
        <f t="shared" si="0"/>
        <v>2025 г.</v>
      </c>
      <c r="AF8" s="2834" t="str">
        <f t="shared" si="0"/>
        <v>2026 г.</v>
      </c>
      <c r="AG8" s="2836" t="str">
        <f t="shared" si="0"/>
        <v>2020 г.</v>
      </c>
      <c r="AH8" s="2835" t="str">
        <f t="shared" si="0"/>
        <v>2021 г.</v>
      </c>
      <c r="AI8" s="2833" t="str">
        <f t="shared" si="0"/>
        <v>2022 г.</v>
      </c>
      <c r="AJ8" s="2833" t="str">
        <f t="shared" si="0"/>
        <v>2023 г.</v>
      </c>
      <c r="AK8" s="2835" t="str">
        <f t="shared" si="0"/>
        <v>2024 г.</v>
      </c>
      <c r="AL8" s="2833" t="str">
        <f t="shared" si="0"/>
        <v>2025 г.</v>
      </c>
      <c r="AM8" s="2834" t="str">
        <f t="shared" si="0"/>
        <v>2026 г.</v>
      </c>
      <c r="AN8" s="2830"/>
      <c r="AO8" s="5409"/>
      <c r="AP8" s="1421"/>
    </row>
    <row r="9" spans="1:45" ht="15" thickBot="1">
      <c r="A9" s="2837" t="s">
        <v>407</v>
      </c>
      <c r="B9" s="2837"/>
      <c r="C9" s="2837"/>
      <c r="D9" s="2838" t="s">
        <v>408</v>
      </c>
      <c r="E9" s="2839"/>
      <c r="F9" s="2840"/>
      <c r="G9" s="2841"/>
      <c r="H9" s="2842"/>
      <c r="I9" s="2841"/>
      <c r="J9" s="2841"/>
      <c r="K9" s="2843"/>
      <c r="L9" s="2844"/>
      <c r="M9" s="2845"/>
      <c r="N9" s="2841"/>
      <c r="O9" s="2841"/>
      <c r="P9" s="2841"/>
      <c r="Q9" s="2841"/>
      <c r="R9" s="2843"/>
      <c r="S9" s="2839"/>
      <c r="T9" s="2840"/>
      <c r="U9" s="2841"/>
      <c r="V9" s="2841"/>
      <c r="W9" s="2841"/>
      <c r="X9" s="2841"/>
      <c r="Y9" s="2843"/>
      <c r="Z9" s="2839"/>
      <c r="AA9" s="2840"/>
      <c r="AB9" s="2841"/>
      <c r="AC9" s="2841"/>
      <c r="AD9" s="2841"/>
      <c r="AE9" s="2841"/>
      <c r="AF9" s="2843"/>
      <c r="AG9" s="2839"/>
      <c r="AH9" s="2840"/>
      <c r="AI9" s="2841"/>
      <c r="AJ9" s="2841"/>
      <c r="AK9" s="2841"/>
      <c r="AL9" s="2841"/>
      <c r="AM9" s="2843"/>
      <c r="AN9" s="2846"/>
      <c r="AO9" s="2847"/>
      <c r="AP9" s="1424"/>
    </row>
    <row r="10" spans="1:45" ht="13.5" thickBot="1">
      <c r="A10" s="2848" t="s">
        <v>210</v>
      </c>
      <c r="B10" s="2849"/>
      <c r="C10" s="2849"/>
      <c r="D10" s="2849" t="s">
        <v>339</v>
      </c>
      <c r="E10" s="2850">
        <f t="shared" ref="E10:Y10" si="1">SUM(E11:E34)-E13-E19</f>
        <v>4147</v>
      </c>
      <c r="F10" s="2851">
        <f t="shared" si="1"/>
        <v>4588.170509383378</v>
      </c>
      <c r="G10" s="2852">
        <f t="shared" si="1"/>
        <v>4801.5038427167128</v>
      </c>
      <c r="H10" s="2852">
        <f t="shared" si="1"/>
        <v>5025.1705093833798</v>
      </c>
      <c r="I10" s="2852">
        <f t="shared" si="1"/>
        <v>5258.0038427167128</v>
      </c>
      <c r="J10" s="2852">
        <f t="shared" si="1"/>
        <v>5484.3371760500459</v>
      </c>
      <c r="K10" s="2853">
        <f t="shared" si="1"/>
        <v>5736.5038427167128</v>
      </c>
      <c r="L10" s="2854">
        <f t="shared" si="1"/>
        <v>1414</v>
      </c>
      <c r="M10" s="2851">
        <f t="shared" si="1"/>
        <v>1430.0316353887406</v>
      </c>
      <c r="N10" s="2852">
        <f t="shared" si="1"/>
        <v>1504.3649687220734</v>
      </c>
      <c r="O10" s="2852">
        <f t="shared" si="1"/>
        <v>1587.5316353887401</v>
      </c>
      <c r="P10" s="2852">
        <f t="shared" si="1"/>
        <v>1675.3649687220736</v>
      </c>
      <c r="Q10" s="2852">
        <f t="shared" si="1"/>
        <v>1745.1983020554062</v>
      </c>
      <c r="R10" s="2853">
        <f t="shared" si="1"/>
        <v>1810.8649687220732</v>
      </c>
      <c r="S10" s="2854">
        <f t="shared" si="1"/>
        <v>377.52000000000004</v>
      </c>
      <c r="T10" s="2851">
        <f t="shared" si="1"/>
        <v>378.31785522788215</v>
      </c>
      <c r="U10" s="2852">
        <f t="shared" si="1"/>
        <v>393.65118856121541</v>
      </c>
      <c r="V10" s="2852">
        <f t="shared" si="1"/>
        <v>410.7178552278819</v>
      </c>
      <c r="W10" s="2852">
        <f t="shared" si="1"/>
        <v>428.05118856121538</v>
      </c>
      <c r="X10" s="2852">
        <f t="shared" si="1"/>
        <v>442.8845218945487</v>
      </c>
      <c r="Y10" s="2853">
        <f t="shared" si="1"/>
        <v>458.0511885612155</v>
      </c>
      <c r="Z10" s="2850">
        <f t="shared" ref="Z10" si="2">SUM(Z11:Z34)-Z13-Z19</f>
        <v>11.700000000000001</v>
      </c>
      <c r="AA10" s="2851">
        <f t="shared" ref="AA10:AM10" si="3">SUM(AA11:AA34)-AA13-AA19</f>
        <v>11.700000000000001</v>
      </c>
      <c r="AB10" s="2852">
        <f t="shared" si="3"/>
        <v>12.699999999999998</v>
      </c>
      <c r="AC10" s="2852">
        <f t="shared" si="3"/>
        <v>13.699999999999998</v>
      </c>
      <c r="AD10" s="2852">
        <f t="shared" si="3"/>
        <v>13.699999999999998</v>
      </c>
      <c r="AE10" s="2852">
        <f t="shared" si="3"/>
        <v>13.699999999999998</v>
      </c>
      <c r="AF10" s="2853">
        <f t="shared" si="3"/>
        <v>13.699999999999998</v>
      </c>
      <c r="AG10" s="2854">
        <f t="shared" si="3"/>
        <v>0</v>
      </c>
      <c r="AH10" s="2851">
        <f t="shared" si="3"/>
        <v>0</v>
      </c>
      <c r="AI10" s="2852">
        <f t="shared" si="3"/>
        <v>0</v>
      </c>
      <c r="AJ10" s="2852">
        <f t="shared" si="3"/>
        <v>0</v>
      </c>
      <c r="AK10" s="2852">
        <f t="shared" si="3"/>
        <v>0</v>
      </c>
      <c r="AL10" s="2852">
        <f t="shared" si="3"/>
        <v>0</v>
      </c>
      <c r="AM10" s="2853">
        <f t="shared" si="3"/>
        <v>0</v>
      </c>
      <c r="AN10" s="2855"/>
      <c r="AO10" s="4845">
        <f>((K10-E10)+(R10-L10)+(Y10-S10)+(AF10-Z10)+(AM10-AG10)+(K111-E111)+(R111-L111)+(Y111-S111)+(AF111-Z111)+(AM111-AG111))-('9.Инвестиционна програма'!M139+'9.Инвестиционна програма'!G139)*'11.1.Амортиз.нови активи'!E6</f>
        <v>0</v>
      </c>
      <c r="AP10" s="1421"/>
    </row>
    <row r="11" spans="1:45">
      <c r="A11" s="2856">
        <v>1</v>
      </c>
      <c r="B11" s="2857">
        <v>20101</v>
      </c>
      <c r="C11" s="2858">
        <v>0</v>
      </c>
      <c r="D11" s="2859" t="s">
        <v>562</v>
      </c>
      <c r="E11" s="2955">
        <v>54</v>
      </c>
      <c r="F11" s="2956">
        <f>E11+SUMIF('11.1.Амортиз.нови активи'!$B$12:$B$59,$B11,'11.1.Амортиз.нови активи'!F$12:F$59)+('9.Инвестиционна програма'!G$130*SUMIF('11.1.Амортиз.нови активи'!$B$12:$B$59,$B11,'11.1.Амортиз.нови активи'!AO$12:AO$59))</f>
        <v>54</v>
      </c>
      <c r="G11" s="2957">
        <f>F11+SUMIF('11.1.Амортиз.нови активи'!$B$12:$B$59,$B11,'11.1.Амортиз.нови активи'!G$12:G$59)+('9.Инвестиционна програма'!H$130*SUMIF('11.1.Амортиз.нови активи'!$B$12:$B$59,$B11,'11.1.Амортиз.нови активи'!AP$12:AP$59))</f>
        <v>54</v>
      </c>
      <c r="H11" s="2957">
        <f>G11+SUMIF('11.1.Амортиз.нови активи'!$B$12:$B$59,$B11,'11.1.Амортиз.нови активи'!H$12:H$59)+('9.Инвестиционна програма'!I$130*SUMIF('11.1.Амортиз.нови активи'!$B$12:$B$59,$B11,'11.1.Амортиз.нови активи'!AQ$12:AQ$59))</f>
        <v>54</v>
      </c>
      <c r="I11" s="2957">
        <f>H11+SUMIF('11.1.Амортиз.нови активи'!$B$12:$B$59,$B11,'11.1.Амортиз.нови активи'!I$12:I$59)+('9.Инвестиционна програма'!J$130*SUMIF('11.1.Амортиз.нови активи'!$B$12:$B$59,$B11,'11.1.Амортиз.нови активи'!AR$12:AR$59))</f>
        <v>54</v>
      </c>
      <c r="J11" s="2957">
        <f>I11+SUMIF('11.1.Амортиз.нови активи'!$B$12:$B$59,$B11,'11.1.Амортиз.нови активи'!J$12:J$59)+('9.Инвестиционна програма'!K$130*SUMIF('11.1.Амортиз.нови активи'!$B$12:$B$59,$B11,'11.1.Амортиз.нови активи'!AS$12:AS$59))</f>
        <v>54</v>
      </c>
      <c r="K11" s="2958">
        <f>J11+SUMIF('11.1.Амортиз.нови активи'!$B$12:$B$59,$B11,'11.1.Амортиз.нови активи'!K$12:K$59)+('9.Инвестиционна програма'!L$130*SUMIF('11.1.Амортиз.нови активи'!$B$12:$B$59,$B11,'11.1.Амортиз.нови активи'!AT$12:AT$59))</f>
        <v>54</v>
      </c>
      <c r="L11" s="2955">
        <v>0</v>
      </c>
      <c r="M11" s="2959">
        <f>L11+SUMIF('11.1.Амортиз.нови активи'!$B$12:$B$59,$B11,'11.1.Амортиз.нови активи'!M$12:M$59)+('9.Инвестиционна програма'!G$131*SUMIF('11.1.Амортиз.нови активи'!$B$12:$B$59,$B11,'11.1.Амортиз.нови активи'!AO$12:AO$59))</f>
        <v>0</v>
      </c>
      <c r="N11" s="2957">
        <f>M11+SUMIF('11.1.Амортиз.нови активи'!$B$12:$B$59,$B11,'11.1.Амортиз.нови активи'!N$12:N$59)+('9.Инвестиционна програма'!H$131*SUMIF('11.1.Амортиз.нови активи'!$B$12:$B$59,$B11,'11.1.Амортиз.нови активи'!AP$12:AP$59))</f>
        <v>0</v>
      </c>
      <c r="O11" s="2957">
        <f>N11+SUMIF('11.1.Амортиз.нови активи'!$B$12:$B$59,$B11,'11.1.Амортиз.нови активи'!O$12:O$59)+('9.Инвестиционна програма'!I$131*SUMIF('11.1.Амортиз.нови активи'!$B$12:$B$59,$B11,'11.1.Амортиз.нови активи'!AQ$12:AQ$59))</f>
        <v>0</v>
      </c>
      <c r="P11" s="2957">
        <f>O11+SUMIF('11.1.Амортиз.нови активи'!$B$12:$B$59,$B11,'11.1.Амортиз.нови активи'!P$12:P$59)+('9.Инвестиционна програма'!J$131*SUMIF('11.1.Амортиз.нови активи'!$B$12:$B$59,$B11,'11.1.Амортиз.нови активи'!AR$12:AR$59))</f>
        <v>0</v>
      </c>
      <c r="Q11" s="2957">
        <f>P11+SUMIF('11.1.Амортиз.нови активи'!$B$12:$B$59,$B11,'11.1.Амортиз.нови активи'!Q$12:Q$59)+('9.Инвестиционна програма'!K$131*SUMIF('11.1.Амортиз.нови активи'!$B$12:$B$59,$B11,'11.1.Амортиз.нови активи'!AS$12:AS$59))</f>
        <v>0</v>
      </c>
      <c r="R11" s="2958">
        <f>Q11+SUMIF('11.1.Амортиз.нови активи'!$B$12:$B$59,$B11,'11.1.Амортиз.нови активи'!R$12:R$59)+('9.Инвестиционна програма'!L$131*SUMIF('11.1.Амортиз.нови активи'!$B$12:$B$59,$B11,'11.1.Амортиз.нови активи'!AT$12:AT$59))</f>
        <v>0</v>
      </c>
      <c r="S11" s="2955">
        <v>0</v>
      </c>
      <c r="T11" s="2959">
        <f>S11+SUMIF('11.1.Амортиз.нови активи'!$B$12:$B$59,$B11,'11.1.Амортиз.нови активи'!T$12:T$59)+('9.Инвестиционна програма'!G$132*SUMIF('11.1.Амортиз.нови активи'!$B$12:$B$59,$B11,'11.1.Амортиз.нови активи'!AO$12:AO$59))</f>
        <v>0</v>
      </c>
      <c r="U11" s="2957">
        <f>T11+SUMIF('11.1.Амортиз.нови активи'!$B$12:$B$59,$B11,'11.1.Амортиз.нови активи'!U$12:U$59)+('9.Инвестиционна програма'!H$132*SUMIF('11.1.Амортиз.нови активи'!$B$12:$B$59,$B11,'11.1.Амортиз.нови активи'!AP$12:AP$59))</f>
        <v>0</v>
      </c>
      <c r="V11" s="2957">
        <f>U11+SUMIF('11.1.Амортиз.нови активи'!$B$12:$B$59,$B11,'11.1.Амортиз.нови активи'!V$12:V$59)+('9.Инвестиционна програма'!I$132*SUMIF('11.1.Амортиз.нови активи'!$B$12:$B$59,$B11,'11.1.Амортиз.нови активи'!AQ$12:AQ$59))</f>
        <v>0</v>
      </c>
      <c r="W11" s="2957">
        <f>V11+SUMIF('11.1.Амортиз.нови активи'!$B$12:$B$59,$B11,'11.1.Амортиз.нови активи'!W$12:W$59)+('9.Инвестиционна програма'!J$132*SUMIF('11.1.Амортиз.нови активи'!$B$12:$B$59,$B11,'11.1.Амортиз.нови активи'!AR$12:AR$59))</f>
        <v>0</v>
      </c>
      <c r="X11" s="2957">
        <f>W11+SUMIF('11.1.Амортиз.нови активи'!$B$12:$B$59,$B11,'11.1.Амортиз.нови активи'!X$12:X$59)+('9.Инвестиционна програма'!K$132*SUMIF('11.1.Амортиз.нови активи'!$B$12:$B$59,$B11,'11.1.Амортиз.нови активи'!AS$12:AS$59))</f>
        <v>0</v>
      </c>
      <c r="Y11" s="2958">
        <f>X11+SUMIF('11.1.Амортиз.нови активи'!$B$12:$B$59,$B11,'11.1.Амортиз.нови активи'!Y$12:Y$59)+('9.Инвестиционна програма'!L$132*SUMIF('11.1.Амортиз.нови активи'!$B$12:$B$59,$B11,'11.1.Амортиз.нови активи'!AT$12:AT$59))</f>
        <v>0</v>
      </c>
      <c r="Z11" s="2955">
        <v>0</v>
      </c>
      <c r="AA11" s="2959">
        <f>Z11+SUMIF('11.1.Амортиз.нови активи'!$B$12:$B$59,$B11,'11.1.Амортиз.нови активи'!AA$12:AA$59)</f>
        <v>0</v>
      </c>
      <c r="AB11" s="2957">
        <f>AA11+SUMIF('11.1.Амортиз.нови активи'!$B$12:$B$59,$B11,'11.1.Амортиз.нови активи'!AB$12:AB$59)</f>
        <v>0</v>
      </c>
      <c r="AC11" s="2957">
        <f>AB11+SUMIF('11.1.Амортиз.нови активи'!$B$12:$B$59,$B11,'11.1.Амортиз.нови активи'!AC$12:AC$59)</f>
        <v>0</v>
      </c>
      <c r="AD11" s="2957">
        <f>AC11+SUMIF('11.1.Амортиз.нови активи'!$B$12:$B$59,$B11,'11.1.Амортиз.нови активи'!AD$12:AD$59)</f>
        <v>0</v>
      </c>
      <c r="AE11" s="2957">
        <f>AD11+SUMIF('11.1.Амортиз.нови активи'!$B$12:$B$59,$B11,'11.1.Амортиз.нови активи'!AE$12:AE$59)</f>
        <v>0</v>
      </c>
      <c r="AF11" s="2958">
        <f>AE11+SUMIF('11.1.Амортиз.нови активи'!$B$12:$B$59,$B11,'11.1.Амортиз.нови активи'!AF$12:AF$59)</f>
        <v>0</v>
      </c>
      <c r="AG11" s="2955"/>
      <c r="AH11" s="2959">
        <f>AG11+SUMIF('11.1.Амортиз.нови активи'!$B$12:$B$59,$B11,'11.1.Амортиз.нови активи'!AH$12:AH$59)</f>
        <v>0</v>
      </c>
      <c r="AI11" s="2957">
        <f>AH11+SUMIF('11.1.Амортиз.нови активи'!$B$12:$B$59,$B11,'11.1.Амортиз.нови активи'!AI$12:AI$59)</f>
        <v>0</v>
      </c>
      <c r="AJ11" s="2957">
        <f>AI11+SUMIF('11.1.Амортиз.нови активи'!$B$12:$B$59,$B11,'11.1.Амортиз.нови активи'!AJ$12:AJ$59)</f>
        <v>0</v>
      </c>
      <c r="AK11" s="2957">
        <f>AJ11+SUMIF('11.1.Амортиз.нови активи'!$B$12:$B$59,$B11,'11.1.Амортиз.нови активи'!AK$12:AK$59)</f>
        <v>0</v>
      </c>
      <c r="AL11" s="2957">
        <f>AK11+SUMIF('11.1.Амортиз.нови активи'!$B$12:$B$59,$B11,'11.1.Амортиз.нови активи'!AL$12:AL$59)</f>
        <v>0</v>
      </c>
      <c r="AM11" s="2958">
        <f>AL11+SUMIF('11.1.Амортиз.нови активи'!$B$12:$B$59,$B11,'11.1.Амортиз.нови активи'!AM$12:AM$59)</f>
        <v>0</v>
      </c>
      <c r="AN11" s="2860"/>
      <c r="AO11" s="2861"/>
      <c r="AP11" s="1421"/>
    </row>
    <row r="12" spans="1:45">
      <c r="A12" s="2862">
        <v>2</v>
      </c>
      <c r="B12" s="2863">
        <v>20201</v>
      </c>
      <c r="C12" s="2864">
        <v>0.03</v>
      </c>
      <c r="D12" s="2865" t="s">
        <v>430</v>
      </c>
      <c r="E12" s="448">
        <v>671</v>
      </c>
      <c r="F12" s="996">
        <f>E12+SUMIF('11.1.Амортиз.нови активи'!$B$12:$B$59,$B12,'11.1.Амортиз.нови активи'!F$12:F$59)+('9.Инвестиционна програма'!G$130*SUMIF('11.1.Амортиз.нови активи'!$B$12:$B$59,$B12,'11.1.Амортиз.нови активи'!AO$12:AO$59))</f>
        <v>684.32707774798928</v>
      </c>
      <c r="G12" s="1321">
        <f>F12+SUMIF('11.1.Амортиз.нови активи'!$B$12:$B$59,$B12,'11.1.Амортиз.нови активи'!G$12:G$59)+('9.Инвестиционна програма'!H$130*SUMIF('11.1.Амортиз.нови активи'!$B$12:$B$59,$B12,'11.1.Амортиз.нови активи'!AP$12:AP$59))</f>
        <v>686.99374441465591</v>
      </c>
      <c r="H12" s="1321">
        <f>G12+SUMIF('11.1.Амортиз.нови активи'!$B$12:$B$59,$B12,'11.1.Амортиз.нови активи'!H$12:H$59)+('9.Инвестиционна програма'!I$130*SUMIF('11.1.Амортиз.нови активи'!$B$12:$B$59,$B12,'11.1.Амортиз.нови активи'!AQ$12:AQ$59))</f>
        <v>692.66041108132254</v>
      </c>
      <c r="I12" s="1321">
        <f>H12+SUMIF('11.1.Амортиз.нови активи'!$B$12:$B$59,$B12,'11.1.Амортиз.нови активи'!I$12:I$59)+('9.Инвестиционна програма'!J$130*SUMIF('11.1.Амортиз.нови активи'!$B$12:$B$59,$B12,'11.1.Амортиз.нови активи'!AR$12:AR$59))</f>
        <v>696.99374441465591</v>
      </c>
      <c r="J12" s="1321">
        <f>I12+SUMIF('11.1.Амортиз.нови активи'!$B$12:$B$59,$B12,'11.1.Амортиз.нови активи'!J$12:J$59)+('9.Инвестиционна програма'!K$130*SUMIF('11.1.Амортиз.нови активи'!$B$12:$B$59,$B12,'11.1.Амортиз.нови активи'!AS$12:AS$59))</f>
        <v>697.66041108132254</v>
      </c>
      <c r="K12" s="1326">
        <f>J12+SUMIF('11.1.Амортиз.нови активи'!$B$12:$B$59,$B12,'11.1.Амортиз.нови активи'!K$12:K$59)+('9.Инвестиционна програма'!L$130*SUMIF('11.1.Амортиз.нови активи'!$B$12:$B$59,$B12,'11.1.Амортиз.нови активи'!AT$12:AT$59))</f>
        <v>702.99374441465591</v>
      </c>
      <c r="L12" s="448">
        <v>167</v>
      </c>
      <c r="M12" s="1325">
        <f>L12+SUMIF('11.1.Амортиз.нови активи'!$B$12:$B$59,$B12,'11.1.Амортиз.нови активи'!M$12:M$59)+('9.Инвестиционна програма'!G$131*SUMIF('11.1.Амортиз.нови активи'!$B$12:$B$59,$B12,'11.1.Амортиз.нови активи'!AO$12:AO$59))</f>
        <v>168.57640750670242</v>
      </c>
      <c r="N12" s="1321">
        <f>M12+SUMIF('11.1.Амортиз.нови активи'!$B$12:$B$59,$B12,'11.1.Амортиз.нови активи'!N$12:N$59)+('9.Инвестиционна програма'!H$131*SUMIF('11.1.Амортиз.нови активи'!$B$12:$B$59,$B12,'11.1.Амортиз.нови активи'!AP$12:AP$59))</f>
        <v>171.24307417336908</v>
      </c>
      <c r="O12" s="1321">
        <f>N12+SUMIF('11.1.Амортиз.нови активи'!$B$12:$B$59,$B12,'11.1.Амортиз.нови активи'!O$12:O$59)+('9.Инвестиционна програма'!I$131*SUMIF('11.1.Амортиз.нови активи'!$B$12:$B$59,$B12,'11.1.Амортиз.нови активи'!AQ$12:AQ$59))</f>
        <v>176.90974084003574</v>
      </c>
      <c r="P12" s="1321">
        <f>O12+SUMIF('11.1.Амортиз.нови активи'!$B$12:$B$59,$B12,'11.1.Амортиз.нови активи'!P$12:P$59)+('9.Инвестиционна програма'!J$131*SUMIF('11.1.Амортиз.нови активи'!$B$12:$B$59,$B12,'11.1.Амортиз.нови активи'!AR$12:AR$59))</f>
        <v>181.24307417336908</v>
      </c>
      <c r="Q12" s="1321">
        <f>P12+SUMIF('11.1.Амортиз.нови активи'!$B$12:$B$59,$B12,'11.1.Амортиз.нови активи'!Q$12:Q$59)+('9.Инвестиционна програма'!K$131*SUMIF('11.1.Амортиз.нови активи'!$B$12:$B$59,$B12,'11.1.Амортиз.нови активи'!AS$12:AS$59))</f>
        <v>181.90974084003574</v>
      </c>
      <c r="R12" s="1326">
        <f>Q12+SUMIF('11.1.Амортиз.нови активи'!$B$12:$B$59,$B12,'11.1.Амортиз.нови активи'!R$12:R$59)+('9.Инвестиционна програма'!L$131*SUMIF('11.1.Амортиз.нови активи'!$B$12:$B$59,$B12,'11.1.Амортиз.нови активи'!AT$12:AT$59))</f>
        <v>187.24307417336908</v>
      </c>
      <c r="S12" s="448">
        <v>74</v>
      </c>
      <c r="T12" s="1325">
        <f>S12+SUMIF('11.1.Амортиз.нови активи'!$B$12:$B$59,$B12,'11.1.Амортиз.нови активи'!T$12:T$59)+('9.Инвестиционна програма'!G$132*SUMIF('11.1.Амортиз.нови активи'!$B$12:$B$59,$B12,'11.1.Амортиз.нови активи'!AO$12:AO$59))</f>
        <v>74.096514745308312</v>
      </c>
      <c r="U12" s="1321">
        <f>T12+SUMIF('11.1.Амортиз.нови активи'!$B$12:$B$59,$B12,'11.1.Амортиз.нови активи'!U$12:U$59)+('9.Инвестиционна програма'!H$132*SUMIF('11.1.Амортиз.нови активи'!$B$12:$B$59,$B12,'11.1.Амортиз.нови активи'!AP$12:AP$59))</f>
        <v>76.763181411974983</v>
      </c>
      <c r="V12" s="1321">
        <f>U12+SUMIF('11.1.Амортиз.нови активи'!$B$12:$B$59,$B12,'11.1.Амортиз.нови активи'!V$12:V$59)+('9.Инвестиционна програма'!I$132*SUMIF('11.1.Амортиз.нови активи'!$B$12:$B$59,$B12,'11.1.Амортиз.нови активи'!AQ$12:AQ$59))</f>
        <v>82.429848078641655</v>
      </c>
      <c r="W12" s="1321">
        <f>V12+SUMIF('11.1.Амортиз.нови активи'!$B$12:$B$59,$B12,'11.1.Амортиз.нови активи'!W$12:W$59)+('9.Инвестиционна програма'!J$132*SUMIF('11.1.Амортиз.нови активи'!$B$12:$B$59,$B12,'11.1.Амортиз.нови активи'!AR$12:AR$59))</f>
        <v>86.763181411974983</v>
      </c>
      <c r="X12" s="1321">
        <f>W12+SUMIF('11.1.Амортиз.нови активи'!$B$12:$B$59,$B12,'11.1.Амортиз.нови активи'!X$12:X$59)+('9.Инвестиционна програма'!K$132*SUMIF('11.1.Амортиз.нови активи'!$B$12:$B$59,$B12,'11.1.Амортиз.нови активи'!AS$12:AS$59))</f>
        <v>87.429848078641655</v>
      </c>
      <c r="Y12" s="1326">
        <f>X12+SUMIF('11.1.Амортиз.нови активи'!$B$12:$B$59,$B12,'11.1.Амортиз.нови активи'!Y$12:Y$59)+('9.Инвестиционна програма'!L$132*SUMIF('11.1.Амортиз.нови активи'!$B$12:$B$59,$B12,'11.1.Амортиз.нови активи'!AT$12:AT$59))</f>
        <v>92.763181411974983</v>
      </c>
      <c r="Z12" s="448">
        <v>3</v>
      </c>
      <c r="AA12" s="1325">
        <f>Z12+SUMIF('11.1.Амортиз.нови активи'!$B$12:$B$59,$B12,'11.1.Амортиз.нови активи'!AA$12:AA$59)</f>
        <v>3</v>
      </c>
      <c r="AB12" s="1321">
        <f>AA12+SUMIF('11.1.Амортиз.нови активи'!$B$12:$B$59,$B12,'11.1.Амортиз.нови активи'!AB$12:AB$59)</f>
        <v>3</v>
      </c>
      <c r="AC12" s="1321">
        <f>AB12+SUMIF('11.1.Амортиз.нови активи'!$B$12:$B$59,$B12,'11.1.Амортиз.нови активи'!AC$12:AC$59)</f>
        <v>3</v>
      </c>
      <c r="AD12" s="1321">
        <f>AC12+SUMIF('11.1.Амортиз.нови активи'!$B$12:$B$59,$B12,'11.1.Амортиз.нови активи'!AD$12:AD$59)</f>
        <v>3</v>
      </c>
      <c r="AE12" s="1321">
        <f>AD12+SUMIF('11.1.Амортиз.нови активи'!$B$12:$B$59,$B12,'11.1.Амортиз.нови активи'!AE$12:AE$59)</f>
        <v>3</v>
      </c>
      <c r="AF12" s="1326">
        <f>AE12+SUMIF('11.1.Амортиз.нови активи'!$B$12:$B$59,$B12,'11.1.Амортиз.нови активи'!AF$12:AF$59)</f>
        <v>3</v>
      </c>
      <c r="AG12" s="448"/>
      <c r="AH12" s="1325">
        <f>AG12+SUMIF('11.1.Амортиз.нови активи'!$B$12:$B$59,$B12,'11.1.Амортиз.нови активи'!AH$12:AH$59)</f>
        <v>0</v>
      </c>
      <c r="AI12" s="1321">
        <f>AH12+SUMIF('11.1.Амортиз.нови активи'!$B$12:$B$59,$B12,'11.1.Амортиз.нови активи'!AI$12:AI$59)</f>
        <v>0</v>
      </c>
      <c r="AJ12" s="1321">
        <f>AI12+SUMIF('11.1.Амортиз.нови активи'!$B$12:$B$59,$B12,'11.1.Амортиз.нови активи'!AJ$12:AJ$59)</f>
        <v>0</v>
      </c>
      <c r="AK12" s="1321">
        <f>AJ12+SUMIF('11.1.Амортиз.нови активи'!$B$12:$B$59,$B12,'11.1.Амортиз.нови активи'!AK$12:AK$59)</f>
        <v>0</v>
      </c>
      <c r="AL12" s="1321">
        <f>AK12+SUMIF('11.1.Амортиз.нови активи'!$B$12:$B$59,$B12,'11.1.Амортиз.нови активи'!AL$12:AL$59)</f>
        <v>0</v>
      </c>
      <c r="AM12" s="1326">
        <f>AL12+SUMIF('11.1.Амортиз.нови активи'!$B$12:$B$59,$B12,'11.1.Амортиз.нови активи'!AM$12:AM$59)</f>
        <v>0</v>
      </c>
      <c r="AN12" s="2860"/>
      <c r="AO12" s="2866"/>
      <c r="AP12" s="1421"/>
    </row>
    <row r="13" spans="1:45" ht="24">
      <c r="A13" s="2862">
        <v>3</v>
      </c>
      <c r="B13" s="2863">
        <v>203</v>
      </c>
      <c r="C13" s="2864"/>
      <c r="D13" s="2867" t="s">
        <v>410</v>
      </c>
      <c r="E13" s="2960">
        <f>SUM(E14:E17)</f>
        <v>2150</v>
      </c>
      <c r="F13" s="2961">
        <f>SUM(F14:F17)</f>
        <v>2379</v>
      </c>
      <c r="G13" s="2962">
        <f t="shared" ref="G13:Y13" si="4">SUM(G14:G17)</f>
        <v>2507.6666666666665</v>
      </c>
      <c r="H13" s="2962">
        <f t="shared" si="4"/>
        <v>2650.6666666666665</v>
      </c>
      <c r="I13" s="2962">
        <f t="shared" si="4"/>
        <v>2791.6666666666665</v>
      </c>
      <c r="J13" s="2962">
        <f t="shared" si="4"/>
        <v>2933.5</v>
      </c>
      <c r="K13" s="2963">
        <f t="shared" si="4"/>
        <v>3080</v>
      </c>
      <c r="L13" s="2960">
        <f>SUM(L14:L17)</f>
        <v>194</v>
      </c>
      <c r="M13" s="2961">
        <f t="shared" si="4"/>
        <v>197</v>
      </c>
      <c r="N13" s="2962">
        <f t="shared" si="4"/>
        <v>200.66666666666666</v>
      </c>
      <c r="O13" s="2962">
        <f t="shared" si="4"/>
        <v>270.16666666666669</v>
      </c>
      <c r="P13" s="2962">
        <f t="shared" si="4"/>
        <v>277.66666666666669</v>
      </c>
      <c r="Q13" s="2962">
        <f t="shared" si="4"/>
        <v>336</v>
      </c>
      <c r="R13" s="2962">
        <f t="shared" si="4"/>
        <v>363</v>
      </c>
      <c r="S13" s="2960">
        <f>SUM(S14:S17)</f>
        <v>130</v>
      </c>
      <c r="T13" s="2961">
        <f t="shared" si="4"/>
        <v>130</v>
      </c>
      <c r="U13" s="2962">
        <f t="shared" si="4"/>
        <v>132.66666666666666</v>
      </c>
      <c r="V13" s="2962">
        <f t="shared" si="4"/>
        <v>136.06666666666666</v>
      </c>
      <c r="W13" s="2962">
        <f t="shared" si="4"/>
        <v>139.06666666666666</v>
      </c>
      <c r="X13" s="2962">
        <f t="shared" si="4"/>
        <v>142.4</v>
      </c>
      <c r="Y13" s="2963">
        <f t="shared" si="4"/>
        <v>145.4</v>
      </c>
      <c r="Z13" s="2960">
        <f>SUM(Z14:Z17)</f>
        <v>4.3</v>
      </c>
      <c r="AA13" s="2961">
        <f t="shared" ref="AA13:AF13" si="5">SUM(AA14:AA17)</f>
        <v>4.3</v>
      </c>
      <c r="AB13" s="2962">
        <f t="shared" si="5"/>
        <v>5.3</v>
      </c>
      <c r="AC13" s="2962">
        <f t="shared" si="5"/>
        <v>6.3</v>
      </c>
      <c r="AD13" s="2962">
        <f t="shared" si="5"/>
        <v>6.3</v>
      </c>
      <c r="AE13" s="2962">
        <f t="shared" si="5"/>
        <v>6.3</v>
      </c>
      <c r="AF13" s="2963">
        <f t="shared" si="5"/>
        <v>6.3</v>
      </c>
      <c r="AG13" s="2960">
        <f>SUM(AG14:AG17)</f>
        <v>0</v>
      </c>
      <c r="AH13" s="2961">
        <f t="shared" ref="AH13:AM13" si="6">SUM(AH14:AH17)</f>
        <v>0</v>
      </c>
      <c r="AI13" s="2962">
        <f t="shared" si="6"/>
        <v>0</v>
      </c>
      <c r="AJ13" s="2962">
        <f t="shared" si="6"/>
        <v>0</v>
      </c>
      <c r="AK13" s="2962">
        <f t="shared" si="6"/>
        <v>0</v>
      </c>
      <c r="AL13" s="2962">
        <f t="shared" si="6"/>
        <v>0</v>
      </c>
      <c r="AM13" s="2963">
        <f t="shared" si="6"/>
        <v>0</v>
      </c>
      <c r="AN13" s="2860"/>
      <c r="AO13" s="2868"/>
      <c r="AP13" s="1421"/>
    </row>
    <row r="14" spans="1:45" s="1425" customFormat="1">
      <c r="A14" s="2862"/>
      <c r="B14" s="2863">
        <v>20301</v>
      </c>
      <c r="C14" s="2869">
        <v>0.1</v>
      </c>
      <c r="D14" s="2870" t="s">
        <v>432</v>
      </c>
      <c r="E14" s="448">
        <v>212</v>
      </c>
      <c r="F14" s="996">
        <f>E14+SUMIF('11.1.Амортиз.нови активи'!$B$12:$B$59,$B14,'11.1.Амортиз.нови активи'!F$12:F$59)+('9.Инвестиционна програма'!G$130*SUMIF('11.1.Амортиз.нови активи'!$B$12:$B$59,$B14,'11.1.Амортиз.нови активи'!AO$12:AO$59))</f>
        <v>212</v>
      </c>
      <c r="G14" s="1321">
        <f>F14+SUMIF('11.1.Амортиз.нови активи'!$B$12:$B$59,$B14,'11.1.Амортиз.нови активи'!G$12:G$59)+('9.Инвестиционна програма'!H$130*SUMIF('11.1.Амортиз.нови активи'!$B$12:$B$59,$B14,'11.1.Амортиз.нови активи'!AP$12:AP$59))</f>
        <v>212</v>
      </c>
      <c r="H14" s="1321">
        <f>G14+SUMIF('11.1.Амортиз.нови активи'!$B$12:$B$59,$B14,'11.1.Амортиз.нови активи'!H$12:H$59)+('9.Инвестиционна програма'!I$130*SUMIF('11.1.Амортиз.нови активи'!$B$12:$B$59,$B14,'11.1.Амортиз.нови активи'!AQ$12:AQ$59))</f>
        <v>212</v>
      </c>
      <c r="I14" s="1321">
        <f>H14+SUMIF('11.1.Амортиз.нови активи'!$B$12:$B$59,$B14,'11.1.Амортиз.нови активи'!I$12:I$59)+('9.Инвестиционна програма'!J$130*SUMIF('11.1.Амортиз.нови активи'!$B$12:$B$59,$B14,'11.1.Амортиз.нови активи'!AR$12:AR$59))</f>
        <v>212</v>
      </c>
      <c r="J14" s="1321">
        <f>I14+SUMIF('11.1.Амортиз.нови активи'!$B$12:$B$59,$B14,'11.1.Амортиз.нови активи'!J$12:J$59)+('9.Инвестиционна програма'!K$130*SUMIF('11.1.Амортиз.нови активи'!$B$12:$B$59,$B14,'11.1.Амортиз.нови активи'!AS$12:AS$59))</f>
        <v>212</v>
      </c>
      <c r="K14" s="1326">
        <f>J14+SUMIF('11.1.Амортиз.нови активи'!$B$12:$B$59,$B14,'11.1.Амортиз.нови активи'!K$12:K$59)+('9.Инвестиционна програма'!L$130*SUMIF('11.1.Амортиз.нови активи'!$B$12:$B$59,$B14,'11.1.Амортиз.нови активи'!AT$12:AT$59))</f>
        <v>212</v>
      </c>
      <c r="L14" s="448">
        <v>33</v>
      </c>
      <c r="M14" s="1325">
        <f>L14+SUMIF('11.1.Амортиз.нови активи'!$B$12:$B$59,$B14,'11.1.Амортиз.нови активи'!M$12:M$59)+('9.Инвестиционна програма'!G$131*SUMIF('11.1.Амортиз.нови активи'!$B$12:$B$59,$B14,'11.1.Амортиз.нови активи'!AO$12:AO$59))</f>
        <v>33</v>
      </c>
      <c r="N14" s="1321">
        <f>M14+SUMIF('11.1.Амортиз.нови активи'!$B$12:$B$59,$B14,'11.1.Амортиз.нови активи'!N$12:N$59)+('9.Инвестиционна програма'!H$131*SUMIF('11.1.Амортиз.нови активи'!$B$12:$B$59,$B14,'11.1.Амортиз.нови активи'!AP$12:AP$59))</f>
        <v>33</v>
      </c>
      <c r="O14" s="1321">
        <f>N14+SUMIF('11.1.Амортиз.нови активи'!$B$12:$B$59,$B14,'11.1.Амортиз.нови активи'!O$12:O$59)+('9.Инвестиционна програма'!I$131*SUMIF('11.1.Амортиз.нови активи'!$B$12:$B$59,$B14,'11.1.Амортиз.нови активи'!AQ$12:AQ$59))</f>
        <v>33</v>
      </c>
      <c r="P14" s="1321">
        <f>O14+SUMIF('11.1.Амортиз.нови активи'!$B$12:$B$59,$B14,'11.1.Амортиз.нови активи'!P$12:P$59)+('9.Инвестиционна програма'!J$131*SUMIF('11.1.Амортиз.нови активи'!$B$12:$B$59,$B14,'11.1.Амортиз.нови активи'!AR$12:AR$59))</f>
        <v>33</v>
      </c>
      <c r="Q14" s="1321">
        <f>P14+SUMIF('11.1.Амортиз.нови активи'!$B$12:$B$59,$B14,'11.1.Амортиз.нови активи'!Q$12:Q$59)+('9.Инвестиционна програма'!K$131*SUMIF('11.1.Амортиз.нови активи'!$B$12:$B$59,$B14,'11.1.Амортиз.нови активи'!AS$12:AS$59))</f>
        <v>33</v>
      </c>
      <c r="R14" s="1326">
        <f>Q14+SUMIF('11.1.Амортиз.нови активи'!$B$12:$B$59,$B14,'11.1.Амортиз.нови активи'!R$12:R$59)+('9.Инвестиционна програма'!L$131*SUMIF('11.1.Амортиз.нови активи'!$B$12:$B$59,$B14,'11.1.Амортиз.нови активи'!AT$12:AT$59))</f>
        <v>33</v>
      </c>
      <c r="S14" s="448">
        <v>15</v>
      </c>
      <c r="T14" s="1325">
        <f>S14+SUMIF('11.1.Амортиз.нови активи'!$B$12:$B$59,$B14,'11.1.Амортиз.нови активи'!T$12:T$59)+('9.Инвестиционна програма'!G$132*SUMIF('11.1.Амортиз.нови активи'!$B$12:$B$59,$B14,'11.1.Амортиз.нови активи'!AO$12:AO$59))</f>
        <v>15</v>
      </c>
      <c r="U14" s="1321">
        <f>T14+SUMIF('11.1.Амортиз.нови активи'!$B$12:$B$59,$B14,'11.1.Амортиз.нови активи'!U$12:U$59)+('9.Инвестиционна програма'!H$132*SUMIF('11.1.Амортиз.нови активи'!$B$12:$B$59,$B14,'11.1.Амортиз.нови активи'!AP$12:AP$59))</f>
        <v>15</v>
      </c>
      <c r="V14" s="1321">
        <f>U14+SUMIF('11.1.Амортиз.нови активи'!$B$12:$B$59,$B14,'11.1.Амортиз.нови активи'!V$12:V$59)+('9.Инвестиционна програма'!I$132*SUMIF('11.1.Амортиз.нови активи'!$B$12:$B$59,$B14,'11.1.Амортиз.нови активи'!AQ$12:AQ$59))</f>
        <v>15</v>
      </c>
      <c r="W14" s="1321">
        <f>V14+SUMIF('11.1.Амортиз.нови активи'!$B$12:$B$59,$B14,'11.1.Амортиз.нови активи'!W$12:W$59)+('9.Инвестиционна програма'!J$132*SUMIF('11.1.Амортиз.нови активи'!$B$12:$B$59,$B14,'11.1.Амортиз.нови активи'!AR$12:AR$59))</f>
        <v>15</v>
      </c>
      <c r="X14" s="1321">
        <f>W14+SUMIF('11.1.Амортиз.нови активи'!$B$12:$B$59,$B14,'11.1.Амортиз.нови активи'!X$12:X$59)+('9.Инвестиционна програма'!K$132*SUMIF('11.1.Амортиз.нови активи'!$B$12:$B$59,$B14,'11.1.Амортиз.нови активи'!AS$12:AS$59))</f>
        <v>15</v>
      </c>
      <c r="Y14" s="1326">
        <f>X14+SUMIF('11.1.Амортиз.нови активи'!$B$12:$B$59,$B14,'11.1.Амортиз.нови активи'!Y$12:Y$59)+('9.Инвестиционна програма'!L$132*SUMIF('11.1.Амортиз.нови активи'!$B$12:$B$59,$B14,'11.1.Амортиз.нови активи'!AT$12:AT$59))</f>
        <v>15</v>
      </c>
      <c r="Z14" s="448">
        <v>1</v>
      </c>
      <c r="AA14" s="1325">
        <f>Z14+SUMIF('11.1.Амортиз.нови активи'!$B$12:$B$59,$B14,'11.1.Амортиз.нови активи'!AA$12:AA$59)</f>
        <v>1</v>
      </c>
      <c r="AB14" s="1321">
        <f>AA14+SUMIF('11.1.Амортиз.нови активи'!$B$12:$B$59,$B14,'11.1.Амортиз.нови активи'!AB$12:AB$59)</f>
        <v>1</v>
      </c>
      <c r="AC14" s="1321">
        <f>AB14+SUMIF('11.1.Амортиз.нови активи'!$B$12:$B$59,$B14,'11.1.Амортиз.нови активи'!AC$12:AC$59)</f>
        <v>1</v>
      </c>
      <c r="AD14" s="1321">
        <f>AC14+SUMIF('11.1.Амортиз.нови активи'!$B$12:$B$59,$B14,'11.1.Амортиз.нови активи'!AD$12:AD$59)</f>
        <v>1</v>
      </c>
      <c r="AE14" s="1321">
        <f>AD14+SUMIF('11.1.Амортиз.нови активи'!$B$12:$B$59,$B14,'11.1.Амортиз.нови активи'!AE$12:AE$59)</f>
        <v>1</v>
      </c>
      <c r="AF14" s="1326">
        <f>AE14+SUMIF('11.1.Амортиз.нови активи'!$B$12:$B$59,$B14,'11.1.Амортиз.нови активи'!AF$12:AF$59)</f>
        <v>1</v>
      </c>
      <c r="AG14" s="448"/>
      <c r="AH14" s="1325">
        <f>AG14+SUMIF('11.1.Амортиз.нови активи'!$B$12:$B$59,$B14,'11.1.Амортиз.нови активи'!AH$12:AH$59)</f>
        <v>0</v>
      </c>
      <c r="AI14" s="1321">
        <f>AH14+SUMIF('11.1.Амортиз.нови активи'!$B$12:$B$59,$B14,'11.1.Амортиз.нови активи'!AI$12:AI$59)</f>
        <v>0</v>
      </c>
      <c r="AJ14" s="1321">
        <f>AI14+SUMIF('11.1.Амортиз.нови активи'!$B$12:$B$59,$B14,'11.1.Амортиз.нови активи'!AJ$12:AJ$59)</f>
        <v>0</v>
      </c>
      <c r="AK14" s="1321">
        <f>AJ14+SUMIF('11.1.Амортиз.нови активи'!$B$12:$B$59,$B14,'11.1.Амортиз.нови активи'!AK$12:AK$59)</f>
        <v>0</v>
      </c>
      <c r="AL14" s="1321">
        <f>AK14+SUMIF('11.1.Амортиз.нови активи'!$B$12:$B$59,$B14,'11.1.Амортиз.нови активи'!AL$12:AL$59)</f>
        <v>0</v>
      </c>
      <c r="AM14" s="1326">
        <f>AL14+SUMIF('11.1.Амортиз.нови активи'!$B$12:$B$59,$B14,'11.1.Амортиз.нови активи'!AM$12:AM$59)</f>
        <v>0</v>
      </c>
      <c r="AN14" s="2871"/>
      <c r="AO14" s="2868"/>
    </row>
    <row r="15" spans="1:45" s="1425" customFormat="1">
      <c r="A15" s="2862"/>
      <c r="B15" s="2863">
        <v>20302</v>
      </c>
      <c r="C15" s="2869">
        <v>0.1</v>
      </c>
      <c r="D15" s="2870" t="s">
        <v>433</v>
      </c>
      <c r="E15" s="448">
        <v>1124</v>
      </c>
      <c r="F15" s="996">
        <f>E15+SUMIF('11.1.Амортиз.нови активи'!$B$12:$B$59,$B15,'11.1.Амортиз.нови активи'!F$12:F$59)+('9.Инвестиционна програма'!G$130*SUMIF('11.1.Амортиз.нови активи'!$B$12:$B$59,$B15,'11.1.Амортиз.нови активи'!AO$12:AO$59))</f>
        <v>1124</v>
      </c>
      <c r="G15" s="1321">
        <f>F15+SUMIF('11.1.Амортиз.нови активи'!$B$12:$B$59,$B15,'11.1.Амортиз.нови активи'!G$12:G$59)+('9.Инвестиционна програма'!H$130*SUMIF('11.1.Амортиз.нови активи'!$B$12:$B$59,$B15,'11.1.Амортиз.нови активи'!AP$12:AP$59))</f>
        <v>1130</v>
      </c>
      <c r="H15" s="1321">
        <f>G15+SUMIF('11.1.Амортиз.нови активи'!$B$12:$B$59,$B15,'11.1.Амортиз.нови активи'!H$12:H$59)+('9.Инвестиционна програма'!I$130*SUMIF('11.1.Амортиз.нови активи'!$B$12:$B$59,$B15,'11.1.Амортиз.нови активи'!AQ$12:AQ$59))</f>
        <v>1136</v>
      </c>
      <c r="I15" s="1321">
        <f>H15+SUMIF('11.1.Амортиз.нови активи'!$B$12:$B$59,$B15,'11.1.Амортиз.нови активи'!I$12:I$59)+('9.Инвестиционна програма'!J$130*SUMIF('11.1.Амортиз.нови активи'!$B$12:$B$59,$B15,'11.1.Амортиз.нови активи'!AR$12:AR$59))</f>
        <v>1143</v>
      </c>
      <c r="J15" s="1321">
        <f>I15+SUMIF('11.1.Амортиз.нови активи'!$B$12:$B$59,$B15,'11.1.Амортиз.нови активи'!J$12:J$59)+('9.Инвестиционна програма'!K$130*SUMIF('11.1.Амортиз.нови активи'!$B$12:$B$59,$B15,'11.1.Амортиз.нови активи'!AS$12:AS$59))</f>
        <v>1150</v>
      </c>
      <c r="K15" s="1326">
        <f>J15+SUMIF('11.1.Амортиз.нови активи'!$B$12:$B$59,$B15,'11.1.Амортиз.нови активи'!K$12:K$59)+('9.Инвестиционна програма'!L$130*SUMIF('11.1.Амортиз.нови активи'!$B$12:$B$59,$B15,'11.1.Амортиз.нови активи'!AT$12:AT$59))</f>
        <v>1157</v>
      </c>
      <c r="L15" s="448">
        <v>128</v>
      </c>
      <c r="M15" s="1325">
        <f>L15+SUMIF('11.1.Амортиз.нови активи'!$B$12:$B$59,$B15,'11.1.Амортиз.нови активи'!M$12:M$59)+('9.Инвестиционна програма'!G$131*SUMIF('11.1.Амортиз.нови активи'!$B$12:$B$59,$B15,'11.1.Амортиз.нови активи'!AO$12:AO$59))</f>
        <v>128</v>
      </c>
      <c r="N15" s="1321">
        <f>M15+SUMIF('11.1.Амортиз.нови активи'!$B$12:$B$59,$B15,'11.1.Амортиз.нови активи'!N$12:N$59)+('9.Инвестиционна програма'!H$131*SUMIF('11.1.Амортиз.нови активи'!$B$12:$B$59,$B15,'11.1.Амортиз.нови активи'!AP$12:AP$59))</f>
        <v>128</v>
      </c>
      <c r="O15" s="1321">
        <f>N15+SUMIF('11.1.Амортиз.нови активи'!$B$12:$B$59,$B15,'11.1.Амортиз.нови активи'!O$12:O$59)+('9.Инвестиционна програма'!I$131*SUMIF('11.1.Амортиз.нови активи'!$B$12:$B$59,$B15,'11.1.Амортиз.нови активи'!AQ$12:AQ$59))</f>
        <v>128</v>
      </c>
      <c r="P15" s="1321">
        <f>O15+SUMIF('11.1.Амортиз.нови активи'!$B$12:$B$59,$B15,'11.1.Амортиз.нови активи'!P$12:P$59)+('9.Инвестиционна програма'!J$131*SUMIF('11.1.Амортиз.нови активи'!$B$12:$B$59,$B15,'11.1.Амортиз.нови активи'!AR$12:AR$59))</f>
        <v>128</v>
      </c>
      <c r="Q15" s="1321">
        <f>P15+SUMIF('11.1.Амортиз.нови активи'!$B$12:$B$59,$B15,'11.1.Амортиз.нови активи'!Q$12:Q$59)+('9.Инвестиционна програма'!K$131*SUMIF('11.1.Амортиз.нови активи'!$B$12:$B$59,$B15,'11.1.Амортиз.нови активи'!AS$12:AS$59))</f>
        <v>128</v>
      </c>
      <c r="R15" s="1326">
        <f>Q15+SUMIF('11.1.Амортиз.нови активи'!$B$12:$B$59,$B15,'11.1.Амортиз.нови активи'!R$12:R$59)+('9.Инвестиционна програма'!L$131*SUMIF('11.1.Амортиз.нови активи'!$B$12:$B$59,$B15,'11.1.Амортиз.нови активи'!AT$12:AT$59))</f>
        <v>128</v>
      </c>
      <c r="S15" s="448">
        <v>103</v>
      </c>
      <c r="T15" s="1325">
        <f>S15+SUMIF('11.1.Амортиз.нови активи'!$B$12:$B$59,$B15,'11.1.Амортиз.нови активи'!T$12:T$59)+('9.Инвестиционна програма'!G$132*SUMIF('11.1.Амортиз.нови активи'!$B$12:$B$59,$B15,'11.1.Амортиз.нови активи'!AO$12:AO$59))</f>
        <v>103</v>
      </c>
      <c r="U15" s="1321">
        <f>T15+SUMIF('11.1.Амортиз.нови активи'!$B$12:$B$59,$B15,'11.1.Амортиз.нови активи'!U$12:U$59)+('9.Инвестиционна програма'!H$132*SUMIF('11.1.Амортиз.нови активи'!$B$12:$B$59,$B15,'11.1.Амортиз.нови активи'!AP$12:AP$59))</f>
        <v>103</v>
      </c>
      <c r="V15" s="1321">
        <f>U15+SUMIF('11.1.Амортиз.нови активи'!$B$12:$B$59,$B15,'11.1.Амортиз.нови активи'!V$12:V$59)+('9.Инвестиционна програма'!I$132*SUMIF('11.1.Амортиз.нови активи'!$B$12:$B$59,$B15,'11.1.Амортиз.нови активи'!AQ$12:AQ$59))</f>
        <v>103</v>
      </c>
      <c r="W15" s="1321">
        <f>V15+SUMIF('11.1.Амортиз.нови активи'!$B$12:$B$59,$B15,'11.1.Амортиз.нови активи'!W$12:W$59)+('9.Инвестиционна програма'!J$132*SUMIF('11.1.Амортиз.нови активи'!$B$12:$B$59,$B15,'11.1.Амортиз.нови активи'!AR$12:AR$59))</f>
        <v>103</v>
      </c>
      <c r="X15" s="1321">
        <f>W15+SUMIF('11.1.Амортиз.нови активи'!$B$12:$B$59,$B15,'11.1.Амортиз.нови активи'!X$12:X$59)+('9.Инвестиционна програма'!K$132*SUMIF('11.1.Амортиз.нови активи'!$B$12:$B$59,$B15,'11.1.Амортиз.нови активи'!AS$12:AS$59))</f>
        <v>103</v>
      </c>
      <c r="Y15" s="1326">
        <f>X15+SUMIF('11.1.Амортиз.нови активи'!$B$12:$B$59,$B15,'11.1.Амортиз.нови активи'!Y$12:Y$59)+('9.Инвестиционна програма'!L$132*SUMIF('11.1.Амортиз.нови активи'!$B$12:$B$59,$B15,'11.1.Амортиз.нови активи'!AT$12:AT$59))</f>
        <v>103</v>
      </c>
      <c r="Z15" s="448">
        <v>2.2999999999999998</v>
      </c>
      <c r="AA15" s="1325">
        <f>Z15+SUMIF('11.1.Амортиз.нови активи'!$B$12:$B$59,$B15,'11.1.Амортиз.нови активи'!AA$12:AA$59)</f>
        <v>2.2999999999999998</v>
      </c>
      <c r="AB15" s="1321">
        <f>AA15+SUMIF('11.1.Амортиз.нови активи'!$B$12:$B$59,$B15,'11.1.Амортиз.нови активи'!AB$12:AB$59)</f>
        <v>2.2999999999999998</v>
      </c>
      <c r="AC15" s="1321">
        <f>AB15+SUMIF('11.1.Амортиз.нови активи'!$B$12:$B$59,$B15,'11.1.Амортиз.нови активи'!AC$12:AC$59)</f>
        <v>2.2999999999999998</v>
      </c>
      <c r="AD15" s="1321">
        <f>AC15+SUMIF('11.1.Амортиз.нови активи'!$B$12:$B$59,$B15,'11.1.Амортиз.нови активи'!AD$12:AD$59)</f>
        <v>2.2999999999999998</v>
      </c>
      <c r="AE15" s="1321">
        <f>AD15+SUMIF('11.1.Амортиз.нови активи'!$B$12:$B$59,$B15,'11.1.Амортиз.нови активи'!AE$12:AE$59)</f>
        <v>2.2999999999999998</v>
      </c>
      <c r="AF15" s="1326">
        <f>AE15+SUMIF('11.1.Амортиз.нови активи'!$B$12:$B$59,$B15,'11.1.Амортиз.нови активи'!AF$12:AF$59)</f>
        <v>2.2999999999999998</v>
      </c>
      <c r="AG15" s="448"/>
      <c r="AH15" s="1325">
        <f>AG15+SUMIF('11.1.Амортиз.нови активи'!$B$12:$B$59,$B15,'11.1.Амортиз.нови активи'!AH$12:AH$59)</f>
        <v>0</v>
      </c>
      <c r="AI15" s="1321">
        <f>AH15+SUMIF('11.1.Амортиз.нови активи'!$B$12:$B$59,$B15,'11.1.Амортиз.нови активи'!AI$12:AI$59)</f>
        <v>0</v>
      </c>
      <c r="AJ15" s="1321">
        <f>AI15+SUMIF('11.1.Амортиз.нови активи'!$B$12:$B$59,$B15,'11.1.Амортиз.нови активи'!AJ$12:AJ$59)</f>
        <v>0</v>
      </c>
      <c r="AK15" s="1321">
        <f>AJ15+SUMIF('11.1.Амортиз.нови активи'!$B$12:$B$59,$B15,'11.1.Амортиз.нови активи'!AK$12:AK$59)</f>
        <v>0</v>
      </c>
      <c r="AL15" s="1321">
        <f>AK15+SUMIF('11.1.Амортиз.нови активи'!$B$12:$B$59,$B15,'11.1.Амортиз.нови активи'!AL$12:AL$59)</f>
        <v>0</v>
      </c>
      <c r="AM15" s="1326">
        <f>AL15+SUMIF('11.1.Амортиз.нови активи'!$B$12:$B$59,$B15,'11.1.Амортиз.нови активи'!AM$12:AM$59)</f>
        <v>0</v>
      </c>
      <c r="AN15" s="2871"/>
      <c r="AO15" s="2868"/>
    </row>
    <row r="16" spans="1:45" s="1425" customFormat="1">
      <c r="A16" s="2862"/>
      <c r="B16" s="2863">
        <v>20303</v>
      </c>
      <c r="C16" s="2864">
        <v>0.1</v>
      </c>
      <c r="D16" s="2870" t="s">
        <v>411</v>
      </c>
      <c r="E16" s="448">
        <v>26</v>
      </c>
      <c r="F16" s="996">
        <f>E16+SUMIF('11.1.Амортиз.нови активи'!$B$12:$B$59,$B16,'11.1.Амортиз.нови активи'!F$12:F$59)+('9.Инвестиционна програма'!G$130*SUMIF('11.1.Амортиз.нови активи'!$B$12:$B$59,$B16,'11.1.Амортиз.нови активи'!AO$12:AO$59))</f>
        <v>202</v>
      </c>
      <c r="G16" s="1321">
        <f>F16+SUMIF('11.1.Амортиз.нови активи'!$B$12:$B$59,$B16,'11.1.Амортиз.нови активи'!G$12:G$59)+('9.Инвестиционна програма'!H$130*SUMIF('11.1.Амортиз.нови активи'!$B$12:$B$59,$B16,'11.1.Амортиз.нови активи'!AP$12:AP$59))</f>
        <v>322</v>
      </c>
      <c r="H16" s="1321">
        <f>G16+SUMIF('11.1.Амортиз.нови активи'!$B$12:$B$59,$B16,'11.1.Амортиз.нови активи'!H$12:H$59)+('9.Инвестиционна програма'!I$130*SUMIF('11.1.Амортиз.нови активи'!$B$12:$B$59,$B16,'11.1.Амортиз.нови активи'!AQ$12:AQ$59))</f>
        <v>442</v>
      </c>
      <c r="I16" s="1321">
        <f>H16+SUMIF('11.1.Амортиз.нови активи'!$B$12:$B$59,$B16,'11.1.Амортиз.нови активи'!I$12:I$59)+('9.Инвестиционна програма'!J$130*SUMIF('11.1.Амортиз.нови активи'!$B$12:$B$59,$B16,'11.1.Амортиз.нови активи'!AR$12:AR$59))</f>
        <v>562</v>
      </c>
      <c r="J16" s="1321">
        <f>I16+SUMIF('11.1.Амортиз.нови активи'!$B$12:$B$59,$B16,'11.1.Амортиз.нови активи'!J$12:J$59)+('9.Инвестиционна програма'!K$130*SUMIF('11.1.Амортиз.нови активи'!$B$12:$B$59,$B16,'11.1.Амортиз.нови активи'!AS$12:AS$59))</f>
        <v>682</v>
      </c>
      <c r="K16" s="1326">
        <f>J16+SUMIF('11.1.Амортиз.нови активи'!$B$12:$B$59,$B16,'11.1.Амортиз.нови активи'!K$12:K$59)+('9.Инвестиционна програма'!L$130*SUMIF('11.1.Амортиз.нови активи'!$B$12:$B$59,$B16,'11.1.Амортиз.нови активи'!AT$12:AT$59))</f>
        <v>802</v>
      </c>
      <c r="L16" s="448">
        <v>8</v>
      </c>
      <c r="M16" s="1325">
        <f>L16+SUMIF('11.1.Амортиз.нови активи'!$B$12:$B$59,$B16,'11.1.Амортиз.нови активи'!M$12:M$59)+('9.Инвестиционна програма'!G$131*SUMIF('11.1.Амортиз.нови активи'!$B$12:$B$59,$B16,'11.1.Амортиз.нови активи'!AO$12:AO$59))</f>
        <v>8</v>
      </c>
      <c r="N16" s="1321">
        <f>M16+SUMIF('11.1.Амортиз.нови активи'!$B$12:$B$59,$B16,'11.1.Амортиз.нови активи'!N$12:N$59)+('9.Инвестиционна програма'!H$131*SUMIF('11.1.Амортиз.нови активи'!$B$12:$B$59,$B16,'11.1.Амортиз.нови активи'!AP$12:AP$59))</f>
        <v>8</v>
      </c>
      <c r="O16" s="1321">
        <f>N16+SUMIF('11.1.Амортиз.нови активи'!$B$12:$B$59,$B16,'11.1.Амортиз.нови активи'!O$12:O$59)+('9.Инвестиционна програма'!I$131*SUMIF('11.1.Амортиз.нови активи'!$B$12:$B$59,$B16,'11.1.Амортиз.нови активи'!AQ$12:AQ$59))</f>
        <v>70.5</v>
      </c>
      <c r="P16" s="1321">
        <f>O16+SUMIF('11.1.Амортиз.нови активи'!$B$12:$B$59,$B16,'11.1.Амортиз.нови активи'!P$12:P$59)+('9.Инвестиционна програма'!J$131*SUMIF('11.1.Амортиз.нови активи'!$B$12:$B$59,$B16,'11.1.Амортиз.нови активи'!AR$12:AR$59))</f>
        <v>70.5</v>
      </c>
      <c r="Q16" s="1321">
        <f>P16+SUMIF('11.1.Амортиз.нови активи'!$B$12:$B$59,$B16,'11.1.Амортиз.нови активи'!Q$12:Q$59)+('9.Инвестиционна програма'!K$131*SUMIF('11.1.Амортиз.нови активи'!$B$12:$B$59,$B16,'11.1.Амортиз.нови активи'!AS$12:AS$59))</f>
        <v>124</v>
      </c>
      <c r="R16" s="1326">
        <f>Q16+SUMIF('11.1.Амортиз.нови активи'!$B$12:$B$59,$B16,'11.1.Амортиз.нови активи'!R$12:R$59)+('9.Инвестиционна програма'!L$131*SUMIF('11.1.Амортиз.нови активи'!$B$12:$B$59,$B16,'11.1.Амортиз.нови активи'!AT$12:AT$59))</f>
        <v>124</v>
      </c>
      <c r="S16" s="448">
        <v>0</v>
      </c>
      <c r="T16" s="1325">
        <f>S16+SUMIF('11.1.Амортиз.нови активи'!$B$12:$B$59,$B16,'11.1.Амортиз.нови активи'!T$12:T$59)+('9.Инвестиционна програма'!G$132*SUMIF('11.1.Амортиз.нови активи'!$B$12:$B$59,$B16,'11.1.Амортиз.нови активи'!AO$12:AO$59))</f>
        <v>0</v>
      </c>
      <c r="U16" s="1321">
        <f>T16+SUMIF('11.1.Амортиз.нови активи'!$B$12:$B$59,$B16,'11.1.Амортиз.нови активи'!U$12:U$59)+('9.Инвестиционна програма'!H$132*SUMIF('11.1.Амортиз.нови активи'!$B$12:$B$59,$B16,'11.1.Амортиз.нови активи'!AP$12:AP$59))</f>
        <v>0</v>
      </c>
      <c r="V16" s="1321">
        <f>U16+SUMIF('11.1.Амортиз.нови активи'!$B$12:$B$59,$B16,'11.1.Амортиз.нови активи'!V$12:V$59)+('9.Инвестиционна програма'!I$132*SUMIF('11.1.Амортиз.нови активи'!$B$12:$B$59,$B16,'11.1.Амортиз.нови активи'!AQ$12:AQ$59))</f>
        <v>0</v>
      </c>
      <c r="W16" s="1321">
        <f>V16+SUMIF('11.1.Амортиз.нови активи'!$B$12:$B$59,$B16,'11.1.Амортиз.нови активи'!W$12:W$59)+('9.Инвестиционна програма'!J$132*SUMIF('11.1.Амортиз.нови активи'!$B$12:$B$59,$B16,'11.1.Амортиз.нови активи'!AR$12:AR$59))</f>
        <v>0</v>
      </c>
      <c r="X16" s="1321">
        <f>W16+SUMIF('11.1.Амортиз.нови активи'!$B$12:$B$59,$B16,'11.1.Амортиз.нови активи'!X$12:X$59)+('9.Инвестиционна програма'!K$132*SUMIF('11.1.Амортиз.нови активи'!$B$12:$B$59,$B16,'11.1.Амортиз.нови активи'!AS$12:AS$59))</f>
        <v>0</v>
      </c>
      <c r="Y16" s="1326">
        <f>X16+SUMIF('11.1.Амортиз.нови активи'!$B$12:$B$59,$B16,'11.1.Амортиз.нови активи'!Y$12:Y$59)+('9.Инвестиционна програма'!L$132*SUMIF('11.1.Амортиз.нови активи'!$B$12:$B$59,$B16,'11.1.Амортиз.нови активи'!AT$12:AT$59))</f>
        <v>0</v>
      </c>
      <c r="Z16" s="448">
        <v>0</v>
      </c>
      <c r="AA16" s="1325">
        <f>Z16+SUMIF('11.1.Амортиз.нови активи'!$B$12:$B$59,$B16,'11.1.Амортиз.нови активи'!AA$12:AA$59)</f>
        <v>0</v>
      </c>
      <c r="AB16" s="1321">
        <f>AA16+SUMIF('11.1.Амортиз.нови активи'!$B$12:$B$59,$B16,'11.1.Амортиз.нови активи'!AB$12:AB$59)</f>
        <v>0</v>
      </c>
      <c r="AC16" s="1321">
        <f>AB16+SUMIF('11.1.Амортиз.нови активи'!$B$12:$B$59,$B16,'11.1.Амортиз.нови активи'!AC$12:AC$59)</f>
        <v>0</v>
      </c>
      <c r="AD16" s="1321">
        <f>AC16+SUMIF('11.1.Амортиз.нови активи'!$B$12:$B$59,$B16,'11.1.Амортиз.нови активи'!AD$12:AD$59)</f>
        <v>0</v>
      </c>
      <c r="AE16" s="1321">
        <f>AD16+SUMIF('11.1.Амортиз.нови активи'!$B$12:$B$59,$B16,'11.1.Амортиз.нови активи'!AE$12:AE$59)</f>
        <v>0</v>
      </c>
      <c r="AF16" s="1326">
        <f>AE16+SUMIF('11.1.Амортиз.нови активи'!$B$12:$B$59,$B16,'11.1.Амортиз.нови активи'!AF$12:AF$59)</f>
        <v>0</v>
      </c>
      <c r="AG16" s="448"/>
      <c r="AH16" s="1325">
        <f>AG16+SUMIF('11.1.Амортиз.нови активи'!$B$12:$B$59,$B16,'11.1.Амортиз.нови активи'!AH$12:AH$59)</f>
        <v>0</v>
      </c>
      <c r="AI16" s="1321">
        <f>AH16+SUMIF('11.1.Амортиз.нови активи'!$B$12:$B$59,$B16,'11.1.Амортиз.нови активи'!AI$12:AI$59)</f>
        <v>0</v>
      </c>
      <c r="AJ16" s="1321">
        <f>AI16+SUMIF('11.1.Амортиз.нови активи'!$B$12:$B$59,$B16,'11.1.Амортиз.нови активи'!AJ$12:AJ$59)</f>
        <v>0</v>
      </c>
      <c r="AK16" s="1321">
        <f>AJ16+SUMIF('11.1.Амортиз.нови активи'!$B$12:$B$59,$B16,'11.1.Амортиз.нови активи'!AK$12:AK$59)</f>
        <v>0</v>
      </c>
      <c r="AL16" s="1321">
        <f>AK16+SUMIF('11.1.Амортиз.нови активи'!$B$12:$B$59,$B16,'11.1.Амортиз.нови активи'!AL$12:AL$59)</f>
        <v>0</v>
      </c>
      <c r="AM16" s="1326">
        <f>AL16+SUMIF('11.1.Амортиз.нови активи'!$B$12:$B$59,$B16,'11.1.Амортиз.нови активи'!AM$12:AM$59)</f>
        <v>0</v>
      </c>
      <c r="AN16" s="2871"/>
      <c r="AO16" s="2868"/>
    </row>
    <row r="17" spans="1:42" s="1425" customFormat="1">
      <c r="A17" s="2862"/>
      <c r="B17" s="2863">
        <v>20306</v>
      </c>
      <c r="C17" s="2864">
        <v>0.1</v>
      </c>
      <c r="D17" s="2870" t="s">
        <v>414</v>
      </c>
      <c r="E17" s="448">
        <v>788</v>
      </c>
      <c r="F17" s="996">
        <f>E17+SUMIF('11.1.Амортиз.нови активи'!$B$12:$B$59,$B17,'11.1.Амортиз.нови активи'!F$12:F$59)+('9.Инвестиционна програма'!G$130*SUMIF('11.1.Амортиз.нови активи'!$B$12:$B$59,$B17,'11.1.Амортиз.нови активи'!AO$12:AO$59))</f>
        <v>841</v>
      </c>
      <c r="G17" s="1321">
        <f>F17+SUMIF('11.1.Амортиз.нови активи'!$B$12:$B$59,$B17,'11.1.Амортиз.нови активи'!G$12:G$59)+('9.Инвестиционна програма'!H$130*SUMIF('11.1.Амортиз.нови активи'!$B$12:$B$59,$B17,'11.1.Амортиз.нови активи'!AP$12:AP$59))</f>
        <v>843.66666666666663</v>
      </c>
      <c r="H17" s="1321">
        <f>G17+SUMIF('11.1.Амортиз.нови активи'!$B$12:$B$59,$B17,'11.1.Амортиз.нови активи'!H$12:H$59)+('9.Инвестиционна програма'!I$130*SUMIF('11.1.Амортиз.нови активи'!$B$12:$B$59,$B17,'11.1.Амортиз.нови активи'!AQ$12:AQ$59))</f>
        <v>860.66666666666663</v>
      </c>
      <c r="I17" s="1321">
        <f>H17+SUMIF('11.1.Амортиз.нови активи'!$B$12:$B$59,$B17,'11.1.Амортиз.нови активи'!I$12:I$59)+('9.Инвестиционна програма'!J$130*SUMIF('11.1.Амортиз.нови активи'!$B$12:$B$59,$B17,'11.1.Амортиз.нови активи'!AR$12:AR$59))</f>
        <v>874.66666666666663</v>
      </c>
      <c r="J17" s="1321">
        <f>I17+SUMIF('11.1.Амортиз.нови активи'!$B$12:$B$59,$B17,'11.1.Амортиз.нови активи'!J$12:J$59)+('9.Инвестиционна програма'!K$130*SUMIF('11.1.Амортиз.нови активи'!$B$12:$B$59,$B17,'11.1.Амортиз.нови активи'!AS$12:AS$59))</f>
        <v>889.5</v>
      </c>
      <c r="K17" s="1326">
        <f>J17+SUMIF('11.1.Амортиз.нови активи'!$B$12:$B$59,$B17,'11.1.Амортиз.нови активи'!K$12:K$59)+('9.Инвестиционна програма'!L$130*SUMIF('11.1.Амортиз.нови активи'!$B$12:$B$59,$B17,'11.1.Амортиз.нови активи'!AT$12:AT$59))</f>
        <v>909</v>
      </c>
      <c r="L17" s="448">
        <v>25</v>
      </c>
      <c r="M17" s="1325">
        <f>L17+SUMIF('11.1.Амортиз.нови активи'!$B$12:$B$59,$B17,'11.1.Амортиз.нови активи'!M$12:M$59)+('9.Инвестиционна програма'!G$131*SUMIF('11.1.Амортиз.нови активи'!$B$12:$B$59,$B17,'11.1.Амортиз.нови активи'!AO$12:AO$59))</f>
        <v>28</v>
      </c>
      <c r="N17" s="1321">
        <f>M17+SUMIF('11.1.Амортиз.нови активи'!$B$12:$B$59,$B17,'11.1.Амортиз.нови активи'!N$12:N$59)+('9.Инвестиционна програма'!H$131*SUMIF('11.1.Амортиз.нови активи'!$B$12:$B$59,$B17,'11.1.Амортиз.нови активи'!AP$12:AP$59))</f>
        <v>31.666666666666668</v>
      </c>
      <c r="O17" s="1321">
        <f>N17+SUMIF('11.1.Амортиз.нови активи'!$B$12:$B$59,$B17,'11.1.Амортиз.нови активи'!O$12:O$59)+('9.Инвестиционна програма'!I$131*SUMIF('11.1.Амортиз.нови активи'!$B$12:$B$59,$B17,'11.1.Амортиз.нови активи'!AQ$12:AQ$59))</f>
        <v>38.666666666666671</v>
      </c>
      <c r="P17" s="1321">
        <f>O17+SUMIF('11.1.Амортиз.нови активи'!$B$12:$B$59,$B17,'11.1.Амортиз.нови активи'!P$12:P$59)+('9.Инвестиционна програма'!J$131*SUMIF('11.1.Амортиз.нови активи'!$B$12:$B$59,$B17,'11.1.Амортиз.нови активи'!AR$12:AR$59))</f>
        <v>46.166666666666671</v>
      </c>
      <c r="Q17" s="1321">
        <f>P17+SUMIF('11.1.Амортиз.нови активи'!$B$12:$B$59,$B17,'11.1.Амортиз.нови активи'!Q$12:Q$59)+('9.Инвестиционна програма'!K$131*SUMIF('11.1.Амортиз.нови активи'!$B$12:$B$59,$B17,'11.1.Амортиз.нови активи'!AS$12:AS$59))</f>
        <v>51.000000000000007</v>
      </c>
      <c r="R17" s="1326">
        <f>Q17+SUMIF('11.1.Амортиз.нови активи'!$B$12:$B$59,$B17,'11.1.Амортиз.нови активи'!R$12:R$59)+('9.Инвестиционна програма'!L$131*SUMIF('11.1.Амортиз.нови активи'!$B$12:$B$59,$B17,'11.1.Амортиз.нови активи'!AT$12:AT$59))</f>
        <v>78</v>
      </c>
      <c r="S17" s="448">
        <v>12</v>
      </c>
      <c r="T17" s="1325">
        <f>S17+SUMIF('11.1.Амортиз.нови активи'!$B$12:$B$59,$B17,'11.1.Амортиз.нови активи'!T$12:T$59)+('9.Инвестиционна програма'!G$132*SUMIF('11.1.Амортиз.нови активи'!$B$12:$B$59,$B17,'11.1.Амортиз.нови активи'!AO$12:AO$59))</f>
        <v>12</v>
      </c>
      <c r="U17" s="1321">
        <f>T17+SUMIF('11.1.Амортиз.нови активи'!$B$12:$B$59,$B17,'11.1.Амортиз.нови активи'!U$12:U$59)+('9.Инвестиционна програма'!H$132*SUMIF('11.1.Амортиз.нови активи'!$B$12:$B$59,$B17,'11.1.Амортиз.нови активи'!AP$12:AP$59))</f>
        <v>14.666666666666666</v>
      </c>
      <c r="V17" s="1321">
        <f>U17+SUMIF('11.1.Амортиз.нови активи'!$B$12:$B$59,$B17,'11.1.Амортиз.нови активи'!V$12:V$59)+('9.Инвестиционна програма'!I$132*SUMIF('11.1.Амортиз.нови активи'!$B$12:$B$59,$B17,'11.1.Амортиз.нови активи'!AQ$12:AQ$59))</f>
        <v>18.066666666666666</v>
      </c>
      <c r="W17" s="1321">
        <f>V17+SUMIF('11.1.Амортиз.нови активи'!$B$12:$B$59,$B17,'11.1.Амортиз.нови активи'!W$12:W$59)+('9.Инвестиционна програма'!J$132*SUMIF('11.1.Амортиз.нови активи'!$B$12:$B$59,$B17,'11.1.Амортиз.нови активи'!AR$12:AR$59))</f>
        <v>21.066666666666666</v>
      </c>
      <c r="X17" s="1321">
        <f>W17+SUMIF('11.1.Амортиз.нови активи'!$B$12:$B$59,$B17,'11.1.Амортиз.нови активи'!X$12:X$59)+('9.Инвестиционна програма'!K$132*SUMIF('11.1.Амортиз.нови активи'!$B$12:$B$59,$B17,'11.1.Амортиз.нови активи'!AS$12:AS$59))</f>
        <v>24.4</v>
      </c>
      <c r="Y17" s="1326">
        <f>X17+SUMIF('11.1.Амортиз.нови активи'!$B$12:$B$59,$B17,'11.1.Амортиз.нови активи'!Y$12:Y$59)+('9.Инвестиционна програма'!L$132*SUMIF('11.1.Амортиз.нови активи'!$B$12:$B$59,$B17,'11.1.Амортиз.нови активи'!AT$12:AT$59))</f>
        <v>27.4</v>
      </c>
      <c r="Z17" s="448">
        <v>1</v>
      </c>
      <c r="AA17" s="1325">
        <f>Z17+SUMIF('11.1.Амортиз.нови активи'!$B$12:$B$59,$B17,'11.1.Амортиз.нови активи'!AA$12:AA$59)</f>
        <v>1</v>
      </c>
      <c r="AB17" s="1321">
        <f>AA17+SUMIF('11.1.Амортиз.нови активи'!$B$12:$B$59,$B17,'11.1.Амортиз.нови активи'!AB$12:AB$59)</f>
        <v>2</v>
      </c>
      <c r="AC17" s="1321">
        <f>AB17+SUMIF('11.1.Амортиз.нови активи'!$B$12:$B$59,$B17,'11.1.Амортиз.нови активи'!AC$12:AC$59)</f>
        <v>3</v>
      </c>
      <c r="AD17" s="1321">
        <f>AC17+SUMIF('11.1.Амортиз.нови активи'!$B$12:$B$59,$B17,'11.1.Амортиз.нови активи'!AD$12:AD$59)</f>
        <v>3</v>
      </c>
      <c r="AE17" s="1321">
        <f>AD17+SUMIF('11.1.Амортиз.нови активи'!$B$12:$B$59,$B17,'11.1.Амортиз.нови активи'!AE$12:AE$59)</f>
        <v>3</v>
      </c>
      <c r="AF17" s="1326">
        <f>AE17+SUMIF('11.1.Амортиз.нови активи'!$B$12:$B$59,$B17,'11.1.Амортиз.нови активи'!AF$12:AF$59)</f>
        <v>3</v>
      </c>
      <c r="AG17" s="448"/>
      <c r="AH17" s="1325">
        <f>AG17+SUMIF('11.1.Амортиз.нови активи'!$B$12:$B$59,$B17,'11.1.Амортиз.нови активи'!AH$12:AH$59)</f>
        <v>0</v>
      </c>
      <c r="AI17" s="1321">
        <f>AH17+SUMIF('11.1.Амортиз.нови активи'!$B$12:$B$59,$B17,'11.1.Амортиз.нови активи'!AI$12:AI$59)</f>
        <v>0</v>
      </c>
      <c r="AJ17" s="1321">
        <f>AI17+SUMIF('11.1.Амортиз.нови активи'!$B$12:$B$59,$B17,'11.1.Амортиз.нови активи'!AJ$12:AJ$59)</f>
        <v>0</v>
      </c>
      <c r="AK17" s="1321">
        <f>AJ17+SUMIF('11.1.Амортиз.нови активи'!$B$12:$B$59,$B17,'11.1.Амортиз.нови активи'!AK$12:AK$59)</f>
        <v>0</v>
      </c>
      <c r="AL17" s="1321">
        <f>AK17+SUMIF('11.1.Амортиз.нови активи'!$B$12:$B$59,$B17,'11.1.Амортиз.нови активи'!AL$12:AL$59)</f>
        <v>0</v>
      </c>
      <c r="AM17" s="1326">
        <f>AL17+SUMIF('11.1.Амортиз.нови активи'!$B$12:$B$59,$B17,'11.1.Амортиз.нови активи'!AM$12:AM$59)</f>
        <v>0</v>
      </c>
      <c r="AN17" s="2871"/>
      <c r="AO17" s="2868"/>
    </row>
    <row r="18" spans="1:42" s="1425" customFormat="1">
      <c r="A18" s="2862">
        <v>4</v>
      </c>
      <c r="B18" s="2863">
        <v>20403</v>
      </c>
      <c r="C18" s="2869">
        <v>0.04</v>
      </c>
      <c r="D18" s="2872" t="s">
        <v>439</v>
      </c>
      <c r="E18" s="448">
        <v>86</v>
      </c>
      <c r="F18" s="996">
        <f>E18+SUMIF('11.1.Амортиз.нови активи'!$B$12:$B$59,$B18,'11.1.Амортиз.нови активи'!F$12:F$59)+('9.Инвестиционна програма'!G$130*SUMIF('11.1.Амортиз.нови активи'!$B$12:$B$59,$B18,'11.1.Амортиз.нови активи'!AO$12:AO$59))</f>
        <v>86</v>
      </c>
      <c r="G18" s="1321">
        <f>F18+SUMIF('11.1.Амортиз.нови активи'!$B$12:$B$59,$B18,'11.1.Амортиз.нови активи'!G$12:G$59)+('9.Инвестиционна програма'!H$130*SUMIF('11.1.Амортиз.нови активи'!$B$12:$B$59,$B18,'11.1.Амортиз.нови активи'!AP$12:AP$59))</f>
        <v>86</v>
      </c>
      <c r="H18" s="1321">
        <f>G18+SUMIF('11.1.Амортиз.нови активи'!$B$12:$B$59,$B18,'11.1.Амортиз.нови активи'!H$12:H$59)+('9.Инвестиционна програма'!I$130*SUMIF('11.1.Амортиз.нови активи'!$B$12:$B$59,$B18,'11.1.Амортиз.нови активи'!AQ$12:AQ$59))</f>
        <v>86</v>
      </c>
      <c r="I18" s="1321">
        <f>H18+SUMIF('11.1.Амортиз.нови активи'!$B$12:$B$59,$B18,'11.1.Амортиз.нови активи'!I$12:I$59)+('9.Инвестиционна програма'!J$130*SUMIF('11.1.Амортиз.нови активи'!$B$12:$B$59,$B18,'11.1.Амортиз.нови активи'!AR$12:AR$59))</f>
        <v>86</v>
      </c>
      <c r="J18" s="1321">
        <f>I18+SUMIF('11.1.Амортиз.нови активи'!$B$12:$B$59,$B18,'11.1.Амортиз.нови активи'!J$12:J$59)+('9.Инвестиционна програма'!K$130*SUMIF('11.1.Амортиз.нови активи'!$B$12:$B$59,$B18,'11.1.Амортиз.нови активи'!AS$12:AS$59))</f>
        <v>86</v>
      </c>
      <c r="K18" s="1326">
        <f>J18+SUMIF('11.1.Амортиз.нови активи'!$B$12:$B$59,$B18,'11.1.Амортиз.нови активи'!K$12:K$59)+('9.Инвестиционна програма'!L$130*SUMIF('11.1.Амортиз.нови активи'!$B$12:$B$59,$B18,'11.1.Амортиз.нови активи'!AT$12:AT$59))</f>
        <v>86</v>
      </c>
      <c r="L18" s="448">
        <v>11</v>
      </c>
      <c r="M18" s="1325">
        <f>L18+SUMIF('11.1.Амортиз.нови активи'!$B$12:$B$59,$B18,'11.1.Амортиз.нови активи'!M$12:M$59)+('9.Инвестиционна програма'!G$131*SUMIF('11.1.Амортиз.нови активи'!$B$12:$B$59,$B18,'11.1.Амортиз.нови активи'!AO$12:AO$59))</f>
        <v>11</v>
      </c>
      <c r="N18" s="1321">
        <f>M18+SUMIF('11.1.Амортиз.нови активи'!$B$12:$B$59,$B18,'11.1.Амортиз.нови активи'!N$12:N$59)+('9.Инвестиционна програма'!H$131*SUMIF('11.1.Амортиз.нови активи'!$B$12:$B$59,$B18,'11.1.Амортиз.нови активи'!AP$12:AP$59))</f>
        <v>11</v>
      </c>
      <c r="O18" s="1321">
        <f>N18+SUMIF('11.1.Амортиз.нови активи'!$B$12:$B$59,$B18,'11.1.Амортиз.нови активи'!O$12:O$59)+('9.Инвестиционна програма'!I$131*SUMIF('11.1.Амортиз.нови активи'!$B$12:$B$59,$B18,'11.1.Амортиз.нови активи'!AQ$12:AQ$59))</f>
        <v>11</v>
      </c>
      <c r="P18" s="1321">
        <f>O18+SUMIF('11.1.Амортиз.нови активи'!$B$12:$B$59,$B18,'11.1.Амортиз.нови активи'!P$12:P$59)+('9.Инвестиционна програма'!J$131*SUMIF('11.1.Амортиз.нови активи'!$B$12:$B$59,$B18,'11.1.Амортиз.нови активи'!AR$12:AR$59))</f>
        <v>11</v>
      </c>
      <c r="Q18" s="1321">
        <f>P18+SUMIF('11.1.Амортиз.нови активи'!$B$12:$B$59,$B18,'11.1.Амортиз.нови активи'!Q$12:Q$59)+('9.Инвестиционна програма'!K$131*SUMIF('11.1.Амортиз.нови активи'!$B$12:$B$59,$B18,'11.1.Амортиз.нови активи'!AS$12:AS$59))</f>
        <v>11</v>
      </c>
      <c r="R18" s="1326">
        <f>Q18+SUMIF('11.1.Амортиз.нови активи'!$B$12:$B$59,$B18,'11.1.Амортиз.нови активи'!R$12:R$59)+('9.Инвестиционна програма'!L$131*SUMIF('11.1.Амортиз.нови активи'!$B$12:$B$59,$B18,'11.1.Амортиз.нови активи'!AT$12:AT$59))</f>
        <v>11</v>
      </c>
      <c r="S18" s="448">
        <v>48.4</v>
      </c>
      <c r="T18" s="1325">
        <f>S18+SUMIF('11.1.Амортиз.нови активи'!$B$12:$B$59,$B18,'11.1.Амортиз.нови активи'!T$12:T$59)+('9.Инвестиционна програма'!G$132*SUMIF('11.1.Амортиз.нови активи'!$B$12:$B$59,$B18,'11.1.Амортиз.нови активи'!AO$12:AO$59))</f>
        <v>48.4</v>
      </c>
      <c r="U18" s="1321">
        <f>T18+SUMIF('11.1.Амортиз.нови активи'!$B$12:$B$59,$B18,'11.1.Амортиз.нови активи'!U$12:U$59)+('9.Инвестиционна програма'!H$132*SUMIF('11.1.Амортиз.нови активи'!$B$12:$B$59,$B18,'11.1.Амортиз.нови активи'!AP$12:AP$59))</f>
        <v>48.4</v>
      </c>
      <c r="V18" s="1321">
        <f>U18+SUMIF('11.1.Амортиз.нови активи'!$B$12:$B$59,$B18,'11.1.Амортиз.нови активи'!V$12:V$59)+('9.Инвестиционна програма'!I$132*SUMIF('11.1.Амортиз.нови активи'!$B$12:$B$59,$B18,'11.1.Амортиз.нови активи'!AQ$12:AQ$59))</f>
        <v>48.4</v>
      </c>
      <c r="W18" s="1321">
        <f>V18+SUMIF('11.1.Амортиз.нови активи'!$B$12:$B$59,$B18,'11.1.Амортиз.нови активи'!W$12:W$59)+('9.Инвестиционна програма'!J$132*SUMIF('11.1.Амортиз.нови активи'!$B$12:$B$59,$B18,'11.1.Амортиз.нови активи'!AR$12:AR$59))</f>
        <v>48.4</v>
      </c>
      <c r="X18" s="1321">
        <f>W18+SUMIF('11.1.Амортиз.нови активи'!$B$12:$B$59,$B18,'11.1.Амортиз.нови активи'!X$12:X$59)+('9.Инвестиционна програма'!K$132*SUMIF('11.1.Амортиз.нови активи'!$B$12:$B$59,$B18,'11.1.Амортиз.нови активи'!AS$12:AS$59))</f>
        <v>48.4</v>
      </c>
      <c r="Y18" s="1326">
        <f>X18+SUMIF('11.1.Амортиз.нови активи'!$B$12:$B$59,$B18,'11.1.Амортиз.нови активи'!Y$12:Y$59)+('9.Инвестиционна програма'!L$132*SUMIF('11.1.Амортиз.нови активи'!$B$12:$B$59,$B18,'11.1.Амортиз.нови активи'!AT$12:AT$59))</f>
        <v>48.4</v>
      </c>
      <c r="Z18" s="448">
        <v>0</v>
      </c>
      <c r="AA18" s="1325">
        <f>Z18+SUMIF('11.1.Амортиз.нови активи'!$B$12:$B$59,$B18,'11.1.Амортиз.нови активи'!AA$12:AA$59)</f>
        <v>0</v>
      </c>
      <c r="AB18" s="1321">
        <f>AA18+SUMIF('11.1.Амортиз.нови активи'!$B$12:$B$59,$B18,'11.1.Амортиз.нови активи'!AB$12:AB$59)</f>
        <v>0</v>
      </c>
      <c r="AC18" s="1321">
        <f>AB18+SUMIF('11.1.Амортиз.нови активи'!$B$12:$B$59,$B18,'11.1.Амортиз.нови активи'!AC$12:AC$59)</f>
        <v>0</v>
      </c>
      <c r="AD18" s="1321">
        <f>AC18+SUMIF('11.1.Амортиз.нови активи'!$B$12:$B$59,$B18,'11.1.Амортиз.нови активи'!AD$12:AD$59)</f>
        <v>0</v>
      </c>
      <c r="AE18" s="1321">
        <f>AD18+SUMIF('11.1.Амортиз.нови активи'!$B$12:$B$59,$B18,'11.1.Амортиз.нови активи'!AE$12:AE$59)</f>
        <v>0</v>
      </c>
      <c r="AF18" s="1326">
        <f>AE18+SUMIF('11.1.Амортиз.нови активи'!$B$12:$B$59,$B18,'11.1.Амортиз.нови активи'!AF$12:AF$59)</f>
        <v>0</v>
      </c>
      <c r="AG18" s="448"/>
      <c r="AH18" s="1325">
        <f>AG18+SUMIF('11.1.Амортиз.нови активи'!$B$12:$B$59,$B18,'11.1.Амортиз.нови активи'!AH$12:AH$59)</f>
        <v>0</v>
      </c>
      <c r="AI18" s="1321">
        <f>AH18+SUMIF('11.1.Амортиз.нови активи'!$B$12:$B$59,$B18,'11.1.Амортиз.нови активи'!AI$12:AI$59)</f>
        <v>0</v>
      </c>
      <c r="AJ18" s="1321">
        <f>AI18+SUMIF('11.1.Амортиз.нови активи'!$B$12:$B$59,$B18,'11.1.Амортиз.нови активи'!AJ$12:AJ$59)</f>
        <v>0</v>
      </c>
      <c r="AK18" s="1321">
        <f>AJ18+SUMIF('11.1.Амортиз.нови активи'!$B$12:$B$59,$B18,'11.1.Амортиз.нови активи'!AK$12:AK$59)</f>
        <v>0</v>
      </c>
      <c r="AL18" s="1321">
        <f>AK18+SUMIF('11.1.Амортиз.нови активи'!$B$12:$B$59,$B18,'11.1.Амортиз.нови активи'!AL$12:AL$59)</f>
        <v>0</v>
      </c>
      <c r="AM18" s="1326">
        <f>AL18+SUMIF('11.1.Амортиз.нови активи'!$B$12:$B$59,$B18,'11.1.Амортиз.нови активи'!AM$12:AM$59)</f>
        <v>0</v>
      </c>
      <c r="AN18" s="2871"/>
      <c r="AO18" s="2868"/>
    </row>
    <row r="19" spans="1:42">
      <c r="A19" s="2862">
        <v>5</v>
      </c>
      <c r="B19" s="2863">
        <v>205</v>
      </c>
      <c r="C19" s="2863"/>
      <c r="D19" s="2867" t="s">
        <v>217</v>
      </c>
      <c r="E19" s="2964">
        <f>SUM(E20:E23)</f>
        <v>859</v>
      </c>
      <c r="F19" s="2965">
        <f>SUM(F20:F23)</f>
        <v>1026.7469168900805</v>
      </c>
      <c r="G19" s="2966">
        <f>SUM(G20:G23)</f>
        <v>1101.4135835567472</v>
      </c>
      <c r="H19" s="2966">
        <f t="shared" ref="H19:K19" si="7">SUM(H20:H23)</f>
        <v>1171.0802502234139</v>
      </c>
      <c r="I19" s="2966">
        <f t="shared" si="7"/>
        <v>1251.2469168900805</v>
      </c>
      <c r="J19" s="2966">
        <f t="shared" si="7"/>
        <v>1328.5802502234139</v>
      </c>
      <c r="K19" s="2966">
        <f t="shared" si="7"/>
        <v>1425.7469168900805</v>
      </c>
      <c r="L19" s="2964">
        <f>SUM(L20:L23)</f>
        <v>918</v>
      </c>
      <c r="M19" s="2965">
        <f>SUM(M20:M23)</f>
        <v>925.77694369973187</v>
      </c>
      <c r="N19" s="2966">
        <f>SUM(N20:N23)</f>
        <v>986.44361036639862</v>
      </c>
      <c r="O19" s="2966">
        <f t="shared" ref="O19:R19" si="8">SUM(O20:O23)</f>
        <v>989.11027703306524</v>
      </c>
      <c r="P19" s="2966">
        <f t="shared" si="8"/>
        <v>1057.7769436997319</v>
      </c>
      <c r="Q19" s="2966">
        <f t="shared" si="8"/>
        <v>1062.1102770330654</v>
      </c>
      <c r="R19" s="2966">
        <f t="shared" si="8"/>
        <v>1092.2769436997319</v>
      </c>
      <c r="S19" s="2964">
        <f>SUM(S20:S23)</f>
        <v>87.3</v>
      </c>
      <c r="T19" s="2965">
        <f>SUM(T20:T23)</f>
        <v>87.776139410187668</v>
      </c>
      <c r="U19" s="2966">
        <f>SUM(U20:U23)</f>
        <v>90.442806076854325</v>
      </c>
      <c r="V19" s="2966">
        <f t="shared" ref="V19:Y19" si="9">SUM(V20:V23)</f>
        <v>93.10947274352101</v>
      </c>
      <c r="W19" s="2966">
        <f t="shared" si="9"/>
        <v>95.776139410187668</v>
      </c>
      <c r="X19" s="2966">
        <f t="shared" si="9"/>
        <v>100.10947274352101</v>
      </c>
      <c r="Y19" s="2967">
        <f t="shared" si="9"/>
        <v>103.77613941018768</v>
      </c>
      <c r="Z19" s="2964">
        <f>SUM(Z20:Z23)</f>
        <v>3.4</v>
      </c>
      <c r="AA19" s="2965">
        <f>SUM(AA20:AA23)</f>
        <v>3.4</v>
      </c>
      <c r="AB19" s="2966">
        <f>SUM(AB20:AB23)</f>
        <v>3.4</v>
      </c>
      <c r="AC19" s="2966">
        <f t="shared" ref="AC19:AF19" si="10">SUM(AC20:AC23)</f>
        <v>3.4</v>
      </c>
      <c r="AD19" s="2966">
        <f t="shared" si="10"/>
        <v>3.4</v>
      </c>
      <c r="AE19" s="2966">
        <f t="shared" si="10"/>
        <v>3.4</v>
      </c>
      <c r="AF19" s="2967">
        <f t="shared" si="10"/>
        <v>3.4</v>
      </c>
      <c r="AG19" s="2964">
        <f>SUM(AG20:AG23)</f>
        <v>0</v>
      </c>
      <c r="AH19" s="2965">
        <f>SUM(AH20:AH23)</f>
        <v>0</v>
      </c>
      <c r="AI19" s="2966">
        <f>SUM(AI20:AI23)</f>
        <v>0</v>
      </c>
      <c r="AJ19" s="2966">
        <f t="shared" ref="AJ19:AM19" si="11">SUM(AJ20:AJ23)</f>
        <v>0</v>
      </c>
      <c r="AK19" s="2966">
        <f t="shared" si="11"/>
        <v>0</v>
      </c>
      <c r="AL19" s="2966">
        <f t="shared" si="11"/>
        <v>0</v>
      </c>
      <c r="AM19" s="2967">
        <f t="shared" si="11"/>
        <v>0</v>
      </c>
      <c r="AN19" s="2860"/>
      <c r="AO19" s="2868"/>
      <c r="AP19" s="1421"/>
    </row>
    <row r="20" spans="1:42">
      <c r="A20" s="2873"/>
      <c r="B20" s="2874">
        <v>20501</v>
      </c>
      <c r="C20" s="2869">
        <v>0.08</v>
      </c>
      <c r="D20" s="2875" t="s">
        <v>415</v>
      </c>
      <c r="E20" s="448">
        <v>527</v>
      </c>
      <c r="F20" s="996">
        <f>E20+SUMIF('11.1.Амортиз.нови активи'!$B$12:$B$59,$B20,'11.1.Амортиз.нови активи'!F$12:F$59)+('9.Инвестиционна програма'!G$130*SUMIF('11.1.Амортиз.нови активи'!$B$12:$B$59,$B20,'11.1.Амортиз.нови активи'!AO$12:AO$59))</f>
        <v>683.52761394101879</v>
      </c>
      <c r="G20" s="1321">
        <f>F20+SUMIF('11.1.Амортиз.нови активи'!$B$12:$B$59,$B20,'11.1.Амортиз.нови активи'!G$12:G$59)+('9.Инвестиционна програма'!H$130*SUMIF('11.1.Амортиз.нови активи'!$B$12:$B$59,$B20,'11.1.Амортиз.нови активи'!AP$12:AP$59))</f>
        <v>723.52761394101879</v>
      </c>
      <c r="H20" s="1321">
        <f>G20+SUMIF('11.1.Амортиз.нови активи'!$B$12:$B$59,$B20,'11.1.Амортиз.нови активи'!H$12:H$59)+('9.Инвестиционна програма'!I$130*SUMIF('11.1.Амортиз.нови активи'!$B$12:$B$59,$B20,'11.1.Амортиз.нови активи'!AQ$12:AQ$59))</f>
        <v>763.52761394101879</v>
      </c>
      <c r="I20" s="1321">
        <f>H20+SUMIF('11.1.Амортиз.нови активи'!$B$12:$B$59,$B20,'11.1.Амортиз.нови активи'!I$12:I$59)+('9.Инвестиционна програма'!J$130*SUMIF('11.1.Амортиз.нови активи'!$B$12:$B$59,$B20,'11.1.Амортиз.нови активи'!AR$12:AR$59))</f>
        <v>801.02761394101879</v>
      </c>
      <c r="J20" s="1321">
        <f>I20+SUMIF('11.1.Амортиз.нови активи'!$B$12:$B$59,$B20,'11.1.Амортиз.нови активи'!J$12:J$59)+('9.Инвестиционна програма'!K$130*SUMIF('11.1.Амортиз.нови активи'!$B$12:$B$59,$B20,'11.1.Амортиз.нови активи'!AS$12:AS$59))</f>
        <v>818.02761394101879</v>
      </c>
      <c r="K20" s="1326">
        <f>J20+SUMIF('11.1.Амортиз.нови активи'!$B$12:$B$59,$B20,'11.1.Амортиз.нови активи'!K$12:K$59)+('9.Инвестиционна програма'!L$130*SUMIF('11.1.Амортиз.нови активи'!$B$12:$B$59,$B20,'11.1.Амортиз.нови активи'!AT$12:AT$59))</f>
        <v>857.02761394101879</v>
      </c>
      <c r="L20" s="448">
        <v>159</v>
      </c>
      <c r="M20" s="1325">
        <f>L20+SUMIF('11.1.Амортиз.нови активи'!$B$12:$B$59,$B20,'11.1.Амортиз.нови активи'!M$12:M$59)+('9.Инвестиционна програма'!G$131*SUMIF('11.1.Амортиз.нови активи'!$B$12:$B$59,$B20,'11.1.Амортиз.нови активи'!AO$12:AO$59))</f>
        <v>166.04128686327078</v>
      </c>
      <c r="N20" s="1321">
        <f>M20+SUMIF('11.1.Амортиз.нови активи'!$B$12:$B$59,$B20,'11.1.Амортиз.нови активи'!N$12:N$59)+('9.Инвестиционна програма'!H$131*SUMIF('11.1.Амортиз.нови активи'!$B$12:$B$59,$B20,'11.1.Амортиз.нови активи'!AP$12:AP$59))</f>
        <v>218.04128686327078</v>
      </c>
      <c r="O20" s="1321">
        <f>N20+SUMIF('11.1.Амортиз.нови активи'!$B$12:$B$59,$B20,'11.1.Амортиз.нови активи'!O$12:O$59)+('9.Инвестиционна програма'!I$131*SUMIF('11.1.Амортиз.нови активи'!$B$12:$B$59,$B20,'11.1.Амортиз.нови активи'!AQ$12:AQ$59))</f>
        <v>218.04128686327078</v>
      </c>
      <c r="P20" s="1321">
        <f>O20+SUMIF('11.1.Амортиз.нови активи'!$B$12:$B$59,$B20,'11.1.Амортиз.нови активи'!P$12:P$59)+('9.Инвестиционна програма'!J$131*SUMIF('11.1.Амортиз.нови активи'!$B$12:$B$59,$B20,'11.1.Амортиз.нови активи'!AR$12:AR$59))</f>
        <v>284.04128686327078</v>
      </c>
      <c r="Q20" s="1321">
        <f>P20+SUMIF('11.1.Амортиз.нови активи'!$B$12:$B$59,$B20,'11.1.Амортиз.нови активи'!Q$12:Q$59)+('9.Инвестиционна програма'!K$131*SUMIF('11.1.Амортиз.нови активи'!$B$12:$B$59,$B20,'11.1.Амортиз.нови активи'!AS$12:AS$59))</f>
        <v>284.04128686327078</v>
      </c>
      <c r="R20" s="1326">
        <f>Q20+SUMIF('11.1.Амортиз.нови активи'!$B$12:$B$59,$B20,'11.1.Амортиз.нови активи'!R$12:R$59)+('9.Инвестиционна програма'!L$131*SUMIF('11.1.Амортиз.нови активи'!$B$12:$B$59,$B20,'11.1.Амортиз.нови активи'!AT$12:AT$59))</f>
        <v>284.04128686327078</v>
      </c>
      <c r="S20" s="448">
        <v>67.3</v>
      </c>
      <c r="T20" s="1325">
        <f>S20+SUMIF('11.1.Амортиз.нови активи'!$B$12:$B$59,$B20,'11.1.Амортиз.нови активи'!T$12:T$59)+('9.Инвестиционна програма'!G$132*SUMIF('11.1.Амортиз.нови активи'!$B$12:$B$59,$B20,'11.1.Амортиз.нови активи'!AO$12:AO$59))</f>
        <v>67.731099195710456</v>
      </c>
      <c r="U20" s="1321">
        <f>T20+SUMIF('11.1.Амортиз.нови активи'!$B$12:$B$59,$B20,'11.1.Амортиз.нови активи'!U$12:U$59)+('9.Инвестиционна програма'!H$132*SUMIF('11.1.Амортиз.нови активи'!$B$12:$B$59,$B20,'11.1.Амортиз.нови активи'!AP$12:AP$59))</f>
        <v>67.731099195710456</v>
      </c>
      <c r="V20" s="1321">
        <f>U20+SUMIF('11.1.Амортиз.нови активи'!$B$12:$B$59,$B20,'11.1.Амортиз.нови активи'!V$12:V$59)+('9.Инвестиционна програма'!I$132*SUMIF('11.1.Амортиз.нови активи'!$B$12:$B$59,$B20,'11.1.Амортиз.нови активи'!AQ$12:AQ$59))</f>
        <v>67.731099195710456</v>
      </c>
      <c r="W20" s="1321">
        <f>V20+SUMIF('11.1.Амортиз.нови активи'!$B$12:$B$59,$B20,'11.1.Амортиз.нови активи'!W$12:W$59)+('9.Инвестиционна програма'!J$132*SUMIF('11.1.Амортиз.нови активи'!$B$12:$B$59,$B20,'11.1.Амортиз.нови активи'!AR$12:AR$59))</f>
        <v>67.731099195710456</v>
      </c>
      <c r="X20" s="1321">
        <f>W20+SUMIF('11.1.Амортиз.нови активи'!$B$12:$B$59,$B20,'11.1.Амортиз.нови активи'!X$12:X$59)+('9.Инвестиционна програма'!K$132*SUMIF('11.1.Амортиз.нови активи'!$B$12:$B$59,$B20,'11.1.Амортиз.нови активи'!AS$12:AS$59))</f>
        <v>67.731099195710456</v>
      </c>
      <c r="Y20" s="1326">
        <f>X20+SUMIF('11.1.Амортиз.нови активи'!$B$12:$B$59,$B20,'11.1.Амортиз.нови активи'!Y$12:Y$59)+('9.Инвестиционна програма'!L$132*SUMIF('11.1.Амортиз.нови активи'!$B$12:$B$59,$B20,'11.1.Амортиз.нови активи'!AT$12:AT$59))</f>
        <v>67.731099195710456</v>
      </c>
      <c r="Z20" s="448">
        <v>3.4</v>
      </c>
      <c r="AA20" s="1325">
        <f>Z20+SUMIF('11.1.Амортиз.нови активи'!$B$12:$B$59,$B20,'11.1.Амортиз.нови активи'!AA$12:AA$59)</f>
        <v>3.4</v>
      </c>
      <c r="AB20" s="1321">
        <f>AA20+SUMIF('11.1.Амортиз.нови активи'!$B$12:$B$59,$B20,'11.1.Амортиз.нови активи'!AB$12:AB$59)</f>
        <v>3.4</v>
      </c>
      <c r="AC20" s="1321">
        <f>AB20+SUMIF('11.1.Амортиз.нови активи'!$B$12:$B$59,$B20,'11.1.Амортиз.нови активи'!AC$12:AC$59)</f>
        <v>3.4</v>
      </c>
      <c r="AD20" s="1321">
        <f>AC20+SUMIF('11.1.Амортиз.нови активи'!$B$12:$B$59,$B20,'11.1.Амортиз.нови активи'!AD$12:AD$59)</f>
        <v>3.4</v>
      </c>
      <c r="AE20" s="1321">
        <f>AD20+SUMIF('11.1.Амортиз.нови активи'!$B$12:$B$59,$B20,'11.1.Амортиз.нови активи'!AE$12:AE$59)</f>
        <v>3.4</v>
      </c>
      <c r="AF20" s="1326">
        <f>AE20+SUMIF('11.1.Амортиз.нови активи'!$B$12:$B$59,$B20,'11.1.Амортиз.нови активи'!AF$12:AF$59)</f>
        <v>3.4</v>
      </c>
      <c r="AG20" s="448"/>
      <c r="AH20" s="1325">
        <f>AG20+SUMIF('11.1.Амортиз.нови активи'!$B$12:$B$59,$B20,'11.1.Амортиз.нови активи'!AH$12:AH$59)</f>
        <v>0</v>
      </c>
      <c r="AI20" s="1321">
        <f>AH20+SUMIF('11.1.Амортиз.нови активи'!$B$12:$B$59,$B20,'11.1.Амортиз.нови активи'!AI$12:AI$59)</f>
        <v>0</v>
      </c>
      <c r="AJ20" s="1321">
        <f>AI20+SUMIF('11.1.Амортиз.нови активи'!$B$12:$B$59,$B20,'11.1.Амортиз.нови активи'!AJ$12:AJ$59)</f>
        <v>0</v>
      </c>
      <c r="AK20" s="1321">
        <f>AJ20+SUMIF('11.1.Амортиз.нови активи'!$B$12:$B$59,$B20,'11.1.Амортиз.нови активи'!AK$12:AK$59)</f>
        <v>0</v>
      </c>
      <c r="AL20" s="1321">
        <f>AK20+SUMIF('11.1.Амортиз.нови активи'!$B$12:$B$59,$B20,'11.1.Амортиз.нови активи'!AL$12:AL$59)</f>
        <v>0</v>
      </c>
      <c r="AM20" s="1326">
        <f>AL20+SUMIF('11.1.Амортиз.нови активи'!$B$12:$B$59,$B20,'11.1.Амортиз.нови активи'!AM$12:AM$59)</f>
        <v>0</v>
      </c>
      <c r="AN20" s="2860"/>
      <c r="AO20" s="2868"/>
      <c r="AP20" s="1421"/>
    </row>
    <row r="21" spans="1:42">
      <c r="A21" s="2873"/>
      <c r="B21" s="2874">
        <v>20502</v>
      </c>
      <c r="C21" s="2869">
        <v>0.1</v>
      </c>
      <c r="D21" s="2875" t="s">
        <v>416</v>
      </c>
      <c r="E21" s="448">
        <v>164</v>
      </c>
      <c r="F21" s="996">
        <f>E21+SUMIF('11.1.Амортиз.нови активи'!$B$12:$B$59,$B21,'11.1.Амортиз.нови активи'!F$12:F$59)+('9.Инвестиционна програма'!G$130*SUMIF('11.1.Амортиз.нови активи'!$B$12:$B$59,$B21,'11.1.Амортиз.нови активи'!AO$12:AO$59))</f>
        <v>175.21930294906167</v>
      </c>
      <c r="G21" s="1321">
        <f>F21+SUMIF('11.1.Амортиз.нови активи'!$B$12:$B$59,$B21,'11.1.Амортиз.нови активи'!G$12:G$59)+('9.Инвестиционна програма'!H$130*SUMIF('11.1.Амортиз.нови активи'!$B$12:$B$59,$B21,'11.1.Амортиз.нови активи'!AP$12:AP$59))</f>
        <v>196.55263628239501</v>
      </c>
      <c r="H21" s="1321">
        <f>G21+SUMIF('11.1.Амортиз.нови активи'!$B$12:$B$59,$B21,'11.1.Амортиз.нови активи'!H$12:H$59)+('9.Инвестиционна програма'!I$130*SUMIF('11.1.Амортиз.нови активи'!$B$12:$B$59,$B21,'11.1.Амортиз.нови активи'!AQ$12:AQ$59))</f>
        <v>213.88596961572836</v>
      </c>
      <c r="I21" s="1321">
        <f>H21+SUMIF('11.1.Амортиз.нови активи'!$B$12:$B$59,$B21,'11.1.Амортиз.нови активи'!I$12:I$59)+('9.Инвестиционна програма'!J$130*SUMIF('11.1.Амортиз.нови активи'!$B$12:$B$59,$B21,'11.1.Амортиз.нови активи'!AR$12:AR$59))</f>
        <v>239.2193029490617</v>
      </c>
      <c r="J21" s="1321">
        <f>I21+SUMIF('11.1.Амортиз.нови активи'!$B$12:$B$59,$B21,'11.1.Амортиз.нови активи'!J$12:J$59)+('9.Инвестиционна програма'!K$130*SUMIF('11.1.Амортиз.нови активи'!$B$12:$B$59,$B21,'11.1.Амортиз.нови активи'!AS$12:AS$59))</f>
        <v>269.88596961572836</v>
      </c>
      <c r="K21" s="1326">
        <f>J21+SUMIF('11.1.Амортиз.нови активи'!$B$12:$B$59,$B21,'11.1.Амортиз.нови активи'!K$12:K$59)+('9.Инвестиционна програма'!L$130*SUMIF('11.1.Амортиз.нови активи'!$B$12:$B$59,$B21,'11.1.Амортиз.нови активи'!AT$12:AT$59))</f>
        <v>300.38596961572836</v>
      </c>
      <c r="L21" s="448">
        <v>25</v>
      </c>
      <c r="M21" s="1325">
        <f>L21+SUMIF('11.1.Амортиз.нови активи'!$B$12:$B$59,$B21,'11.1.Амортиз.нови активи'!M$12:M$59)+('9.Инвестиционна програма'!G$131*SUMIF('11.1.Амортиз.нови активи'!$B$12:$B$59,$B21,'11.1.Амортиз.нови активи'!AO$12:AO$59))</f>
        <v>25.735656836461125</v>
      </c>
      <c r="N21" s="1321">
        <f>M21+SUMIF('11.1.Амортиз.нови активи'!$B$12:$B$59,$B21,'11.1.Амортиз.нови активи'!N$12:N$59)+('9.Инвестиционна програма'!H$131*SUMIF('11.1.Амортиз.нови активи'!$B$12:$B$59,$B21,'11.1.Амортиз.нови активи'!AP$12:AP$59))</f>
        <v>33.068990169794461</v>
      </c>
      <c r="O21" s="1321">
        <f>N21+SUMIF('11.1.Амортиз.нови активи'!$B$12:$B$59,$B21,'11.1.Амортиз.нови активи'!O$12:O$59)+('9.Инвестиционна програма'!I$131*SUMIF('11.1.Амортиз.нови активи'!$B$12:$B$59,$B21,'11.1.Амортиз.нови активи'!AQ$12:AQ$59))</f>
        <v>34.402323503127796</v>
      </c>
      <c r="P21" s="1321">
        <f>O21+SUMIF('11.1.Амортиз.нови активи'!$B$12:$B$59,$B21,'11.1.Амортиз.нови активи'!P$12:P$59)+('9.Инвестиционна програма'!J$131*SUMIF('11.1.Амортиз.нови активи'!$B$12:$B$59,$B21,'11.1.Амортиз.нови активи'!AR$12:AR$59))</f>
        <v>35.735656836461132</v>
      </c>
      <c r="Q21" s="1321">
        <f>P21+SUMIF('11.1.Амортиз.нови активи'!$B$12:$B$59,$B21,'11.1.Амортиз.нови активи'!Q$12:Q$59)+('9.Инвестиционна програма'!K$131*SUMIF('11.1.Амортиз.нови активи'!$B$12:$B$59,$B21,'11.1.Амортиз.нови активи'!AS$12:AS$59))</f>
        <v>38.402323503127796</v>
      </c>
      <c r="R21" s="1326">
        <f>Q21+SUMIF('11.1.Амортиз.нови активи'!$B$12:$B$59,$B21,'11.1.Амортиз.нови активи'!R$12:R$59)+('9.Инвестиционна програма'!L$131*SUMIF('11.1.Амортиз.нови активи'!$B$12:$B$59,$B21,'11.1.Амортиз.нови активи'!AT$12:AT$59))</f>
        <v>66.902323503127803</v>
      </c>
      <c r="S21" s="448">
        <v>11</v>
      </c>
      <c r="T21" s="1325">
        <f>S21+SUMIF('11.1.Амортиз.нови активи'!$B$12:$B$59,$B21,'11.1.Амортиз.нови активи'!T$12:T$59)+('9.Инвестиционна програма'!G$132*SUMIF('11.1.Амортиз.нови активи'!$B$12:$B$59,$B21,'11.1.Амортиз.нови активи'!AO$12:AO$59))</f>
        <v>11.045040214477211</v>
      </c>
      <c r="U21" s="1321">
        <f>T21+SUMIF('11.1.Амортиз.нови активи'!$B$12:$B$59,$B21,'11.1.Амортиз.нови активи'!U$12:U$59)+('9.Инвестиционна програма'!H$132*SUMIF('11.1.Амортиз.нови активи'!$B$12:$B$59,$B21,'11.1.Амортиз.нови активи'!AP$12:AP$59))</f>
        <v>12.378373547810545</v>
      </c>
      <c r="V21" s="1321">
        <f>U21+SUMIF('11.1.Амортиз.нови активи'!$B$12:$B$59,$B21,'11.1.Амортиз.нови активи'!V$12:V$59)+('9.Инвестиционна програма'!I$132*SUMIF('11.1.Амортиз.нови активи'!$B$12:$B$59,$B21,'11.1.Амортиз.нови активи'!AQ$12:AQ$59))</f>
        <v>13.711706881143879</v>
      </c>
      <c r="W21" s="1321">
        <f>V21+SUMIF('11.1.Амортиз.нови активи'!$B$12:$B$59,$B21,'11.1.Амортиз.нови активи'!W$12:W$59)+('9.Инвестиционна програма'!J$132*SUMIF('11.1.Амортиз.нови активи'!$B$12:$B$59,$B21,'11.1.Амортиз.нови активи'!AR$12:AR$59))</f>
        <v>15.045040214477213</v>
      </c>
      <c r="X21" s="1321">
        <f>W21+SUMIF('11.1.Амортиз.нови активи'!$B$12:$B$59,$B21,'11.1.Амортиз.нови активи'!X$12:X$59)+('9.Инвестиционна програма'!K$132*SUMIF('11.1.Амортиз.нови активи'!$B$12:$B$59,$B21,'11.1.Амортиз.нови активи'!AS$12:AS$59))</f>
        <v>17.711706881143879</v>
      </c>
      <c r="Y21" s="1326">
        <f>X21+SUMIF('11.1.Амортиз.нови активи'!$B$12:$B$59,$B21,'11.1.Амортиз.нови активи'!Y$12:Y$59)+('9.Инвестиционна програма'!L$132*SUMIF('11.1.Амортиз.нови активи'!$B$12:$B$59,$B21,'11.1.Амортиз.нови активи'!AT$12:AT$59))</f>
        <v>19.711706881143879</v>
      </c>
      <c r="Z21" s="448">
        <v>0</v>
      </c>
      <c r="AA21" s="1325">
        <f>Z21+SUMIF('11.1.Амортиз.нови активи'!$B$12:$B$59,$B21,'11.1.Амортиз.нови активи'!AA$12:AA$59)</f>
        <v>0</v>
      </c>
      <c r="AB21" s="1321">
        <f>AA21+SUMIF('11.1.Амортиз.нови активи'!$B$12:$B$59,$B21,'11.1.Амортиз.нови активи'!AB$12:AB$59)</f>
        <v>0</v>
      </c>
      <c r="AC21" s="1321">
        <f>AB21+SUMIF('11.1.Амортиз.нови активи'!$B$12:$B$59,$B21,'11.1.Амортиз.нови активи'!AC$12:AC$59)</f>
        <v>0</v>
      </c>
      <c r="AD21" s="1321">
        <f>AC21+SUMIF('11.1.Амортиз.нови активи'!$B$12:$B$59,$B21,'11.1.Амортиз.нови активи'!AD$12:AD$59)</f>
        <v>0</v>
      </c>
      <c r="AE21" s="1321">
        <f>AD21+SUMIF('11.1.Амортиз.нови активи'!$B$12:$B$59,$B21,'11.1.Амортиз.нови активи'!AE$12:AE$59)</f>
        <v>0</v>
      </c>
      <c r="AF21" s="1326">
        <f>AE21+SUMIF('11.1.Амортиз.нови активи'!$B$12:$B$59,$B21,'11.1.Амортиз.нови активи'!AF$12:AF$59)</f>
        <v>0</v>
      </c>
      <c r="AG21" s="448"/>
      <c r="AH21" s="1325">
        <f>AG21+SUMIF('11.1.Амортиз.нови активи'!$B$12:$B$59,$B21,'11.1.Амортиз.нови активи'!AH$12:AH$59)</f>
        <v>0</v>
      </c>
      <c r="AI21" s="1321">
        <f>AH21+SUMIF('11.1.Амортиз.нови активи'!$B$12:$B$59,$B21,'11.1.Амортиз.нови активи'!AI$12:AI$59)</f>
        <v>0</v>
      </c>
      <c r="AJ21" s="1321">
        <f>AI21+SUMIF('11.1.Амортиз.нови активи'!$B$12:$B$59,$B21,'11.1.Амортиз.нови активи'!AJ$12:AJ$59)</f>
        <v>0</v>
      </c>
      <c r="AK21" s="1321">
        <f>AJ21+SUMIF('11.1.Амортиз.нови активи'!$B$12:$B$59,$B21,'11.1.Амортиз.нови активи'!AK$12:AK$59)</f>
        <v>0</v>
      </c>
      <c r="AL21" s="1321">
        <f>AK21+SUMIF('11.1.Амортиз.нови активи'!$B$12:$B$59,$B21,'11.1.Амортиз.нови активи'!AL$12:AL$59)</f>
        <v>0</v>
      </c>
      <c r="AM21" s="1326">
        <f>AL21+SUMIF('11.1.Амортиз.нови активи'!$B$12:$B$59,$B21,'11.1.Амортиз.нови активи'!AM$12:AM$59)</f>
        <v>0</v>
      </c>
      <c r="AN21" s="2860"/>
      <c r="AO21" s="2868"/>
      <c r="AP21" s="1421"/>
    </row>
    <row r="22" spans="1:42">
      <c r="A22" s="2873"/>
      <c r="B22" s="2874">
        <v>20503</v>
      </c>
      <c r="C22" s="2869">
        <v>0.1</v>
      </c>
      <c r="D22" s="2870" t="s">
        <v>417</v>
      </c>
      <c r="E22" s="448">
        <v>143</v>
      </c>
      <c r="F22" s="996">
        <f>E22+SUMIF('11.1.Амортиз.нови активи'!$B$12:$B$59,$B22,'11.1.Амортиз.нови активи'!F$12:F$59)+('9.Инвестиционна програма'!G$130*SUMIF('11.1.Амортиз.нови активи'!$B$12:$B$59,$B22,'11.1.Амортиз.нови активи'!AO$12:AO$59))</f>
        <v>143</v>
      </c>
      <c r="G22" s="1321">
        <f>F22+SUMIF('11.1.Амортиз.нови активи'!$B$12:$B$59,$B22,'11.1.Амортиз.нови активи'!G$12:G$59)+('9.Инвестиционна програма'!H$130*SUMIF('11.1.Амортиз.нови активи'!$B$12:$B$59,$B22,'11.1.Амортиз.нови активи'!AP$12:AP$59))</f>
        <v>156.33333333333334</v>
      </c>
      <c r="H22" s="1321">
        <f>G22+SUMIF('11.1.Амортиз.нови активи'!$B$12:$B$59,$B22,'11.1.Амортиз.нови активи'!H$12:H$59)+('9.Инвестиционна програма'!I$130*SUMIF('11.1.Амортиз.нови активи'!$B$12:$B$59,$B22,'11.1.Амортиз.нови активи'!AQ$12:AQ$59))</f>
        <v>168.66666666666669</v>
      </c>
      <c r="I22" s="1321">
        <f>H22+SUMIF('11.1.Амортиз.нови активи'!$B$12:$B$59,$B22,'11.1.Амортиз.нови активи'!I$12:I$59)+('9.Инвестиционна програма'!J$130*SUMIF('11.1.Амортиз.нови активи'!$B$12:$B$59,$B22,'11.1.Амортиз.нови активи'!AR$12:AR$59))</f>
        <v>186.00000000000003</v>
      </c>
      <c r="J22" s="1321">
        <f>I22+SUMIF('11.1.Амортиз.нови активи'!$B$12:$B$59,$B22,'11.1.Амортиз.нови активи'!J$12:J$59)+('9.Инвестиционна програма'!K$130*SUMIF('11.1.Амортиз.нови активи'!$B$12:$B$59,$B22,'11.1.Амортиз.нови активи'!AS$12:AS$59))</f>
        <v>215.66666666666669</v>
      </c>
      <c r="K22" s="1326">
        <f>J22+SUMIF('11.1.Амортиз.нови активи'!$B$12:$B$59,$B22,'11.1.Амортиз.нови активи'!K$12:K$59)+('9.Инвестиционна програма'!L$130*SUMIF('11.1.Амортиз.нови активи'!$B$12:$B$59,$B22,'11.1.Амортиз.нови активи'!AT$12:AT$59))</f>
        <v>243.33333333333334</v>
      </c>
      <c r="L22" s="448">
        <v>20</v>
      </c>
      <c r="M22" s="1325">
        <f>L22+SUMIF('11.1.Амортиз.нови активи'!$B$12:$B$59,$B22,'11.1.Амортиз.нови активи'!M$12:M$59)+('9.Инвестиционна програма'!G$131*SUMIF('11.1.Амортиз.нови активи'!$B$12:$B$59,$B22,'11.1.Амортиз.нови активи'!AO$12:AO$59))</f>
        <v>20</v>
      </c>
      <c r="N22" s="1321">
        <f>M22+SUMIF('11.1.Амортиз.нови активи'!$B$12:$B$59,$B22,'11.1.Амортиз.нови активи'!N$12:N$59)+('9.Инвестиционна програма'!H$131*SUMIF('11.1.Амортиз.нови активи'!$B$12:$B$59,$B22,'11.1.Амортиз.нови активи'!AP$12:AP$59))</f>
        <v>21.333333333333332</v>
      </c>
      <c r="O22" s="1321">
        <f>N22+SUMIF('11.1.Амортиз.нови активи'!$B$12:$B$59,$B22,'11.1.Амортиз.нови активи'!O$12:O$59)+('9.Инвестиционна програма'!I$131*SUMIF('11.1.Амортиз.нови активи'!$B$12:$B$59,$B22,'11.1.Амортиз.нови активи'!AQ$12:AQ$59))</f>
        <v>22.666666666666664</v>
      </c>
      <c r="P22" s="1321">
        <f>O22+SUMIF('11.1.Амортиз.нови активи'!$B$12:$B$59,$B22,'11.1.Амортиз.нови активи'!P$12:P$59)+('9.Инвестиционна програма'!J$131*SUMIF('11.1.Амортиз.нови активи'!$B$12:$B$59,$B22,'11.1.Амортиз.нови активи'!AR$12:AR$59))</f>
        <v>23.999999999999996</v>
      </c>
      <c r="Q22" s="1321">
        <f>P22+SUMIF('11.1.Амортиз.нови активи'!$B$12:$B$59,$B22,'11.1.Амортиз.нови активи'!Q$12:Q$59)+('9.Инвестиционна програма'!K$131*SUMIF('11.1.Амортиз.нови активи'!$B$12:$B$59,$B22,'11.1.Амортиз.нови активи'!AS$12:AS$59))</f>
        <v>25.666666666666664</v>
      </c>
      <c r="R22" s="1326">
        <f>Q22+SUMIF('11.1.Амортиз.нови активи'!$B$12:$B$59,$B22,'11.1.Амортиз.нови активи'!R$12:R$59)+('9.Инвестиционна програма'!L$131*SUMIF('11.1.Амортиз.нови активи'!$B$12:$B$59,$B22,'11.1.Амортиз.нови активи'!AT$12:AT$59))</f>
        <v>27.333333333333332</v>
      </c>
      <c r="S22" s="448">
        <v>9</v>
      </c>
      <c r="T22" s="1325">
        <f>S22+SUMIF('11.1.Амортиз.нови активи'!$B$12:$B$59,$B22,'11.1.Амортиз.нови активи'!T$12:T$59)+('9.Инвестиционна програма'!G$132*SUMIF('11.1.Амортиз.нови активи'!$B$12:$B$59,$B22,'11.1.Амортиз.нови активи'!AO$12:AO$59))</f>
        <v>9</v>
      </c>
      <c r="U22" s="1321">
        <f>T22+SUMIF('11.1.Амортиз.нови активи'!$B$12:$B$59,$B22,'11.1.Амортиз.нови активи'!U$12:U$59)+('9.Инвестиционна програма'!H$132*SUMIF('11.1.Амортиз.нови активи'!$B$12:$B$59,$B22,'11.1.Амортиз.нови активи'!AP$12:AP$59))</f>
        <v>10.333333333333334</v>
      </c>
      <c r="V22" s="1321">
        <f>U22+SUMIF('11.1.Амортиз.нови активи'!$B$12:$B$59,$B22,'11.1.Амортиз.нови активи'!V$12:V$59)+('9.Инвестиционна програма'!I$132*SUMIF('11.1.Амортиз.нови активи'!$B$12:$B$59,$B22,'11.1.Амортиз.нови активи'!AQ$12:AQ$59))</f>
        <v>11.666666666666668</v>
      </c>
      <c r="W22" s="1321">
        <f>V22+SUMIF('11.1.Амортиз.нови активи'!$B$12:$B$59,$B22,'11.1.Амортиз.нови активи'!W$12:W$59)+('9.Инвестиционна програма'!J$132*SUMIF('11.1.Амортиз.нови активи'!$B$12:$B$59,$B22,'11.1.Амортиз.нови активи'!AR$12:AR$59))</f>
        <v>13.000000000000002</v>
      </c>
      <c r="X22" s="1321">
        <f>W22+SUMIF('11.1.Амортиз.нови активи'!$B$12:$B$59,$B22,'11.1.Амортиз.нови активи'!X$12:X$59)+('9.Инвестиционна програма'!K$132*SUMIF('11.1.Амортиз.нови активи'!$B$12:$B$59,$B22,'11.1.Амортиз.нови активи'!AS$12:AS$59))</f>
        <v>14.666666666666668</v>
      </c>
      <c r="Y22" s="1326">
        <f>X22+SUMIF('11.1.Амортиз.нови активи'!$B$12:$B$59,$B22,'11.1.Амортиз.нови активи'!Y$12:Y$59)+('9.Инвестиционна програма'!L$132*SUMIF('11.1.Амортиз.нови активи'!$B$12:$B$59,$B22,'11.1.Амортиз.нови активи'!AT$12:AT$59))</f>
        <v>16.333333333333336</v>
      </c>
      <c r="Z22" s="448">
        <v>0</v>
      </c>
      <c r="AA22" s="1325">
        <f>Z22+SUMIF('11.1.Амортиз.нови активи'!$B$12:$B$59,$B22,'11.1.Амортиз.нови активи'!AA$12:AA$59)</f>
        <v>0</v>
      </c>
      <c r="AB22" s="1321">
        <f>AA22+SUMIF('11.1.Амортиз.нови активи'!$B$12:$B$59,$B22,'11.1.Амортиз.нови активи'!AB$12:AB$59)</f>
        <v>0</v>
      </c>
      <c r="AC22" s="1321">
        <f>AB22+SUMIF('11.1.Амортиз.нови активи'!$B$12:$B$59,$B22,'11.1.Амортиз.нови активи'!AC$12:AC$59)</f>
        <v>0</v>
      </c>
      <c r="AD22" s="1321">
        <f>AC22+SUMIF('11.1.Амортиз.нови активи'!$B$12:$B$59,$B22,'11.1.Амортиз.нови активи'!AD$12:AD$59)</f>
        <v>0</v>
      </c>
      <c r="AE22" s="1321">
        <f>AD22+SUMIF('11.1.Амортиз.нови активи'!$B$12:$B$59,$B22,'11.1.Амортиз.нови активи'!AE$12:AE$59)</f>
        <v>0</v>
      </c>
      <c r="AF22" s="1326">
        <f>AE22+SUMIF('11.1.Амортиз.нови активи'!$B$12:$B$59,$B22,'11.1.Амортиз.нови активи'!AF$12:AF$59)</f>
        <v>0</v>
      </c>
      <c r="AG22" s="448"/>
      <c r="AH22" s="1325">
        <f>AG22+SUMIF('11.1.Амортиз.нови активи'!$B$12:$B$59,$B22,'11.1.Амортиз.нови активи'!AH$12:AH$59)</f>
        <v>0</v>
      </c>
      <c r="AI22" s="1321">
        <f>AH22+SUMIF('11.1.Амортиз.нови активи'!$B$12:$B$59,$B22,'11.1.Амортиз.нови активи'!AI$12:AI$59)</f>
        <v>0</v>
      </c>
      <c r="AJ22" s="1321">
        <f>AI22+SUMIF('11.1.Амортиз.нови активи'!$B$12:$B$59,$B22,'11.1.Амортиз.нови активи'!AJ$12:AJ$59)</f>
        <v>0</v>
      </c>
      <c r="AK22" s="1321">
        <f>AJ22+SUMIF('11.1.Амортиз.нови активи'!$B$12:$B$59,$B22,'11.1.Амортиз.нови активи'!AK$12:AK$59)</f>
        <v>0</v>
      </c>
      <c r="AL22" s="1321">
        <f>AK22+SUMIF('11.1.Амортиз.нови активи'!$B$12:$B$59,$B22,'11.1.Амортиз.нови активи'!AL$12:AL$59)</f>
        <v>0</v>
      </c>
      <c r="AM22" s="1326">
        <f>AL22+SUMIF('11.1.Амортиз.нови активи'!$B$12:$B$59,$B22,'11.1.Амортиз.нови активи'!AM$12:AM$59)</f>
        <v>0</v>
      </c>
      <c r="AN22" s="2860"/>
      <c r="AO22" s="2868"/>
      <c r="AP22" s="1421"/>
    </row>
    <row r="23" spans="1:42">
      <c r="A23" s="2873"/>
      <c r="B23" s="2874">
        <v>20504</v>
      </c>
      <c r="C23" s="2869">
        <v>0.1</v>
      </c>
      <c r="D23" s="2870" t="s">
        <v>563</v>
      </c>
      <c r="E23" s="448">
        <v>25</v>
      </c>
      <c r="F23" s="996">
        <f>E23+SUMIF('11.1.Амортиз.нови активи'!$B$12:$B$59,$B23,'11.1.Амортиз.нови активи'!F$12:F$59)+('9.Инвестиционна програма'!G$130*SUMIF('11.1.Амортиз.нови активи'!$B$12:$B$59,$B23,'11.1.Амортиз.нови активи'!AO$12:AO$59))</f>
        <v>25</v>
      </c>
      <c r="G23" s="1321">
        <f>F23+SUMIF('11.1.Амортиз.нови активи'!$B$12:$B$59,$B23,'11.1.Амортиз.нови активи'!G$12:G$59)+('9.Инвестиционна програма'!H$130*SUMIF('11.1.Амортиз.нови активи'!$B$12:$B$59,$B23,'11.1.Амортиз.нови активи'!AP$12:AP$59))</f>
        <v>25</v>
      </c>
      <c r="H23" s="1321">
        <f>G23+SUMIF('11.1.Амортиз.нови активи'!$B$12:$B$59,$B23,'11.1.Амортиз.нови активи'!H$12:H$59)+('9.Инвестиционна програма'!I$130*SUMIF('11.1.Амортиз.нови активи'!$B$12:$B$59,$B23,'11.1.Амортиз.нови активи'!AQ$12:AQ$59))</f>
        <v>25</v>
      </c>
      <c r="I23" s="1321">
        <f>H23+SUMIF('11.1.Амортиз.нови активи'!$B$12:$B$59,$B23,'11.1.Амортиз.нови активи'!I$12:I$59)+('9.Инвестиционна програма'!J$130*SUMIF('11.1.Амортиз.нови активи'!$B$12:$B$59,$B23,'11.1.Амортиз.нови активи'!AR$12:AR$59))</f>
        <v>25</v>
      </c>
      <c r="J23" s="1321">
        <f>I23+SUMIF('11.1.Амортиз.нови активи'!$B$12:$B$59,$B23,'11.1.Амортиз.нови активи'!J$12:J$59)+('9.Инвестиционна програма'!K$130*SUMIF('11.1.Амортиз.нови активи'!$B$12:$B$59,$B23,'11.1.Амортиз.нови активи'!AS$12:AS$59))</f>
        <v>25</v>
      </c>
      <c r="K23" s="1326">
        <f>J23+SUMIF('11.1.Амортиз.нови активи'!$B$12:$B$59,$B23,'11.1.Амортиз.нови активи'!K$12:K$59)+('9.Инвестиционна програма'!L$130*SUMIF('11.1.Амортиз.нови активи'!$B$12:$B$59,$B23,'11.1.Амортиз.нови активи'!AT$12:AT$59))</f>
        <v>25</v>
      </c>
      <c r="L23" s="448">
        <v>714</v>
      </c>
      <c r="M23" s="1325">
        <f>L23+SUMIF('11.1.Амортиз.нови активи'!$B$12:$B$59,$B23,'11.1.Амортиз.нови активи'!M$12:M$59)+('9.Инвестиционна програма'!G$131*SUMIF('11.1.Амортиз.нови активи'!$B$12:$B$59,$B23,'11.1.Амортиз.нови активи'!AO$12:AO$59))</f>
        <v>714</v>
      </c>
      <c r="N23" s="1321">
        <f>M23+SUMIF('11.1.Амортиз.нови активи'!$B$12:$B$59,$B23,'11.1.Амортиз.нови активи'!N$12:N$59)+('9.Инвестиционна програма'!H$131*SUMIF('11.1.Амортиз.нови активи'!$B$12:$B$59,$B23,'11.1.Амортиз.нови активи'!AP$12:AP$59))</f>
        <v>714</v>
      </c>
      <c r="O23" s="1321">
        <f>N23+SUMIF('11.1.Амортиз.нови активи'!$B$12:$B$59,$B23,'11.1.Амортиз.нови активи'!O$12:O$59)+('9.Инвестиционна програма'!I$131*SUMIF('11.1.Амортиз.нови активи'!$B$12:$B$59,$B23,'11.1.Амортиз.нови активи'!AQ$12:AQ$59))</f>
        <v>714</v>
      </c>
      <c r="P23" s="1321">
        <f>O23+SUMIF('11.1.Амортиз.нови активи'!$B$12:$B$59,$B23,'11.1.Амортиз.нови активи'!P$12:P$59)+('9.Инвестиционна програма'!J$131*SUMIF('11.1.Амортиз.нови активи'!$B$12:$B$59,$B23,'11.1.Амортиз.нови активи'!AR$12:AR$59))</f>
        <v>714</v>
      </c>
      <c r="Q23" s="1321">
        <f>P23+SUMIF('11.1.Амортиз.нови активи'!$B$12:$B$59,$B23,'11.1.Амортиз.нови активи'!Q$12:Q$59)+('9.Инвестиционна програма'!K$131*SUMIF('11.1.Амортиз.нови активи'!$B$12:$B$59,$B23,'11.1.Амортиз.нови активи'!AS$12:AS$59))</f>
        <v>714</v>
      </c>
      <c r="R23" s="1326">
        <f>Q23+SUMIF('11.1.Амортиз.нови активи'!$B$12:$B$59,$B23,'11.1.Амортиз.нови активи'!R$12:R$59)+('9.Инвестиционна програма'!L$131*SUMIF('11.1.Амортиз.нови активи'!$B$12:$B$59,$B23,'11.1.Амортиз.нови активи'!AT$12:AT$59))</f>
        <v>714</v>
      </c>
      <c r="S23" s="448">
        <v>0</v>
      </c>
      <c r="T23" s="1325">
        <f>S23+SUMIF('11.1.Амортиз.нови активи'!$B$12:$B$59,$B23,'11.1.Амортиз.нови активи'!T$12:T$59)+('9.Инвестиционна програма'!G$132*SUMIF('11.1.Амортиз.нови активи'!$B$12:$B$59,$B23,'11.1.Амортиз.нови активи'!AO$12:AO$59))</f>
        <v>0</v>
      </c>
      <c r="U23" s="1321">
        <f>T23+SUMIF('11.1.Амортиз.нови активи'!$B$12:$B$59,$B23,'11.1.Амортиз.нови активи'!U$12:U$59)+('9.Инвестиционна програма'!H$132*SUMIF('11.1.Амортиз.нови активи'!$B$12:$B$59,$B23,'11.1.Амортиз.нови активи'!AP$12:AP$59))</f>
        <v>0</v>
      </c>
      <c r="V23" s="1321">
        <f>U23+SUMIF('11.1.Амортиз.нови активи'!$B$12:$B$59,$B23,'11.1.Амортиз.нови активи'!V$12:V$59)+('9.Инвестиционна програма'!I$132*SUMIF('11.1.Амортиз.нови активи'!$B$12:$B$59,$B23,'11.1.Амортиз.нови активи'!AQ$12:AQ$59))</f>
        <v>0</v>
      </c>
      <c r="W23" s="1321">
        <f>V23+SUMIF('11.1.Амортиз.нови активи'!$B$12:$B$59,$B23,'11.1.Амортиз.нови активи'!W$12:W$59)+('9.Инвестиционна програма'!J$132*SUMIF('11.1.Амортиз.нови активи'!$B$12:$B$59,$B23,'11.1.Амортиз.нови активи'!AR$12:AR$59))</f>
        <v>0</v>
      </c>
      <c r="X23" s="1321">
        <f>W23+SUMIF('11.1.Амортиз.нови активи'!$B$12:$B$59,$B23,'11.1.Амортиз.нови активи'!X$12:X$59)+('9.Инвестиционна програма'!K$132*SUMIF('11.1.Амортиз.нови активи'!$B$12:$B$59,$B23,'11.1.Амортиз.нови активи'!AS$12:AS$59))</f>
        <v>0</v>
      </c>
      <c r="Y23" s="1326">
        <f>X23+SUMIF('11.1.Амортиз.нови активи'!$B$12:$B$59,$B23,'11.1.Амортиз.нови активи'!Y$12:Y$59)+('9.Инвестиционна програма'!L$132*SUMIF('11.1.Амортиз.нови активи'!$B$12:$B$59,$B23,'11.1.Амортиз.нови активи'!AT$12:AT$59))</f>
        <v>0</v>
      </c>
      <c r="Z23" s="448">
        <v>0</v>
      </c>
      <c r="AA23" s="1325">
        <f>Z23+SUMIF('11.1.Амортиз.нови активи'!$B$12:$B$59,$B23,'11.1.Амортиз.нови активи'!AA$12:AA$59)</f>
        <v>0</v>
      </c>
      <c r="AB23" s="1321">
        <f>AA23+SUMIF('11.1.Амортиз.нови активи'!$B$12:$B$59,$B23,'11.1.Амортиз.нови активи'!AB$12:AB$59)</f>
        <v>0</v>
      </c>
      <c r="AC23" s="1321">
        <f>AB23+SUMIF('11.1.Амортиз.нови активи'!$B$12:$B$59,$B23,'11.1.Амортиз.нови активи'!AC$12:AC$59)</f>
        <v>0</v>
      </c>
      <c r="AD23" s="1321">
        <f>AC23+SUMIF('11.1.Амортиз.нови активи'!$B$12:$B$59,$B23,'11.1.Амортиз.нови активи'!AD$12:AD$59)</f>
        <v>0</v>
      </c>
      <c r="AE23" s="1321">
        <f>AD23+SUMIF('11.1.Амортиз.нови активи'!$B$12:$B$59,$B23,'11.1.Амортиз.нови активи'!AE$12:AE$59)</f>
        <v>0</v>
      </c>
      <c r="AF23" s="1326">
        <f>AE23+SUMIF('11.1.Амортиз.нови активи'!$B$12:$B$59,$B23,'11.1.Амортиз.нови активи'!AF$12:AF$59)</f>
        <v>0</v>
      </c>
      <c r="AG23" s="448"/>
      <c r="AH23" s="1325">
        <f>AG23+SUMIF('11.1.Амортиз.нови активи'!$B$12:$B$59,$B23,'11.1.Амортиз.нови активи'!AH$12:AH$59)</f>
        <v>0</v>
      </c>
      <c r="AI23" s="1321">
        <f>AH23+SUMIF('11.1.Амортиз.нови активи'!$B$12:$B$59,$B23,'11.1.Амортиз.нови активи'!AI$12:AI$59)</f>
        <v>0</v>
      </c>
      <c r="AJ23" s="1321">
        <f>AI23+SUMIF('11.1.Амортиз.нови активи'!$B$12:$B$59,$B23,'11.1.Амортиз.нови активи'!AJ$12:AJ$59)</f>
        <v>0</v>
      </c>
      <c r="AK23" s="1321">
        <f>AJ23+SUMIF('11.1.Амортиз.нови активи'!$B$12:$B$59,$B23,'11.1.Амортиз.нови активи'!AK$12:AK$59)</f>
        <v>0</v>
      </c>
      <c r="AL23" s="1321">
        <f>AK23+SUMIF('11.1.Амортиз.нови активи'!$B$12:$B$59,$B23,'11.1.Амортиз.нови активи'!AL$12:AL$59)</f>
        <v>0</v>
      </c>
      <c r="AM23" s="1326">
        <f>AL23+SUMIF('11.1.Амортиз.нови активи'!$B$12:$B$59,$B23,'11.1.Амортиз.нови активи'!AM$12:AM$59)</f>
        <v>0</v>
      </c>
      <c r="AN23" s="2860"/>
      <c r="AO23" s="2868"/>
      <c r="AP23" s="1421"/>
    </row>
    <row r="24" spans="1:42">
      <c r="A24" s="2873">
        <v>6</v>
      </c>
      <c r="B24" s="2874">
        <v>208</v>
      </c>
      <c r="C24" s="2869">
        <v>0.2</v>
      </c>
      <c r="D24" s="2876" t="s">
        <v>418</v>
      </c>
      <c r="E24" s="448">
        <v>96</v>
      </c>
      <c r="F24" s="996">
        <f>E24+SUMIF('11.1.Амортиз.нови активи'!$B$12:$B$59,$B24,'11.1.Амортиз.нови активи'!F$12:F$59)+('9.Инвестиционна програма'!G$130*SUMIF('11.1.Амортиз.нови активи'!$B$12:$B$59,$B24,'11.1.Амортиз.нови активи'!AO$12:AO$59))</f>
        <v>113.76943699731903</v>
      </c>
      <c r="G24" s="1321">
        <f>F24+SUMIF('11.1.Амортиз.нови активи'!$B$12:$B$59,$B24,'11.1.Амортиз.нови активи'!G$12:G$59)+('9.Инвестиционна програма'!H$130*SUMIF('11.1.Амортиз.нови активи'!$B$12:$B$59,$B24,'11.1.Амортиз.нови активи'!AP$12:AP$59))</f>
        <v>116.76943699731903</v>
      </c>
      <c r="H24" s="1321">
        <f>G24+SUMIF('11.1.Амортиз.нови активи'!$B$12:$B$59,$B24,'11.1.Амортиз.нови активи'!H$12:H$59)+('9.Инвестиционна програма'!I$130*SUMIF('11.1.Амортиз.нови активи'!$B$12:$B$59,$B24,'11.1.Амортиз.нови активи'!AQ$12:AQ$59))</f>
        <v>118.4361036639857</v>
      </c>
      <c r="I24" s="1321">
        <f>H24+SUMIF('11.1.Амортиз.нови активи'!$B$12:$B$59,$B24,'11.1.Амортиз.нови активи'!I$12:I$59)+('9.Инвестиционна програма'!J$130*SUMIF('11.1.Амортиз.нови активи'!$B$12:$B$59,$B24,'11.1.Амортиз.нови активи'!AR$12:AR$59))</f>
        <v>119.76943699731903</v>
      </c>
      <c r="J24" s="1321">
        <f>I24+SUMIF('11.1.Амортиз.нови активи'!$B$12:$B$59,$B24,'11.1.Амортиз.нови активи'!J$12:J$59)+('9.Инвестиционна програма'!K$130*SUMIF('11.1.Амортиз.нови активи'!$B$12:$B$59,$B24,'11.1.Амортиз.нови активи'!AS$12:AS$59))</f>
        <v>121.76943699731903</v>
      </c>
      <c r="K24" s="1326">
        <f>J24+SUMIF('11.1.Амортиз.нови активи'!$B$12:$B$59,$B24,'11.1.Амортиз.нови активи'!K$12:K$59)+('9.Инвестиционна програма'!L$130*SUMIF('11.1.Амортиз.нови активи'!$B$12:$B$59,$B24,'11.1.Амортиз.нови активи'!AT$12:AT$59))</f>
        <v>123.76943699731903</v>
      </c>
      <c r="L24" s="448">
        <v>49</v>
      </c>
      <c r="M24" s="1325">
        <f>L24+SUMIF('11.1.Амортиз.нови активи'!$B$12:$B$59,$B24,'11.1.Амортиз.нови активи'!M$12:M$59)+('9.Инвестиционна програма'!G$131*SUMIF('11.1.Амортиз.нови активи'!$B$12:$B$59,$B24,'11.1.Амортиз.нови активи'!AO$12:AO$59))</f>
        <v>51.101876675603215</v>
      </c>
      <c r="N24" s="1321">
        <f>M24+SUMIF('11.1.Амортиз.нови активи'!$B$12:$B$59,$B24,'11.1.Амортиз.нови активи'!N$12:N$59)+('9.Инвестиционна програма'!H$131*SUMIF('11.1.Амортиз.нови активи'!$B$12:$B$59,$B24,'11.1.Амортиз.нови активи'!AP$12:AP$59))</f>
        <v>54.101876675603215</v>
      </c>
      <c r="O24" s="1321">
        <f>N24+SUMIF('11.1.Амортиз.нови активи'!$B$12:$B$59,$B24,'11.1.Амортиз.нови активи'!O$12:O$59)+('9.Инвестиционна програма'!I$131*SUMIF('11.1.Амортиз.нови активи'!$B$12:$B$59,$B24,'11.1.Амортиз.нови активи'!AQ$12:AQ$59))</f>
        <v>55.768543342269879</v>
      </c>
      <c r="P24" s="1321">
        <f>O24+SUMIF('11.1.Амортиз.нови активи'!$B$12:$B$59,$B24,'11.1.Амортиз.нови активи'!P$12:P$59)+('9.Инвестиционна програма'!J$131*SUMIF('11.1.Амортиз.нови активи'!$B$12:$B$59,$B24,'11.1.Амортиз.нови активи'!AR$12:AR$59))</f>
        <v>57.101876675603215</v>
      </c>
      <c r="Q24" s="1321">
        <f>P24+SUMIF('11.1.Амортиз.нови активи'!$B$12:$B$59,$B24,'11.1.Амортиз.нови активи'!Q$12:Q$59)+('9.Инвестиционна програма'!K$131*SUMIF('11.1.Амортиз.нови активи'!$B$12:$B$59,$B24,'11.1.Амортиз.нови активи'!AS$12:AS$59))</f>
        <v>59.101876675603215</v>
      </c>
      <c r="R24" s="1326">
        <f>Q24+SUMIF('11.1.Амортиз.нови активи'!$B$12:$B$59,$B24,'11.1.Амортиз.нови активи'!R$12:R$59)+('9.Инвестиционна програма'!L$131*SUMIF('11.1.Амортиз.нови активи'!$B$12:$B$59,$B24,'11.1.Амортиз.нови активи'!AT$12:AT$59))</f>
        <v>61.101876675603215</v>
      </c>
      <c r="S24" s="448">
        <v>24.82</v>
      </c>
      <c r="T24" s="1325">
        <f>S24+SUMIF('11.1.Амортиз.нови активи'!$B$12:$B$59,$B24,'11.1.Амортиз.нови активи'!T$12:T$59)+('9.Инвестиционна програма'!G$132*SUMIF('11.1.Амортиз.нови активи'!$B$12:$B$59,$B24,'11.1.Амортиз.нови активи'!AO$12:AO$59))</f>
        <v>24.948686327077748</v>
      </c>
      <c r="U24" s="1321">
        <f>T24+SUMIF('11.1.Амортиз.нови активи'!$B$12:$B$59,$B24,'11.1.Амортиз.нови активи'!U$12:U$59)+('9.Инвестиционна програма'!H$132*SUMIF('11.1.Амортиз.нови активи'!$B$12:$B$59,$B24,'11.1.Амортиз.нови активи'!AP$12:AP$59))</f>
        <v>27.948686327077748</v>
      </c>
      <c r="V24" s="1321">
        <f>U24+SUMIF('11.1.Амортиз.нови активи'!$B$12:$B$59,$B24,'11.1.Амортиз.нови активи'!V$12:V$59)+('9.Инвестиционна програма'!I$132*SUMIF('11.1.Амортиз.нови активи'!$B$12:$B$59,$B24,'11.1.Амортиз.нови активи'!AQ$12:AQ$59))</f>
        <v>29.615352993744416</v>
      </c>
      <c r="W24" s="1321">
        <f>V24+SUMIF('11.1.Амортиз.нови активи'!$B$12:$B$59,$B24,'11.1.Амортиз.нови активи'!W$12:W$59)+('9.Инвестиционна програма'!J$132*SUMIF('11.1.Амортиз.нови активи'!$B$12:$B$59,$B24,'11.1.Амортиз.нови активи'!AR$12:AR$59))</f>
        <v>30.948686327077748</v>
      </c>
      <c r="X24" s="1321">
        <f>W24+SUMIF('11.1.Амортиз.нови активи'!$B$12:$B$59,$B24,'11.1.Амортиз.нови активи'!X$12:X$59)+('9.Инвестиционна програма'!K$132*SUMIF('11.1.Амортиз.нови активи'!$B$12:$B$59,$B24,'11.1.Амортиз.нови активи'!AS$12:AS$59))</f>
        <v>32.948686327077752</v>
      </c>
      <c r="Y24" s="1326">
        <f>X24+SUMIF('11.1.Амортиз.нови активи'!$B$12:$B$59,$B24,'11.1.Амортиз.нови активи'!Y$12:Y$59)+('9.Инвестиционна програма'!L$132*SUMIF('11.1.Амортиз.нови активи'!$B$12:$B$59,$B24,'11.1.Амортиз.нови активи'!AT$12:AT$59))</f>
        <v>34.948686327077752</v>
      </c>
      <c r="Z24" s="448">
        <v>1</v>
      </c>
      <c r="AA24" s="1325">
        <f>Z24+SUMIF('11.1.Амортиз.нови активи'!$B$12:$B$59,$B24,'11.1.Амортиз.нови активи'!AA$12:AA$59)</f>
        <v>1</v>
      </c>
      <c r="AB24" s="1321">
        <f>AA24+SUMIF('11.1.Амортиз.нови активи'!$B$12:$B$59,$B24,'11.1.Амортиз.нови активи'!AB$12:AB$59)</f>
        <v>1</v>
      </c>
      <c r="AC24" s="1321">
        <f>AB24+SUMIF('11.1.Амортиз.нови активи'!$B$12:$B$59,$B24,'11.1.Амортиз.нови активи'!AC$12:AC$59)</f>
        <v>1</v>
      </c>
      <c r="AD24" s="1321">
        <f>AC24+SUMIF('11.1.Амортиз.нови активи'!$B$12:$B$59,$B24,'11.1.Амортиз.нови активи'!AD$12:AD$59)</f>
        <v>1</v>
      </c>
      <c r="AE24" s="1321">
        <f>AD24+SUMIF('11.1.Амортиз.нови активи'!$B$12:$B$59,$B24,'11.1.Амортиз.нови активи'!AE$12:AE$59)</f>
        <v>1</v>
      </c>
      <c r="AF24" s="1326">
        <f>AE24+SUMIF('11.1.Амортиз.нови активи'!$B$12:$B$59,$B24,'11.1.Амортиз.нови активи'!AF$12:AF$59)</f>
        <v>1</v>
      </c>
      <c r="AG24" s="448"/>
      <c r="AH24" s="1325">
        <f>AG24+SUMIF('11.1.Амортиз.нови активи'!$B$12:$B$59,$B24,'11.1.Амортиз.нови активи'!AH$12:AH$59)</f>
        <v>0</v>
      </c>
      <c r="AI24" s="1321">
        <f>AH24+SUMIF('11.1.Амортиз.нови активи'!$B$12:$B$59,$B24,'11.1.Амортиз.нови активи'!AI$12:AI$59)</f>
        <v>0</v>
      </c>
      <c r="AJ24" s="1321">
        <f>AI24+SUMIF('11.1.Амортиз.нови активи'!$B$12:$B$59,$B24,'11.1.Амортиз.нови активи'!AJ$12:AJ$59)</f>
        <v>0</v>
      </c>
      <c r="AK24" s="1321">
        <f>AJ24+SUMIF('11.1.Амортиз.нови активи'!$B$12:$B$59,$B24,'11.1.Амортиз.нови активи'!AK$12:AK$59)</f>
        <v>0</v>
      </c>
      <c r="AL24" s="1321">
        <f>AK24+SUMIF('11.1.Амортиз.нови активи'!$B$12:$B$59,$B24,'11.1.Амортиз.нови активи'!AL$12:AL$59)</f>
        <v>0</v>
      </c>
      <c r="AM24" s="1326">
        <f>AL24+SUMIF('11.1.Амортиз.нови активи'!$B$12:$B$59,$B24,'11.1.Амортиз.нови активи'!AM$12:AM$59)</f>
        <v>0</v>
      </c>
      <c r="AN24" s="2860"/>
      <c r="AO24" s="2868"/>
      <c r="AP24" s="1421"/>
    </row>
    <row r="25" spans="1:42">
      <c r="A25" s="2873">
        <v>7</v>
      </c>
      <c r="B25" s="2877">
        <v>20601</v>
      </c>
      <c r="C25" s="2869">
        <v>0.1</v>
      </c>
      <c r="D25" s="2876" t="s">
        <v>570</v>
      </c>
      <c r="E25" s="448">
        <v>59</v>
      </c>
      <c r="F25" s="996">
        <f>E25+SUMIF('11.1.Амортиз.нови активи'!$B$12:$B$59,$B25,'11.1.Амортиз.нови активи'!F$12:F$59)+('9.Инвестиционна програма'!G$130*SUMIF('11.1.Амортиз.нови активи'!$B$12:$B$59,$B25,'11.1.Амортиз.нови активи'!AO$12:AO$59))</f>
        <v>71.438605898123328</v>
      </c>
      <c r="G25" s="1321">
        <f>F25+SUMIF('11.1.Амортиз.нови активи'!$B$12:$B$59,$B25,'11.1.Амортиз.нови активи'!G$12:G$59)+('9.Инвестиционна програма'!H$130*SUMIF('11.1.Амортиз.нови активи'!$B$12:$B$59,$B25,'11.1.Амортиз.нови активи'!AP$12:AP$59))</f>
        <v>74.771939231456656</v>
      </c>
      <c r="H25" s="1321">
        <f>G25+SUMIF('11.1.Амортиз.нови активи'!$B$12:$B$59,$B25,'11.1.Амортиз.нови активи'!H$12:H$59)+('9.Инвестиционна програма'!I$130*SUMIF('11.1.Амортиз.нови активи'!$B$12:$B$59,$B25,'11.1.Амортиз.нови активи'!AQ$12:AQ$59))</f>
        <v>77.438605898123328</v>
      </c>
      <c r="I25" s="1321">
        <f>H25+SUMIF('11.1.Амортиз.нови активи'!$B$12:$B$59,$B25,'11.1.Амортиз.нови активи'!I$12:I$59)+('9.Инвестиционна програма'!J$130*SUMIF('11.1.Амортиз.нови активи'!$B$12:$B$59,$B25,'11.1.Амортиз.нови активи'!AR$12:AR$59))</f>
        <v>82.438605898123328</v>
      </c>
      <c r="J25" s="1321">
        <f>I25+SUMIF('11.1.Амортиз.нови активи'!$B$12:$B$59,$B25,'11.1.Амортиз.нови активи'!J$12:J$59)+('9.Инвестиционна програма'!K$130*SUMIF('11.1.Амортиз.нови активи'!$B$12:$B$59,$B25,'11.1.Амортиз.нови активи'!AS$12:AS$59))</f>
        <v>85.771939231456656</v>
      </c>
      <c r="K25" s="1326">
        <f>J25+SUMIF('11.1.Амортиз.нови активи'!$B$12:$B$59,$B25,'11.1.Амортиз.нови активи'!K$12:K$59)+('9.Инвестиционна програма'!L$130*SUMIF('11.1.Амортиз.нови активи'!$B$12:$B$59,$B25,'11.1.Амортиз.нови активи'!AT$12:AT$59))</f>
        <v>85.771939231456656</v>
      </c>
      <c r="L25" s="448">
        <v>6</v>
      </c>
      <c r="M25" s="1325">
        <f>L25+SUMIF('11.1.Амортиз.нови активи'!$B$12:$B$59,$B25,'11.1.Амортиз.нови активи'!M$12:M$59)+('9.Инвестиционна програма'!G$131*SUMIF('11.1.Амортиз.нови активи'!$B$12:$B$59,$B25,'11.1.Амортиз.нови активи'!AO$12:AO$59))</f>
        <v>7.4713136729222516</v>
      </c>
      <c r="N25" s="1321">
        <f>M25+SUMIF('11.1.Амортиз.нови активи'!$B$12:$B$59,$B25,'11.1.Амортиз.нови активи'!N$12:N$59)+('9.Инвестиционна програма'!H$131*SUMIF('11.1.Амортиз.нови активи'!$B$12:$B$59,$B25,'11.1.Амортиз.нови активи'!AP$12:AP$59))</f>
        <v>10.804647006255585</v>
      </c>
      <c r="O25" s="1321">
        <f>N25+SUMIF('11.1.Амортиз.нови активи'!$B$12:$B$59,$B25,'11.1.Амортиз.нови активи'!O$12:O$59)+('9.Инвестиционна програма'!I$131*SUMIF('11.1.Амортиз.нови активи'!$B$12:$B$59,$B25,'11.1.Амортиз.нови активи'!AQ$12:AQ$59))</f>
        <v>13.471313672922252</v>
      </c>
      <c r="P25" s="1321">
        <f>O25+SUMIF('11.1.Амортиз.нови активи'!$B$12:$B$59,$B25,'11.1.Амортиз.нови активи'!P$12:P$59)+('9.Инвестиционна програма'!J$131*SUMIF('11.1.Амортиз.нови активи'!$B$12:$B$59,$B25,'11.1.Амортиз.нови активи'!AR$12:AR$59))</f>
        <v>18.47131367292225</v>
      </c>
      <c r="Q25" s="1321">
        <f>P25+SUMIF('11.1.Амортиз.нови активи'!$B$12:$B$59,$B25,'11.1.Амортиз.нови активи'!Q$12:Q$59)+('9.Инвестиционна програма'!K$131*SUMIF('11.1.Амортиз.нови активи'!$B$12:$B$59,$B25,'11.1.Амортиз.нови активи'!AS$12:AS$59))</f>
        <v>21.804647006255582</v>
      </c>
      <c r="R25" s="1326">
        <f>Q25+SUMIF('11.1.Амортиз.нови активи'!$B$12:$B$59,$B25,'11.1.Амортиз.нови активи'!R$12:R$59)+('9.Инвестиционна програма'!L$131*SUMIF('11.1.Амортиз.нови активи'!$B$12:$B$59,$B25,'11.1.Амортиз.нови активи'!AT$12:AT$59))</f>
        <v>21.804647006255582</v>
      </c>
      <c r="S25" s="448">
        <v>5</v>
      </c>
      <c r="T25" s="1325">
        <f>S25+SUMIF('11.1.Амортиз.нови активи'!$B$12:$B$59,$B25,'11.1.Амортиз.нови активи'!T$12:T$59)+('9.Инвестиционна програма'!G$132*SUMIF('11.1.Амортиз.нови активи'!$B$12:$B$59,$B25,'11.1.Амортиз.нови активи'!AO$12:AO$59))</f>
        <v>5.0900804289544235</v>
      </c>
      <c r="U25" s="1321">
        <f>T25+SUMIF('11.1.Амортиз.нови активи'!$B$12:$B$59,$B25,'11.1.Амортиз.нови активи'!U$12:U$59)+('9.Инвестиционна програма'!H$132*SUMIF('11.1.Амортиз.нови активи'!$B$12:$B$59,$B25,'11.1.Амортиз.нови активи'!AP$12:AP$59))</f>
        <v>8.4234137622877565</v>
      </c>
      <c r="V25" s="1321">
        <f>U25+SUMIF('11.1.Амортиз.нови активи'!$B$12:$B$59,$B25,'11.1.Амортиз.нови активи'!V$12:V$59)+('9.Инвестиционна програма'!I$132*SUMIF('11.1.Амортиз.нови активи'!$B$12:$B$59,$B25,'11.1.Амортиз.нови активи'!AQ$12:AQ$59))</f>
        <v>11.090080428954423</v>
      </c>
      <c r="W25" s="1321">
        <f>V25+SUMIF('11.1.Амортиз.нови активи'!$B$12:$B$59,$B25,'11.1.Амортиз.нови активи'!W$12:W$59)+('9.Инвестиционна програма'!J$132*SUMIF('11.1.Амортиз.нови активи'!$B$12:$B$59,$B25,'11.1.Амортиз.нови активи'!AR$12:AR$59))</f>
        <v>16.090080428954423</v>
      </c>
      <c r="X25" s="1321">
        <f>W25+SUMIF('11.1.Амортиз.нови активи'!$B$12:$B$59,$B25,'11.1.Амортиз.нови активи'!X$12:X$59)+('9.Инвестиционна програма'!K$132*SUMIF('11.1.Амортиз.нови активи'!$B$12:$B$59,$B25,'11.1.Амортиз.нови активи'!AS$12:AS$59))</f>
        <v>19.423413762287755</v>
      </c>
      <c r="Y25" s="1326">
        <f>X25+SUMIF('11.1.Амортиз.нови активи'!$B$12:$B$59,$B25,'11.1.Амортиз.нови активи'!Y$12:Y$59)+('9.Инвестиционна програма'!L$132*SUMIF('11.1.Амортиз.нови активи'!$B$12:$B$59,$B25,'11.1.Амортиз.нови активи'!AT$12:AT$59))</f>
        <v>19.423413762287755</v>
      </c>
      <c r="Z25" s="448">
        <v>0</v>
      </c>
      <c r="AA25" s="1325">
        <f>Z25+SUMIF('11.1.Амортиз.нови активи'!$B$12:$B$59,$B25,'11.1.Амортиз.нови активи'!AA$12:AA$59)</f>
        <v>0</v>
      </c>
      <c r="AB25" s="1321">
        <f>AA25+SUMIF('11.1.Амортиз.нови активи'!$B$12:$B$59,$B25,'11.1.Амортиз.нови активи'!AB$12:AB$59)</f>
        <v>0</v>
      </c>
      <c r="AC25" s="1321">
        <f>AB25+SUMIF('11.1.Амортиз.нови активи'!$B$12:$B$59,$B25,'11.1.Амортиз.нови активи'!AC$12:AC$59)</f>
        <v>0</v>
      </c>
      <c r="AD25" s="1321">
        <f>AC25+SUMIF('11.1.Амортиз.нови активи'!$B$12:$B$59,$B25,'11.1.Амортиз.нови активи'!AD$12:AD$59)</f>
        <v>0</v>
      </c>
      <c r="AE25" s="1321">
        <f>AD25+SUMIF('11.1.Амортиз.нови активи'!$B$12:$B$59,$B25,'11.1.Амортиз.нови активи'!AE$12:AE$59)</f>
        <v>0</v>
      </c>
      <c r="AF25" s="1326">
        <f>AE25+SUMIF('11.1.Амортиз.нови активи'!$B$12:$B$59,$B25,'11.1.Амортиз.нови активи'!AF$12:AF$59)</f>
        <v>0</v>
      </c>
      <c r="AG25" s="448"/>
      <c r="AH25" s="1325">
        <f>AG25+SUMIF('11.1.Амортиз.нови активи'!$B$12:$B$59,$B25,'11.1.Амортиз.нови активи'!AH$12:AH$59)</f>
        <v>0</v>
      </c>
      <c r="AI25" s="1321">
        <f>AH25+SUMIF('11.1.Амортиз.нови активи'!$B$12:$B$59,$B25,'11.1.Амортиз.нови активи'!AI$12:AI$59)</f>
        <v>0</v>
      </c>
      <c r="AJ25" s="1321">
        <f>AI25+SUMIF('11.1.Амортиз.нови активи'!$B$12:$B$59,$B25,'11.1.Амортиз.нови активи'!AJ$12:AJ$59)</f>
        <v>0</v>
      </c>
      <c r="AK25" s="1321">
        <f>AJ25+SUMIF('11.1.Амортиз.нови активи'!$B$12:$B$59,$B25,'11.1.Амортиз.нови активи'!AK$12:AK$59)</f>
        <v>0</v>
      </c>
      <c r="AL25" s="1321">
        <f>AK25+SUMIF('11.1.Амортиз.нови активи'!$B$12:$B$59,$B25,'11.1.Амортиз.нови активи'!AL$12:AL$59)</f>
        <v>0</v>
      </c>
      <c r="AM25" s="1326">
        <f>AL25+SUMIF('11.1.Амортиз.нови активи'!$B$12:$B$59,$B25,'11.1.Амортиз.нови активи'!AM$12:AM$59)</f>
        <v>0</v>
      </c>
      <c r="AN25" s="2860"/>
      <c r="AO25" s="2868"/>
      <c r="AP25" s="1421"/>
    </row>
    <row r="26" spans="1:42">
      <c r="A26" s="2878">
        <v>8</v>
      </c>
      <c r="B26" s="2877">
        <v>20602</v>
      </c>
      <c r="C26" s="2869">
        <v>0.1</v>
      </c>
      <c r="D26" s="2876" t="s">
        <v>440</v>
      </c>
      <c r="E26" s="448">
        <v>24</v>
      </c>
      <c r="F26" s="996">
        <f>E26+SUMIF('11.1.Амортиз.нови активи'!$B$12:$B$59,$B26,'11.1.Амортиз.нови активи'!F$12:F$59)+('9.Инвестиционна програма'!G$130*SUMIF('11.1.Амортиз.нови активи'!$B$12:$B$59,$B26,'11.1.Амортиз.нови активи'!AO$12:AO$59))</f>
        <v>24</v>
      </c>
      <c r="G26" s="1321">
        <f>F26+SUMIF('11.1.Амортиз.нови активи'!$B$12:$B$59,$B26,'11.1.Амортиз.нови активи'!G$12:G$59)+('9.Инвестиционна програма'!H$130*SUMIF('11.1.Амортиз.нови активи'!$B$12:$B$59,$B26,'11.1.Амортиз.нови активи'!AP$12:AP$59))</f>
        <v>24</v>
      </c>
      <c r="H26" s="1321">
        <f>G26+SUMIF('11.1.Амортиз.нови активи'!$B$12:$B$59,$B26,'11.1.Амортиз.нови активи'!H$12:H$59)+('9.Инвестиционна програма'!I$130*SUMIF('11.1.Амортиз.нови активи'!$B$12:$B$59,$B26,'11.1.Амортиз.нови активи'!AQ$12:AQ$59))</f>
        <v>24</v>
      </c>
      <c r="I26" s="1321">
        <f>H26+SUMIF('11.1.Амортиз.нови активи'!$B$12:$B$59,$B26,'11.1.Амортиз.нови активи'!I$12:I$59)+('9.Инвестиционна програма'!J$130*SUMIF('11.1.Амортиз.нови активи'!$B$12:$B$59,$B26,'11.1.Амортиз.нови активи'!AR$12:AR$59))</f>
        <v>24</v>
      </c>
      <c r="J26" s="1321">
        <f>I26+SUMIF('11.1.Амортиз.нови активи'!$B$12:$B$59,$B26,'11.1.Амортиз.нови активи'!J$12:J$59)+('9.Инвестиционна програма'!K$130*SUMIF('11.1.Амортиз.нови активи'!$B$12:$B$59,$B26,'11.1.Амортиз.нови активи'!AS$12:AS$59))</f>
        <v>24</v>
      </c>
      <c r="K26" s="1326">
        <f>J26+SUMIF('11.1.Амортиз.нови активи'!$B$12:$B$59,$B26,'11.1.Амортиз.нови активи'!K$12:K$59)+('9.Инвестиционна програма'!L$130*SUMIF('11.1.Амортиз.нови активи'!$B$12:$B$59,$B26,'11.1.Амортиз.нови активи'!AT$12:AT$59))</f>
        <v>24</v>
      </c>
      <c r="L26" s="448">
        <v>6</v>
      </c>
      <c r="M26" s="1325">
        <f>L26+SUMIF('11.1.Амортиз.нови активи'!$B$12:$B$59,$B26,'11.1.Амортиз.нови активи'!M$12:M$59)+('9.Инвестиционна програма'!G$131*SUMIF('11.1.Амортиз.нови активи'!$B$12:$B$59,$B26,'11.1.Амортиз.нови активи'!AO$12:AO$59))</f>
        <v>6</v>
      </c>
      <c r="N26" s="1321">
        <f>M26+SUMIF('11.1.Амортиз.нови активи'!$B$12:$B$59,$B26,'11.1.Амортиз.нови активи'!N$12:N$59)+('9.Инвестиционна програма'!H$131*SUMIF('11.1.Амортиз.нови активи'!$B$12:$B$59,$B26,'11.1.Амортиз.нови активи'!AP$12:AP$59))</f>
        <v>6</v>
      </c>
      <c r="O26" s="1321">
        <f>N26+SUMIF('11.1.Амортиз.нови активи'!$B$12:$B$59,$B26,'11.1.Амортиз.нови активи'!O$12:O$59)+('9.Инвестиционна програма'!I$131*SUMIF('11.1.Амортиз.нови активи'!$B$12:$B$59,$B26,'11.1.Амортиз.нови активи'!AQ$12:AQ$59))</f>
        <v>6</v>
      </c>
      <c r="P26" s="1321">
        <f>O26+SUMIF('11.1.Амортиз.нови активи'!$B$12:$B$59,$B26,'11.1.Амортиз.нови активи'!P$12:P$59)+('9.Инвестиционна програма'!J$131*SUMIF('11.1.Амортиз.нови активи'!$B$12:$B$59,$B26,'11.1.Амортиз.нови активи'!AR$12:AR$59))</f>
        <v>6</v>
      </c>
      <c r="Q26" s="1321">
        <f>P26+SUMIF('11.1.Амортиз.нови активи'!$B$12:$B$59,$B26,'11.1.Амортиз.нови активи'!Q$12:Q$59)+('9.Инвестиционна програма'!K$131*SUMIF('11.1.Амортиз.нови активи'!$B$12:$B$59,$B26,'11.1.Амортиз.нови активи'!AS$12:AS$59))</f>
        <v>6</v>
      </c>
      <c r="R26" s="1326">
        <f>Q26+SUMIF('11.1.Амортиз.нови активи'!$B$12:$B$59,$B26,'11.1.Амортиз.нови активи'!R$12:R$59)+('9.Инвестиционна програма'!L$131*SUMIF('11.1.Амортиз.нови активи'!$B$12:$B$59,$B26,'11.1.Амортиз.нови активи'!AT$12:AT$59))</f>
        <v>6</v>
      </c>
      <c r="S26" s="448">
        <v>4</v>
      </c>
      <c r="T26" s="1325">
        <f>S26+SUMIF('11.1.Амортиз.нови активи'!$B$12:$B$59,$B26,'11.1.Амортиз.нови активи'!T$12:T$59)+('9.Инвестиционна програма'!G$132*SUMIF('11.1.Амортиз.нови активи'!$B$12:$B$59,$B26,'11.1.Амортиз.нови активи'!AO$12:AO$59))</f>
        <v>4</v>
      </c>
      <c r="U26" s="1321">
        <f>T26+SUMIF('11.1.Амортиз.нови активи'!$B$12:$B$59,$B26,'11.1.Амортиз.нови активи'!U$12:U$59)+('9.Инвестиционна програма'!H$132*SUMIF('11.1.Амортиз.нови активи'!$B$12:$B$59,$B26,'11.1.Амортиз.нови активи'!AP$12:AP$59))</f>
        <v>4</v>
      </c>
      <c r="V26" s="1321">
        <f>U26+SUMIF('11.1.Амортиз.нови активи'!$B$12:$B$59,$B26,'11.1.Амортиз.нови активи'!V$12:V$59)+('9.Инвестиционна програма'!I$132*SUMIF('11.1.Амортиз.нови активи'!$B$12:$B$59,$B26,'11.1.Амортиз.нови активи'!AQ$12:AQ$59))</f>
        <v>4</v>
      </c>
      <c r="W26" s="1321">
        <f>V26+SUMIF('11.1.Амортиз.нови активи'!$B$12:$B$59,$B26,'11.1.Амортиз.нови активи'!W$12:W$59)+('9.Инвестиционна програма'!J$132*SUMIF('11.1.Амортиз.нови активи'!$B$12:$B$59,$B26,'11.1.Амортиз.нови активи'!AR$12:AR$59))</f>
        <v>4</v>
      </c>
      <c r="X26" s="1321">
        <f>W26+SUMIF('11.1.Амортиз.нови активи'!$B$12:$B$59,$B26,'11.1.Амортиз.нови активи'!X$12:X$59)+('9.Инвестиционна програма'!K$132*SUMIF('11.1.Амортиз.нови активи'!$B$12:$B$59,$B26,'11.1.Амортиз.нови активи'!AS$12:AS$59))</f>
        <v>4</v>
      </c>
      <c r="Y26" s="1326">
        <f>X26+SUMIF('11.1.Амортиз.нови активи'!$B$12:$B$59,$B26,'11.1.Амортиз.нови активи'!Y$12:Y$59)+('9.Инвестиционна програма'!L$132*SUMIF('11.1.Амортиз.нови активи'!$B$12:$B$59,$B26,'11.1.Амортиз.нови активи'!AT$12:AT$59))</f>
        <v>4</v>
      </c>
      <c r="Z26" s="448">
        <v>0</v>
      </c>
      <c r="AA26" s="1325">
        <f>Z26+SUMIF('11.1.Амортиз.нови активи'!$B$12:$B$59,$B26,'11.1.Амортиз.нови активи'!AA$12:AA$59)</f>
        <v>0</v>
      </c>
      <c r="AB26" s="1321">
        <f>AA26+SUMIF('11.1.Амортиз.нови активи'!$B$12:$B$59,$B26,'11.1.Амортиз.нови активи'!AB$12:AB$59)</f>
        <v>0</v>
      </c>
      <c r="AC26" s="1321">
        <f>AB26+SUMIF('11.1.Амортиз.нови активи'!$B$12:$B$59,$B26,'11.1.Амортиз.нови активи'!AC$12:AC$59)</f>
        <v>0</v>
      </c>
      <c r="AD26" s="1321">
        <f>AC26+SUMIF('11.1.Амортиз.нови активи'!$B$12:$B$59,$B26,'11.1.Амортиз.нови активи'!AD$12:AD$59)</f>
        <v>0</v>
      </c>
      <c r="AE26" s="1321">
        <f>AD26+SUMIF('11.1.Амортиз.нови активи'!$B$12:$B$59,$B26,'11.1.Амортиз.нови активи'!AE$12:AE$59)</f>
        <v>0</v>
      </c>
      <c r="AF26" s="1326">
        <f>AE26+SUMIF('11.1.Амортиз.нови активи'!$B$12:$B$59,$B26,'11.1.Амортиз.нови активи'!AF$12:AF$59)</f>
        <v>0</v>
      </c>
      <c r="AG26" s="448"/>
      <c r="AH26" s="1325">
        <f>AG26+SUMIF('11.1.Амортиз.нови активи'!$B$12:$B$59,$B26,'11.1.Амортиз.нови активи'!AH$12:AH$59)</f>
        <v>0</v>
      </c>
      <c r="AI26" s="1321">
        <f>AH26+SUMIF('11.1.Амортиз.нови активи'!$B$12:$B$59,$B26,'11.1.Амортиз.нови активи'!AI$12:AI$59)</f>
        <v>0</v>
      </c>
      <c r="AJ26" s="1321">
        <f>AI26+SUMIF('11.1.Амортиз.нови активи'!$B$12:$B$59,$B26,'11.1.Амортиз.нови активи'!AJ$12:AJ$59)</f>
        <v>0</v>
      </c>
      <c r="AK26" s="1321">
        <f>AJ26+SUMIF('11.1.Амортиз.нови активи'!$B$12:$B$59,$B26,'11.1.Амортиз.нови активи'!AK$12:AK$59)</f>
        <v>0</v>
      </c>
      <c r="AL26" s="1321">
        <f>AK26+SUMIF('11.1.Амортиз.нови активи'!$B$12:$B$59,$B26,'11.1.Амортиз.нови активи'!AL$12:AL$59)</f>
        <v>0</v>
      </c>
      <c r="AM26" s="1326">
        <f>AL26+SUMIF('11.1.Амортиз.нови активи'!$B$12:$B$59,$B26,'11.1.Амортиз.нови активи'!AM$12:AM$59)</f>
        <v>0</v>
      </c>
      <c r="AN26" s="2860"/>
      <c r="AO26" s="2868"/>
      <c r="AP26" s="1421"/>
    </row>
    <row r="27" spans="1:42">
      <c r="A27" s="2878">
        <v>9</v>
      </c>
      <c r="B27" s="2874">
        <v>20603</v>
      </c>
      <c r="C27" s="2869">
        <v>0.5</v>
      </c>
      <c r="D27" s="2876" t="s">
        <v>1023</v>
      </c>
      <c r="E27" s="448">
        <v>4</v>
      </c>
      <c r="F27" s="996">
        <f>E27+SUMIF('11.1.Амортиз.нови активи'!$B$12:$B$59,$B27,'11.1.Амортиз.нови активи'!F$12:F$59)+('9.Инвестиционна програма'!G$130*SUMIF('11.1.Амортиз.нови активи'!$B$12:$B$59,$B27,'11.1.Амортиз.нови активи'!AO$12:AO$59))</f>
        <v>4</v>
      </c>
      <c r="G27" s="1321">
        <f>F27+SUMIF('11.1.Амортиз.нови активи'!$B$12:$B$59,$B27,'11.1.Амортиз.нови активи'!G$12:G$59)+('9.Инвестиционна програма'!H$130*SUMIF('11.1.Амортиз.нови активи'!$B$12:$B$59,$B27,'11.1.Амортиз.нови активи'!AP$12:AP$59))</f>
        <v>4</v>
      </c>
      <c r="H27" s="1321">
        <f>G27+SUMIF('11.1.Амортиз.нови активи'!$B$12:$B$59,$B27,'11.1.Амортиз.нови активи'!H$12:H$59)+('9.Инвестиционна програма'!I$130*SUMIF('11.1.Амортиз.нови активи'!$B$12:$B$59,$B27,'11.1.Амортиз.нови активи'!AQ$12:AQ$59))</f>
        <v>4</v>
      </c>
      <c r="I27" s="1321">
        <f>H27+SUMIF('11.1.Амортиз.нови активи'!$B$12:$B$59,$B27,'11.1.Амортиз.нови активи'!I$12:I$59)+('9.Инвестиционна програма'!J$130*SUMIF('11.1.Амортиз.нови активи'!$B$12:$B$59,$B27,'11.1.Амортиз.нови активи'!AR$12:AR$59))</f>
        <v>4</v>
      </c>
      <c r="J27" s="1321">
        <f>I27+SUMIF('11.1.Амортиз.нови активи'!$B$12:$B$59,$B27,'11.1.Амортиз.нови активи'!J$12:J$59)+('9.Инвестиционна програма'!K$130*SUMIF('11.1.Амортиз.нови активи'!$B$12:$B$59,$B27,'11.1.Амортиз.нови активи'!AS$12:AS$59))</f>
        <v>4</v>
      </c>
      <c r="K27" s="1326">
        <f>J27+SUMIF('11.1.Амортиз.нови активи'!$B$12:$B$59,$B27,'11.1.Амортиз.нови активи'!K$12:K$59)+('9.Инвестиционна програма'!L$130*SUMIF('11.1.Амортиз.нови активи'!$B$12:$B$59,$B27,'11.1.Амортиз.нови активи'!AT$12:AT$59))</f>
        <v>4</v>
      </c>
      <c r="L27" s="448">
        <v>1</v>
      </c>
      <c r="M27" s="1325">
        <f>L27+SUMIF('11.1.Амортиз.нови активи'!$B$12:$B$59,$B27,'11.1.Амортиз.нови активи'!M$12:M$59)+('9.Инвестиционна програма'!G$131*SUMIF('11.1.Амортиз.нови активи'!$B$12:$B$59,$B27,'11.1.Амортиз.нови активи'!AO$12:AO$59))</f>
        <v>1</v>
      </c>
      <c r="N27" s="1321">
        <f>M27+SUMIF('11.1.Амортиз.нови активи'!$B$12:$B$59,$B27,'11.1.Амортиз.нови активи'!N$12:N$59)+('9.Инвестиционна програма'!H$131*SUMIF('11.1.Амортиз.нови активи'!$B$12:$B$59,$B27,'11.1.Амортиз.нови активи'!AP$12:AP$59))</f>
        <v>1</v>
      </c>
      <c r="O27" s="1321">
        <f>N27+SUMIF('11.1.Амортиз.нови активи'!$B$12:$B$59,$B27,'11.1.Амортиз.нови активи'!O$12:O$59)+('9.Инвестиционна програма'!I$131*SUMIF('11.1.Амортиз.нови активи'!$B$12:$B$59,$B27,'11.1.Амортиз.нови активи'!AQ$12:AQ$59))</f>
        <v>1</v>
      </c>
      <c r="P27" s="1321">
        <f>O27+SUMIF('11.1.Амортиз.нови активи'!$B$12:$B$59,$B27,'11.1.Амортиз.нови активи'!P$12:P$59)+('9.Инвестиционна програма'!J$131*SUMIF('11.1.Амортиз.нови активи'!$B$12:$B$59,$B27,'11.1.Амортиз.нови активи'!AR$12:AR$59))</f>
        <v>1</v>
      </c>
      <c r="Q27" s="1321">
        <f>P27+SUMIF('11.1.Амортиз.нови активи'!$B$12:$B$59,$B27,'11.1.Амортиз.нови активи'!Q$12:Q$59)+('9.Инвестиционна програма'!K$131*SUMIF('11.1.Амортиз.нови активи'!$B$12:$B$59,$B27,'11.1.Амортиз.нови активи'!AS$12:AS$59))</f>
        <v>1</v>
      </c>
      <c r="R27" s="1326">
        <f>Q27+SUMIF('11.1.Амортиз.нови активи'!$B$12:$B$59,$B27,'11.1.Амортиз.нови активи'!R$12:R$59)+('9.Инвестиционна програма'!L$131*SUMIF('11.1.Амортиз.нови активи'!$B$12:$B$59,$B27,'11.1.Амортиз.нови активи'!AT$12:AT$59))</f>
        <v>1</v>
      </c>
      <c r="S27" s="448">
        <v>0</v>
      </c>
      <c r="T27" s="1325">
        <f>S27+SUMIF('11.1.Амортиз.нови активи'!$B$12:$B$59,$B27,'11.1.Амортиз.нови активи'!T$12:T$59)+('9.Инвестиционна програма'!G$132*SUMIF('11.1.Амортиз.нови активи'!$B$12:$B$59,$B27,'11.1.Амортиз.нови активи'!AO$12:AO$59))</f>
        <v>0</v>
      </c>
      <c r="U27" s="1321">
        <f>T27+SUMIF('11.1.Амортиз.нови активи'!$B$12:$B$59,$B27,'11.1.Амортиз.нови активи'!U$12:U$59)+('9.Инвестиционна програма'!H$132*SUMIF('11.1.Амортиз.нови активи'!$B$12:$B$59,$B27,'11.1.Амортиз.нови активи'!AP$12:AP$59))</f>
        <v>0</v>
      </c>
      <c r="V27" s="1321">
        <f>U27+SUMIF('11.1.Амортиз.нови активи'!$B$12:$B$59,$B27,'11.1.Амортиз.нови активи'!V$12:V$59)+('9.Инвестиционна програма'!I$132*SUMIF('11.1.Амортиз.нови активи'!$B$12:$B$59,$B27,'11.1.Амортиз.нови активи'!AQ$12:AQ$59))</f>
        <v>0</v>
      </c>
      <c r="W27" s="1321">
        <f>V27+SUMIF('11.1.Амортиз.нови активи'!$B$12:$B$59,$B27,'11.1.Амортиз.нови активи'!W$12:W$59)+('9.Инвестиционна програма'!J$132*SUMIF('11.1.Амортиз.нови активи'!$B$12:$B$59,$B27,'11.1.Амортиз.нови активи'!AR$12:AR$59))</f>
        <v>0</v>
      </c>
      <c r="X27" s="1321">
        <f>W27+SUMIF('11.1.Амортиз.нови активи'!$B$12:$B$59,$B27,'11.1.Амортиз.нови активи'!X$12:X$59)+('9.Инвестиционна програма'!K$132*SUMIF('11.1.Амортиз.нови активи'!$B$12:$B$59,$B27,'11.1.Амортиз.нови активи'!AS$12:AS$59))</f>
        <v>0</v>
      </c>
      <c r="Y27" s="1326">
        <f>X27+SUMIF('11.1.Амортиз.нови активи'!$B$12:$B$59,$B27,'11.1.Амортиз.нови активи'!Y$12:Y$59)+('9.Инвестиционна програма'!L$132*SUMIF('11.1.Амортиз.нови активи'!$B$12:$B$59,$B27,'11.1.Амортиз.нови активи'!AT$12:AT$59))</f>
        <v>0</v>
      </c>
      <c r="Z27" s="448">
        <v>0</v>
      </c>
      <c r="AA27" s="1325">
        <f>Z27+SUMIF('11.1.Амортиз.нови активи'!$B$12:$B$59,$B27,'11.1.Амортиз.нови активи'!AA$12:AA$59)</f>
        <v>0</v>
      </c>
      <c r="AB27" s="1321">
        <f>AA27+SUMIF('11.1.Амортиз.нови активи'!$B$12:$B$59,$B27,'11.1.Амортиз.нови активи'!AB$12:AB$59)</f>
        <v>0</v>
      </c>
      <c r="AC27" s="1321">
        <f>AB27+SUMIF('11.1.Амортиз.нови активи'!$B$12:$B$59,$B27,'11.1.Амортиз.нови активи'!AC$12:AC$59)</f>
        <v>0</v>
      </c>
      <c r="AD27" s="1321">
        <f>AC27+SUMIF('11.1.Амортиз.нови активи'!$B$12:$B$59,$B27,'11.1.Амортиз.нови активи'!AD$12:AD$59)</f>
        <v>0</v>
      </c>
      <c r="AE27" s="1321">
        <f>AD27+SUMIF('11.1.Амортиз.нови активи'!$B$12:$B$59,$B27,'11.1.Амортиз.нови активи'!AE$12:AE$59)</f>
        <v>0</v>
      </c>
      <c r="AF27" s="1326">
        <f>AE27+SUMIF('11.1.Амортиз.нови активи'!$B$12:$B$59,$B27,'11.1.Амортиз.нови активи'!AF$12:AF$59)</f>
        <v>0</v>
      </c>
      <c r="AG27" s="448"/>
      <c r="AH27" s="1325">
        <f>AG27+SUMIF('11.1.Амортиз.нови активи'!$B$12:$B$59,$B27,'11.1.Амортиз.нови активи'!AH$12:AH$59)</f>
        <v>0</v>
      </c>
      <c r="AI27" s="1321">
        <f>AH27+SUMIF('11.1.Амортиз.нови активи'!$B$12:$B$59,$B27,'11.1.Амортиз.нови активи'!AI$12:AI$59)</f>
        <v>0</v>
      </c>
      <c r="AJ27" s="1321">
        <f>AI27+SUMIF('11.1.Амортиз.нови активи'!$B$12:$B$59,$B27,'11.1.Амортиз.нови активи'!AJ$12:AJ$59)</f>
        <v>0</v>
      </c>
      <c r="AK27" s="1321">
        <f>AJ27+SUMIF('11.1.Амортиз.нови активи'!$B$12:$B$59,$B27,'11.1.Амортиз.нови активи'!AK$12:AK$59)</f>
        <v>0</v>
      </c>
      <c r="AL27" s="1321">
        <f>AK27+SUMIF('11.1.Амортиз.нови активи'!$B$12:$B$59,$B27,'11.1.Амортиз.нови активи'!AL$12:AL$59)</f>
        <v>0</v>
      </c>
      <c r="AM27" s="1326">
        <f>AL27+SUMIF('11.1.Амортиз.нови активи'!$B$12:$B$59,$B27,'11.1.Амортиз.нови активи'!AM$12:AM$59)</f>
        <v>0</v>
      </c>
      <c r="AN27" s="2860"/>
      <c r="AO27" s="2868"/>
      <c r="AP27" s="1421"/>
    </row>
    <row r="28" spans="1:42">
      <c r="A28" s="2878">
        <v>10</v>
      </c>
      <c r="B28" s="2874">
        <v>209</v>
      </c>
      <c r="C28" s="2869">
        <v>0.1</v>
      </c>
      <c r="D28" s="2876" t="s">
        <v>218</v>
      </c>
      <c r="E28" s="448">
        <v>5</v>
      </c>
      <c r="F28" s="996">
        <f>E28+SUMIF('11.1.Амортиз.нови активи'!$B$12:$B$59,$B28,'11.1.Амортиз.нови активи'!F$12:F$59)+('9.Инвестиционна програма'!G$130*SUMIF('11.1.Амортиз.нови активи'!$B$12:$B$59,$B28,'11.1.Амортиз.нови активи'!AO$12:AO$59))</f>
        <v>5</v>
      </c>
      <c r="G28" s="1321">
        <f>F28+SUMIF('11.1.Амортиз.нови активи'!$B$12:$B$59,$B28,'11.1.Амортиз.нови активи'!G$12:G$59)+('9.Инвестиционна програма'!H$130*SUMIF('11.1.Амортиз.нови активи'!$B$12:$B$59,$B28,'11.1.Амортиз.нови активи'!AP$12:AP$59))</f>
        <v>5</v>
      </c>
      <c r="H28" s="1321">
        <f>G28+SUMIF('11.1.Амортиз.нови активи'!$B$12:$B$59,$B28,'11.1.Амортиз.нови активи'!H$12:H$59)+('9.Инвестиционна програма'!I$130*SUMIF('11.1.Амортиз.нови активи'!$B$12:$B$59,$B28,'11.1.Амортиз.нови активи'!AQ$12:AQ$59))</f>
        <v>5</v>
      </c>
      <c r="I28" s="1321">
        <f>H28+SUMIF('11.1.Амортиз.нови активи'!$B$12:$B$59,$B28,'11.1.Амортиз.нови активи'!I$12:I$59)+('9.Инвестиционна програма'!J$130*SUMIF('11.1.Амортиз.нови активи'!$B$12:$B$59,$B28,'11.1.Амортиз.нови активи'!AR$12:AR$59))</f>
        <v>5</v>
      </c>
      <c r="J28" s="1321">
        <f>I28+SUMIF('11.1.Амортиз.нови активи'!$B$12:$B$59,$B28,'11.1.Амортиз.нови активи'!J$12:J$59)+('9.Инвестиционна програма'!K$130*SUMIF('11.1.Амортиз.нови активи'!$B$12:$B$59,$B28,'11.1.Амортиз.нови активи'!AS$12:AS$59))</f>
        <v>5</v>
      </c>
      <c r="K28" s="1326">
        <f>J28+SUMIF('11.1.Амортиз.нови активи'!$B$12:$B$59,$B28,'11.1.Амортиз.нови активи'!K$12:K$59)+('9.Инвестиционна програма'!L$130*SUMIF('11.1.Амортиз.нови активи'!$B$12:$B$59,$B28,'11.1.Амортиз.нови активи'!AT$12:AT$59))</f>
        <v>5</v>
      </c>
      <c r="L28" s="448">
        <v>0</v>
      </c>
      <c r="M28" s="1325">
        <f>L28+SUMIF('11.1.Амортиз.нови активи'!$B$12:$B$59,$B28,'11.1.Амортиз.нови активи'!M$12:M$59)+('9.Инвестиционна програма'!G$131*SUMIF('11.1.Амортиз.нови активи'!$B$12:$B$59,$B28,'11.1.Амортиз.нови активи'!AO$12:AO$59))</f>
        <v>0</v>
      </c>
      <c r="N28" s="1321">
        <f>M28+SUMIF('11.1.Амортиз.нови активи'!$B$12:$B$59,$B28,'11.1.Амортиз.нови активи'!N$12:N$59)+('9.Инвестиционна програма'!H$131*SUMIF('11.1.Амортиз.нови активи'!$B$12:$B$59,$B28,'11.1.Амортиз.нови активи'!AP$12:AP$59))</f>
        <v>0</v>
      </c>
      <c r="O28" s="1321">
        <f>N28+SUMIF('11.1.Амортиз.нови активи'!$B$12:$B$59,$B28,'11.1.Амортиз.нови активи'!O$12:O$59)+('9.Инвестиционна програма'!I$131*SUMIF('11.1.Амортиз.нови активи'!$B$12:$B$59,$B28,'11.1.Амортиз.нови активи'!AQ$12:AQ$59))</f>
        <v>0</v>
      </c>
      <c r="P28" s="1321">
        <f>O28+SUMIF('11.1.Амортиз.нови активи'!$B$12:$B$59,$B28,'11.1.Амортиз.нови активи'!P$12:P$59)+('9.Инвестиционна програма'!J$131*SUMIF('11.1.Амортиз.нови активи'!$B$12:$B$59,$B28,'11.1.Амортиз.нови активи'!AR$12:AR$59))</f>
        <v>0</v>
      </c>
      <c r="Q28" s="1321">
        <f>P28+SUMIF('11.1.Амортиз.нови активи'!$B$12:$B$59,$B28,'11.1.Амортиз.нови активи'!Q$12:Q$59)+('9.Инвестиционна програма'!K$131*SUMIF('11.1.Амортиз.нови активи'!$B$12:$B$59,$B28,'11.1.Амортиз.нови активи'!AS$12:AS$59))</f>
        <v>0</v>
      </c>
      <c r="R28" s="1326">
        <f>Q28+SUMIF('11.1.Амортиз.нови активи'!$B$12:$B$59,$B28,'11.1.Амортиз.нови активи'!R$12:R$59)+('9.Инвестиционна програма'!L$131*SUMIF('11.1.Амортиз.нови активи'!$B$12:$B$59,$B28,'11.1.Амортиз.нови активи'!AT$12:AT$59))</f>
        <v>0</v>
      </c>
      <c r="S28" s="448">
        <v>0</v>
      </c>
      <c r="T28" s="1325">
        <f>S28+SUMIF('11.1.Амортиз.нови активи'!$B$12:$B$59,$B28,'11.1.Амортиз.нови активи'!T$12:T$59)+('9.Инвестиционна програма'!G$132*SUMIF('11.1.Амортиз.нови активи'!$B$12:$B$59,$B28,'11.1.Амортиз.нови активи'!AO$12:AO$59))</f>
        <v>0</v>
      </c>
      <c r="U28" s="1321">
        <f>T28+SUMIF('11.1.Амортиз.нови активи'!$B$12:$B$59,$B28,'11.1.Амортиз.нови активи'!U$12:U$59)+('9.Инвестиционна програма'!H$132*SUMIF('11.1.Амортиз.нови активи'!$B$12:$B$59,$B28,'11.1.Амортиз.нови активи'!AP$12:AP$59))</f>
        <v>0</v>
      </c>
      <c r="V28" s="1321">
        <f>U28+SUMIF('11.1.Амортиз.нови активи'!$B$12:$B$59,$B28,'11.1.Амортиз.нови активи'!V$12:V$59)+('9.Инвестиционна програма'!I$132*SUMIF('11.1.Амортиз.нови активи'!$B$12:$B$59,$B28,'11.1.Амортиз.нови активи'!AQ$12:AQ$59))</f>
        <v>0</v>
      </c>
      <c r="W28" s="1321">
        <f>V28+SUMIF('11.1.Амортиз.нови активи'!$B$12:$B$59,$B28,'11.1.Амортиз.нови активи'!W$12:W$59)+('9.Инвестиционна програма'!J$132*SUMIF('11.1.Амортиз.нови активи'!$B$12:$B$59,$B28,'11.1.Амортиз.нови активи'!AR$12:AR$59))</f>
        <v>0</v>
      </c>
      <c r="X28" s="1321">
        <f>W28+SUMIF('11.1.Амортиз.нови активи'!$B$12:$B$59,$B28,'11.1.Амортиз.нови активи'!X$12:X$59)+('9.Инвестиционна програма'!K$132*SUMIF('11.1.Амортиз.нови активи'!$B$12:$B$59,$B28,'11.1.Амортиз.нови активи'!AS$12:AS$59))</f>
        <v>0</v>
      </c>
      <c r="Y28" s="1326">
        <f>X28+SUMIF('11.1.Амортиз.нови активи'!$B$12:$B$59,$B28,'11.1.Амортиз.нови активи'!Y$12:Y$59)+('9.Инвестиционна програма'!L$132*SUMIF('11.1.Амортиз.нови активи'!$B$12:$B$59,$B28,'11.1.Амортиз.нови активи'!AT$12:AT$59))</f>
        <v>0</v>
      </c>
      <c r="Z28" s="448">
        <v>0</v>
      </c>
      <c r="AA28" s="1325">
        <f>Z28+SUMIF('11.1.Амортиз.нови активи'!$B$12:$B$59,$B28,'11.1.Амортиз.нови активи'!AA$12:AA$59)</f>
        <v>0</v>
      </c>
      <c r="AB28" s="1321">
        <f>AA28+SUMIF('11.1.Амортиз.нови активи'!$B$12:$B$59,$B28,'11.1.Амортиз.нови активи'!AB$12:AB$59)</f>
        <v>0</v>
      </c>
      <c r="AC28" s="1321">
        <f>AB28+SUMIF('11.1.Амортиз.нови активи'!$B$12:$B$59,$B28,'11.1.Амортиз.нови активи'!AC$12:AC$59)</f>
        <v>0</v>
      </c>
      <c r="AD28" s="1321">
        <f>AC28+SUMIF('11.1.Амортиз.нови активи'!$B$12:$B$59,$B28,'11.1.Амортиз.нови активи'!AD$12:AD$59)</f>
        <v>0</v>
      </c>
      <c r="AE28" s="1321">
        <f>AD28+SUMIF('11.1.Амортиз.нови активи'!$B$12:$B$59,$B28,'11.1.Амортиз.нови активи'!AE$12:AE$59)</f>
        <v>0</v>
      </c>
      <c r="AF28" s="1326">
        <f>AE28+SUMIF('11.1.Амортиз.нови активи'!$B$12:$B$59,$B28,'11.1.Амортиз.нови активи'!AF$12:AF$59)</f>
        <v>0</v>
      </c>
      <c r="AG28" s="448"/>
      <c r="AH28" s="1325">
        <f>AG28+SUMIF('11.1.Амортиз.нови активи'!$B$12:$B$59,$B28,'11.1.Амортиз.нови активи'!AH$12:AH$59)</f>
        <v>0</v>
      </c>
      <c r="AI28" s="1321">
        <f>AH28+SUMIF('11.1.Амортиз.нови активи'!$B$12:$B$59,$B28,'11.1.Амортиз.нови активи'!AI$12:AI$59)</f>
        <v>0</v>
      </c>
      <c r="AJ28" s="1321">
        <f>AI28+SUMIF('11.1.Амортиз.нови активи'!$B$12:$B$59,$B28,'11.1.Амортиз.нови активи'!AJ$12:AJ$59)</f>
        <v>0</v>
      </c>
      <c r="AK28" s="1321">
        <f>AJ28+SUMIF('11.1.Амортиз.нови активи'!$B$12:$B$59,$B28,'11.1.Амортиз.нови активи'!AK$12:AK$59)</f>
        <v>0</v>
      </c>
      <c r="AL28" s="1321">
        <f>AK28+SUMIF('11.1.Амортиз.нови активи'!$B$12:$B$59,$B28,'11.1.Амортиз.нови активи'!AL$12:AL$59)</f>
        <v>0</v>
      </c>
      <c r="AM28" s="1326">
        <f>AL28+SUMIF('11.1.Амортиз.нови активи'!$B$12:$B$59,$B28,'11.1.Амортиз.нови активи'!AM$12:AM$59)</f>
        <v>0</v>
      </c>
      <c r="AN28" s="2860"/>
      <c r="AO28" s="2868"/>
      <c r="AP28" s="1421"/>
    </row>
    <row r="29" spans="1:42" ht="24">
      <c r="A29" s="2878">
        <v>11</v>
      </c>
      <c r="B29" s="2874">
        <v>207</v>
      </c>
      <c r="C29" s="2874" t="s">
        <v>318</v>
      </c>
      <c r="D29" s="2876" t="s">
        <v>419</v>
      </c>
      <c r="E29" s="448">
        <v>42</v>
      </c>
      <c r="F29" s="996">
        <f>E29+SUMIF('11.1.Амортиз.нови активи'!$B$12:$B$59,$B29,'11.1.Амортиз.нови активи'!F$12:F$59)+('9.Инвестиционна програма'!G$130*SUMIF('11.1.Амортиз.нови активи'!$B$12:$B$59,$B29,'11.1.Амортиз.нови активи'!AO$12:AO$59))</f>
        <v>42</v>
      </c>
      <c r="G29" s="1321">
        <f>F29+SUMIF('11.1.Амортиз.нови активи'!$B$12:$B$59,$B29,'11.1.Амортиз.нови активи'!G$12:G$59)+('9.Инвестиционна програма'!H$130*SUMIF('11.1.Амортиз.нови активи'!$B$12:$B$59,$B29,'11.1.Амортиз.нови активи'!AP$12:AP$59))</f>
        <v>42</v>
      </c>
      <c r="H29" s="1321">
        <f>G29+SUMIF('11.1.Амортиз.нови активи'!$B$12:$B$59,$B29,'11.1.Амортиз.нови активи'!H$12:H$59)+('9.Инвестиционна програма'!I$130*SUMIF('11.1.Амортиз.нови активи'!$B$12:$B$59,$B29,'11.1.Амортиз.нови активи'!AQ$12:AQ$59))</f>
        <v>42</v>
      </c>
      <c r="I29" s="1321">
        <f>H29+SUMIF('11.1.Амортиз.нови активи'!$B$12:$B$59,$B29,'11.1.Амортиз.нови активи'!I$12:I$59)+('9.Инвестиционна програма'!J$130*SUMIF('11.1.Амортиз.нови активи'!$B$12:$B$59,$B29,'11.1.Амортиз.нови активи'!AR$12:AR$59))</f>
        <v>42</v>
      </c>
      <c r="J29" s="1321">
        <f>I29+SUMIF('11.1.Амортиз.нови активи'!$B$12:$B$59,$B29,'11.1.Амортиз.нови активи'!J$12:J$59)+('9.Инвестиционна програма'!K$130*SUMIF('11.1.Амортиз.нови активи'!$B$12:$B$59,$B29,'11.1.Амортиз.нови активи'!AS$12:AS$59))</f>
        <v>42</v>
      </c>
      <c r="K29" s="1326">
        <f>J29+SUMIF('11.1.Амортиз.нови активи'!$B$12:$B$59,$B29,'11.1.Амортиз.нови активи'!K$12:K$59)+('9.Инвестиционна програма'!L$130*SUMIF('11.1.Амортиз.нови активи'!$B$12:$B$59,$B29,'11.1.Амортиз.нови активи'!AT$12:AT$59))</f>
        <v>42</v>
      </c>
      <c r="L29" s="448">
        <v>19</v>
      </c>
      <c r="M29" s="1325">
        <f>L29+SUMIF('11.1.Амортиз.нови активи'!$B$12:$B$59,$B29,'11.1.Амортиз.нови активи'!M$12:M$59)+('9.Инвестиционна програма'!G$131*SUMIF('11.1.Амортиз.нови активи'!$B$12:$B$59,$B29,'11.1.Амортиз.нови активи'!AO$12:AO$59))</f>
        <v>19</v>
      </c>
      <c r="N29" s="1321">
        <f>M29+SUMIF('11.1.Амортиз.нови активи'!$B$12:$B$59,$B29,'11.1.Амортиз.нови активи'!N$12:N$59)+('9.Инвестиционна програма'!H$131*SUMIF('11.1.Амортиз.нови активи'!$B$12:$B$59,$B29,'11.1.Амортиз.нови активи'!AP$12:AP$59))</f>
        <v>19</v>
      </c>
      <c r="O29" s="1321">
        <f>N29+SUMIF('11.1.Амортиз.нови активи'!$B$12:$B$59,$B29,'11.1.Амортиз.нови активи'!O$12:O$59)+('9.Инвестиционна програма'!I$131*SUMIF('11.1.Амортиз.нови активи'!$B$12:$B$59,$B29,'11.1.Амортиз.нови активи'!AQ$12:AQ$59))</f>
        <v>19</v>
      </c>
      <c r="P29" s="1321">
        <f>O29+SUMIF('11.1.Амортиз.нови активи'!$B$12:$B$59,$B29,'11.1.Амортиз.нови активи'!P$12:P$59)+('9.Инвестиционна програма'!J$131*SUMIF('11.1.Амортиз.нови активи'!$B$12:$B$59,$B29,'11.1.Амортиз.нови активи'!AR$12:AR$59))</f>
        <v>19</v>
      </c>
      <c r="Q29" s="1321">
        <f>P29+SUMIF('11.1.Амортиз.нови активи'!$B$12:$B$59,$B29,'11.1.Амортиз.нови активи'!Q$12:Q$59)+('9.Инвестиционна програма'!K$131*SUMIF('11.1.Амортиз.нови активи'!$B$12:$B$59,$B29,'11.1.Амортиз.нови активи'!AS$12:AS$59))</f>
        <v>19</v>
      </c>
      <c r="R29" s="1326">
        <f>Q29+SUMIF('11.1.Амортиз.нови активи'!$B$12:$B$59,$B29,'11.1.Амортиз.нови активи'!R$12:R$59)+('9.Инвестиционна програма'!L$131*SUMIF('11.1.Амортиз.нови активи'!$B$12:$B$59,$B29,'11.1.Амортиз.нови активи'!AT$12:AT$59))</f>
        <v>19</v>
      </c>
      <c r="S29" s="448">
        <v>0</v>
      </c>
      <c r="T29" s="1325">
        <f>S29+SUMIF('11.1.Амортиз.нови активи'!$B$12:$B$59,$B29,'11.1.Амортиз.нови активи'!T$12:T$59)+('9.Инвестиционна програма'!G$132*SUMIF('11.1.Амортиз.нови активи'!$B$12:$B$59,$B29,'11.1.Амортиз.нови активи'!AO$12:AO$59))</f>
        <v>0</v>
      </c>
      <c r="U29" s="1321">
        <f>T29+SUMIF('11.1.Амортиз.нови активи'!$B$12:$B$59,$B29,'11.1.Амортиз.нови активи'!U$12:U$59)+('9.Инвестиционна програма'!H$132*SUMIF('11.1.Амортиз.нови активи'!$B$12:$B$59,$B29,'11.1.Амортиз.нови активи'!AP$12:AP$59))</f>
        <v>0</v>
      </c>
      <c r="V29" s="1321">
        <f>U29+SUMIF('11.1.Амортиз.нови активи'!$B$12:$B$59,$B29,'11.1.Амортиз.нови активи'!V$12:V$59)+('9.Инвестиционна програма'!I$132*SUMIF('11.1.Амортиз.нови активи'!$B$12:$B$59,$B29,'11.1.Амортиз.нови активи'!AQ$12:AQ$59))</f>
        <v>0</v>
      </c>
      <c r="W29" s="1321">
        <f>V29+SUMIF('11.1.Амортиз.нови активи'!$B$12:$B$59,$B29,'11.1.Амортиз.нови активи'!W$12:W$59)+('9.Инвестиционна програма'!J$132*SUMIF('11.1.Амортиз.нови активи'!$B$12:$B$59,$B29,'11.1.Амортиз.нови активи'!AR$12:AR$59))</f>
        <v>0</v>
      </c>
      <c r="X29" s="1321">
        <f>W29+SUMIF('11.1.Амортиз.нови активи'!$B$12:$B$59,$B29,'11.1.Амортиз.нови активи'!X$12:X$59)+('9.Инвестиционна програма'!K$132*SUMIF('11.1.Амортиз.нови активи'!$B$12:$B$59,$B29,'11.1.Амортиз.нови активи'!AS$12:AS$59))</f>
        <v>0</v>
      </c>
      <c r="Y29" s="1326">
        <f>X29+SUMIF('11.1.Амортиз.нови активи'!$B$12:$B$59,$B29,'11.1.Амортиз.нови активи'!Y$12:Y$59)+('9.Инвестиционна програма'!L$132*SUMIF('11.1.Амортиз.нови активи'!$B$12:$B$59,$B29,'11.1.Амортиз.нови активи'!AT$12:AT$59))</f>
        <v>0</v>
      </c>
      <c r="Z29" s="448">
        <v>0</v>
      </c>
      <c r="AA29" s="1325">
        <f>Z29+SUMIF('11.1.Амортиз.нови активи'!$B$12:$B$59,$B29,'11.1.Амортиз.нови активи'!AA$12:AA$59)</f>
        <v>0</v>
      </c>
      <c r="AB29" s="1321">
        <f>AA29+SUMIF('11.1.Амортиз.нови активи'!$B$12:$B$59,$B29,'11.1.Амортиз.нови активи'!AB$12:AB$59)</f>
        <v>0</v>
      </c>
      <c r="AC29" s="1321">
        <f>AB29+SUMIF('11.1.Амортиз.нови активи'!$B$12:$B$59,$B29,'11.1.Амортиз.нови активи'!AC$12:AC$59)</f>
        <v>0</v>
      </c>
      <c r="AD29" s="1321">
        <f>AC29+SUMIF('11.1.Амортиз.нови активи'!$B$12:$B$59,$B29,'11.1.Амортиз.нови активи'!AD$12:AD$59)</f>
        <v>0</v>
      </c>
      <c r="AE29" s="1321">
        <f>AD29+SUMIF('11.1.Амортиз.нови активи'!$B$12:$B$59,$B29,'11.1.Амортиз.нови активи'!AE$12:AE$59)</f>
        <v>0</v>
      </c>
      <c r="AF29" s="1326">
        <f>AE29+SUMIF('11.1.Амортиз.нови активи'!$B$12:$B$59,$B29,'11.1.Амортиз.нови активи'!AF$12:AF$59)</f>
        <v>0</v>
      </c>
      <c r="AG29" s="448"/>
      <c r="AH29" s="1325">
        <f>AG29+SUMIF('11.1.Амортиз.нови активи'!$B$12:$B$59,$B29,'11.1.Амортиз.нови активи'!AH$12:AH$59)</f>
        <v>0</v>
      </c>
      <c r="AI29" s="1321">
        <f>AH29+SUMIF('11.1.Амортиз.нови активи'!$B$12:$B$59,$B29,'11.1.Амортиз.нови активи'!AI$12:AI$59)</f>
        <v>0</v>
      </c>
      <c r="AJ29" s="1321">
        <f>AI29+SUMIF('11.1.Амортиз.нови активи'!$B$12:$B$59,$B29,'11.1.Амортиз.нови активи'!AJ$12:AJ$59)</f>
        <v>0</v>
      </c>
      <c r="AK29" s="1321">
        <f>AJ29+SUMIF('11.1.Амортиз.нови активи'!$B$12:$B$59,$B29,'11.1.Амортиз.нови активи'!AK$12:AK$59)</f>
        <v>0</v>
      </c>
      <c r="AL29" s="1321">
        <f>AK29+SUMIF('11.1.Амортиз.нови активи'!$B$12:$B$59,$B29,'11.1.Амортиз.нови активи'!AL$12:AL$59)</f>
        <v>0</v>
      </c>
      <c r="AM29" s="1326">
        <f>AL29+SUMIF('11.1.Амортиз.нови активи'!$B$12:$B$59,$B29,'11.1.Амортиз.нови активи'!AM$12:AM$59)</f>
        <v>0</v>
      </c>
      <c r="AN29" s="2860"/>
      <c r="AO29" s="2868"/>
      <c r="AP29" s="1421"/>
    </row>
    <row r="30" spans="1:42">
      <c r="A30" s="2878">
        <v>12</v>
      </c>
      <c r="B30" s="2874">
        <v>212</v>
      </c>
      <c r="C30" s="2869">
        <v>0.2</v>
      </c>
      <c r="D30" s="2879" t="s">
        <v>219</v>
      </c>
      <c r="E30" s="448">
        <v>49</v>
      </c>
      <c r="F30" s="996">
        <f>E30+SUMIF('11.1.Амортиз.нови активи'!$B$12:$B$59,$B30,'11.1.Амортиз.нови активи'!F$12:F$59)+('9.Инвестиционна програма'!G$130*SUMIF('11.1.Амортиз.нови активи'!$B$12:$B$59,$B30,'11.1.Амортиз.нови активи'!AO$12:AO$59))</f>
        <v>49.888471849865951</v>
      </c>
      <c r="G30" s="1321">
        <f>F30+SUMIF('11.1.Амортиз.нови активи'!$B$12:$B$59,$B30,'11.1.Амортиз.нови активи'!G$12:G$59)+('9.Инвестиционна програма'!H$130*SUMIF('11.1.Амортиз.нови активи'!$B$12:$B$59,$B30,'11.1.Амортиз.нови активи'!AP$12:AP$59))</f>
        <v>50.888471849865951</v>
      </c>
      <c r="H30" s="1321">
        <f>G30+SUMIF('11.1.Амортиз.нови активи'!$B$12:$B$59,$B30,'11.1.Амортиз.нови активи'!H$12:H$59)+('9.Инвестиционна програма'!I$130*SUMIF('11.1.Амортиз.нови активи'!$B$12:$B$59,$B30,'11.1.Амортиз.нови активи'!AQ$12:AQ$59))</f>
        <v>51.888471849865951</v>
      </c>
      <c r="I30" s="1321">
        <f>H30+SUMIF('11.1.Амортиз.нови активи'!$B$12:$B$59,$B30,'11.1.Амортиз.нови активи'!I$12:I$59)+('9.Инвестиционна програма'!J$130*SUMIF('11.1.Амортиз.нови активи'!$B$12:$B$59,$B30,'11.1.Амортиз.нови активи'!AR$12:AR$59))</f>
        <v>52.888471849865951</v>
      </c>
      <c r="J30" s="1321">
        <f>I30+SUMIF('11.1.Амортиз.нови активи'!$B$12:$B$59,$B30,'11.1.Амортиз.нови активи'!J$12:J$59)+('9.Инвестиционна програма'!K$130*SUMIF('11.1.Амортиз.нови активи'!$B$12:$B$59,$B30,'11.1.Амортиз.нови активи'!AS$12:AS$59))</f>
        <v>54.055138516532615</v>
      </c>
      <c r="K30" s="1326">
        <f>J30+SUMIF('11.1.Амортиз.нови активи'!$B$12:$B$59,$B30,'11.1.Амортиз.нови активи'!K$12:K$59)+('9.Инвестиционна програма'!L$130*SUMIF('11.1.Амортиз.нови активи'!$B$12:$B$59,$B30,'11.1.Амортиз.нови активи'!AT$12:AT$59))</f>
        <v>55.22180518319928</v>
      </c>
      <c r="L30" s="448">
        <v>43</v>
      </c>
      <c r="M30" s="1325">
        <f>L30+SUMIF('11.1.Амортиз.нови активи'!$B$12:$B$59,$B30,'11.1.Амортиз.нови активи'!M$12:M$59)+('9.Инвестиционна програма'!G$131*SUMIF('11.1.Амортиз.нови активи'!$B$12:$B$59,$B30,'11.1.Амортиз.нови активи'!AO$12:AO$59))</f>
        <v>43.10509383378016</v>
      </c>
      <c r="N30" s="1321">
        <f>M30+SUMIF('11.1.Амортиз.нови активи'!$B$12:$B$59,$B30,'11.1.Амортиз.нови активи'!N$12:N$59)+('9.Инвестиционна програма'!H$131*SUMIF('11.1.Амортиз.нови активи'!$B$12:$B$59,$B30,'11.1.Амортиз.нови активи'!AP$12:AP$59))</f>
        <v>44.10509383378016</v>
      </c>
      <c r="O30" s="1321">
        <f>N30+SUMIF('11.1.Амортиз.нови активи'!$B$12:$B$59,$B30,'11.1.Амортиз.нови активи'!O$12:O$59)+('9.Инвестиционна програма'!I$131*SUMIF('11.1.Амортиз.нови активи'!$B$12:$B$59,$B30,'11.1.Амортиз.нови активи'!AQ$12:AQ$59))</f>
        <v>45.10509383378016</v>
      </c>
      <c r="P30" s="1321">
        <f>O30+SUMIF('11.1.Амортиз.нови активи'!$B$12:$B$59,$B30,'11.1.Амортиз.нови активи'!P$12:P$59)+('9.Инвестиционна програма'!J$131*SUMIF('11.1.Амортиз.нови активи'!$B$12:$B$59,$B30,'11.1.Амортиз.нови активи'!AR$12:AR$59))</f>
        <v>46.10509383378016</v>
      </c>
      <c r="Q30" s="1321">
        <f>P30+SUMIF('11.1.Амортиз.нови активи'!$B$12:$B$59,$B30,'11.1.Амортиз.нови активи'!Q$12:Q$59)+('9.Инвестиционна програма'!K$131*SUMIF('11.1.Амортиз.нови активи'!$B$12:$B$59,$B30,'11.1.Амортиз.нови активи'!AS$12:AS$59))</f>
        <v>47.271760500446824</v>
      </c>
      <c r="R30" s="1326">
        <f>Q30+SUMIF('11.1.Амортиз.нови активи'!$B$12:$B$59,$B30,'11.1.Амортиз.нови активи'!R$12:R$59)+('9.Инвестиционна програма'!L$131*SUMIF('11.1.Амортиз.нови активи'!$B$12:$B$59,$B30,'11.1.Амортиз.нови активи'!AT$12:AT$59))</f>
        <v>48.438427167113488</v>
      </c>
      <c r="S30" s="448">
        <v>4</v>
      </c>
      <c r="T30" s="1325">
        <f>S30+SUMIF('11.1.Амортиз.нови активи'!$B$12:$B$59,$B30,'11.1.Амортиз.нови активи'!T$12:T$59)+('9.Инвестиционна програма'!G$132*SUMIF('11.1.Амортиз.нови активи'!$B$12:$B$59,$B30,'11.1.Амортиз.нови активи'!AO$12:AO$59))</f>
        <v>4.0064343163538876</v>
      </c>
      <c r="U30" s="1321">
        <f>T30+SUMIF('11.1.Амортиз.нови активи'!$B$12:$B$59,$B30,'11.1.Амортиз.нови активи'!U$12:U$59)+('9.Инвестиционна програма'!H$132*SUMIF('11.1.Амортиз.нови активи'!$B$12:$B$59,$B30,'11.1.Амортиз.нови активи'!AP$12:AP$59))</f>
        <v>5.0064343163538876</v>
      </c>
      <c r="V30" s="1321">
        <f>U30+SUMIF('11.1.Амортиз.нови активи'!$B$12:$B$59,$B30,'11.1.Амортиз.нови активи'!V$12:V$59)+('9.Инвестиционна програма'!I$132*SUMIF('11.1.Амортиз.нови активи'!$B$12:$B$59,$B30,'11.1.Амортиз.нови активи'!AQ$12:AQ$59))</f>
        <v>6.0064343163538876</v>
      </c>
      <c r="W30" s="1321">
        <f>V30+SUMIF('11.1.Амортиз.нови активи'!$B$12:$B$59,$B30,'11.1.Амортиз.нови активи'!W$12:W$59)+('9.Инвестиционна програма'!J$132*SUMIF('11.1.Амортиз.нови активи'!$B$12:$B$59,$B30,'11.1.Амортиз.нови активи'!AR$12:AR$59))</f>
        <v>7.0064343163538876</v>
      </c>
      <c r="X30" s="1321">
        <f>W30+SUMIF('11.1.Амортиз.нови активи'!$B$12:$B$59,$B30,'11.1.Амортиз.нови активи'!X$12:X$59)+('9.Инвестиционна програма'!K$132*SUMIF('11.1.Амортиз.нови активи'!$B$12:$B$59,$B30,'11.1.Амортиз.нови активи'!AS$12:AS$59))</f>
        <v>8.1731009830205537</v>
      </c>
      <c r="Y30" s="1326">
        <f>X30+SUMIF('11.1.Амортиз.нови активи'!$B$12:$B$59,$B30,'11.1.Амортиз.нови активи'!Y$12:Y$59)+('9.Инвестиционна програма'!L$132*SUMIF('11.1.Амортиз.нови активи'!$B$12:$B$59,$B30,'11.1.Амортиз.нови активи'!AT$12:AT$59))</f>
        <v>9.3397676496872197</v>
      </c>
      <c r="Z30" s="448">
        <v>0</v>
      </c>
      <c r="AA30" s="1325">
        <f>Z30+SUMIF('11.1.Амортиз.нови активи'!$B$12:$B$59,$B30,'11.1.Амортиз.нови активи'!AA$12:AA$59)</f>
        <v>0</v>
      </c>
      <c r="AB30" s="1321">
        <f>AA30+SUMIF('11.1.Амортиз.нови активи'!$B$12:$B$59,$B30,'11.1.Амортиз.нови активи'!AB$12:AB$59)</f>
        <v>0</v>
      </c>
      <c r="AC30" s="1321">
        <f>AB30+SUMIF('11.1.Амортиз.нови активи'!$B$12:$B$59,$B30,'11.1.Амортиз.нови активи'!AC$12:AC$59)</f>
        <v>0</v>
      </c>
      <c r="AD30" s="1321">
        <f>AC30+SUMIF('11.1.Амортиз.нови активи'!$B$12:$B$59,$B30,'11.1.Амортиз.нови активи'!AD$12:AD$59)</f>
        <v>0</v>
      </c>
      <c r="AE30" s="1321">
        <f>AD30+SUMIF('11.1.Амортиз.нови активи'!$B$12:$B$59,$B30,'11.1.Амортиз.нови активи'!AE$12:AE$59)</f>
        <v>0</v>
      </c>
      <c r="AF30" s="1326">
        <f>AE30+SUMIF('11.1.Амортиз.нови активи'!$B$12:$B$59,$B30,'11.1.Амортиз.нови активи'!AF$12:AF$59)</f>
        <v>0</v>
      </c>
      <c r="AG30" s="448"/>
      <c r="AH30" s="1325">
        <f>AG30+SUMIF('11.1.Амортиз.нови активи'!$B$12:$B$59,$B30,'11.1.Амортиз.нови активи'!AH$12:AH$59)</f>
        <v>0</v>
      </c>
      <c r="AI30" s="1321">
        <f>AH30+SUMIF('11.1.Амортиз.нови активи'!$B$12:$B$59,$B30,'11.1.Амортиз.нови активи'!AI$12:AI$59)</f>
        <v>0</v>
      </c>
      <c r="AJ30" s="1321">
        <f>AI30+SUMIF('11.1.Амортиз.нови активи'!$B$12:$B$59,$B30,'11.1.Амортиз.нови активи'!AJ$12:AJ$59)</f>
        <v>0</v>
      </c>
      <c r="AK30" s="1321">
        <f>AJ30+SUMIF('11.1.Амортиз.нови активи'!$B$12:$B$59,$B30,'11.1.Амортиз.нови активи'!AK$12:AK$59)</f>
        <v>0</v>
      </c>
      <c r="AL30" s="1321">
        <f>AK30+SUMIF('11.1.Амортиз.нови активи'!$B$12:$B$59,$B30,'11.1.Амортиз.нови активи'!AL$12:AL$59)</f>
        <v>0</v>
      </c>
      <c r="AM30" s="1326">
        <f>AL30+SUMIF('11.1.Амортиз.нови активи'!$B$12:$B$59,$B30,'11.1.Амортиз.нови активи'!AM$12:AM$59)</f>
        <v>0</v>
      </c>
      <c r="AN30" s="2860"/>
      <c r="AO30" s="2868"/>
      <c r="AP30" s="1421"/>
    </row>
    <row r="31" spans="1:42">
      <c r="A31" s="2878">
        <v>13</v>
      </c>
      <c r="B31" s="2873">
        <v>213</v>
      </c>
      <c r="C31" s="2880">
        <v>0.2</v>
      </c>
      <c r="D31" s="2867" t="s">
        <v>220</v>
      </c>
      <c r="E31" s="448">
        <v>0</v>
      </c>
      <c r="F31" s="996">
        <f>E31+SUMIF('11.1.Амортиз.нови активи'!$B$12:$B$59,$B31,'11.1.Амортиз.нови активи'!F$12:F$59)+('9.Инвестиционна програма'!G$130*SUMIF('11.1.Амортиз.нови активи'!$B$12:$B$59,$B31,'11.1.Амортиз.нови активи'!AO$12:AO$59))</f>
        <v>0</v>
      </c>
      <c r="G31" s="1321">
        <f>F31+SUMIF('11.1.Амортиз.нови активи'!$B$12:$B$59,$B31,'11.1.Амортиз.нови активи'!G$12:G$59)+('9.Инвестиционна програма'!H$130*SUMIF('11.1.Амортиз.нови активи'!$B$12:$B$59,$B31,'11.1.Амортиз.нови активи'!AP$12:AP$59))</f>
        <v>0</v>
      </c>
      <c r="H31" s="1321">
        <f>G31+SUMIF('11.1.Амортиз.нови активи'!$B$12:$B$59,$B31,'11.1.Амортиз.нови активи'!H$12:H$59)+('9.Инвестиционна програма'!I$130*SUMIF('11.1.Амортиз.нови активи'!$B$12:$B$59,$B31,'11.1.Амортиз.нови активи'!AQ$12:AQ$59))</f>
        <v>0</v>
      </c>
      <c r="I31" s="1321">
        <f>H31+SUMIF('11.1.Амортиз.нови активи'!$B$12:$B$59,$B31,'11.1.Амортиз.нови активи'!I$12:I$59)+('9.Инвестиционна програма'!J$130*SUMIF('11.1.Амортиз.нови активи'!$B$12:$B$59,$B31,'11.1.Амортиз.нови активи'!AR$12:AR$59))</f>
        <v>0</v>
      </c>
      <c r="J31" s="1321">
        <f>I31+SUMIF('11.1.Амортиз.нови активи'!$B$12:$B$59,$B31,'11.1.Амортиз.нови активи'!J$12:J$59)+('9.Инвестиционна програма'!K$130*SUMIF('11.1.Амортиз.нови активи'!$B$12:$B$59,$B31,'11.1.Амортиз.нови активи'!AS$12:AS$59))</f>
        <v>0</v>
      </c>
      <c r="K31" s="1326">
        <f>J31+SUMIF('11.1.Амортиз.нови активи'!$B$12:$B$59,$B31,'11.1.Амортиз.нови активи'!K$12:K$59)+('9.Инвестиционна програма'!L$130*SUMIF('11.1.Амортиз.нови активи'!$B$12:$B$59,$B31,'11.1.Амортиз.нови активи'!AT$12:AT$59))</f>
        <v>0</v>
      </c>
      <c r="L31" s="448">
        <v>0</v>
      </c>
      <c r="M31" s="1325">
        <f>L31+SUMIF('11.1.Амортиз.нови активи'!$B$12:$B$59,$B31,'11.1.Амортиз.нови активи'!M$12:M$59)+('9.Инвестиционна програма'!G$131*SUMIF('11.1.Амортиз.нови активи'!$B$12:$B$59,$B31,'11.1.Амортиз.нови активи'!AO$12:AO$59))</f>
        <v>0</v>
      </c>
      <c r="N31" s="1321">
        <f>M31+SUMIF('11.1.Амортиз.нови активи'!$B$12:$B$59,$B31,'11.1.Амортиз.нови активи'!N$12:N$59)+('9.Инвестиционна програма'!H$131*SUMIF('11.1.Амортиз.нови активи'!$B$12:$B$59,$B31,'11.1.Амортиз.нови активи'!AP$12:AP$59))</f>
        <v>0</v>
      </c>
      <c r="O31" s="1321">
        <f>N31+SUMIF('11.1.Амортиз.нови активи'!$B$12:$B$59,$B31,'11.1.Амортиз.нови активи'!O$12:O$59)+('9.Инвестиционна програма'!I$131*SUMIF('11.1.Амортиз.нови активи'!$B$12:$B$59,$B31,'11.1.Амортиз.нови активи'!AQ$12:AQ$59))</f>
        <v>0</v>
      </c>
      <c r="P31" s="1321">
        <f>O31+SUMIF('11.1.Амортиз.нови активи'!$B$12:$B$59,$B31,'11.1.Амортиз.нови активи'!P$12:P$59)+('9.Инвестиционна програма'!J$131*SUMIF('11.1.Амортиз.нови активи'!$B$12:$B$59,$B31,'11.1.Амортиз.нови активи'!AR$12:AR$59))</f>
        <v>0</v>
      </c>
      <c r="Q31" s="1321">
        <f>P31+SUMIF('11.1.Амортиз.нови активи'!$B$12:$B$59,$B31,'11.1.Амортиз.нови активи'!Q$12:Q$59)+('9.Инвестиционна програма'!K$131*SUMIF('11.1.Амортиз.нови активи'!$B$12:$B$59,$B31,'11.1.Амортиз.нови активи'!AS$12:AS$59))</f>
        <v>0</v>
      </c>
      <c r="R31" s="1326">
        <f>Q31+SUMIF('11.1.Амортиз.нови активи'!$B$12:$B$59,$B31,'11.1.Амортиз.нови активи'!R$12:R$59)+('9.Инвестиционна програма'!L$131*SUMIF('11.1.Амортиз.нови активи'!$B$12:$B$59,$B31,'11.1.Амортиз.нови активи'!AT$12:AT$59))</f>
        <v>0</v>
      </c>
      <c r="S31" s="448">
        <v>0</v>
      </c>
      <c r="T31" s="1325">
        <f>S31+SUMIF('11.1.Амортиз.нови активи'!$B$12:$B$59,$B31,'11.1.Амортиз.нови активи'!T$12:T$59)+('9.Инвестиционна програма'!G$132*SUMIF('11.1.Амортиз.нови активи'!$B$12:$B$59,$B31,'11.1.Амортиз.нови активи'!AO$12:AO$59))</f>
        <v>0</v>
      </c>
      <c r="U31" s="1321">
        <f>T31+SUMIF('11.1.Амортиз.нови активи'!$B$12:$B$59,$B31,'11.1.Амортиз.нови активи'!U$12:U$59)+('9.Инвестиционна програма'!H$132*SUMIF('11.1.Амортиз.нови активи'!$B$12:$B$59,$B31,'11.1.Амортиз.нови активи'!AP$12:AP$59))</f>
        <v>0</v>
      </c>
      <c r="V31" s="1321">
        <f>U31+SUMIF('11.1.Амортиз.нови активи'!$B$12:$B$59,$B31,'11.1.Амортиз.нови активи'!V$12:V$59)+('9.Инвестиционна програма'!I$132*SUMIF('11.1.Амортиз.нови активи'!$B$12:$B$59,$B31,'11.1.Амортиз.нови активи'!AQ$12:AQ$59))</f>
        <v>0</v>
      </c>
      <c r="W31" s="1321">
        <f>V31+SUMIF('11.1.Амортиз.нови активи'!$B$12:$B$59,$B31,'11.1.Амортиз.нови активи'!W$12:W$59)+('9.Инвестиционна програма'!J$132*SUMIF('11.1.Амортиз.нови активи'!$B$12:$B$59,$B31,'11.1.Амортиз.нови активи'!AR$12:AR$59))</f>
        <v>0</v>
      </c>
      <c r="X31" s="1321">
        <f>W31+SUMIF('11.1.Амортиз.нови активи'!$B$12:$B$59,$B31,'11.1.Амортиз.нови активи'!X$12:X$59)+('9.Инвестиционна програма'!K$132*SUMIF('11.1.Амортиз.нови активи'!$B$12:$B$59,$B31,'11.1.Амортиз.нови активи'!AS$12:AS$59))</f>
        <v>0</v>
      </c>
      <c r="Y31" s="1326">
        <f>X31+SUMIF('11.1.Амортиз.нови активи'!$B$12:$B$59,$B31,'11.1.Амортиз.нови активи'!Y$12:Y$59)+('9.Инвестиционна програма'!L$132*SUMIF('11.1.Амортиз.нови активи'!$B$12:$B$59,$B31,'11.1.Амортиз.нови активи'!AT$12:AT$59))</f>
        <v>0</v>
      </c>
      <c r="Z31" s="448">
        <v>0</v>
      </c>
      <c r="AA31" s="1325">
        <f>Z31+SUMIF('11.1.Амортиз.нови активи'!$B$12:$B$59,$B31,'11.1.Амортиз.нови активи'!AA$12:AA$59)</f>
        <v>0</v>
      </c>
      <c r="AB31" s="1321">
        <f>AA31+SUMIF('11.1.Амортиз.нови активи'!$B$12:$B$59,$B31,'11.1.Амортиз.нови активи'!AB$12:AB$59)</f>
        <v>0</v>
      </c>
      <c r="AC31" s="1321">
        <f>AB31+SUMIF('11.1.Амортиз.нови активи'!$B$12:$B$59,$B31,'11.1.Амортиз.нови активи'!AC$12:AC$59)</f>
        <v>0</v>
      </c>
      <c r="AD31" s="1321">
        <f>AC31+SUMIF('11.1.Амортиз.нови активи'!$B$12:$B$59,$B31,'11.1.Амортиз.нови активи'!AD$12:AD$59)</f>
        <v>0</v>
      </c>
      <c r="AE31" s="1321">
        <f>AD31+SUMIF('11.1.Амортиз.нови активи'!$B$12:$B$59,$B31,'11.1.Амортиз.нови активи'!AE$12:AE$59)</f>
        <v>0</v>
      </c>
      <c r="AF31" s="1326">
        <f>AE31+SUMIF('11.1.Амортиз.нови активи'!$B$12:$B$59,$B31,'11.1.Амортиз.нови активи'!AF$12:AF$59)</f>
        <v>0</v>
      </c>
      <c r="AG31" s="448"/>
      <c r="AH31" s="1325">
        <f>AG31+SUMIF('11.1.Амортиз.нови активи'!$B$12:$B$59,$B31,'11.1.Амортиз.нови активи'!AH$12:AH$59)</f>
        <v>0</v>
      </c>
      <c r="AI31" s="1321">
        <f>AH31+SUMIF('11.1.Амортиз.нови активи'!$B$12:$B$59,$B31,'11.1.Амортиз.нови активи'!AI$12:AI$59)</f>
        <v>0</v>
      </c>
      <c r="AJ31" s="1321">
        <f>AI31+SUMIF('11.1.Амортиз.нови активи'!$B$12:$B$59,$B31,'11.1.Амортиз.нови активи'!AJ$12:AJ$59)</f>
        <v>0</v>
      </c>
      <c r="AK31" s="1321">
        <f>AJ31+SUMIF('11.1.Амортиз.нови активи'!$B$12:$B$59,$B31,'11.1.Амортиз.нови активи'!AK$12:AK$59)</f>
        <v>0</v>
      </c>
      <c r="AL31" s="1321">
        <f>AK31+SUMIF('11.1.Амортиз.нови активи'!$B$12:$B$59,$B31,'11.1.Амортиз.нови активи'!AL$12:AL$59)</f>
        <v>0</v>
      </c>
      <c r="AM31" s="1326">
        <f>AL31+SUMIF('11.1.Амортиз.нови активи'!$B$12:$B$59,$B31,'11.1.Амортиз.нови активи'!AM$12:AM$59)</f>
        <v>0</v>
      </c>
      <c r="AN31" s="2860"/>
      <c r="AO31" s="2868"/>
      <c r="AP31" s="1421"/>
    </row>
    <row r="32" spans="1:42">
      <c r="A32" s="2878">
        <v>14</v>
      </c>
      <c r="B32" s="2954"/>
      <c r="C32" s="2954"/>
      <c r="D32" s="2881" t="s">
        <v>634</v>
      </c>
      <c r="E32" s="448">
        <v>0</v>
      </c>
      <c r="F32" s="996">
        <f>E32+SUMIF('11.1.Амортиз.нови активи'!$B$12:$B$59,$B32,'11.1.Амортиз.нови активи'!F$12:F$59)+('9.Инвестиционна програма'!G$130*SUMIF('11.1.Амортиз.нови активи'!$B$12:$B$59,$B32,'11.1.Амортиз.нови активи'!AO$12:AO$59))</f>
        <v>0</v>
      </c>
      <c r="G32" s="1321">
        <f>F32+SUMIF('11.1.Амортиз.нови активи'!$B$12:$B$59,$B32,'11.1.Амортиз.нови активи'!G$12:G$59)+('9.Инвестиционна програма'!H$130*SUMIF('11.1.Амортиз.нови активи'!$B$12:$B$59,$B32,'11.1.Амортиз.нови активи'!AP$12:AP$59))</f>
        <v>0</v>
      </c>
      <c r="H32" s="1321">
        <f>G32+SUMIF('11.1.Амортиз.нови активи'!$B$12:$B$59,$B32,'11.1.Амортиз.нови активи'!H$12:H$59)+('9.Инвестиционна програма'!I$130*SUMIF('11.1.Амортиз.нови активи'!$B$12:$B$59,$B32,'11.1.Амортиз.нови активи'!AQ$12:AQ$59))</f>
        <v>0</v>
      </c>
      <c r="I32" s="1321">
        <f>H32+SUMIF('11.1.Амортиз.нови активи'!$B$12:$B$59,$B32,'11.1.Амортиз.нови активи'!I$12:I$59)+('9.Инвестиционна програма'!J$130*SUMIF('11.1.Амортиз.нови активи'!$B$12:$B$59,$B32,'11.1.Амортиз.нови активи'!AR$12:AR$59))</f>
        <v>0</v>
      </c>
      <c r="J32" s="1321">
        <f>I32+SUMIF('11.1.Амортиз.нови активи'!$B$12:$B$59,$B32,'11.1.Амортиз.нови активи'!J$12:J$59)+('9.Инвестиционна програма'!K$130*SUMIF('11.1.Амортиз.нови активи'!$B$12:$B$59,$B32,'11.1.Амортиз.нови активи'!AS$12:AS$59))</f>
        <v>0</v>
      </c>
      <c r="K32" s="1326">
        <f>J32+SUMIF('11.1.Амортиз.нови активи'!$B$12:$B$59,$B32,'11.1.Амортиз.нови активи'!K$12:K$59)+('9.Инвестиционна програма'!L$130*SUMIF('11.1.Амортиз.нови активи'!$B$12:$B$59,$B32,'11.1.Амортиз.нови активи'!AT$12:AT$59))</f>
        <v>0</v>
      </c>
      <c r="L32" s="448">
        <v>0</v>
      </c>
      <c r="M32" s="1325">
        <f>L32+SUMIF('11.1.Амортиз.нови активи'!$B$12:$B$59,$B32,'11.1.Амортиз.нови активи'!M$12:M$59)+('9.Инвестиционна програма'!G$131*SUMIF('11.1.Амортиз.нови активи'!$B$12:$B$59,$B32,'11.1.Амортиз.нови активи'!AO$12:AO$59))</f>
        <v>0</v>
      </c>
      <c r="N32" s="1321">
        <f>M32+SUMIF('11.1.Амортиз.нови активи'!$B$12:$B$59,$B32,'11.1.Амортиз.нови активи'!N$12:N$59)+('9.Инвестиционна програма'!H$131*SUMIF('11.1.Амортиз.нови активи'!$B$12:$B$59,$B32,'11.1.Амортиз.нови активи'!AP$12:AP$59))</f>
        <v>0</v>
      </c>
      <c r="O32" s="1321">
        <f>N32+SUMIF('11.1.Амортиз.нови активи'!$B$12:$B$59,$B32,'11.1.Амортиз.нови активи'!O$12:O$59)+('9.Инвестиционна програма'!I$131*SUMIF('11.1.Амортиз.нови активи'!$B$12:$B$59,$B32,'11.1.Амортиз.нови активи'!AQ$12:AQ$59))</f>
        <v>0</v>
      </c>
      <c r="P32" s="1321">
        <f>O32+SUMIF('11.1.Амортиз.нови активи'!$B$12:$B$59,$B32,'11.1.Амортиз.нови активи'!P$12:P$59)+('9.Инвестиционна програма'!J$131*SUMIF('11.1.Амортиз.нови активи'!$B$12:$B$59,$B32,'11.1.Амортиз.нови активи'!AR$12:AR$59))</f>
        <v>0</v>
      </c>
      <c r="Q32" s="1321">
        <f>P32+SUMIF('11.1.Амортиз.нови активи'!$B$12:$B$59,$B32,'11.1.Амортиз.нови активи'!Q$12:Q$59)+('9.Инвестиционна програма'!K$131*SUMIF('11.1.Амортиз.нови активи'!$B$12:$B$59,$B32,'11.1.Амортиз.нови активи'!AS$12:AS$59))</f>
        <v>0</v>
      </c>
      <c r="R32" s="1326">
        <f>Q32+SUMIF('11.1.Амортиз.нови активи'!$B$12:$B$59,$B32,'11.1.Амортиз.нови активи'!R$12:R$59)+('9.Инвестиционна програма'!L$131*SUMIF('11.1.Амортиз.нови активи'!$B$12:$B$59,$B32,'11.1.Амортиз.нови активи'!AT$12:AT$59))</f>
        <v>0</v>
      </c>
      <c r="S32" s="448">
        <v>0</v>
      </c>
      <c r="T32" s="1325">
        <f>S32+SUMIF('11.1.Амортиз.нови активи'!$B$12:$B$59,$B32,'11.1.Амортиз.нови активи'!T$12:T$59)+('9.Инвестиционна програма'!G$132*SUMIF('11.1.Амортиз.нови активи'!$B$12:$B$59,$B32,'11.1.Амортиз.нови активи'!AO$12:AO$59))</f>
        <v>0</v>
      </c>
      <c r="U32" s="1321">
        <f>T32+SUMIF('11.1.Амортиз.нови активи'!$B$12:$B$59,$B32,'11.1.Амортиз.нови активи'!U$12:U$59)+('9.Инвестиционна програма'!H$132*SUMIF('11.1.Амортиз.нови активи'!$B$12:$B$59,$B32,'11.1.Амортиз.нови активи'!AP$12:AP$59))</f>
        <v>0</v>
      </c>
      <c r="V32" s="1321">
        <f>U32+SUMIF('11.1.Амортиз.нови активи'!$B$12:$B$59,$B32,'11.1.Амортиз.нови активи'!V$12:V$59)+('9.Инвестиционна програма'!I$132*SUMIF('11.1.Амортиз.нови активи'!$B$12:$B$59,$B32,'11.1.Амортиз.нови активи'!AQ$12:AQ$59))</f>
        <v>0</v>
      </c>
      <c r="W32" s="1321">
        <f>V32+SUMIF('11.1.Амортиз.нови активи'!$B$12:$B$59,$B32,'11.1.Амортиз.нови активи'!W$12:W$59)+('9.Инвестиционна програма'!J$132*SUMIF('11.1.Амортиз.нови активи'!$B$12:$B$59,$B32,'11.1.Амортиз.нови активи'!AR$12:AR$59))</f>
        <v>0</v>
      </c>
      <c r="X32" s="1321">
        <f>W32+SUMIF('11.1.Амортиз.нови активи'!$B$12:$B$59,$B32,'11.1.Амортиз.нови активи'!X$12:X$59)+('9.Инвестиционна програма'!K$132*SUMIF('11.1.Амортиз.нови активи'!$B$12:$B$59,$B32,'11.1.Амортиз.нови активи'!AS$12:AS$59))</f>
        <v>0</v>
      </c>
      <c r="Y32" s="1326">
        <f>X32+SUMIF('11.1.Амортиз.нови активи'!$B$12:$B$59,$B32,'11.1.Амортиз.нови активи'!Y$12:Y$59)+('9.Инвестиционна програма'!L$132*SUMIF('11.1.Амортиз.нови активи'!$B$12:$B$59,$B32,'11.1.Амортиз.нови активи'!AT$12:AT$59))</f>
        <v>0</v>
      </c>
      <c r="Z32" s="448">
        <v>0</v>
      </c>
      <c r="AA32" s="1325">
        <f>Z32+SUMIF('11.1.Амортиз.нови активи'!$B$12:$B$59,$B32,'11.1.Амортиз.нови активи'!AA$12:AA$59)</f>
        <v>0</v>
      </c>
      <c r="AB32" s="1321">
        <f>AA32+SUMIF('11.1.Амортиз.нови активи'!$B$12:$B$59,$B32,'11.1.Амортиз.нови активи'!AB$12:AB$59)</f>
        <v>0</v>
      </c>
      <c r="AC32" s="1321">
        <f>AB32+SUMIF('11.1.Амортиз.нови активи'!$B$12:$B$59,$B32,'11.1.Амортиз.нови активи'!AC$12:AC$59)</f>
        <v>0</v>
      </c>
      <c r="AD32" s="1321">
        <f>AC32+SUMIF('11.1.Амортиз.нови активи'!$B$12:$B$59,$B32,'11.1.Амортиз.нови активи'!AD$12:AD$59)</f>
        <v>0</v>
      </c>
      <c r="AE32" s="1321">
        <f>AD32+SUMIF('11.1.Амортиз.нови активи'!$B$12:$B$59,$B32,'11.1.Амортиз.нови активи'!AE$12:AE$59)</f>
        <v>0</v>
      </c>
      <c r="AF32" s="1326">
        <f>AE32+SUMIF('11.1.Амортиз.нови активи'!$B$12:$B$59,$B32,'11.1.Амортиз.нови активи'!AF$12:AF$59)</f>
        <v>0</v>
      </c>
      <c r="AG32" s="448"/>
      <c r="AH32" s="1325">
        <f>AG32+SUMIF('11.1.Амортиз.нови активи'!$B$12:$B$59,$B32,'11.1.Амортиз.нови активи'!AH$12:AH$59)</f>
        <v>0</v>
      </c>
      <c r="AI32" s="1321">
        <f>AH32+SUMIF('11.1.Амортиз.нови активи'!$B$12:$B$59,$B32,'11.1.Амортиз.нови активи'!AI$12:AI$59)</f>
        <v>0</v>
      </c>
      <c r="AJ32" s="1321">
        <f>AI32+SUMIF('11.1.Амортиз.нови активи'!$B$12:$B$59,$B32,'11.1.Амортиз.нови активи'!AJ$12:AJ$59)</f>
        <v>0</v>
      </c>
      <c r="AK32" s="1321">
        <f>AJ32+SUMIF('11.1.Амортиз.нови активи'!$B$12:$B$59,$B32,'11.1.Амортиз.нови активи'!AK$12:AK$59)</f>
        <v>0</v>
      </c>
      <c r="AL32" s="1321">
        <f>AK32+SUMIF('11.1.Амортиз.нови активи'!$B$12:$B$59,$B32,'11.1.Амортиз.нови активи'!AL$12:AL$59)</f>
        <v>0</v>
      </c>
      <c r="AM32" s="1326">
        <f>AL32+SUMIF('11.1.Амортиз.нови активи'!$B$12:$B$59,$B32,'11.1.Амортиз.нови активи'!AM$12:AM$59)</f>
        <v>0</v>
      </c>
      <c r="AN32" s="2860"/>
      <c r="AO32" s="2868"/>
      <c r="AP32" s="1421"/>
    </row>
    <row r="33" spans="1:42" ht="24">
      <c r="A33" s="2878">
        <v>15</v>
      </c>
      <c r="B33" s="2873">
        <v>207</v>
      </c>
      <c r="C33" s="2873" t="s">
        <v>318</v>
      </c>
      <c r="D33" s="2882" t="s">
        <v>420</v>
      </c>
      <c r="E33" s="448">
        <v>0</v>
      </c>
      <c r="F33" s="996">
        <f>E33+SUMIF('11.1.Амортиз.нови активи'!$B$12:$B$59,$B33,'11.1.Амортиз.нови активи'!F$12:F$59)+('9.Инвестиционна програма'!G$130*SUMIF('11.1.Амортиз.нови активи'!$B$12:$B$59,$B33,'11.1.Амортиз.нови активи'!AO$12:AO$59))</f>
        <v>0</v>
      </c>
      <c r="G33" s="1321">
        <f>F33+SUMIF('11.1.Амортиз.нови активи'!$B$12:$B$59,$B33,'11.1.Амортиз.нови активи'!G$12:G$59)+('9.Инвестиционна програма'!H$130*SUMIF('11.1.Амортиз.нови активи'!$B$12:$B$59,$B33,'11.1.Амортиз.нови активи'!AP$12:AP$59))</f>
        <v>0</v>
      </c>
      <c r="H33" s="1321">
        <f>G33+SUMIF('11.1.Амортиз.нови активи'!$B$12:$B$59,$B33,'11.1.Амортиз.нови активи'!H$12:H$59)+('9.Инвестиционна програма'!I$130*SUMIF('11.1.Амортиз.нови активи'!$B$12:$B$59,$B33,'11.1.Амортиз.нови активи'!AQ$12:AQ$59))</f>
        <v>0</v>
      </c>
      <c r="I33" s="1321">
        <f>H33+SUMIF('11.1.Амортиз.нови активи'!$B$12:$B$59,$B33,'11.1.Амортиз.нови активи'!I$12:I$59)+('9.Инвестиционна програма'!J$130*SUMIF('11.1.Амортиз.нови активи'!$B$12:$B$59,$B33,'11.1.Амортиз.нови активи'!AR$12:AR$59))</f>
        <v>0</v>
      </c>
      <c r="J33" s="1321">
        <f>I33+SUMIF('11.1.Амортиз.нови активи'!$B$12:$B$59,$B33,'11.1.Амортиз.нови активи'!J$12:J$59)+('9.Инвестиционна програма'!K$130*SUMIF('11.1.Амортиз.нови активи'!$B$12:$B$59,$B33,'11.1.Амортиз.нови активи'!AS$12:AS$59))</f>
        <v>0</v>
      </c>
      <c r="K33" s="1326">
        <f>J33+SUMIF('11.1.Амортиз.нови активи'!$B$12:$B$59,$B33,'11.1.Амортиз.нови активи'!K$12:K$59)+('9.Инвестиционна програма'!L$130*SUMIF('11.1.Амортиз.нови активи'!$B$12:$B$59,$B33,'11.1.Амортиз.нови активи'!AT$12:AT$59))</f>
        <v>0</v>
      </c>
      <c r="L33" s="448">
        <v>0</v>
      </c>
      <c r="M33" s="1325">
        <f>L33+SUMIF('11.1.Амортиз.нови активи'!$B$12:$B$59,$B33,'11.1.Амортиз.нови активи'!M$12:M$59)+('9.Инвестиционна програма'!G$131*SUMIF('11.1.Амортиз.нови активи'!$B$12:$B$59,$B33,'11.1.Амортиз.нови активи'!AO$12:AO$59))</f>
        <v>0</v>
      </c>
      <c r="N33" s="1321">
        <f>M33+SUMIF('11.1.Амортиз.нови активи'!$B$12:$B$59,$B33,'11.1.Амортиз.нови активи'!N$12:N$59)+('9.Инвестиционна програма'!H$131*SUMIF('11.1.Амортиз.нови активи'!$B$12:$B$59,$B33,'11.1.Амортиз.нови активи'!AP$12:AP$59))</f>
        <v>0</v>
      </c>
      <c r="O33" s="1321">
        <f>N33+SUMIF('11.1.Амортиз.нови активи'!$B$12:$B$59,$B33,'11.1.Амортиз.нови активи'!O$12:O$59)+('9.Инвестиционна програма'!I$131*SUMIF('11.1.Амортиз.нови активи'!$B$12:$B$59,$B33,'11.1.Амортиз.нови активи'!AQ$12:AQ$59))</f>
        <v>0</v>
      </c>
      <c r="P33" s="1321">
        <f>O33+SUMIF('11.1.Амортиз.нови активи'!$B$12:$B$59,$B33,'11.1.Амортиз.нови активи'!P$12:P$59)+('9.Инвестиционна програма'!J$131*SUMIF('11.1.Амортиз.нови активи'!$B$12:$B$59,$B33,'11.1.Амортиз.нови активи'!AR$12:AR$59))</f>
        <v>0</v>
      </c>
      <c r="Q33" s="1321">
        <f>P33+SUMIF('11.1.Амортиз.нови активи'!$B$12:$B$59,$B33,'11.1.Амортиз.нови активи'!Q$12:Q$59)+('9.Инвестиционна програма'!K$131*SUMIF('11.1.Амортиз.нови активи'!$B$12:$B$59,$B33,'11.1.Амортиз.нови активи'!AS$12:AS$59))</f>
        <v>0</v>
      </c>
      <c r="R33" s="1326">
        <f>Q33+SUMIF('11.1.Амортиз.нови активи'!$B$12:$B$59,$B33,'11.1.Амортиз.нови активи'!R$12:R$59)+('9.Инвестиционна програма'!L$131*SUMIF('11.1.Амортиз.нови активи'!$B$12:$B$59,$B33,'11.1.Амортиз.нови активи'!AT$12:AT$59))</f>
        <v>0</v>
      </c>
      <c r="S33" s="448">
        <v>0</v>
      </c>
      <c r="T33" s="1325">
        <f>S33+SUMIF('11.1.Амортиз.нови активи'!$B$12:$B$59,$B33,'11.1.Амортиз.нови активи'!T$12:T$59)+('9.Инвестиционна програма'!G$132*SUMIF('11.1.Амортиз.нови активи'!$B$12:$B$59,$B33,'11.1.Амортиз.нови активи'!AO$12:AO$59))</f>
        <v>0</v>
      </c>
      <c r="U33" s="1321">
        <f>T33+SUMIF('11.1.Амортиз.нови активи'!$B$12:$B$59,$B33,'11.1.Амортиз.нови активи'!U$12:U$59)+('9.Инвестиционна програма'!H$132*SUMIF('11.1.Амортиз.нови активи'!$B$12:$B$59,$B33,'11.1.Амортиз.нови активи'!AP$12:AP$59))</f>
        <v>0</v>
      </c>
      <c r="V33" s="1321">
        <f>U33+SUMIF('11.1.Амортиз.нови активи'!$B$12:$B$59,$B33,'11.1.Амортиз.нови активи'!V$12:V$59)+('9.Инвестиционна програма'!I$132*SUMIF('11.1.Амортиз.нови активи'!$B$12:$B$59,$B33,'11.1.Амортиз.нови активи'!AQ$12:AQ$59))</f>
        <v>0</v>
      </c>
      <c r="W33" s="1321">
        <f>V33+SUMIF('11.1.Амортиз.нови активи'!$B$12:$B$59,$B33,'11.1.Амортиз.нови активи'!W$12:W$59)+('9.Инвестиционна програма'!J$132*SUMIF('11.1.Амортиз.нови активи'!$B$12:$B$59,$B33,'11.1.Амортиз.нови активи'!AR$12:AR$59))</f>
        <v>0</v>
      </c>
      <c r="X33" s="1321">
        <f>W33+SUMIF('11.1.Амортиз.нови активи'!$B$12:$B$59,$B33,'11.1.Амортиз.нови активи'!X$12:X$59)+('9.Инвестиционна програма'!K$132*SUMIF('11.1.Амортиз.нови активи'!$B$12:$B$59,$B33,'11.1.Амортиз.нови активи'!AS$12:AS$59))</f>
        <v>0</v>
      </c>
      <c r="Y33" s="1326">
        <f>X33+SUMIF('11.1.Амортиз.нови активи'!$B$12:$B$59,$B33,'11.1.Амортиз.нови активи'!Y$12:Y$59)+('9.Инвестиционна програма'!L$132*SUMIF('11.1.Амортиз.нови активи'!$B$12:$B$59,$B33,'11.1.Амортиз.нови активи'!AT$12:AT$59))</f>
        <v>0</v>
      </c>
      <c r="Z33" s="448">
        <v>0</v>
      </c>
      <c r="AA33" s="1325">
        <f>Z33+SUMIF('11.1.Амортиз.нови активи'!$B$12:$B$59,$B33,'11.1.Амортиз.нови активи'!AA$12:AA$59)</f>
        <v>0</v>
      </c>
      <c r="AB33" s="1321">
        <f>AA33+SUMIF('11.1.Амортиз.нови активи'!$B$12:$B$59,$B33,'11.1.Амортиз.нови активи'!AB$12:AB$59)</f>
        <v>0</v>
      </c>
      <c r="AC33" s="1321">
        <f>AB33+SUMIF('11.1.Амортиз.нови активи'!$B$12:$B$59,$B33,'11.1.Амортиз.нови активи'!AC$12:AC$59)</f>
        <v>0</v>
      </c>
      <c r="AD33" s="1321">
        <f>AC33+SUMIF('11.1.Амортиз.нови активи'!$B$12:$B$59,$B33,'11.1.Амортиз.нови активи'!AD$12:AD$59)</f>
        <v>0</v>
      </c>
      <c r="AE33" s="1321">
        <f>AD33+SUMIF('11.1.Амортиз.нови активи'!$B$12:$B$59,$B33,'11.1.Амортиз.нови активи'!AE$12:AE$59)</f>
        <v>0</v>
      </c>
      <c r="AF33" s="1326">
        <f>AE33+SUMIF('11.1.Амортиз.нови активи'!$B$12:$B$59,$B33,'11.1.Амортиз.нови активи'!AF$12:AF$59)</f>
        <v>0</v>
      </c>
      <c r="AG33" s="448"/>
      <c r="AH33" s="1325">
        <f>AG33+SUMIF('11.1.Амортиз.нови активи'!$B$12:$B$59,$B33,'11.1.Амортиз.нови активи'!AH$12:AH$59)</f>
        <v>0</v>
      </c>
      <c r="AI33" s="1321">
        <f>AH33+SUMIF('11.1.Амортиз.нови активи'!$B$12:$B$59,$B33,'11.1.Амортиз.нови активи'!AI$12:AI$59)</f>
        <v>0</v>
      </c>
      <c r="AJ33" s="1321">
        <f>AI33+SUMIF('11.1.Амортиз.нови активи'!$B$12:$B$59,$B33,'11.1.Амортиз.нови активи'!AJ$12:AJ$59)</f>
        <v>0</v>
      </c>
      <c r="AK33" s="1321">
        <f>AJ33+SUMIF('11.1.Амортиз.нови активи'!$B$12:$B$59,$B33,'11.1.Амортиз.нови активи'!AK$12:AK$59)</f>
        <v>0</v>
      </c>
      <c r="AL33" s="1321">
        <f>AK33+SUMIF('11.1.Амортиз.нови активи'!$B$12:$B$59,$B33,'11.1.Амортиз.нови активи'!AL$12:AL$59)</f>
        <v>0</v>
      </c>
      <c r="AM33" s="1326">
        <f>AL33+SUMIF('11.1.Амортиз.нови активи'!$B$12:$B$59,$B33,'11.1.Амортиз.нови активи'!AM$12:AM$59)</f>
        <v>0</v>
      </c>
      <c r="AN33" s="2860"/>
      <c r="AO33" s="2868"/>
      <c r="AP33" s="1421"/>
    </row>
    <row r="34" spans="1:42" ht="13.5" thickBot="1">
      <c r="A34" s="2878">
        <v>16</v>
      </c>
      <c r="B34" s="2883">
        <v>219</v>
      </c>
      <c r="C34" s="2884">
        <v>0.1</v>
      </c>
      <c r="D34" s="2885" t="s">
        <v>221</v>
      </c>
      <c r="E34" s="449">
        <v>48</v>
      </c>
      <c r="F34" s="996">
        <f>E34+SUMIF('11.1.Амортиз.нови активи'!$B$12:$B$59,$B34,'11.1.Амортиз.нови активи'!F$12:F$59)+('9.Инвестиционна програма'!G$130*SUMIF('11.1.Амортиз.нови активи'!$B$12:$B$59,$B34,'11.1.Амортиз.нови активи'!AO$12:AO$59))</f>
        <v>48</v>
      </c>
      <c r="G34" s="1321">
        <f>F34+SUMIF('11.1.Амортиз.нови активи'!$B$12:$B$59,$B34,'11.1.Амортиз.нови активи'!G$12:G$59)+('9.Инвестиционна програма'!H$130*SUMIF('11.1.Амортиз.нови активи'!$B$12:$B$59,$B34,'11.1.Амортиз.нови активи'!AP$12:AP$59))</f>
        <v>48</v>
      </c>
      <c r="H34" s="1321">
        <f>G34+SUMIF('11.1.Амортиз.нови активи'!$B$12:$B$59,$B34,'11.1.Амортиз.нови активи'!H$12:H$59)+('9.Инвестиционна програма'!I$130*SUMIF('11.1.Амортиз.нови активи'!$B$12:$B$59,$B34,'11.1.Амортиз.нови активи'!AQ$12:AQ$59))</f>
        <v>48</v>
      </c>
      <c r="I34" s="1321">
        <f>H34+SUMIF('11.1.Амортиз.нови активи'!$B$12:$B$59,$B34,'11.1.Амортиз.нови активи'!I$12:I$59)+('9.Инвестиционна програма'!J$130*SUMIF('11.1.Амортиз.нови активи'!$B$12:$B$59,$B34,'11.1.Амортиз.нови активи'!AR$12:AR$59))</f>
        <v>48</v>
      </c>
      <c r="J34" s="1321">
        <f>I34+SUMIF('11.1.Амортиз.нови активи'!$B$12:$B$59,$B34,'11.1.Амортиз.нови активи'!J$12:J$59)+('9.Инвестиционна програма'!K$130*SUMIF('11.1.Амортиз.нови активи'!$B$12:$B$59,$B34,'11.1.Амортиз.нови активи'!AS$12:AS$59))</f>
        <v>48</v>
      </c>
      <c r="K34" s="1326">
        <f>J34+SUMIF('11.1.Амортиз.нови активи'!$B$12:$B$59,$B34,'11.1.Амортиз.нови активи'!K$12:K$59)+('9.Инвестиционна програма'!L$130*SUMIF('11.1.Амортиз.нови активи'!$B$12:$B$59,$B34,'11.1.Амортиз.нови активи'!AT$12:AT$59))</f>
        <v>48</v>
      </c>
      <c r="L34" s="449">
        <v>0</v>
      </c>
      <c r="M34" s="1325">
        <f>L34+SUMIF('11.1.Амортиз.нови активи'!$B$12:$B$59,$B34,'11.1.Амортиз.нови активи'!M$12:M$59)+('9.Инвестиционна програма'!G$131*SUMIF('11.1.Амортиз.нови активи'!$B$12:$B$59,$B34,'11.1.Амортиз.нови активи'!AO$12:AO$59))</f>
        <v>0</v>
      </c>
      <c r="N34" s="1321">
        <f>M34+SUMIF('11.1.Амортиз.нови активи'!$B$12:$B$59,$B34,'11.1.Амортиз.нови активи'!N$12:N$59)+('9.Инвестиционна програма'!H$131*SUMIF('11.1.Амортиз.нови активи'!$B$12:$B$59,$B34,'11.1.Амортиз.нови активи'!AP$12:AP$59))</f>
        <v>0</v>
      </c>
      <c r="O34" s="1321">
        <f>N34+SUMIF('11.1.Амортиз.нови активи'!$B$12:$B$59,$B34,'11.1.Амортиз.нови активи'!O$12:O$59)+('9.Инвестиционна програма'!I$131*SUMIF('11.1.Амортиз.нови активи'!$B$12:$B$59,$B34,'11.1.Амортиз.нови активи'!AQ$12:AQ$59))</f>
        <v>0</v>
      </c>
      <c r="P34" s="1321">
        <f>O34+SUMIF('11.1.Амортиз.нови активи'!$B$12:$B$59,$B34,'11.1.Амортиз.нови активи'!P$12:P$59)+('9.Инвестиционна програма'!J$131*SUMIF('11.1.Амортиз.нови активи'!$B$12:$B$59,$B34,'11.1.Амортиз.нови активи'!AR$12:AR$59))</f>
        <v>0</v>
      </c>
      <c r="Q34" s="1321">
        <f>P34+SUMIF('11.1.Амортиз.нови активи'!$B$12:$B$59,$B34,'11.1.Амортиз.нови активи'!Q$12:Q$59)+('9.Инвестиционна програма'!K$131*SUMIF('11.1.Амортиз.нови активи'!$B$12:$B$59,$B34,'11.1.Амортиз.нови активи'!AS$12:AS$59))</f>
        <v>0</v>
      </c>
      <c r="R34" s="1326">
        <f>Q34+SUMIF('11.1.Амортиз.нови активи'!$B$12:$B$59,$B34,'11.1.Амортиз.нови активи'!R$12:R$59)+('9.Инвестиционна програма'!L$131*SUMIF('11.1.Амортиз.нови активи'!$B$12:$B$59,$B34,'11.1.Амортиз.нови активи'!AT$12:AT$59))</f>
        <v>0</v>
      </c>
      <c r="S34" s="449">
        <v>0</v>
      </c>
      <c r="T34" s="1325">
        <f>S34+SUMIF('11.1.Амортиз.нови активи'!$B$12:$B$59,$B34,'11.1.Амортиз.нови активи'!T$12:T$59)+('9.Инвестиционна програма'!G$132*SUMIF('11.1.Амортиз.нови активи'!$B$12:$B$59,$B34,'11.1.Амортиз.нови активи'!AO$12:AO$59))</f>
        <v>0</v>
      </c>
      <c r="U34" s="1321">
        <f>T34+SUMIF('11.1.Амортиз.нови активи'!$B$12:$B$59,$B34,'11.1.Амортиз.нови активи'!U$12:U$59)+('9.Инвестиционна програма'!H$132*SUMIF('11.1.Амортиз.нови активи'!$B$12:$B$59,$B34,'11.1.Амортиз.нови активи'!AP$12:AP$59))</f>
        <v>0</v>
      </c>
      <c r="V34" s="1321">
        <f>U34+SUMIF('11.1.Амортиз.нови активи'!$B$12:$B$59,$B34,'11.1.Амортиз.нови активи'!V$12:V$59)+('9.Инвестиционна програма'!I$132*SUMIF('11.1.Амортиз.нови активи'!$B$12:$B$59,$B34,'11.1.Амортиз.нови активи'!AQ$12:AQ$59))</f>
        <v>0</v>
      </c>
      <c r="W34" s="1321">
        <f>V34+SUMIF('11.1.Амортиз.нови активи'!$B$12:$B$59,$B34,'11.1.Амортиз.нови активи'!W$12:W$59)+('9.Инвестиционна програма'!J$132*SUMIF('11.1.Амортиз.нови активи'!$B$12:$B$59,$B34,'11.1.Амортиз.нови активи'!AR$12:AR$59))</f>
        <v>0</v>
      </c>
      <c r="X34" s="1321">
        <f>W34+SUMIF('11.1.Амортиз.нови активи'!$B$12:$B$59,$B34,'11.1.Амортиз.нови активи'!X$12:X$59)+('9.Инвестиционна програма'!K$132*SUMIF('11.1.Амортиз.нови активи'!$B$12:$B$59,$B34,'11.1.Амортиз.нови активи'!AS$12:AS$59))</f>
        <v>0</v>
      </c>
      <c r="Y34" s="1326">
        <f>X34+SUMIF('11.1.Амортиз.нови активи'!$B$12:$B$59,$B34,'11.1.Амортиз.нови активи'!Y$12:Y$59)+('9.Инвестиционна програма'!L$132*SUMIF('11.1.Амортиз.нови активи'!$B$12:$B$59,$B34,'11.1.Амортиз.нови активи'!AT$12:AT$59))</f>
        <v>0</v>
      </c>
      <c r="Z34" s="448">
        <v>0</v>
      </c>
      <c r="AA34" s="1325">
        <f>Z34+SUMIF('11.1.Амортиз.нови активи'!$B$12:$B$59,$B34,'11.1.Амортиз.нови активи'!AA$12:AA$59)</f>
        <v>0</v>
      </c>
      <c r="AB34" s="1321">
        <f>AA34+SUMIF('11.1.Амортиз.нови активи'!$B$12:$B$59,$B34,'11.1.Амортиз.нови активи'!AB$12:AB$59)</f>
        <v>0</v>
      </c>
      <c r="AC34" s="1321">
        <f>AB34+SUMIF('11.1.Амортиз.нови активи'!$B$12:$B$59,$B34,'11.1.Амортиз.нови активи'!AC$12:AC$59)</f>
        <v>0</v>
      </c>
      <c r="AD34" s="1321">
        <f>AC34+SUMIF('11.1.Амортиз.нови активи'!$B$12:$B$59,$B34,'11.1.Амортиз.нови активи'!AD$12:AD$59)</f>
        <v>0</v>
      </c>
      <c r="AE34" s="1321">
        <f>AD34+SUMIF('11.1.Амортиз.нови активи'!$B$12:$B$59,$B34,'11.1.Амортиз.нови активи'!AE$12:AE$59)</f>
        <v>0</v>
      </c>
      <c r="AF34" s="1326">
        <f>AE34+SUMIF('11.1.Амортиз.нови активи'!$B$12:$B$59,$B34,'11.1.Амортиз.нови активи'!AF$12:AF$59)</f>
        <v>0</v>
      </c>
      <c r="AG34" s="449"/>
      <c r="AH34" s="1325">
        <f>AG34+SUMIF('11.1.Амортиз.нови активи'!$B$12:$B$59,$B34,'11.1.Амортиз.нови активи'!AH$12:AH$59)</f>
        <v>0</v>
      </c>
      <c r="AI34" s="1321">
        <f>AH34+SUMIF('11.1.Амортиз.нови активи'!$B$12:$B$59,$B34,'11.1.Амортиз.нови активи'!AI$12:AI$59)</f>
        <v>0</v>
      </c>
      <c r="AJ34" s="1321">
        <f>AI34+SUMIF('11.1.Амортиз.нови активи'!$B$12:$B$59,$B34,'11.1.Амортиз.нови активи'!AJ$12:AJ$59)</f>
        <v>0</v>
      </c>
      <c r="AK34" s="1321">
        <f>AJ34+SUMIF('11.1.Амортиз.нови активи'!$B$12:$B$59,$B34,'11.1.Амортиз.нови активи'!AK$12:AK$59)</f>
        <v>0</v>
      </c>
      <c r="AL34" s="1321">
        <f>AK34+SUMIF('11.1.Амортиз.нови активи'!$B$12:$B$59,$B34,'11.1.Амортиз.нови активи'!AL$12:AL$59)</f>
        <v>0</v>
      </c>
      <c r="AM34" s="1326">
        <f>AL34+SUMIF('11.1.Амортиз.нови активи'!$B$12:$B$59,$B34,'11.1.Амортиз.нови активи'!AM$12:AM$59)</f>
        <v>0</v>
      </c>
      <c r="AN34" s="2860"/>
      <c r="AO34" s="2868"/>
      <c r="AP34" s="1421"/>
    </row>
    <row r="35" spans="1:42" ht="13.5" thickBot="1">
      <c r="A35" s="4440" t="s">
        <v>211</v>
      </c>
      <c r="B35" s="2886"/>
      <c r="C35" s="2886"/>
      <c r="D35" s="2849" t="s">
        <v>223</v>
      </c>
      <c r="E35" s="2854">
        <f t="shared" ref="E35:Z35" si="12">SUM(E36:E59)-E38-E44</f>
        <v>159</v>
      </c>
      <c r="F35" s="2851">
        <f t="shared" si="12"/>
        <v>185.11936551521092</v>
      </c>
      <c r="G35" s="2852">
        <f t="shared" si="12"/>
        <v>213.39525527353666</v>
      </c>
      <c r="H35" s="2852">
        <f t="shared" si="12"/>
        <v>223.18882332827764</v>
      </c>
      <c r="I35" s="2852">
        <f t="shared" si="12"/>
        <v>232.61737966001067</v>
      </c>
      <c r="J35" s="2852">
        <f t="shared" si="12"/>
        <v>226.31924198805223</v>
      </c>
      <c r="K35" s="2853">
        <f t="shared" si="12"/>
        <v>251.67713596568362</v>
      </c>
      <c r="L35" s="2854">
        <f t="shared" si="12"/>
        <v>68</v>
      </c>
      <c r="M35" s="2851">
        <f t="shared" si="12"/>
        <v>73.197972404317937</v>
      </c>
      <c r="N35" s="2852">
        <f t="shared" si="12"/>
        <v>74.824565818604697</v>
      </c>
      <c r="O35" s="2852">
        <f t="shared" si="12"/>
        <v>83.180832090129371</v>
      </c>
      <c r="P35" s="2852">
        <f t="shared" si="12"/>
        <v>88.288973128729907</v>
      </c>
      <c r="Q35" s="2852">
        <f t="shared" si="12"/>
        <v>69.917408864166049</v>
      </c>
      <c r="R35" s="2853">
        <f t="shared" si="12"/>
        <v>66.095684364645464</v>
      </c>
      <c r="S35" s="2854">
        <f t="shared" si="12"/>
        <v>15.8</v>
      </c>
      <c r="T35" s="2851">
        <f t="shared" si="12"/>
        <v>14.279822080471053</v>
      </c>
      <c r="U35" s="2852">
        <f t="shared" si="12"/>
        <v>15.212338907858694</v>
      </c>
      <c r="V35" s="2852">
        <f t="shared" si="12"/>
        <v>17.212504581593045</v>
      </c>
      <c r="W35" s="2852">
        <f t="shared" si="12"/>
        <v>17.035807211259467</v>
      </c>
      <c r="X35" s="2852">
        <f t="shared" si="12"/>
        <v>14.650509147781801</v>
      </c>
      <c r="Y35" s="2853">
        <f t="shared" si="12"/>
        <v>15.074339669670806</v>
      </c>
      <c r="Z35" s="2854">
        <f t="shared" si="12"/>
        <v>0.80000000000000016</v>
      </c>
      <c r="AA35" s="2851">
        <f t="shared" ref="AA35:AM35" si="13">SUM(AA36:AA59)-AA38-AA44</f>
        <v>0.82313000000000014</v>
      </c>
      <c r="AB35" s="2852">
        <f t="shared" si="13"/>
        <v>0.87313000000000018</v>
      </c>
      <c r="AC35" s="2852">
        <f t="shared" si="13"/>
        <v>0.97313000000000027</v>
      </c>
      <c r="AD35" s="2852">
        <f t="shared" si="13"/>
        <v>0.22313</v>
      </c>
      <c r="AE35" s="2852">
        <f t="shared" si="13"/>
        <v>0.22313</v>
      </c>
      <c r="AF35" s="2853">
        <f t="shared" si="13"/>
        <v>0.22313</v>
      </c>
      <c r="AG35" s="2854">
        <f t="shared" si="13"/>
        <v>0</v>
      </c>
      <c r="AH35" s="2851">
        <f t="shared" si="13"/>
        <v>0</v>
      </c>
      <c r="AI35" s="2852">
        <f t="shared" si="13"/>
        <v>0</v>
      </c>
      <c r="AJ35" s="2852">
        <f t="shared" si="13"/>
        <v>0</v>
      </c>
      <c r="AK35" s="2852">
        <f t="shared" si="13"/>
        <v>0</v>
      </c>
      <c r="AL35" s="2852">
        <f t="shared" si="13"/>
        <v>0</v>
      </c>
      <c r="AM35" s="2853">
        <f t="shared" si="13"/>
        <v>0</v>
      </c>
      <c r="AN35" s="2855"/>
      <c r="AO35" s="2887">
        <f>(SUM(F$35:Y$35)-L$35-S$35)+(SUM(F$131:Y$131)-L$131-S$131)+(SUM(F$214:Y$214)-L$214-S$214)-((K$60-E$60)+(R$60-L$60)+(Y$60-S$60)+(K$151-E$151)+(R$151-L$151)+(Y$151-S$151)+(K$236-E$236)+(R$236-L$236)+(Y$236-S$236))</f>
        <v>0</v>
      </c>
      <c r="AP35" s="1421"/>
    </row>
    <row r="36" spans="1:42">
      <c r="A36" s="2856">
        <v>1</v>
      </c>
      <c r="B36" s="2888">
        <v>20101</v>
      </c>
      <c r="C36" s="2858">
        <v>0</v>
      </c>
      <c r="D36" s="2889" t="s">
        <v>562</v>
      </c>
      <c r="E36" s="448">
        <v>0</v>
      </c>
      <c r="F36" s="2968">
        <f>$E36-SUMIF('11.2. ДА за периода'!$B$61:$B$108,$B36,'11.2. ДА за периода'!$E$61:$E$108)+SUMIF('11.2. ДА за периода'!$B$61:$B$108,$B36,'11.2. ДА за периода'!F$61:F$108)+SUMIF('11.1.Амортиз.нови активи'!$B$61:$B$108,$B36,'11.1.Амортиз.нови активи'!F$61:F$108)+('11.1.Амортиз.нови активи'!F$110*SUMIF('11.1.Амортиз.нови активи'!$B$61:$B$108,$B36,'11.1.Амортиз.нови активи'!AO$61:AO$108))</f>
        <v>0</v>
      </c>
      <c r="G36" s="1235">
        <f>$E36-SUMIF('11.2. ДА за периода'!$B$61:$B$108,$B36,'11.2. ДА за периода'!$E$61:$E$108)+SUMIF('11.2. ДА за периода'!$B$61:$B$108,$B36,'11.2. ДА за периода'!G$61:G$108)+SUMIF('11.1.Амортиз.нови активи'!$B$61:$B$108,$B36,'11.1.Амортиз.нови активи'!G$61:G$108)+('11.1.Амортиз.нови активи'!G$110*SUMIF('11.1.Амортиз.нови активи'!$B$61:$B$108,$B36,'11.1.Амортиз.нови активи'!AP$61:AP$108))</f>
        <v>0</v>
      </c>
      <c r="H36" s="1235">
        <f>$E36-SUMIF('11.2. ДА за периода'!$B$61:$B$108,$B36,'11.2. ДА за периода'!$E$61:$E$108)+SUMIF('11.2. ДА за периода'!$B$61:$B$108,$B36,'11.2. ДА за периода'!H$61:H$108)+SUMIF('11.1.Амортиз.нови активи'!$B$61:$B$108,$B36,'11.1.Амортиз.нови активи'!H$61:H$108)+('11.1.Амортиз.нови активи'!H$110*SUMIF('11.1.Амортиз.нови активи'!$B$61:$B$108,$B36,'11.1.Амортиз.нови активи'!AQ$61:AQ$108))</f>
        <v>0</v>
      </c>
      <c r="I36" s="1235">
        <f>$E36-SUMIF('11.2. ДА за периода'!$B$61:$B$108,$B36,'11.2. ДА за периода'!$E$61:$E$108)+SUMIF('11.2. ДА за периода'!$B$61:$B$108,$B36,'11.2. ДА за периода'!I$61:I$108)+SUMIF('11.1.Амортиз.нови активи'!$B$61:$B$108,$B36,'11.1.Амортиз.нови активи'!I$61:I$108)+('11.1.Амортиз.нови активи'!I$110*SUMIF('11.1.Амортиз.нови активи'!$B$61:$B$108,$B36,'11.1.Амортиз.нови активи'!AR$61:AR$108))</f>
        <v>0</v>
      </c>
      <c r="J36" s="1235">
        <f>$E36-SUMIF('11.2. ДА за периода'!$B$61:$B$108,$B36,'11.2. ДА за периода'!$E$61:$E$108)+SUMIF('11.2. ДА за периода'!$B$61:$B$108,$B36,'11.2. ДА за периода'!J$61:J$108)+SUMIF('11.1.Амортиз.нови активи'!$B$61:$B$108,$B36,'11.1.Амортиз.нови активи'!J$61:J$108)+('11.1.Амортиз.нови активи'!J$110*SUMIF('11.1.Амортиз.нови активи'!$B$61:$B$108,$B36,'11.1.Амортиз.нови активи'!AS$61:AS$108))</f>
        <v>0</v>
      </c>
      <c r="K36" s="2969">
        <f>$E36-SUMIF('11.2. ДА за периода'!$B$61:$B$108,$B36,'11.2. ДА за периода'!$E$61:$E$108)+SUMIF('11.2. ДА за периода'!$B$61:$B$108,$B36,'11.2. ДА за периода'!K$61:K$108)+SUMIF('11.1.Амортиз.нови активи'!$B$61:$B$108,$B36,'11.1.Амортиз.нови активи'!K$61:K$108)+('11.1.Амортиз.нови активи'!K$110*SUMIF('11.1.Амортиз.нови активи'!$B$61:$B$108,$B36,'11.1.Амортиз.нови активи'!AT$61:AT$108))</f>
        <v>0</v>
      </c>
      <c r="L36" s="448">
        <v>0</v>
      </c>
      <c r="M36" s="2968">
        <f>$L36-SUMIF('11.2. ДА за периода'!$B$61:$B$108,$B36,'11.2. ДА за периода'!$L$61:$L$108)+SUMIF('11.2. ДА за периода'!$B$61:$B$108,$B36,'11.2. ДА за периода'!M$61:M$108)+SUMIF('11.1.Амортиз.нови активи'!$B$61:$B$108,$B36,'11.1.Амортиз.нови активи'!M$61:M$108)+('11.1.Амортиз.нови активи'!F$111*SUMIF('11.1.Амортиз.нови активи'!$B$61:$B$108,$B36,'11.1.Амортиз.нови активи'!AO$61:AO$108))</f>
        <v>0</v>
      </c>
      <c r="N36" s="1235">
        <f>$L36-SUMIF('11.2. ДА за периода'!$B$61:$B$108,$B36,'11.2. ДА за периода'!$L$61:$L$108)+SUMIF('11.2. ДА за периода'!$B$61:$B$108,$B36,'11.2. ДА за периода'!N$61:N$108)+SUMIF('11.1.Амортиз.нови активи'!$B$61:$B$108,$B36,'11.1.Амортиз.нови активи'!N$61:N$108)+('11.1.Амортиз.нови активи'!G$111*SUMIF('11.1.Амортиз.нови активи'!$B$61:$B$108,$B36,'11.1.Амортиз.нови активи'!AP$61:AP$108))</f>
        <v>0</v>
      </c>
      <c r="O36" s="1235">
        <f>$L36-SUMIF('11.2. ДА за периода'!$B$61:$B$108,$B36,'11.2. ДА за периода'!$L$61:$L$108)+SUMIF('11.2. ДА за периода'!$B$61:$B$108,$B36,'11.2. ДА за периода'!O$61:O$108)+SUMIF('11.1.Амортиз.нови активи'!$B$61:$B$108,$B36,'11.1.Амортиз.нови активи'!O$61:O$108)+('11.1.Амортиз.нови активи'!H$111*SUMIF('11.1.Амортиз.нови активи'!$B$61:$B$108,$B36,'11.1.Амортиз.нови активи'!AQ$61:AQ$108))</f>
        <v>0</v>
      </c>
      <c r="P36" s="1235">
        <f>$L36-SUMIF('11.2. ДА за периода'!$B$61:$B$108,$B36,'11.2. ДА за периода'!$L$61:$L$108)+SUMIF('11.2. ДА за периода'!$B$61:$B$108,$B36,'11.2. ДА за периода'!P$61:P$108)+SUMIF('11.1.Амортиз.нови активи'!$B$61:$B$108,$B36,'11.1.Амортиз.нови активи'!P$61:P$108)+('11.1.Амортиз.нови активи'!I$111*SUMIF('11.1.Амортиз.нови активи'!$B$61:$B$108,$B36,'11.1.Амортиз.нови активи'!AR$61:AR$108))</f>
        <v>0</v>
      </c>
      <c r="Q36" s="1235">
        <f>$L36-SUMIF('11.2. ДА за периода'!$B$61:$B$108,$B36,'11.2. ДА за периода'!$L$61:$L$108)+SUMIF('11.2. ДА за периода'!$B$61:$B$108,$B36,'11.2. ДА за периода'!Q$61:Q$108)+SUMIF('11.1.Амортиз.нови активи'!$B$61:$B$108,$B36,'11.1.Амортиз.нови активи'!Q$61:Q$108)+('11.1.Амортиз.нови активи'!J$111*SUMIF('11.1.Амортиз.нови активи'!$B$61:$B$108,$B36,'11.1.Амортиз.нови активи'!AS$61:AS$108))</f>
        <v>0</v>
      </c>
      <c r="R36" s="2969">
        <f>$L36-SUMIF('11.2. ДА за периода'!$B$61:$B$108,$B36,'11.2. ДА за периода'!$L$61:$L$108)+SUMIF('11.2. ДА за периода'!$B$61:$B$108,$B36,'11.2. ДА за периода'!R$61:R$108)+SUMIF('11.1.Амортиз.нови активи'!$B$61:$B$108,$B36,'11.1.Амортиз.нови активи'!R$61:R$108)+('11.1.Амортиз.нови активи'!K$111*SUMIF('11.1.Амортиз.нови активи'!$B$61:$B$108,$B36,'11.1.Амортиз.нови активи'!AT$61:AT$108))</f>
        <v>0</v>
      </c>
      <c r="S36" s="448">
        <v>0</v>
      </c>
      <c r="T36" s="2968">
        <f>$S36-SUMIF('11.2. ДА за периода'!$B$61:$B$108,$B36,'11.2. ДА за периода'!$S$61:$S$108)+SUMIF('11.2. ДА за периода'!$B$61:$B$108,$B36,'11.2. ДА за периода'!T$61:T$108)+SUMIF('11.1.Амортиз.нови активи'!$B$61:$B$108,$B36,'11.1.Амортиз.нови активи'!T$61:T$108)+('11.1.Амортиз.нови активи'!F$112*SUMIF('11.1.Амортиз.нови активи'!$B$61:$B$108,$B36,'11.1.Амортиз.нови активи'!AO$61:AO$108))</f>
        <v>0</v>
      </c>
      <c r="U36" s="1235">
        <f>$S36-SUMIF('11.2. ДА за периода'!$B$61:$B$108,$B36,'11.2. ДА за периода'!$S$61:$S$108)+SUMIF('11.2. ДА за периода'!$B$61:$B$108,$B36,'11.2. ДА за периода'!U$61:U$108)+SUMIF('11.1.Амортиз.нови активи'!$B$61:$B$108,$B36,'11.1.Амортиз.нови активи'!U$61:U$108)+('11.1.Амортиз.нови активи'!G$112*SUMIF('11.1.Амортиз.нови активи'!$B$61:$B$108,$B36,'11.1.Амортиз.нови активи'!AP$61:AP$108))</f>
        <v>0</v>
      </c>
      <c r="V36" s="1235">
        <f>$S36-SUMIF('11.2. ДА за периода'!$B$61:$B$108,$B36,'11.2. ДА за периода'!$S$61:$S$108)+SUMIF('11.2. ДА за периода'!$B$61:$B$108,$B36,'11.2. ДА за периода'!V$61:V$108)+SUMIF('11.1.Амортиз.нови активи'!$B$61:$B$108,$B36,'11.1.Амортиз.нови активи'!V$61:V$108)+('11.1.Амортиз.нови активи'!H$112*SUMIF('11.1.Амортиз.нови активи'!$B$61:$B$108,$B36,'11.1.Амортиз.нови активи'!AQ$61:AQ$108))</f>
        <v>0</v>
      </c>
      <c r="W36" s="1235">
        <f>$S36-SUMIF('11.2. ДА за периода'!$B$61:$B$108,$B36,'11.2. ДА за периода'!$S$61:$S$108)+SUMIF('11.2. ДА за периода'!$B$61:$B$108,$B36,'11.2. ДА за периода'!W$61:W$108)+SUMIF('11.1.Амортиз.нови активи'!$B$61:$B$108,$B36,'11.1.Амортиз.нови активи'!W$61:W$108)+('11.1.Амортиз.нови активи'!I$112*SUMIF('11.1.Амортиз.нови активи'!$B$61:$B$108,$B36,'11.1.Амортиз.нови активи'!AR$61:AR$108))</f>
        <v>0</v>
      </c>
      <c r="X36" s="1235">
        <f>$S36-SUMIF('11.2. ДА за периода'!$B$61:$B$108,$B36,'11.2. ДА за периода'!$S$61:$S$108)+SUMIF('11.2. ДА за периода'!$B$61:$B$108,$B36,'11.2. ДА за периода'!X$61:X$108)+SUMIF('11.1.Амортиз.нови активи'!$B$61:$B$108,$B36,'11.1.Амортиз.нови активи'!X$61:X$108)+('11.1.Амортиз.нови активи'!J$112*SUMIF('11.1.Амортиз.нови активи'!$B$61:$B$108,$B36,'11.1.Амортиз.нови активи'!AS$61:AS$108))</f>
        <v>0</v>
      </c>
      <c r="Y36" s="2969">
        <f>$S36-SUMIF('11.2. ДА за периода'!$B$61:$B$108,$B36,'11.2. ДА за периода'!$S$61:$S$108)+SUMIF('11.2. ДА за периода'!$B$61:$B$108,$B36,'11.2. ДА за периода'!Y$61:Y$108)+SUMIF('11.1.Амортиз.нови активи'!$B$61:$B$108,$B36,'11.1.Амортиз.нови активи'!Y$61:Y$108)+('11.1.Амортиз.нови активи'!K$112*SUMIF('11.1.Амортиз.нови активи'!$B$61:$B$108,$B36,'11.1.Амортиз.нови активи'!AT$61:AT$108))</f>
        <v>0</v>
      </c>
      <c r="Z36" s="448">
        <v>0</v>
      </c>
      <c r="AA36" s="2968">
        <f>$Z36-SUMIF('11.2. ДА за периода'!$B$61:$B$108,$B36,'11.2. ДА за периода'!$Z$61:$Z$108)+SUMIF('11.2. ДА за периода'!$B$61:$B$108,$B36,'11.2. ДА за периода'!AA$61:AA$108)+SUMIF('11.1.Амортиз.нови активи'!$B$61:$B$108,$B36,'11.1.Амортиз.нови активи'!AA$61:AA$108)</f>
        <v>0</v>
      </c>
      <c r="AB36" s="1235">
        <f>$Z36-SUMIF('11.2. ДА за периода'!$B$61:$B$108,$B36,'11.2. ДА за периода'!$Z$61:$Z$108)+SUMIF('11.2. ДА за периода'!$B$61:$B$108,$B36,'11.2. ДА за периода'!AB$61:AB$108)+SUMIF('11.1.Амортиз.нови активи'!$B$61:$B$108,$B36,'11.1.Амортиз.нови активи'!AB$61:AB$108)</f>
        <v>0</v>
      </c>
      <c r="AC36" s="1235">
        <f>$Z36-SUMIF('11.2. ДА за периода'!$B$61:$B$108,$B36,'11.2. ДА за периода'!$Z$61:$Z$108)+SUMIF('11.2. ДА за периода'!$B$61:$B$108,$B36,'11.2. ДА за периода'!AC$61:AC$108)+SUMIF('11.1.Амортиз.нови активи'!$B$61:$B$108,$B36,'11.1.Амортиз.нови активи'!AC$61:AC$108)</f>
        <v>0</v>
      </c>
      <c r="AD36" s="1235">
        <f>$Z36-SUMIF('11.2. ДА за периода'!$B$61:$B$108,$B36,'11.2. ДА за периода'!$Z$61:$Z$108)+SUMIF('11.2. ДА за периода'!$B$61:$B$108,$B36,'11.2. ДА за периода'!AD$61:AD$108)+SUMIF('11.1.Амортиз.нови активи'!$B$61:$B$108,$B36,'11.1.Амортиз.нови активи'!AD$61:AD$108)</f>
        <v>0</v>
      </c>
      <c r="AE36" s="1235">
        <f>$Z36-SUMIF('11.2. ДА за периода'!$B$61:$B$108,$B36,'11.2. ДА за периода'!$Z$61:$Z$108)+SUMIF('11.2. ДА за периода'!$B$61:$B$108,$B36,'11.2. ДА за периода'!AE$61:AE$108)+SUMIF('11.1.Амортиз.нови активи'!$B$61:$B$108,$B36,'11.1.Амортиз.нови активи'!AE$61:AE$108)</f>
        <v>0</v>
      </c>
      <c r="AF36" s="2969">
        <f>$Z36-SUMIF('11.2. ДА за периода'!$B$61:$B$108,$B36,'11.2. ДА за периода'!$Z$61:$Z$108)+SUMIF('11.2. ДА за периода'!$B$61:$B$108,$B36,'11.2. ДА за периода'!AF$61:AF$108)+SUMIF('11.1.Амортиз.нови активи'!$B$61:$B$108,$B36,'11.1.Амортиз.нови активи'!AF$61:AF$108)</f>
        <v>0</v>
      </c>
      <c r="AG36" s="448"/>
      <c r="AH36" s="2968">
        <f>$AG36-SUMIF('11.2. ДА за периода'!$B$61:$B$108,$B36,'11.2. ДА за периода'!$AG$61:$AG$108)+SUMIF('11.2. ДА за периода'!$B$61:$B$108,$B36,'11.2. ДА за периода'!AH$61:AH$108)+SUMIF('11.1.Амортиз.нови активи'!$B$61:$B$108,$B36,'11.1.Амортиз.нови активи'!AH$61:AH$108)+('11.1.Амортиз.нови активи'!T$112*SUMIF('11.1.Амортиз.нови активи'!$B$61:$B$108,$B36,'11.1.Амортиз.нови активи'!BB$61:BB$108))</f>
        <v>0</v>
      </c>
      <c r="AI36" s="1235">
        <f>$AG36-SUMIF('11.2. ДА за периода'!$B$61:$B$108,$B36,'11.2. ДА за периода'!$AG$61:$AG$108)+SUMIF('11.2. ДА за периода'!$B$61:$B$108,$B36,'11.2. ДА за периода'!AI$61:AI$108)+SUMIF('11.1.Амортиз.нови активи'!$B$61:$B$108,$B36,'11.1.Амортиз.нови активи'!AI$61:AI$108)+('11.1.Амортиз.нови активи'!U$112*SUMIF('11.1.Амортиз.нови активи'!$B$61:$B$108,$B36,'11.1.Амортиз.нови активи'!BC$61:BC$108))</f>
        <v>0</v>
      </c>
      <c r="AJ36" s="1235">
        <f>$AG36-SUMIF('11.2. ДА за периода'!$B$61:$B$108,$B36,'11.2. ДА за периода'!$AG$61:$AG$108)+SUMIF('11.2. ДА за периода'!$B$61:$B$108,$B36,'11.2. ДА за периода'!AJ$61:AJ$108)+SUMIF('11.1.Амортиз.нови активи'!$B$61:$B$108,$B36,'11.1.Амортиз.нови активи'!AJ$61:AJ$108)+('11.1.Амортиз.нови активи'!V$112*SUMIF('11.1.Амортиз.нови активи'!$B$61:$B$108,$B36,'11.1.Амортиз.нови активи'!BD$61:BD$108))</f>
        <v>0</v>
      </c>
      <c r="AK36" s="1235">
        <f>$AG36-SUMIF('11.2. ДА за периода'!$B$61:$B$108,$B36,'11.2. ДА за периода'!$AG$61:$AG$108)+SUMIF('11.2. ДА за периода'!$B$61:$B$108,$B36,'11.2. ДА за периода'!AK$61:AK$108)+SUMIF('11.1.Амортиз.нови активи'!$B$61:$B$108,$B36,'11.1.Амортиз.нови активи'!AK$61:AK$108)+('11.1.Амортиз.нови активи'!W$112*SUMIF('11.1.Амортиз.нови активи'!$B$61:$B$108,$B36,'11.1.Амортиз.нови активи'!BE$61:BE$108))</f>
        <v>0</v>
      </c>
      <c r="AL36" s="1235">
        <f>$AG36-SUMIF('11.2. ДА за периода'!$B$61:$B$108,$B36,'11.2. ДА за периода'!$AG$61:$AG$108)+SUMIF('11.2. ДА за периода'!$B$61:$B$108,$B36,'11.2. ДА за периода'!AL$61:AL$108)+SUMIF('11.1.Амортиз.нови активи'!$B$61:$B$108,$B36,'11.1.Амортиз.нови активи'!AL$61:AL$108)+('11.1.Амортиз.нови активи'!X$112*SUMIF('11.1.Амортиз.нови активи'!$B$61:$B$108,$B36,'11.1.Амортиз.нови активи'!BF$61:BF$108))</f>
        <v>0</v>
      </c>
      <c r="AM36" s="2969">
        <f>$AG36-SUMIF('11.2. ДА за периода'!$B$61:$B$108,$B36,'11.2. ДА за периода'!$AG$61:$AG$108)+SUMIF('11.2. ДА за периода'!$B$61:$B$108,$B36,'11.2. ДА за периода'!AM$61:AM$108)+SUMIF('11.1.Амортиз.нови активи'!$B$61:$B$108,$B36,'11.1.Амортиз.нови активи'!AM$61:AM$108)+('11.1.Амортиз.нови активи'!Y$112*SUMIF('11.1.Амортиз.нови активи'!$B$61:$B$108,$B36,'11.1.Амортиз.нови активи'!BG$61:BG$108))</f>
        <v>0</v>
      </c>
      <c r="AN36" s="2890"/>
      <c r="AO36" s="2891"/>
      <c r="AP36" s="1421"/>
    </row>
    <row r="37" spans="1:42">
      <c r="A37" s="2862">
        <v>2</v>
      </c>
      <c r="B37" s="2892">
        <v>20201</v>
      </c>
      <c r="C37" s="2864">
        <v>0.03</v>
      </c>
      <c r="D37" s="2893" t="s">
        <v>430</v>
      </c>
      <c r="E37" s="2970">
        <v>17</v>
      </c>
      <c r="F37" s="2971">
        <f>$E37-SUMIF('11.2. ДА за периода'!$B$61:$B$108,$B37,'11.2. ДА за периода'!$E$61:$E$108)+SUMIF('11.2. ДА за периода'!$B$61:$B$108,$B37,'11.2. ДА за периода'!F$61:F$108)+SUMIF('11.1.Амортиз.нови активи'!$B$61:$B$108,$B37,'11.1.Амортиз.нови активи'!F$61:F$108)+('11.1.Амортиз.нови активи'!F$110*SUMIF('11.1.Амортиз.нови активи'!$B$61:$B$108,$B37,'11.1.Амортиз.нови активи'!AO$61:AO$108))</f>
        <v>17.284424730127576</v>
      </c>
      <c r="G37" s="1226">
        <f>$E37-SUMIF('11.2. ДА за периода'!$B$61:$B$108,$B37,'11.2. ДА за периода'!$E$61:$E$108)+SUMIF('11.2. ДА за периода'!$B$61:$B$108,$B37,'11.2. ДА за периода'!G$61:G$108)+SUMIF('11.1.Амортиз.нови активи'!$B$61:$B$108,$B37,'11.1.Амортиз.нови активи'!G$61:G$108)+('11.1.Амортиз.нови активи'!G$110*SUMIF('11.1.Амортиз.нови активи'!$B$61:$B$108,$B37,'11.1.Амортиз.нови активи'!AP$61:AP$108))</f>
        <v>17.475001202030949</v>
      </c>
      <c r="H37" s="1226">
        <f>$E37-SUMIF('11.2. ДА за периода'!$B$61:$B$108,$B37,'11.2. ДА за периода'!$E$61:$E$108)+SUMIF('11.2. ДА за периода'!$B$61:$B$108,$B37,'11.2. ДА за периода'!H$61:H$108)+SUMIF('11.1.Амортиз.нови активи'!$B$61:$B$108,$B37,'11.1.Амортиз.нови активи'!H$61:H$108)+('11.1.Амортиз.нови активи'!H$110*SUMIF('11.1.Амортиз.нови активи'!$B$61:$B$108,$B37,'11.1.Амортиз.нови активи'!AQ$61:AQ$108))</f>
        <v>17.58967274206168</v>
      </c>
      <c r="I37" s="1226">
        <f>$E37-SUMIF('11.2. ДА за периода'!$B$61:$B$108,$B37,'11.2. ДА за периода'!$E$61:$E$108)+SUMIF('11.2. ДА за периода'!$B$61:$B$108,$B37,'11.2. ДА за периода'!I$61:I$108)+SUMIF('11.1.Амортиз.нови активи'!$B$61:$B$108,$B37,'11.1.Амортиз.нови активи'!I$61:I$108)+('11.1.Амортиз.нови активи'!I$110*SUMIF('11.1.Амортиз.нови активи'!$B$61:$B$108,$B37,'11.1.Амортиз.нови активи'!AR$61:AR$108))</f>
        <v>17.805094308964009</v>
      </c>
      <c r="J37" s="1226">
        <f>$E37-SUMIF('11.2. ДА за периода'!$B$61:$B$108,$B37,'11.2. ДА за периода'!$E$61:$E$108)+SUMIF('11.2. ДА за периода'!$B$61:$B$108,$B37,'11.2. ДА за периода'!J$61:J$108)+SUMIF('11.1.Амортиз.нови активи'!$B$61:$B$108,$B37,'11.1.Амортиз.нови активи'!J$61:J$108)+('11.1.Амортиз.нови активи'!J$110*SUMIF('11.1.Амортиз.нови активи'!$B$61:$B$108,$B37,'11.1.Амортиз.нови активи'!AS$61:AS$108))</f>
        <v>17.967273739710766</v>
      </c>
      <c r="K37" s="2972">
        <f>$E37-SUMIF('11.2. ДА за периода'!$B$61:$B$108,$B37,'11.2. ДА за периода'!$E$61:$E$108)+SUMIF('11.2. ДА за периода'!$B$61:$B$108,$B37,'11.2. ДА за периода'!K$61:K$108)+SUMIF('11.1.Амортиз.нови активи'!$B$61:$B$108,$B37,'11.1.Амортиз.нови активи'!K$61:K$108)+('11.1.Амортиз.нови активи'!K$110*SUMIF('11.1.Амортиз.нови активи'!$B$61:$B$108,$B37,'11.1.Амортиз.нови активи'!AT$61:AT$108))</f>
        <v>18.162048382998318</v>
      </c>
      <c r="L37" s="2970">
        <v>5</v>
      </c>
      <c r="M37" s="2971">
        <f>$L37-SUMIF('11.2. ДА за периода'!$B$61:$B$108,$B37,'11.2. ДА за периода'!$L$61:$L$108)+SUMIF('11.2. ДА за периода'!$B$61:$B$108,$B37,'11.2. ДА за периода'!M$61:M$108)+SUMIF('11.1.Амортиз.нови активи'!$B$61:$B$108,$B37,'11.1.Амортиз.нови активи'!M$61:M$108)+('11.1.Амортиз.нови активи'!F$111*SUMIF('11.1.Амортиз.нови активи'!$B$61:$B$108,$B37,'11.1.Амортиз.нови активи'!AO$61:AO$108))</f>
        <v>5.0428354072620216</v>
      </c>
      <c r="N37" s="1226">
        <f>$L37-SUMIF('11.2. ДА за периода'!$B$61:$B$108,$B37,'11.2. ДА за периода'!$L$61:$L$108)+SUMIF('11.2. ДА за периода'!$B$61:$B$108,$B37,'11.2. ДА за периода'!N$61:N$108)+SUMIF('11.1.Амортиз.нови активи'!$B$61:$B$108,$B37,'11.1.Амортиз.нови активи'!N$61:N$108)+('11.1.Амортиз.нови активи'!G$111*SUMIF('11.1.Амортиз.нови активи'!$B$61:$B$108,$B37,'11.1.Амортиз.нови активи'!AP$61:AP$108))</f>
        <v>5.0837368443044593</v>
      </c>
      <c r="O37" s="1226">
        <f>$L37-SUMIF('11.2. ДА за периода'!$B$61:$B$108,$B37,'11.2. ДА за периода'!$L$61:$L$108)+SUMIF('11.2. ДА за периода'!$B$61:$B$108,$B37,'11.2. ДА за периода'!O$61:O$108)+SUMIF('11.1.Амортиз.нови активи'!$B$61:$B$108,$B37,'11.1.Амортиз.нови активи'!O$61:O$108)+('11.1.Амортиз.нови активи'!H$111*SUMIF('11.1.Амортиз.нови активи'!$B$61:$B$108,$B37,'11.1.Амортиз.нови активи'!AQ$61:AQ$108))</f>
        <v>5.2210772589759458</v>
      </c>
      <c r="P37" s="1226">
        <f>$L37-SUMIF('11.2. ДА за периода'!$B$61:$B$108,$B37,'11.2. ДА за периода'!$L$61:$L$108)+SUMIF('11.2. ДА за периода'!$B$61:$B$108,$B37,'11.2. ДА за периода'!P$61:P$108)+SUMIF('11.1.Амортиз.нови активи'!$B$61:$B$108,$B37,'11.1.Амортиз.нови активи'!P$61:P$108)+('11.1.Амортиз.нови активи'!I$111*SUMIF('11.1.Амортиз.нови активи'!$B$61:$B$108,$B37,'11.1.Амортиз.нови активи'!AR$61:AR$108))</f>
        <v>5.365538610287393</v>
      </c>
      <c r="Q37" s="1226">
        <f>$L37-SUMIF('11.2. ДА за периода'!$B$61:$B$108,$B37,'11.2. ДА за периода'!$L$61:$L$108)+SUMIF('11.2. ДА за периода'!$B$61:$B$108,$B37,'11.2. ДА за периода'!Q$61:Q$108)+SUMIF('11.1.Амортиз.нови активи'!$B$61:$B$108,$B37,'11.1.Амортиз.нови активи'!Q$61:Q$108)+('11.1.Амортиз.нови активи'!J$111*SUMIF('11.1.Амортиз.нови активи'!$B$61:$B$108,$B37,'11.1.Амортиз.нови активи'!AS$61:AS$108))</f>
        <v>5.40777314266224</v>
      </c>
      <c r="R37" s="2972">
        <f>$L37-SUMIF('11.2. ДА за периода'!$B$61:$B$108,$B37,'11.2. ДА за периода'!$L$61:$L$108)+SUMIF('11.2. ДА за периода'!$B$61:$B$108,$B37,'11.2. ДА за периода'!R$61:R$108)+SUMIF('11.1.Амортиз.нови активи'!$B$61:$B$108,$B37,'11.1.Амортиз.нови активи'!R$61:R$108)+('11.1.Амортиз.нови активи'!K$111*SUMIF('11.1.Амортиз.нови активи'!$B$61:$B$108,$B37,'11.1.Амортиз.нови активи'!AT$61:AT$108))</f>
        <v>5.4585987979412787</v>
      </c>
      <c r="S37" s="2970">
        <v>2</v>
      </c>
      <c r="T37" s="2971">
        <f>$S37-SUMIF('11.2. ДА за периода'!$B$61:$B$108,$B37,'11.2. ДА за периода'!$S$61:$S$108)+SUMIF('11.2. ДА за периода'!$B$61:$B$108,$B37,'11.2. ДА за периода'!T$61:T$108)+SUMIF('11.1.Амортиз.нови активи'!$B$61:$B$108,$B37,'11.1.Амортиз.нови активи'!T$61:T$108)+('11.1.Амортиз.нови активи'!F$112*SUMIF('11.1.Амортиз.нови активи'!$B$61:$B$108,$B37,'11.1.Амортиз.нови активи'!AO$61:AO$108))</f>
        <v>2.0010598626104024</v>
      </c>
      <c r="U37" s="1226">
        <f>$S37-SUMIF('11.2. ДА за периода'!$B$61:$B$108,$B37,'11.2. ДА за периода'!$S$61:$S$108)+SUMIF('11.2. ДА за периода'!$B$61:$B$108,$B37,'11.2. ДА за периода'!U$61:U$108)+SUMIF('11.1.Амортиз.нови активи'!$B$61:$B$108,$B37,'11.1.Амортиз.нови активи'!U$61:U$108)+('11.1.Амортиз.нови активи'!G$112*SUMIF('11.1.Амортиз.нови активи'!$B$61:$B$108,$B37,'11.1.Амортиз.нови активи'!AP$61:AP$108))</f>
        <v>2.1145819536645929</v>
      </c>
      <c r="V37" s="1226">
        <f>$S37-SUMIF('11.2. ДА за периода'!$B$61:$B$108,$B37,'11.2. ДА за периода'!$S$61:$S$108)+SUMIF('11.2. ДА за периода'!$B$61:$B$108,$B37,'11.2. ДА за периода'!V$61:V$108)+SUMIF('11.1.Амортиз.нови активи'!$B$61:$B$108,$B37,'11.1.Амортиз.нови активи'!V$61:V$108)+('11.1.Амортиз.нови активи'!H$112*SUMIF('11.1.Амортиз.нови активи'!$B$61:$B$108,$B37,'11.1.Амортиз.нови активи'!AQ$61:AQ$108))</f>
        <v>2.2375699989623725</v>
      </c>
      <c r="W37" s="1226">
        <f>$S37-SUMIF('11.2. ДА за периода'!$B$61:$B$108,$B37,'11.2. ДА за периода'!$S$61:$S$108)+SUMIF('11.2. ДА за периода'!$B$61:$B$108,$B37,'11.2. ДА за периода'!W$61:W$108)+SUMIF('11.1.Амортиз.нови активи'!$B$61:$B$108,$B37,'11.1.Амортиз.нови активи'!W$61:W$108)+('11.1.Амортиз.нови активи'!I$112*SUMIF('11.1.Амортиз.нови активи'!$B$61:$B$108,$B37,'11.1.Амортиз.нови активи'!AR$61:AR$108))</f>
        <v>2.3276870807485981</v>
      </c>
      <c r="X37" s="1226">
        <f>$S37-SUMIF('11.2. ДА за периода'!$B$61:$B$108,$B37,'11.2. ДА за периода'!$S$61:$S$108)+SUMIF('11.2. ДА за периода'!$B$61:$B$108,$B37,'11.2. ДА за периода'!X$61:X$108)+SUMIF('11.1.Амортиз.нови активи'!$B$61:$B$108,$B37,'11.1.Амортиз.нови активи'!X$61:X$108)+('11.1.Амортиз.нови активи'!J$112*SUMIF('11.1.Амортиз.нови активи'!$B$61:$B$108,$B37,'11.1.Амортиз.нови активи'!AS$61:AS$108))</f>
        <v>2.3482731176269951</v>
      </c>
      <c r="Y37" s="2972">
        <f>$S37-SUMIF('11.2. ДА за периода'!$B$61:$B$108,$B37,'11.2. ДА за периода'!$S$61:$S$108)+SUMIF('11.2. ДА за периода'!$B$61:$B$108,$B37,'11.2. ДА за периода'!Y$61:Y$108)+SUMIF('11.1.Амортиз.нови активи'!$B$61:$B$108,$B37,'11.1.Амортиз.нови активи'!Y$61:Y$108)+('11.1.Амортиз.нови активи'!K$112*SUMIF('11.1.Амортиз.нови активи'!$B$61:$B$108,$B37,'11.1.Амортиз.нови активи'!AT$61:AT$108))</f>
        <v>2.3726728190604018</v>
      </c>
      <c r="Z37" s="2970">
        <v>0</v>
      </c>
      <c r="AA37" s="2971">
        <f>$Z37-SUMIF('11.2. ДА за периода'!$B$61:$B$108,$B37,'11.2. ДА за периода'!$Z$61:$Z$108)+SUMIF('11.2. ДА за периода'!$B$61:$B$108,$B37,'11.2. ДА за периода'!AA$61:AA$108)+SUMIF('11.1.Амортиз.нови активи'!$B$61:$B$108,$B37,'11.1.Амортиз.нови активи'!AA$61:AA$108)</f>
        <v>6.3000000000000003E-4</v>
      </c>
      <c r="AB37" s="1226">
        <f>$Z37-SUMIF('11.2. ДА за периода'!$B$61:$B$108,$B37,'11.2. ДА за периода'!$Z$61:$Z$108)+SUMIF('11.2. ДА за периода'!$B$61:$B$108,$B37,'11.2. ДА за периода'!AB$61:AB$108)+SUMIF('11.1.Амортиз.нови активи'!$B$61:$B$108,$B37,'11.1.Амортиз.нови активи'!AB$61:AB$108)</f>
        <v>6.3000000000000003E-4</v>
      </c>
      <c r="AC37" s="1226">
        <f>$Z37-SUMIF('11.2. ДА за периода'!$B$61:$B$108,$B37,'11.2. ДА за периода'!$Z$61:$Z$108)+SUMIF('11.2. ДА за периода'!$B$61:$B$108,$B37,'11.2. ДА за периода'!AC$61:AC$108)+SUMIF('11.1.Амортиз.нови активи'!$B$61:$B$108,$B37,'11.1.Амортиз.нови активи'!AC$61:AC$108)</f>
        <v>6.3000000000000003E-4</v>
      </c>
      <c r="AD37" s="1226">
        <f>$Z37-SUMIF('11.2. ДА за периода'!$B$61:$B$108,$B37,'11.2. ДА за периода'!$Z$61:$Z$108)+SUMIF('11.2. ДА за периода'!$B$61:$B$108,$B37,'11.2. ДА за периода'!AD$61:AD$108)+SUMIF('11.1.Амортиз.нови активи'!$B$61:$B$108,$B37,'11.1.Амортиз.нови активи'!AD$61:AD$108)</f>
        <v>6.3000000000000003E-4</v>
      </c>
      <c r="AE37" s="1226">
        <f>$Z37-SUMIF('11.2. ДА за периода'!$B$61:$B$108,$B37,'11.2. ДА за периода'!$Z$61:$Z$108)+SUMIF('11.2. ДА за периода'!$B$61:$B$108,$B37,'11.2. ДА за периода'!AE$61:AE$108)+SUMIF('11.1.Амортиз.нови активи'!$B$61:$B$108,$B37,'11.1.Амортиз.нови активи'!AE$61:AE$108)</f>
        <v>6.3000000000000003E-4</v>
      </c>
      <c r="AF37" s="2972">
        <f>$Z37-SUMIF('11.2. ДА за периода'!$B$61:$B$108,$B37,'11.2. ДА за периода'!$Z$61:$Z$108)+SUMIF('11.2. ДА за периода'!$B$61:$B$108,$B37,'11.2. ДА за периода'!AF$61:AF$108)+SUMIF('11.1.Амортиз.нови активи'!$B$61:$B$108,$B37,'11.1.Амортиз.нови активи'!AF$61:AF$108)</f>
        <v>6.3000000000000003E-4</v>
      </c>
      <c r="AG37" s="2970"/>
      <c r="AH37" s="2971">
        <f>$AG37-SUMIF('11.2. ДА за периода'!$B$61:$B$108,$B37,'11.2. ДА за периода'!$AG$61:$AG$108)+SUMIF('11.2. ДА за периода'!$B$61:$B$108,$B37,'11.2. ДА за периода'!AH$61:AH$108)+SUMIF('11.1.Амортиз.нови активи'!$B$61:$B$108,$B37,'11.1.Амортиз.нови активи'!AH$61:AH$108)+('11.1.Амортиз.нови активи'!T$112*SUMIF('11.1.Амортиз.нови активи'!$B$61:$B$108,$B37,'11.1.Амортиз.нови активи'!BB$61:BB$108))</f>
        <v>0</v>
      </c>
      <c r="AI37" s="1226">
        <f>$AG37-SUMIF('11.2. ДА за периода'!$B$61:$B$108,$B37,'11.2. ДА за периода'!$AG$61:$AG$108)+SUMIF('11.2. ДА за периода'!$B$61:$B$108,$B37,'11.2. ДА за периода'!AI$61:AI$108)+SUMIF('11.1.Амортиз.нови активи'!$B$61:$B$108,$B37,'11.1.Амортиз.нови активи'!AI$61:AI$108)+('11.1.Амортиз.нови активи'!U$112*SUMIF('11.1.Амортиз.нови активи'!$B$61:$B$108,$B37,'11.1.Амортиз.нови активи'!BC$61:BC$108))</f>
        <v>0</v>
      </c>
      <c r="AJ37" s="1226">
        <f>$AG37-SUMIF('11.2. ДА за периода'!$B$61:$B$108,$B37,'11.2. ДА за периода'!$AG$61:$AG$108)+SUMIF('11.2. ДА за периода'!$B$61:$B$108,$B37,'11.2. ДА за периода'!AJ$61:AJ$108)+SUMIF('11.1.Амортиз.нови активи'!$B$61:$B$108,$B37,'11.1.Амортиз.нови активи'!AJ$61:AJ$108)+('11.1.Амортиз.нови активи'!V$112*SUMIF('11.1.Амортиз.нови активи'!$B$61:$B$108,$B37,'11.1.Амортиз.нови активи'!BD$61:BD$108))</f>
        <v>0</v>
      </c>
      <c r="AK37" s="1226">
        <f>$AG37-SUMIF('11.2. ДА за периода'!$B$61:$B$108,$B37,'11.2. ДА за периода'!$AG$61:$AG$108)+SUMIF('11.2. ДА за периода'!$B$61:$B$108,$B37,'11.2. ДА за периода'!AK$61:AK$108)+SUMIF('11.1.Амортиз.нови активи'!$B$61:$B$108,$B37,'11.1.Амортиз.нови активи'!AK$61:AK$108)+('11.1.Амортиз.нови активи'!W$112*SUMIF('11.1.Амортиз.нови активи'!$B$61:$B$108,$B37,'11.1.Амортиз.нови активи'!BE$61:BE$108))</f>
        <v>0</v>
      </c>
      <c r="AL37" s="1226">
        <f>$AG37-SUMIF('11.2. ДА за периода'!$B$61:$B$108,$B37,'11.2. ДА за периода'!$AG$61:$AG$108)+SUMIF('11.2. ДА за периода'!$B$61:$B$108,$B37,'11.2. ДА за периода'!AL$61:AL$108)+SUMIF('11.1.Амортиз.нови активи'!$B$61:$B$108,$B37,'11.1.Амортиз.нови активи'!AL$61:AL$108)+('11.1.Амортиз.нови активи'!X$112*SUMIF('11.1.Амортиз.нови активи'!$B$61:$B$108,$B37,'11.1.Амортиз.нови активи'!BF$61:BF$108))</f>
        <v>0</v>
      </c>
      <c r="AM37" s="2972">
        <f>$AG37-SUMIF('11.2. ДА за периода'!$B$61:$B$108,$B37,'11.2. ДА за периода'!$AG$61:$AG$108)+SUMIF('11.2. ДА за периода'!$B$61:$B$108,$B37,'11.2. ДА за периода'!AM$61:AM$108)+SUMIF('11.1.Амортиз.нови активи'!$B$61:$B$108,$B37,'11.1.Амортиз.нови активи'!AM$61:AM$108)+('11.1.Амортиз.нови активи'!Y$112*SUMIF('11.1.Амортиз.нови активи'!$B$61:$B$108,$B37,'11.1.Амортиз.нови активи'!BG$61:BG$108))</f>
        <v>0</v>
      </c>
      <c r="AN37" s="2890"/>
      <c r="AO37" s="2866"/>
      <c r="AP37" s="1421"/>
    </row>
    <row r="38" spans="1:42" ht="24">
      <c r="A38" s="2862">
        <v>3</v>
      </c>
      <c r="B38" s="2892">
        <v>203</v>
      </c>
      <c r="C38" s="2858"/>
      <c r="D38" s="2894" t="s">
        <v>410</v>
      </c>
      <c r="E38" s="2973">
        <f>SUM(E39:E42)</f>
        <v>92</v>
      </c>
      <c r="F38" s="2961">
        <f t="shared" ref="F38:Y38" si="14">SUM(F39:F42)</f>
        <v>103.9025</v>
      </c>
      <c r="G38" s="2962">
        <f t="shared" si="14"/>
        <v>121.93657101896909</v>
      </c>
      <c r="H38" s="2962">
        <f t="shared" si="14"/>
        <v>125.63963325669536</v>
      </c>
      <c r="I38" s="2962">
        <f t="shared" si="14"/>
        <v>129.98513280593022</v>
      </c>
      <c r="J38" s="2962">
        <f t="shared" si="14"/>
        <v>122.39412258833542</v>
      </c>
      <c r="K38" s="2962">
        <f t="shared" si="14"/>
        <v>137.11717510642495</v>
      </c>
      <c r="L38" s="2973">
        <f>SUM(L39:L42)</f>
        <v>17</v>
      </c>
      <c r="M38" s="2961">
        <f t="shared" si="14"/>
        <v>17.149999999999999</v>
      </c>
      <c r="N38" s="2962">
        <f t="shared" si="14"/>
        <v>17.385520592494359</v>
      </c>
      <c r="O38" s="2962">
        <f t="shared" si="14"/>
        <v>20.973620712931144</v>
      </c>
      <c r="P38" s="2962">
        <f t="shared" si="14"/>
        <v>24.787329757790605</v>
      </c>
      <c r="Q38" s="2962">
        <f t="shared" si="14"/>
        <v>15.966928853242557</v>
      </c>
      <c r="R38" s="2962">
        <f t="shared" si="14"/>
        <v>20.11174028130274</v>
      </c>
      <c r="S38" s="2973">
        <f>SUM(S39:S42)</f>
        <v>6.8000000000000007</v>
      </c>
      <c r="T38" s="2974">
        <f t="shared" si="14"/>
        <v>6.8000000000000007</v>
      </c>
      <c r="U38" s="2962">
        <f t="shared" si="14"/>
        <v>6.8804083885365577</v>
      </c>
      <c r="V38" s="2962">
        <f t="shared" si="14"/>
        <v>7.1342460303735091</v>
      </c>
      <c r="W38" s="2962">
        <f t="shared" si="14"/>
        <v>6.3450374362792017</v>
      </c>
      <c r="X38" s="2962">
        <f t="shared" si="14"/>
        <v>3.5064485584220284</v>
      </c>
      <c r="Y38" s="2963">
        <f t="shared" si="14"/>
        <v>3.6385846122722896</v>
      </c>
      <c r="Z38" s="2973">
        <f>SUM(Z39:Z42)</f>
        <v>0.4</v>
      </c>
      <c r="AA38" s="2974">
        <f t="shared" ref="AA38:AF38" si="15">SUM(AA39:AA42)</f>
        <v>0.4</v>
      </c>
      <c r="AB38" s="2962">
        <f t="shared" si="15"/>
        <v>0.45</v>
      </c>
      <c r="AC38" s="2962">
        <f t="shared" si="15"/>
        <v>0.55000000000000004</v>
      </c>
      <c r="AD38" s="2962">
        <f t="shared" si="15"/>
        <v>0.60000000000000009</v>
      </c>
      <c r="AE38" s="2962">
        <f t="shared" si="15"/>
        <v>0.60000000000000009</v>
      </c>
      <c r="AF38" s="2963">
        <f t="shared" si="15"/>
        <v>0.60000000000000009</v>
      </c>
      <c r="AG38" s="2973">
        <f>SUM(AG39:AG42)</f>
        <v>0</v>
      </c>
      <c r="AH38" s="2974">
        <f t="shared" ref="AH38:AM38" si="16">SUM(AH39:AH42)</f>
        <v>0</v>
      </c>
      <c r="AI38" s="2962">
        <f t="shared" si="16"/>
        <v>0</v>
      </c>
      <c r="AJ38" s="2962">
        <f t="shared" si="16"/>
        <v>0</v>
      </c>
      <c r="AK38" s="2962">
        <f t="shared" si="16"/>
        <v>0</v>
      </c>
      <c r="AL38" s="2962">
        <f t="shared" si="16"/>
        <v>0</v>
      </c>
      <c r="AM38" s="2963">
        <f t="shared" si="16"/>
        <v>0</v>
      </c>
      <c r="AN38" s="2895"/>
      <c r="AO38" s="2896"/>
      <c r="AP38" s="1421"/>
    </row>
    <row r="39" spans="1:42">
      <c r="A39" s="2862"/>
      <c r="B39" s="2863">
        <v>20301</v>
      </c>
      <c r="C39" s="2869">
        <v>0.1</v>
      </c>
      <c r="D39" s="2897" t="s">
        <v>432</v>
      </c>
      <c r="E39" s="2970">
        <v>22</v>
      </c>
      <c r="F39" s="2971">
        <f>$E39-SUMIF('11.2. ДА за периода'!$B$61:$B$108,$B39,'11.2. ДА за периода'!$E$61:$E$108)+SUMIF('11.2. ДА за периода'!$B$61:$B$108,$B39,'11.2. ДА за периода'!F$61:F$108)+SUMIF('11.1.Амортиз.нови активи'!$B$61:$B$108,$B39,'11.1.Амортиз.нови активи'!F$61:F$108)+('11.1.Амортиз.нови активи'!F$110*SUMIF('11.1.Амортиз.нови активи'!$B$61:$B$108,$B39,'11.1.Амортиз.нови активи'!AO$61:AO$108))</f>
        <v>22.087500000000002</v>
      </c>
      <c r="G39" s="1226">
        <f>$E39-SUMIF('11.2. ДА за периода'!$B$61:$B$108,$B39,'11.2. ДА за периода'!$E$61:$E$108)+SUMIF('11.2. ДА за периода'!$B$61:$B$108,$B39,'11.2. ДА за периода'!G$61:G$108)+SUMIF('11.1.Амортиз.нови активи'!$B$61:$B$108,$B39,'11.1.Амортиз.нови активи'!G$61:G$108)+('11.1.Амортиз.нови активи'!G$110*SUMIF('11.1.Амортиз.нови активи'!$B$61:$B$108,$B39,'11.1.Амортиз.нови активи'!AP$61:AP$108))</f>
        <v>22.087500000000002</v>
      </c>
      <c r="H39" s="1226">
        <f>$E39-SUMIF('11.2. ДА за периода'!$B$61:$B$108,$B39,'11.2. ДА за периода'!$E$61:$E$108)+SUMIF('11.2. ДА за периода'!$B$61:$B$108,$B39,'11.2. ДА за периода'!H$61:H$108)+SUMIF('11.1.Амортиз.нови активи'!$B$61:$B$108,$B39,'11.1.Амортиз.нови активи'!H$61:H$108)+('11.1.Амортиз.нови активи'!H$110*SUMIF('11.1.Амортиз.нови активи'!$B$61:$B$108,$B39,'11.1.Амортиз.нови активи'!AQ$61:AQ$108))</f>
        <v>22.087500000000002</v>
      </c>
      <c r="I39" s="1226">
        <f>$E39-SUMIF('11.2. ДА за периода'!$B$61:$B$108,$B39,'11.2. ДА за периода'!$E$61:$E$108)+SUMIF('11.2. ДА за периода'!$B$61:$B$108,$B39,'11.2. ДА за периода'!I$61:I$108)+SUMIF('11.1.Амортиз.нови активи'!$B$61:$B$108,$B39,'11.1.Амортиз.нови активи'!I$61:I$108)+('11.1.Амортиз.нови активи'!I$110*SUMIF('11.1.Амортиз.нови активи'!$B$61:$B$108,$B39,'11.1.Амортиз.нови активи'!AR$61:AR$108))</f>
        <v>22.087500000000002</v>
      </c>
      <c r="J39" s="1226">
        <f>$E39-SUMIF('11.2. ДА за периода'!$B$61:$B$108,$B39,'11.2. ДА за периода'!$E$61:$E$108)+SUMIF('11.2. ДА за периода'!$B$61:$B$108,$B39,'11.2. ДА за периода'!J$61:J$108)+SUMIF('11.1.Амортиз.нови активи'!$B$61:$B$108,$B39,'11.1.Амортиз.нови активи'!J$61:J$108)+('11.1.Амортиз.нови активи'!J$110*SUMIF('11.1.Амортиз.нови активи'!$B$61:$B$108,$B39,'11.1.Амортиз.нови активи'!AS$61:AS$108))</f>
        <v>22.087500000000002</v>
      </c>
      <c r="K39" s="2972">
        <f>$E39-SUMIF('11.2. ДА за периода'!$B$61:$B$108,$B39,'11.2. ДА за периода'!$E$61:$E$108)+SUMIF('11.2. ДА за периода'!$B$61:$B$108,$B39,'11.2. ДА за периода'!K$61:K$108)+SUMIF('11.1.Амортиз.нови активи'!$B$61:$B$108,$B39,'11.1.Амортиз.нови активи'!K$61:K$108)+('11.1.Амортиз.нови активи'!K$110*SUMIF('11.1.Амортиз.нови активи'!$B$61:$B$108,$B39,'11.1.Амортиз.нови активи'!AT$61:AT$108))</f>
        <v>22.087500000000002</v>
      </c>
      <c r="L39" s="2970">
        <v>3</v>
      </c>
      <c r="M39" s="2971">
        <f>$L39-SUMIF('11.2. ДА за периода'!$B$61:$B$108,$B39,'11.2. ДА за периода'!$L$61:$L$108)+SUMIF('11.2. ДА за периода'!$B$61:$B$108,$B39,'11.2. ДА за периода'!M$61:M$108)+SUMIF('11.1.Амортиз.нови активи'!$B$61:$B$108,$B39,'11.1.Амортиз.нови активи'!M$61:M$108)+('11.1.Амортиз.нови активи'!F$111*SUMIF('11.1.Амортиз.нови активи'!$B$61:$B$108,$B39,'11.1.Амортиз.нови активи'!AO$61:AO$108))</f>
        <v>3</v>
      </c>
      <c r="N39" s="1226">
        <f>$L39-SUMIF('11.2. ДА за периода'!$B$61:$B$108,$B39,'11.2. ДА за периода'!$L$61:$L$108)+SUMIF('11.2. ДА за периода'!$B$61:$B$108,$B39,'11.2. ДА за периода'!N$61:N$108)+SUMIF('11.1.Амортиз.нови активи'!$B$61:$B$108,$B39,'11.1.Амортиз.нови активи'!N$61:N$108)+('11.1.Амортиз.нови активи'!G$111*SUMIF('11.1.Амортиз.нови активи'!$B$61:$B$108,$B39,'11.1.Амортиз.нови активи'!AP$61:AP$108))</f>
        <v>3</v>
      </c>
      <c r="O39" s="1226">
        <f>$L39-SUMIF('11.2. ДА за периода'!$B$61:$B$108,$B39,'11.2. ДА за периода'!$L$61:$L$108)+SUMIF('11.2. ДА за периода'!$B$61:$B$108,$B39,'11.2. ДА за периода'!O$61:O$108)+SUMIF('11.1.Амортиз.нови активи'!$B$61:$B$108,$B39,'11.1.Амортиз.нови активи'!O$61:O$108)+('11.1.Амортиз.нови активи'!H$111*SUMIF('11.1.Амортиз.нови активи'!$B$61:$B$108,$B39,'11.1.Амортиз.нови активи'!AQ$61:AQ$108))</f>
        <v>3</v>
      </c>
      <c r="P39" s="1226">
        <f>$L39-SUMIF('11.2. ДА за периода'!$B$61:$B$108,$B39,'11.2. ДА за периода'!$L$61:$L$108)+SUMIF('11.2. ДА за периода'!$B$61:$B$108,$B39,'11.2. ДА за периода'!P$61:P$108)+SUMIF('11.1.Амортиз.нови активи'!$B$61:$B$108,$B39,'11.1.Амортиз.нови активи'!P$61:P$108)+('11.1.Амортиз.нови активи'!I$111*SUMIF('11.1.Амортиз.нови активи'!$B$61:$B$108,$B39,'11.1.Амортиз.нови активи'!AR$61:AR$108))</f>
        <v>3</v>
      </c>
      <c r="Q39" s="1226">
        <f>$L39-SUMIF('11.2. ДА за периода'!$B$61:$B$108,$B39,'11.2. ДА за периода'!$L$61:$L$108)+SUMIF('11.2. ДА за периода'!$B$61:$B$108,$B39,'11.2. ДА за периода'!Q$61:Q$108)+SUMIF('11.1.Амортиз.нови активи'!$B$61:$B$108,$B39,'11.1.Амортиз.нови активи'!Q$61:Q$108)+('11.1.Амортиз.нови активи'!J$111*SUMIF('11.1.Амортиз.нови активи'!$B$61:$B$108,$B39,'11.1.Амортиз.нови активи'!AS$61:AS$108))</f>
        <v>3</v>
      </c>
      <c r="R39" s="2972">
        <f>$L39-SUMIF('11.2. ДА за периода'!$B$61:$B$108,$B39,'11.2. ДА за периода'!$L$61:$L$108)+SUMIF('11.2. ДА за периода'!$B$61:$B$108,$B39,'11.2. ДА за периода'!R$61:R$108)+SUMIF('11.1.Амортиз.нови активи'!$B$61:$B$108,$B39,'11.1.Амортиз.нови активи'!R$61:R$108)+('11.1.Амортиз.нови активи'!K$111*SUMIF('11.1.Амортиз.нови активи'!$B$61:$B$108,$B39,'11.1.Амортиз.нови активи'!AT$61:AT$108))</f>
        <v>3</v>
      </c>
      <c r="S39" s="2970">
        <v>1.4</v>
      </c>
      <c r="T39" s="2971">
        <f>$S39-SUMIF('11.2. ДА за периода'!$B$61:$B$108,$B39,'11.2. ДА за периода'!$S$61:$S$108)+SUMIF('11.2. ДА за периода'!$B$61:$B$108,$B39,'11.2. ДА за периода'!T$61:T$108)+SUMIF('11.1.Амортиз.нови активи'!$B$61:$B$108,$B39,'11.1.Амортиз.нови активи'!T$61:T$108)+('11.1.Амортиз.нови активи'!F$112*SUMIF('11.1.Амортиз.нови активи'!$B$61:$B$108,$B39,'11.1.Амортиз.нови активи'!AO$61:AO$108))</f>
        <v>1.4</v>
      </c>
      <c r="U39" s="1226">
        <f>$S39-SUMIF('11.2. ДА за периода'!$B$61:$B$108,$B39,'11.2. ДА за периода'!$S$61:$S$108)+SUMIF('11.2. ДА за периода'!$B$61:$B$108,$B39,'11.2. ДА за периода'!U$61:U$108)+SUMIF('11.1.Амортиз.нови активи'!$B$61:$B$108,$B39,'11.1.Амортиз.нови активи'!U$61:U$108)+('11.1.Амортиз.нови активи'!G$112*SUMIF('11.1.Амортиз.нови активи'!$B$61:$B$108,$B39,'11.1.Амортиз.нови активи'!AP$61:AP$108))</f>
        <v>1.4</v>
      </c>
      <c r="V39" s="1226">
        <f>$S39-SUMIF('11.2. ДА за периода'!$B$61:$B$108,$B39,'11.2. ДА за периода'!$S$61:$S$108)+SUMIF('11.2. ДА за периода'!$B$61:$B$108,$B39,'11.2. ДА за периода'!V$61:V$108)+SUMIF('11.1.Амортиз.нови активи'!$B$61:$B$108,$B39,'11.1.Амортиз.нови активи'!V$61:V$108)+('11.1.Амортиз.нови активи'!H$112*SUMIF('11.1.Амортиз.нови активи'!$B$61:$B$108,$B39,'11.1.Амортиз.нови активи'!AQ$61:AQ$108))</f>
        <v>1.4</v>
      </c>
      <c r="W39" s="1226">
        <f>$S39-SUMIF('11.2. ДА за периода'!$B$61:$B$108,$B39,'11.2. ДА за периода'!$S$61:$S$108)+SUMIF('11.2. ДА за периода'!$B$61:$B$108,$B39,'11.2. ДА за периода'!W$61:W$108)+SUMIF('11.1.Амортиз.нови активи'!$B$61:$B$108,$B39,'11.1.Амортиз.нови активи'!W$61:W$108)+('11.1.Амортиз.нови активи'!I$112*SUMIF('11.1.Амортиз.нови активи'!$B$61:$B$108,$B39,'11.1.Амортиз.нови активи'!AR$61:AR$108))</f>
        <v>1.4</v>
      </c>
      <c r="X39" s="1226">
        <f>$S39-SUMIF('11.2. ДА за периода'!$B$61:$B$108,$B39,'11.2. ДА за периода'!$S$61:$S$108)+SUMIF('11.2. ДА за периода'!$B$61:$B$108,$B39,'11.2. ДА за периода'!X$61:X$108)+SUMIF('11.1.Амортиз.нови активи'!$B$61:$B$108,$B39,'11.1.Амортиз.нови активи'!X$61:X$108)+('11.1.Амортиз.нови активи'!J$112*SUMIF('11.1.Амортиз.нови активи'!$B$61:$B$108,$B39,'11.1.Амортиз.нови активи'!AS$61:AS$108))</f>
        <v>1.4</v>
      </c>
      <c r="Y39" s="2972">
        <f>$S39-SUMIF('11.2. ДА за периода'!$B$61:$B$108,$B39,'11.2. ДА за периода'!$S$61:$S$108)+SUMIF('11.2. ДА за периода'!$B$61:$B$108,$B39,'11.2. ДА за периода'!Y$61:Y$108)+SUMIF('11.1.Амортиз.нови активи'!$B$61:$B$108,$B39,'11.1.Амортиз.нови активи'!Y$61:Y$108)+('11.1.Амортиз.нови активи'!K$112*SUMIF('11.1.Амортиз.нови активи'!$B$61:$B$108,$B39,'11.1.Амортиз.нови активи'!AT$61:AT$108))</f>
        <v>1.4</v>
      </c>
      <c r="Z39" s="448">
        <v>0</v>
      </c>
      <c r="AA39" s="2971">
        <f>$Z39-SUMIF('11.2. ДА за периода'!$B$61:$B$108,$B39,'11.2. ДА за периода'!$Z$61:$Z$108)+SUMIF('11.2. ДА за периода'!$B$61:$B$108,$B39,'11.2. ДА за периода'!AA$61:AA$108)+SUMIF('11.1.Амортиз.нови активи'!$B$61:$B$108,$B39,'11.1.Амортиз.нови активи'!AA$61:AA$108)</f>
        <v>0</v>
      </c>
      <c r="AB39" s="1226">
        <f>$Z39-SUMIF('11.2. ДА за периода'!$B$61:$B$108,$B39,'11.2. ДА за периода'!$Z$61:$Z$108)+SUMIF('11.2. ДА за периода'!$B$61:$B$108,$B39,'11.2. ДА за периода'!AB$61:AB$108)+SUMIF('11.1.Амортиз.нови активи'!$B$61:$B$108,$B39,'11.1.Амортиз.нови активи'!AB$61:AB$108)</f>
        <v>0</v>
      </c>
      <c r="AC39" s="1226">
        <f>$Z39-SUMIF('11.2. ДА за периода'!$B$61:$B$108,$B39,'11.2. ДА за периода'!$Z$61:$Z$108)+SUMIF('11.2. ДА за периода'!$B$61:$B$108,$B39,'11.2. ДА за периода'!AC$61:AC$108)+SUMIF('11.1.Амортиз.нови активи'!$B$61:$B$108,$B39,'11.1.Амортиз.нови активи'!AC$61:AC$108)</f>
        <v>0</v>
      </c>
      <c r="AD39" s="1226">
        <f>$Z39-SUMIF('11.2. ДА за периода'!$B$61:$B$108,$B39,'11.2. ДА за периода'!$Z$61:$Z$108)+SUMIF('11.2. ДА за периода'!$B$61:$B$108,$B39,'11.2. ДА за периода'!AD$61:AD$108)+SUMIF('11.1.Амортиз.нови активи'!$B$61:$B$108,$B39,'11.1.Амортиз.нови активи'!AD$61:AD$108)</f>
        <v>0</v>
      </c>
      <c r="AE39" s="1226">
        <f>$Z39-SUMIF('11.2. ДА за периода'!$B$61:$B$108,$B39,'11.2. ДА за периода'!$Z$61:$Z$108)+SUMIF('11.2. ДА за периода'!$B$61:$B$108,$B39,'11.2. ДА за периода'!AE$61:AE$108)+SUMIF('11.1.Амортиз.нови активи'!$B$61:$B$108,$B39,'11.1.Амортиз.нови активи'!AE$61:AE$108)</f>
        <v>0</v>
      </c>
      <c r="AF39" s="2972">
        <f>$Z39-SUMIF('11.2. ДА за периода'!$B$61:$B$108,$B39,'11.2. ДА за периода'!$Z$61:$Z$108)+SUMIF('11.2. ДА за периода'!$B$61:$B$108,$B39,'11.2. ДА за периода'!AF$61:AF$108)+SUMIF('11.1.Амортиз.нови активи'!$B$61:$B$108,$B39,'11.1.Амортиз.нови активи'!AF$61:AF$108)</f>
        <v>0</v>
      </c>
      <c r="AG39" s="2970"/>
      <c r="AH39" s="2971">
        <f>$AG39-SUMIF('11.2. ДА за периода'!$B$61:$B$108,$B39,'11.2. ДА за периода'!$AG$61:$AG$108)+SUMIF('11.2. ДА за периода'!$B$61:$B$108,$B39,'11.2. ДА за периода'!AH$61:AH$108)+SUMIF('11.1.Амортиз.нови активи'!$B$61:$B$108,$B39,'11.1.Амортиз.нови активи'!AH$61:AH$108)+('11.1.Амортиз.нови активи'!T$112*SUMIF('11.1.Амортиз.нови активи'!$B$61:$B$108,$B39,'11.1.Амортиз.нови активи'!BB$61:BB$108))</f>
        <v>0</v>
      </c>
      <c r="AI39" s="1226">
        <f>$AG39-SUMIF('11.2. ДА за периода'!$B$61:$B$108,$B39,'11.2. ДА за периода'!$AG$61:$AG$108)+SUMIF('11.2. ДА за периода'!$B$61:$B$108,$B39,'11.2. ДА за периода'!AI$61:AI$108)+SUMIF('11.1.Амортиз.нови активи'!$B$61:$B$108,$B39,'11.1.Амортиз.нови активи'!AI$61:AI$108)+('11.1.Амортиз.нови активи'!U$112*SUMIF('11.1.Амортиз.нови активи'!$B$61:$B$108,$B39,'11.1.Амортиз.нови активи'!BC$61:BC$108))</f>
        <v>0</v>
      </c>
      <c r="AJ39" s="1226">
        <f>$AG39-SUMIF('11.2. ДА за периода'!$B$61:$B$108,$B39,'11.2. ДА за периода'!$AG$61:$AG$108)+SUMIF('11.2. ДА за периода'!$B$61:$B$108,$B39,'11.2. ДА за периода'!AJ$61:AJ$108)+SUMIF('11.1.Амортиз.нови активи'!$B$61:$B$108,$B39,'11.1.Амортиз.нови активи'!AJ$61:AJ$108)+('11.1.Амортиз.нови активи'!V$112*SUMIF('11.1.Амортиз.нови активи'!$B$61:$B$108,$B39,'11.1.Амортиз.нови активи'!BD$61:BD$108))</f>
        <v>0</v>
      </c>
      <c r="AK39" s="1226">
        <f>$AG39-SUMIF('11.2. ДА за периода'!$B$61:$B$108,$B39,'11.2. ДА за периода'!$AG$61:$AG$108)+SUMIF('11.2. ДА за периода'!$B$61:$B$108,$B39,'11.2. ДА за периода'!AK$61:AK$108)+SUMIF('11.1.Амортиз.нови активи'!$B$61:$B$108,$B39,'11.1.Амортиз.нови активи'!AK$61:AK$108)+('11.1.Амортиз.нови активи'!W$112*SUMIF('11.1.Амортиз.нови активи'!$B$61:$B$108,$B39,'11.1.Амортиз.нови активи'!BE$61:BE$108))</f>
        <v>0</v>
      </c>
      <c r="AL39" s="1226">
        <f>$AG39-SUMIF('11.2. ДА за периода'!$B$61:$B$108,$B39,'11.2. ДА за периода'!$AG$61:$AG$108)+SUMIF('11.2. ДА за периода'!$B$61:$B$108,$B39,'11.2. ДА за периода'!AL$61:AL$108)+SUMIF('11.1.Амортиз.нови активи'!$B$61:$B$108,$B39,'11.1.Амортиз.нови активи'!AL$61:AL$108)+('11.1.Амортиз.нови активи'!X$112*SUMIF('11.1.Амортиз.нови активи'!$B$61:$B$108,$B39,'11.1.Амортиз.нови активи'!BF$61:BF$108))</f>
        <v>0</v>
      </c>
      <c r="AM39" s="2972">
        <f>$AG39-SUMIF('11.2. ДА за периода'!$B$61:$B$108,$B39,'11.2. ДА за периода'!$AG$61:$AG$108)+SUMIF('11.2. ДА за периода'!$B$61:$B$108,$B39,'11.2. ДА за периода'!AM$61:AM$108)+SUMIF('11.1.Амортиз.нови активи'!$B$61:$B$108,$B39,'11.1.Амортиз.нови активи'!AM$61:AM$108)+('11.1.Амортиз.нови активи'!Y$112*SUMIF('11.1.Амортиз.нови активи'!$B$61:$B$108,$B39,'11.1.Амортиз.нови активи'!BG$61:BG$108))</f>
        <v>0</v>
      </c>
      <c r="AN39" s="2860"/>
      <c r="AO39" s="2896"/>
      <c r="AP39" s="1421"/>
    </row>
    <row r="40" spans="1:42">
      <c r="A40" s="2862"/>
      <c r="B40" s="2863">
        <v>20302</v>
      </c>
      <c r="C40" s="2869">
        <v>0.1</v>
      </c>
      <c r="D40" s="2897" t="s">
        <v>433</v>
      </c>
      <c r="E40" s="2970">
        <v>43</v>
      </c>
      <c r="F40" s="2971">
        <f>$E40-SUMIF('11.2. ДА за периода'!$B$61:$B$108,$B40,'11.2. ДА за периода'!$E$61:$E$108)+SUMIF('11.2. ДА за периода'!$B$61:$B$108,$B40,'11.2. ДА за периода'!F$61:F$108)+SUMIF('11.1.Амортиз.нови активи'!$B$61:$B$108,$B40,'11.1.Амортиз.нови активи'!F$61:F$108)+('11.1.Амортиз.нови активи'!F$110*SUMIF('11.1.Амортиз.нови активи'!$B$61:$B$108,$B40,'11.1.Амортиз.нови активи'!AO$61:AO$108))</f>
        <v>43</v>
      </c>
      <c r="G40" s="1226">
        <f>$E40-SUMIF('11.2. ДА за периода'!$B$61:$B$108,$B40,'11.2. ДА за периода'!$E$61:$E$108)+SUMIF('11.2. ДА за периода'!$B$61:$B$108,$B40,'11.2. ДА за периода'!G$61:G$108)+SUMIF('11.1.Амортиз.нови активи'!$B$61:$B$108,$B40,'11.1.Амортиз.нови активи'!G$61:G$108)+('11.1.Амортиз.нови активи'!G$110*SUMIF('11.1.Амортиз.нови активи'!$B$61:$B$108,$B40,'11.1.Амортиз.нови активи'!AP$61:AP$108))</f>
        <v>43.3</v>
      </c>
      <c r="H40" s="1226">
        <f>$E40-SUMIF('11.2. ДА за периода'!$B$61:$B$108,$B40,'11.2. ДА за периода'!$E$61:$E$108)+SUMIF('11.2. ДА за периода'!$B$61:$B$108,$B40,'11.2. ДА за периода'!H$61:H$108)+SUMIF('11.1.Амортиз.нови активи'!$B$61:$B$108,$B40,'11.1.Амортиз.нови активи'!H$61:H$108)+('11.1.Амортиз.нови активи'!H$110*SUMIF('11.1.Амортиз.нови активи'!$B$61:$B$108,$B40,'11.1.Амортиз.нови активи'!AQ$61:AQ$108))</f>
        <v>33.9</v>
      </c>
      <c r="I40" s="1226">
        <f>$E40-SUMIF('11.2. ДА за периода'!$B$61:$B$108,$B40,'11.2. ДА за периода'!$E$61:$E$108)+SUMIF('11.2. ДА за периода'!$B$61:$B$108,$B40,'11.2. ДА за периода'!I$61:I$108)+SUMIF('11.1.Амортиз.нови активи'!$B$61:$B$108,$B40,'11.1.Амортиз.нови активи'!I$61:I$108)+('11.1.Амортиз.нови активи'!I$110*SUMIF('11.1.Амортиз.нови активи'!$B$61:$B$108,$B40,'11.1.Амортиз.нови активи'!AR$61:AR$108))</f>
        <v>24.55</v>
      </c>
      <c r="J40" s="1226">
        <f>$E40-SUMIF('11.2. ДА за периода'!$B$61:$B$108,$B40,'11.2. ДА за периода'!$E$61:$E$108)+SUMIF('11.2. ДА за периода'!$B$61:$B$108,$B40,'11.2. ДА за периода'!J$61:J$108)+SUMIF('11.1.Амортиз.нови активи'!$B$61:$B$108,$B40,'11.1.Амортиз.нови активи'!J$61:J$108)+('11.1.Амортиз.нови активи'!J$110*SUMIF('11.1.Амортиз.нови активи'!$B$61:$B$108,$B40,'11.1.Амортиз.нови активи'!AS$61:AS$108))</f>
        <v>15.25</v>
      </c>
      <c r="K40" s="2972">
        <f>$E40-SUMIF('11.2. ДА за периода'!$B$61:$B$108,$B40,'11.2. ДА за периода'!$E$61:$E$108)+SUMIF('11.2. ДА за периода'!$B$61:$B$108,$B40,'11.2. ДА за периода'!K$61:K$108)+SUMIF('11.1.Амортиз.нови активи'!$B$61:$B$108,$B40,'11.1.Амортиз.нови активи'!K$61:K$108)+('11.1.Амортиз.нови активи'!K$110*SUMIF('11.1.Амортиз.нови активи'!$B$61:$B$108,$B40,'11.1.Амортиз.нови активи'!AT$61:AT$108))</f>
        <v>15.950000000000001</v>
      </c>
      <c r="L40" s="2970">
        <v>12</v>
      </c>
      <c r="M40" s="2971">
        <f>$L40-SUMIF('11.2. ДА за периода'!$B$61:$B$108,$B40,'11.2. ДА за периода'!$L$61:$L$108)+SUMIF('11.2. ДА за периода'!$B$61:$B$108,$B40,'11.2. ДА за периода'!M$61:M$108)+SUMIF('11.1.Амортиз.нови активи'!$B$61:$B$108,$B40,'11.1.Амортиз.нови активи'!M$61:M$108)+('11.1.Амортиз.нови активи'!F$111*SUMIF('11.1.Амортиз.нови активи'!$B$61:$B$108,$B40,'11.1.Амортиз.нови активи'!AO$61:AO$108))</f>
        <v>12</v>
      </c>
      <c r="N40" s="1226">
        <f>$L40-SUMIF('11.2. ДА за периода'!$B$61:$B$108,$B40,'11.2. ДА за периода'!$L$61:$L$108)+SUMIF('11.2. ДА за периода'!$B$61:$B$108,$B40,'11.2. ДА за периода'!N$61:N$108)+SUMIF('11.1.Амортиз.нови активи'!$B$61:$B$108,$B40,'11.1.Амортиз.нови активи'!N$61:N$108)+('11.1.Амортиз.нови активи'!G$111*SUMIF('11.1.Амортиз.нови активи'!$B$61:$B$108,$B40,'11.1.Амортиз.нови активи'!AP$61:AP$108))</f>
        <v>12</v>
      </c>
      <c r="O40" s="1226">
        <f>$L40-SUMIF('11.2. ДА за периода'!$B$61:$B$108,$B40,'11.2. ДА за периода'!$L$61:$L$108)+SUMIF('11.2. ДА за периода'!$B$61:$B$108,$B40,'11.2. ДА за периода'!O$61:O$108)+SUMIF('11.1.Амортиз.нови активи'!$B$61:$B$108,$B40,'11.1.Амортиз.нови активи'!O$61:O$108)+('11.1.Амортиз.нови активи'!H$111*SUMIF('11.1.Амортиз.нови активи'!$B$61:$B$108,$B40,'11.1.Амортиз.нови активи'!AQ$61:AQ$108))</f>
        <v>12</v>
      </c>
      <c r="P40" s="1226">
        <f>$L40-SUMIF('11.2. ДА за периода'!$B$61:$B$108,$B40,'11.2. ДА за периода'!$L$61:$L$108)+SUMIF('11.2. ДА за периода'!$B$61:$B$108,$B40,'11.2. ДА за периода'!P$61:P$108)+SUMIF('11.1.Амортиз.нови активи'!$B$61:$B$108,$B40,'11.1.Амортиз.нови активи'!P$61:P$108)+('11.1.Амортиз.нови активи'!I$111*SUMIF('11.1.Амортиз.нови активи'!$B$61:$B$108,$B40,'11.1.Амортиз.нови активи'!AR$61:AR$108))</f>
        <v>12</v>
      </c>
      <c r="Q40" s="1226">
        <f>$L40-SUMIF('11.2. ДА за периода'!$B$61:$B$108,$B40,'11.2. ДА за периода'!$L$61:$L$108)+SUMIF('11.2. ДА за периода'!$B$61:$B$108,$B40,'11.2. ДА за периода'!Q$61:Q$108)+SUMIF('11.1.Амортиз.нови активи'!$B$61:$B$108,$B40,'11.1.Амортиз.нови активи'!Q$61:Q$108)+('11.1.Амортиз.нови активи'!J$111*SUMIF('11.1.Амортиз.нови активи'!$B$61:$B$108,$B40,'11.1.Амортиз.нови активи'!AS$61:AS$108))</f>
        <v>0</v>
      </c>
      <c r="R40" s="2972">
        <f>$L40-SUMIF('11.2. ДА за периода'!$B$61:$B$108,$B40,'11.2. ДА за периода'!$L$61:$L$108)+SUMIF('11.2. ДА за периода'!$B$61:$B$108,$B40,'11.2. ДА за периода'!R$61:R$108)+SUMIF('11.1.Амортиз.нови активи'!$B$61:$B$108,$B40,'11.1.Амортиз.нови активи'!R$61:R$108)+('11.1.Амортиз.нови активи'!K$111*SUMIF('11.1.Амортиз.нови активи'!$B$61:$B$108,$B40,'11.1.Амортиз.нови активи'!AT$61:AT$108))</f>
        <v>0</v>
      </c>
      <c r="S40" s="2970">
        <v>5.4</v>
      </c>
      <c r="T40" s="2971">
        <f>$S40-SUMIF('11.2. ДА за периода'!$B$61:$B$108,$B40,'11.2. ДА за периода'!$S$61:$S$108)+SUMIF('11.2. ДА за периода'!$B$61:$B$108,$B40,'11.2. ДА за периода'!T$61:T$108)+SUMIF('11.1.Амортиз.нови активи'!$B$61:$B$108,$B40,'11.1.Амортиз.нови активи'!T$61:T$108)+('11.1.Амортиз.нови активи'!F$112*SUMIF('11.1.Амортиз.нови активи'!$B$61:$B$108,$B40,'11.1.Амортиз.нови активи'!AO$61:AO$108))</f>
        <v>5.4</v>
      </c>
      <c r="U40" s="1226">
        <f>$S40-SUMIF('11.2. ДА за периода'!$B$61:$B$108,$B40,'11.2. ДА за периода'!$S$61:$S$108)+SUMIF('11.2. ДА за периода'!$B$61:$B$108,$B40,'11.2. ДА за периода'!U$61:U$108)+SUMIF('11.1.Амортиз.нови активи'!$B$61:$B$108,$B40,'11.1.Амортиз.нови активи'!U$61:U$108)+('11.1.Амортиз.нови активи'!G$112*SUMIF('11.1.Амортиз.нови активи'!$B$61:$B$108,$B40,'11.1.Амортиз.нови активи'!AP$61:AP$108))</f>
        <v>5.4</v>
      </c>
      <c r="V40" s="1226">
        <f>$S40-SUMIF('11.2. ДА за периода'!$B$61:$B$108,$B40,'11.2. ДА за периода'!$S$61:$S$108)+SUMIF('11.2. ДА за периода'!$B$61:$B$108,$B40,'11.2. ДА за периода'!V$61:V$108)+SUMIF('11.1.Амортиз.нови активи'!$B$61:$B$108,$B40,'11.1.Амортиз.нови активи'!V$61:V$108)+('11.1.Амортиз.нови активи'!H$112*SUMIF('11.1.Амортиз.нови активи'!$B$61:$B$108,$B40,'11.1.Амортиз.нови активи'!AQ$61:AQ$108))</f>
        <v>5.4</v>
      </c>
      <c r="W40" s="1226">
        <f>$S40-SUMIF('11.2. ДА за периода'!$B$61:$B$108,$B40,'11.2. ДА за периода'!$S$61:$S$108)+SUMIF('11.2. ДА за периода'!$B$61:$B$108,$B40,'11.2. ДА за периода'!W$61:W$108)+SUMIF('11.1.Амортиз.нови активи'!$B$61:$B$108,$B40,'11.1.Амортиз.нови активи'!W$61:W$108)+('11.1.Амортиз.нови активи'!I$112*SUMIF('11.1.Амортиз.нови активи'!$B$61:$B$108,$B40,'11.1.Амортиз.нови активи'!AR$61:AR$108))</f>
        <v>4.4000000000000004</v>
      </c>
      <c r="X40" s="1226">
        <f>$S40-SUMIF('11.2. ДА за периода'!$B$61:$B$108,$B40,'11.2. ДА за периода'!$S$61:$S$108)+SUMIF('11.2. ДА за периода'!$B$61:$B$108,$B40,'11.2. ДА за периода'!X$61:X$108)+SUMIF('11.1.Амортиз.нови активи'!$B$61:$B$108,$B40,'11.1.Амортиз.нови активи'!X$61:X$108)+('11.1.Амортиз.нови активи'!J$112*SUMIF('11.1.Амортиз.нови активи'!$B$61:$B$108,$B40,'11.1.Амортиз.нови активи'!AS$61:AS$108))</f>
        <v>1.4000000000000004</v>
      </c>
      <c r="Y40" s="2972">
        <f>$S40-SUMIF('11.2. ДА за периода'!$B$61:$B$108,$B40,'11.2. ДА за периода'!$S$61:$S$108)+SUMIF('11.2. ДА за периода'!$B$61:$B$108,$B40,'11.2. ДА за периода'!Y$61:Y$108)+SUMIF('11.1.Амортиз.нови активи'!$B$61:$B$108,$B40,'11.1.Амортиз.нови активи'!Y$61:Y$108)+('11.1.Амортиз.нови активи'!K$112*SUMIF('11.1.Амортиз.нови активи'!$B$61:$B$108,$B40,'11.1.Амортиз.нови активи'!AT$61:AT$108))</f>
        <v>1.4000000000000004</v>
      </c>
      <c r="Z40" s="448">
        <v>0.4</v>
      </c>
      <c r="AA40" s="2971">
        <f>$Z40-SUMIF('11.2. ДА за периода'!$B$61:$B$108,$B40,'11.2. ДА за периода'!$Z$61:$Z$108)+SUMIF('11.2. ДА за периода'!$B$61:$B$108,$B40,'11.2. ДА за периода'!AA$61:AA$108)+SUMIF('11.1.Амортиз.нови активи'!$B$61:$B$108,$B40,'11.1.Амортиз.нови активи'!AA$61:AA$108)</f>
        <v>0.4</v>
      </c>
      <c r="AB40" s="1226">
        <f>$Z40-SUMIF('11.2. ДА за периода'!$B$61:$B$108,$B40,'11.2. ДА за периода'!$Z$61:$Z$108)+SUMIF('11.2. ДА за периода'!$B$61:$B$108,$B40,'11.2. ДА за периода'!AB$61:AB$108)+SUMIF('11.1.Амортиз.нови активи'!$B$61:$B$108,$B40,'11.1.Амортиз.нови активи'!AB$61:AB$108)</f>
        <v>0.4</v>
      </c>
      <c r="AC40" s="1226">
        <f>$Z40-SUMIF('11.2. ДА за периода'!$B$61:$B$108,$B40,'11.2. ДА за периода'!$Z$61:$Z$108)+SUMIF('11.2. ДА за периода'!$B$61:$B$108,$B40,'11.2. ДА за периода'!AC$61:AC$108)+SUMIF('11.1.Амортиз.нови активи'!$B$61:$B$108,$B40,'11.1.Амортиз.нови активи'!AC$61:AC$108)</f>
        <v>0.4</v>
      </c>
      <c r="AD40" s="1226">
        <f>$Z40-SUMIF('11.2. ДА за периода'!$B$61:$B$108,$B40,'11.2. ДА за периода'!$Z$61:$Z$108)+SUMIF('11.2. ДА за периода'!$B$61:$B$108,$B40,'11.2. ДА за периода'!AD$61:AD$108)+SUMIF('11.1.Амортиз.нови активи'!$B$61:$B$108,$B40,'11.1.Амортиз.нови активи'!AD$61:AD$108)</f>
        <v>0.4</v>
      </c>
      <c r="AE40" s="1226">
        <f>$Z40-SUMIF('11.2. ДА за периода'!$B$61:$B$108,$B40,'11.2. ДА за периода'!$Z$61:$Z$108)+SUMIF('11.2. ДА за периода'!$B$61:$B$108,$B40,'11.2. ДА за периода'!AE$61:AE$108)+SUMIF('11.1.Амортиз.нови активи'!$B$61:$B$108,$B40,'11.1.Амортиз.нови активи'!AE$61:AE$108)</f>
        <v>0.4</v>
      </c>
      <c r="AF40" s="2972">
        <f>$Z40-SUMIF('11.2. ДА за периода'!$B$61:$B$108,$B40,'11.2. ДА за периода'!$Z$61:$Z$108)+SUMIF('11.2. ДА за периода'!$B$61:$B$108,$B40,'11.2. ДА за периода'!AF$61:AF$108)+SUMIF('11.1.Амортиз.нови активи'!$B$61:$B$108,$B40,'11.1.Амортиз.нови активи'!AF$61:AF$108)</f>
        <v>0.4</v>
      </c>
      <c r="AG40" s="2970"/>
      <c r="AH40" s="2971">
        <f>$AG40-SUMIF('11.2. ДА за периода'!$B$61:$B$108,$B40,'11.2. ДА за периода'!$AG$61:$AG$108)+SUMIF('11.2. ДА за периода'!$B$61:$B$108,$B40,'11.2. ДА за периода'!AH$61:AH$108)+SUMIF('11.1.Амортиз.нови активи'!$B$61:$B$108,$B40,'11.1.Амортиз.нови активи'!AH$61:AH$108)+('11.1.Амортиз.нови активи'!T$112*SUMIF('11.1.Амортиз.нови активи'!$B$61:$B$108,$B40,'11.1.Амортиз.нови активи'!BB$61:BB$108))</f>
        <v>0</v>
      </c>
      <c r="AI40" s="1226">
        <f>$AG40-SUMIF('11.2. ДА за периода'!$B$61:$B$108,$B40,'11.2. ДА за периода'!$AG$61:$AG$108)+SUMIF('11.2. ДА за периода'!$B$61:$B$108,$B40,'11.2. ДА за периода'!AI$61:AI$108)+SUMIF('11.1.Амортиз.нови активи'!$B$61:$B$108,$B40,'11.1.Амортиз.нови активи'!AI$61:AI$108)+('11.1.Амортиз.нови активи'!U$112*SUMIF('11.1.Амортиз.нови активи'!$B$61:$B$108,$B40,'11.1.Амортиз.нови активи'!BC$61:BC$108))</f>
        <v>0</v>
      </c>
      <c r="AJ40" s="1226">
        <f>$AG40-SUMIF('11.2. ДА за периода'!$B$61:$B$108,$B40,'11.2. ДА за периода'!$AG$61:$AG$108)+SUMIF('11.2. ДА за периода'!$B$61:$B$108,$B40,'11.2. ДА за периода'!AJ$61:AJ$108)+SUMIF('11.1.Амортиз.нови активи'!$B$61:$B$108,$B40,'11.1.Амортиз.нови активи'!AJ$61:AJ$108)+('11.1.Амортиз.нови активи'!V$112*SUMIF('11.1.Амортиз.нови активи'!$B$61:$B$108,$B40,'11.1.Амортиз.нови активи'!BD$61:BD$108))</f>
        <v>0</v>
      </c>
      <c r="AK40" s="1226">
        <f>$AG40-SUMIF('11.2. ДА за периода'!$B$61:$B$108,$B40,'11.2. ДА за периода'!$AG$61:$AG$108)+SUMIF('11.2. ДА за периода'!$B$61:$B$108,$B40,'11.2. ДА за периода'!AK$61:AK$108)+SUMIF('11.1.Амортиз.нови активи'!$B$61:$B$108,$B40,'11.1.Амортиз.нови активи'!AK$61:AK$108)+('11.1.Амортиз.нови активи'!W$112*SUMIF('11.1.Амортиз.нови активи'!$B$61:$B$108,$B40,'11.1.Амортиз.нови активи'!BE$61:BE$108))</f>
        <v>0</v>
      </c>
      <c r="AL40" s="1226">
        <f>$AG40-SUMIF('11.2. ДА за периода'!$B$61:$B$108,$B40,'11.2. ДА за периода'!$AG$61:$AG$108)+SUMIF('11.2. ДА за периода'!$B$61:$B$108,$B40,'11.2. ДА за периода'!AL$61:AL$108)+SUMIF('11.1.Амортиз.нови активи'!$B$61:$B$108,$B40,'11.1.Амортиз.нови активи'!AL$61:AL$108)+('11.1.Амортиз.нови активи'!X$112*SUMIF('11.1.Амортиз.нови активи'!$B$61:$B$108,$B40,'11.1.Амортиз.нови активи'!BF$61:BF$108))</f>
        <v>0</v>
      </c>
      <c r="AM40" s="2972">
        <f>$AG40-SUMIF('11.2. ДА за периода'!$B$61:$B$108,$B40,'11.2. ДА за периода'!$AG$61:$AG$108)+SUMIF('11.2. ДА за периода'!$B$61:$B$108,$B40,'11.2. ДА за периода'!AM$61:AM$108)+SUMIF('11.1.Амортиз.нови активи'!$B$61:$B$108,$B40,'11.1.Амортиз.нови активи'!AM$61:AM$108)+('11.1.Амортиз.нови активи'!Y$112*SUMIF('11.1.Амортиз.нови активи'!$B$61:$B$108,$B40,'11.1.Амортиз.нови активи'!BG$61:BG$108))</f>
        <v>0</v>
      </c>
      <c r="AN40" s="2860"/>
      <c r="AO40" s="2896"/>
      <c r="AP40" s="1421"/>
    </row>
    <row r="41" spans="1:42">
      <c r="A41" s="2862"/>
      <c r="B41" s="2892">
        <v>20303</v>
      </c>
      <c r="C41" s="2858">
        <v>0.1</v>
      </c>
      <c r="D41" s="2897" t="s">
        <v>411</v>
      </c>
      <c r="E41" s="2970">
        <v>0</v>
      </c>
      <c r="F41" s="2971">
        <f>$E41-SUMIF('11.2. ДА за периода'!$B$61:$B$108,$B41,'11.2. ДА за периода'!$E$61:$E$108)+SUMIF('11.2. ДА за периода'!$B$61:$B$108,$B41,'11.2. ДА за периода'!F$61:F$108)+SUMIF('11.1.Амортиз.нови активи'!$B$61:$B$108,$B41,'11.1.Амортиз.нови активи'!F$61:F$108)+('11.1.Амортиз.нови активи'!F$110*SUMIF('11.1.Амортиз.нови активи'!$B$61:$B$108,$B41,'11.1.Амортиз.нови активи'!AO$61:AO$108))</f>
        <v>8.8000000000000007</v>
      </c>
      <c r="G41" s="1226">
        <f>$E41-SUMIF('11.2. ДА за периода'!$B$61:$B$108,$B41,'11.2. ДА за периода'!$E$61:$E$108)+SUMIF('11.2. ДА за периода'!$B$61:$B$108,$B41,'11.2. ДА за периода'!G$61:G$108)+SUMIF('11.1.Амортиз.нови активи'!$B$61:$B$108,$B41,'11.1.Амортиз.нови активи'!G$61:G$108)+('11.1.Амортиз.нови активи'!G$110*SUMIF('11.1.Амортиз.нови активи'!$B$61:$B$108,$B41,'11.1.Амортиз.нови активи'!AP$61:AP$108))</f>
        <v>23.6</v>
      </c>
      <c r="H41" s="1226">
        <f>$E41-SUMIF('11.2. ДА за периода'!$B$61:$B$108,$B41,'11.2. ДА за периода'!$E$61:$E$108)+SUMIF('11.2. ДА за периода'!$B$61:$B$108,$B41,'11.2. ДА за периода'!H$61:H$108)+SUMIF('11.1.Амортиз.нови активи'!$B$61:$B$108,$B41,'11.1.Амортиз.нови активи'!H$61:H$108)+('11.1.Амортиз.нови активи'!H$110*SUMIF('11.1.Амортиз.нови активи'!$B$61:$B$108,$B41,'11.1.Амортиз.нови активи'!AQ$61:AQ$108))</f>
        <v>35.6</v>
      </c>
      <c r="I41" s="1226">
        <f>$E41-SUMIF('11.2. ДА за периода'!$B$61:$B$108,$B41,'11.2. ДА за периода'!$E$61:$E$108)+SUMIF('11.2. ДА за периода'!$B$61:$B$108,$B41,'11.2. ДА за периода'!I$61:I$108)+SUMIF('11.1.Амортиз.нови активи'!$B$61:$B$108,$B41,'11.1.Амортиз.нови активи'!I$61:I$108)+('11.1.Амортиз.нови активи'!I$110*SUMIF('11.1.Амортиз.нови активи'!$B$61:$B$108,$B41,'11.1.Амортиз.нови активи'!AR$61:AR$108))</f>
        <v>47.6</v>
      </c>
      <c r="J41" s="1226">
        <f>$E41-SUMIF('11.2. ДА за периода'!$B$61:$B$108,$B41,'11.2. ДА за периода'!$E$61:$E$108)+SUMIF('11.2. ДА за периода'!$B$61:$B$108,$B41,'11.2. ДА за периода'!J$61:J$108)+SUMIF('11.1.Амортиз.нови активи'!$B$61:$B$108,$B41,'11.1.Амортиз.нови активи'!J$61:J$108)+('11.1.Амортиз.нови активи'!J$110*SUMIF('11.1.Амортиз.нови активи'!$B$61:$B$108,$B41,'11.1.Амортиз.нови активи'!AS$61:AS$108))</f>
        <v>59.6</v>
      </c>
      <c r="K41" s="2972">
        <f>$E41-SUMIF('11.2. ДА за периода'!$B$61:$B$108,$B41,'11.2. ДА за периода'!$E$61:$E$108)+SUMIF('11.2. ДА за периода'!$B$61:$B$108,$B41,'11.2. ДА за периода'!K$61:K$108)+SUMIF('11.1.Амортиз.нови активи'!$B$61:$B$108,$B41,'11.1.Амортиз.нови активи'!K$61:K$108)+('11.1.Амортиз.нови активи'!K$110*SUMIF('11.1.Амортиз.нови активи'!$B$61:$B$108,$B41,'11.1.Амортиз.нови активи'!AT$61:AT$108))</f>
        <v>71.599999999999994</v>
      </c>
      <c r="L41" s="2970">
        <v>1</v>
      </c>
      <c r="M41" s="2971">
        <f>$L41-SUMIF('11.2. ДА за периода'!$B$61:$B$108,$B41,'11.2. ДА за периода'!$L$61:$L$108)+SUMIF('11.2. ДА за периода'!$B$61:$B$108,$B41,'11.2. ДА за периода'!M$61:M$108)+SUMIF('11.1.Амортиз.нови активи'!$B$61:$B$108,$B41,'11.1.Амортиз.нови активи'!M$61:M$108)+('11.1.Амортиз.нови активи'!F$111*SUMIF('11.1.Амортиз.нови активи'!$B$61:$B$108,$B41,'11.1.Амортиз.нови активи'!AO$61:AO$108))</f>
        <v>1</v>
      </c>
      <c r="N41" s="1226">
        <f>$L41-SUMIF('11.2. ДА за периода'!$B$61:$B$108,$B41,'11.2. ДА за периода'!$L$61:$L$108)+SUMIF('11.2. ДА за периода'!$B$61:$B$108,$B41,'11.2. ДА за периода'!N$61:N$108)+SUMIF('11.1.Амортиз.нови активи'!$B$61:$B$108,$B41,'11.1.Амортиз.нови активи'!N$61:N$108)+('11.1.Амортиз.нови активи'!G$111*SUMIF('11.1.Амортиз.нови активи'!$B$61:$B$108,$B41,'11.1.Амортиз.нови активи'!AP$61:AP$108))</f>
        <v>1</v>
      </c>
      <c r="O41" s="1226">
        <f>$L41-SUMIF('11.2. ДА за периода'!$B$61:$B$108,$B41,'11.2. ДА за периода'!$L$61:$L$108)+SUMIF('11.2. ДА за периода'!$B$61:$B$108,$B41,'11.2. ДА за периода'!O$61:O$108)+SUMIF('11.1.Амортиз.нови активи'!$B$61:$B$108,$B41,'11.1.Амортиз.нови активи'!O$61:O$108)+('11.1.Амортиз.нови активи'!H$111*SUMIF('11.1.Амортиз.нови активи'!$B$61:$B$108,$B41,'11.1.Амортиз.нови активи'!AQ$61:AQ$108))</f>
        <v>4.125</v>
      </c>
      <c r="P41" s="1226">
        <f>$L41-SUMIF('11.2. ДА за периода'!$B$61:$B$108,$B41,'11.2. ДА за периода'!$L$61:$L$108)+SUMIF('11.2. ДА за периода'!$B$61:$B$108,$B41,'11.2. ДА за периода'!P$61:P$108)+SUMIF('11.1.Амортиз.нови активи'!$B$61:$B$108,$B41,'11.1.Амортиз.нови активи'!P$61:P$108)+('11.1.Амортиз.нови активи'!I$111*SUMIF('11.1.Амортиз.нови активи'!$B$61:$B$108,$B41,'11.1.Амортиз.нови активи'!AR$61:AR$108))</f>
        <v>7.25</v>
      </c>
      <c r="Q41" s="1226">
        <f>$L41-SUMIF('11.2. ДА за периода'!$B$61:$B$108,$B41,'11.2. ДА за периода'!$L$61:$L$108)+SUMIF('11.2. ДА за периода'!$B$61:$B$108,$B41,'11.2. ДА за периода'!Q$61:Q$108)+SUMIF('11.1.Амортиз.нови активи'!$B$61:$B$108,$B41,'11.1.Амортиз.нови активи'!Q$61:Q$108)+('11.1.Амортиз.нови активи'!J$111*SUMIF('11.1.Амортиз.нови активи'!$B$61:$B$108,$B41,'11.1.Амортиз.нови активи'!AS$61:AS$108))</f>
        <v>9.9250000000000007</v>
      </c>
      <c r="R41" s="2972">
        <f>$L41-SUMIF('11.2. ДА за периода'!$B$61:$B$108,$B41,'11.2. ДА за периода'!$L$61:$L$108)+SUMIF('11.2. ДА за периода'!$B$61:$B$108,$B41,'11.2. ДА за периода'!R$61:R$108)+SUMIF('11.1.Амортиз.нови активи'!$B$61:$B$108,$B41,'11.1.Амортиз.нови активи'!R$61:R$108)+('11.1.Амортиз.нови активи'!K$111*SUMIF('11.1.Амортиз.нови активи'!$B$61:$B$108,$B41,'11.1.Амортиз.нови активи'!AT$61:AT$108))</f>
        <v>12.600000000000001</v>
      </c>
      <c r="S41" s="2970">
        <v>0</v>
      </c>
      <c r="T41" s="2971">
        <f>$S41-SUMIF('11.2. ДА за периода'!$B$61:$B$108,$B41,'11.2. ДА за периода'!$S$61:$S$108)+SUMIF('11.2. ДА за периода'!$B$61:$B$108,$B41,'11.2. ДА за периода'!T$61:T$108)+SUMIF('11.1.Амортиз.нови активи'!$B$61:$B$108,$B41,'11.1.Амортиз.нови активи'!T$61:T$108)+('11.1.Амортиз.нови активи'!F$112*SUMIF('11.1.Амортиз.нови активи'!$B$61:$B$108,$B41,'11.1.Амортиз.нови активи'!AO$61:AO$108))</f>
        <v>0</v>
      </c>
      <c r="U41" s="1226">
        <f>$S41-SUMIF('11.2. ДА за периода'!$B$61:$B$108,$B41,'11.2. ДА за периода'!$S$61:$S$108)+SUMIF('11.2. ДА за периода'!$B$61:$B$108,$B41,'11.2. ДА за периода'!U$61:U$108)+SUMIF('11.1.Амортиз.нови активи'!$B$61:$B$108,$B41,'11.1.Амортиз.нови активи'!U$61:U$108)+('11.1.Амортиз.нови активи'!G$112*SUMIF('11.1.Амортиз.нови активи'!$B$61:$B$108,$B41,'11.1.Амортиз.нови активи'!AP$61:AP$108))</f>
        <v>0</v>
      </c>
      <c r="V41" s="1226">
        <f>$S41-SUMIF('11.2. ДА за периода'!$B$61:$B$108,$B41,'11.2. ДА за периода'!$S$61:$S$108)+SUMIF('11.2. ДА за периода'!$B$61:$B$108,$B41,'11.2. ДА за периода'!V$61:V$108)+SUMIF('11.1.Амортиз.нови активи'!$B$61:$B$108,$B41,'11.1.Амортиз.нови активи'!V$61:V$108)+('11.1.Амортиз.нови активи'!H$112*SUMIF('11.1.Амортиз.нови активи'!$B$61:$B$108,$B41,'11.1.Амортиз.нови активи'!AQ$61:AQ$108))</f>
        <v>0</v>
      </c>
      <c r="W41" s="1226">
        <f>$S41-SUMIF('11.2. ДА за периода'!$B$61:$B$108,$B41,'11.2. ДА за периода'!$S$61:$S$108)+SUMIF('11.2. ДА за периода'!$B$61:$B$108,$B41,'11.2. ДА за периода'!W$61:W$108)+SUMIF('11.1.Амортиз.нови активи'!$B$61:$B$108,$B41,'11.1.Амортиз.нови активи'!W$61:W$108)+('11.1.Амортиз.нови активи'!I$112*SUMIF('11.1.Амортиз.нови активи'!$B$61:$B$108,$B41,'11.1.Амортиз.нови активи'!AR$61:AR$108))</f>
        <v>0</v>
      </c>
      <c r="X41" s="1226">
        <f>$S41-SUMIF('11.2. ДА за периода'!$B$61:$B$108,$B41,'11.2. ДА за периода'!$S$61:$S$108)+SUMIF('11.2. ДА за периода'!$B$61:$B$108,$B41,'11.2. ДА за периода'!X$61:X$108)+SUMIF('11.1.Амортиз.нови активи'!$B$61:$B$108,$B41,'11.1.Амортиз.нови активи'!X$61:X$108)+('11.1.Амортиз.нови активи'!J$112*SUMIF('11.1.Амортиз.нови активи'!$B$61:$B$108,$B41,'11.1.Амортиз.нови активи'!AS$61:AS$108))</f>
        <v>0</v>
      </c>
      <c r="Y41" s="2972">
        <f>$S41-SUMIF('11.2. ДА за периода'!$B$61:$B$108,$B41,'11.2. ДА за периода'!$S$61:$S$108)+SUMIF('11.2. ДА за периода'!$B$61:$B$108,$B41,'11.2. ДА за периода'!Y$61:Y$108)+SUMIF('11.1.Амортиз.нови активи'!$B$61:$B$108,$B41,'11.1.Амортиз.нови активи'!Y$61:Y$108)+('11.1.Амортиз.нови активи'!K$112*SUMIF('11.1.Амортиз.нови активи'!$B$61:$B$108,$B41,'11.1.Амортиз.нови активи'!AT$61:AT$108))</f>
        <v>0</v>
      </c>
      <c r="Z41" s="448">
        <v>0</v>
      </c>
      <c r="AA41" s="2971">
        <f>$Z41-SUMIF('11.2. ДА за периода'!$B$61:$B$108,$B41,'11.2. ДА за периода'!$Z$61:$Z$108)+SUMIF('11.2. ДА за периода'!$B$61:$B$108,$B41,'11.2. ДА за периода'!AA$61:AA$108)+SUMIF('11.1.Амортиз.нови активи'!$B$61:$B$108,$B41,'11.1.Амортиз.нови активи'!AA$61:AA$108)</f>
        <v>0</v>
      </c>
      <c r="AB41" s="1226">
        <f>$Z41-SUMIF('11.2. ДА за периода'!$B$61:$B$108,$B41,'11.2. ДА за периода'!$Z$61:$Z$108)+SUMIF('11.2. ДА за периода'!$B$61:$B$108,$B41,'11.2. ДА за периода'!AB$61:AB$108)+SUMIF('11.1.Амортиз.нови активи'!$B$61:$B$108,$B41,'11.1.Амортиз.нови активи'!AB$61:AB$108)</f>
        <v>0</v>
      </c>
      <c r="AC41" s="1226">
        <f>$Z41-SUMIF('11.2. ДА за периода'!$B$61:$B$108,$B41,'11.2. ДА за периода'!$Z$61:$Z$108)+SUMIF('11.2. ДА за периода'!$B$61:$B$108,$B41,'11.2. ДА за периода'!AC$61:AC$108)+SUMIF('11.1.Амортиз.нови активи'!$B$61:$B$108,$B41,'11.1.Амортиз.нови активи'!AC$61:AC$108)</f>
        <v>0</v>
      </c>
      <c r="AD41" s="1226">
        <f>$Z41-SUMIF('11.2. ДА за периода'!$B$61:$B$108,$B41,'11.2. ДА за периода'!$Z$61:$Z$108)+SUMIF('11.2. ДА за периода'!$B$61:$B$108,$B41,'11.2. ДА за периода'!AD$61:AD$108)+SUMIF('11.1.Амортиз.нови активи'!$B$61:$B$108,$B41,'11.1.Амортиз.нови активи'!AD$61:AD$108)</f>
        <v>0</v>
      </c>
      <c r="AE41" s="1226">
        <f>$Z41-SUMIF('11.2. ДА за периода'!$B$61:$B$108,$B41,'11.2. ДА за периода'!$Z$61:$Z$108)+SUMIF('11.2. ДА за периода'!$B$61:$B$108,$B41,'11.2. ДА за периода'!AE$61:AE$108)+SUMIF('11.1.Амортиз.нови активи'!$B$61:$B$108,$B41,'11.1.Амортиз.нови активи'!AE$61:AE$108)</f>
        <v>0</v>
      </c>
      <c r="AF41" s="2972">
        <f>$Z41-SUMIF('11.2. ДА за периода'!$B$61:$B$108,$B41,'11.2. ДА за периода'!$Z$61:$Z$108)+SUMIF('11.2. ДА за периода'!$B$61:$B$108,$B41,'11.2. ДА за периода'!AF$61:AF$108)+SUMIF('11.1.Амортиз.нови активи'!$B$61:$B$108,$B41,'11.1.Амортиз.нови активи'!AF$61:AF$108)</f>
        <v>0</v>
      </c>
      <c r="AG41" s="2970"/>
      <c r="AH41" s="2971">
        <f>$AG41-SUMIF('11.2. ДА за периода'!$B$61:$B$108,$B41,'11.2. ДА за периода'!$AG$61:$AG$108)+SUMIF('11.2. ДА за периода'!$B$61:$B$108,$B41,'11.2. ДА за периода'!AH$61:AH$108)+SUMIF('11.1.Амортиз.нови активи'!$B$61:$B$108,$B41,'11.1.Амортиз.нови активи'!AH$61:AH$108)+('11.1.Амортиз.нови активи'!T$112*SUMIF('11.1.Амортиз.нови активи'!$B$61:$B$108,$B41,'11.1.Амортиз.нови активи'!BB$61:BB$108))</f>
        <v>0</v>
      </c>
      <c r="AI41" s="1226">
        <f>$AG41-SUMIF('11.2. ДА за периода'!$B$61:$B$108,$B41,'11.2. ДА за периода'!$AG$61:$AG$108)+SUMIF('11.2. ДА за периода'!$B$61:$B$108,$B41,'11.2. ДА за периода'!AI$61:AI$108)+SUMIF('11.1.Амортиз.нови активи'!$B$61:$B$108,$B41,'11.1.Амортиз.нови активи'!AI$61:AI$108)+('11.1.Амортиз.нови активи'!U$112*SUMIF('11.1.Амортиз.нови активи'!$B$61:$B$108,$B41,'11.1.Амортиз.нови активи'!BC$61:BC$108))</f>
        <v>0</v>
      </c>
      <c r="AJ41" s="1226">
        <f>$AG41-SUMIF('11.2. ДА за периода'!$B$61:$B$108,$B41,'11.2. ДА за периода'!$AG$61:$AG$108)+SUMIF('11.2. ДА за периода'!$B$61:$B$108,$B41,'11.2. ДА за периода'!AJ$61:AJ$108)+SUMIF('11.1.Амортиз.нови активи'!$B$61:$B$108,$B41,'11.1.Амортиз.нови активи'!AJ$61:AJ$108)+('11.1.Амортиз.нови активи'!V$112*SUMIF('11.1.Амортиз.нови активи'!$B$61:$B$108,$B41,'11.1.Амортиз.нови активи'!BD$61:BD$108))</f>
        <v>0</v>
      </c>
      <c r="AK41" s="1226">
        <f>$AG41-SUMIF('11.2. ДА за периода'!$B$61:$B$108,$B41,'11.2. ДА за периода'!$AG$61:$AG$108)+SUMIF('11.2. ДА за периода'!$B$61:$B$108,$B41,'11.2. ДА за периода'!AK$61:AK$108)+SUMIF('11.1.Амортиз.нови активи'!$B$61:$B$108,$B41,'11.1.Амортиз.нови активи'!AK$61:AK$108)+('11.1.Амортиз.нови активи'!W$112*SUMIF('11.1.Амортиз.нови активи'!$B$61:$B$108,$B41,'11.1.Амортиз.нови активи'!BE$61:BE$108))</f>
        <v>0</v>
      </c>
      <c r="AL41" s="1226">
        <f>$AG41-SUMIF('11.2. ДА за периода'!$B$61:$B$108,$B41,'11.2. ДА за периода'!$AG$61:$AG$108)+SUMIF('11.2. ДА за периода'!$B$61:$B$108,$B41,'11.2. ДА за периода'!AL$61:AL$108)+SUMIF('11.1.Амортиз.нови активи'!$B$61:$B$108,$B41,'11.1.Амортиз.нови активи'!AL$61:AL$108)+('11.1.Амортиз.нови активи'!X$112*SUMIF('11.1.Амортиз.нови активи'!$B$61:$B$108,$B41,'11.1.Амортиз.нови активи'!BF$61:BF$108))</f>
        <v>0</v>
      </c>
      <c r="AM41" s="2972">
        <f>$AG41-SUMIF('11.2. ДА за периода'!$B$61:$B$108,$B41,'11.2. ДА за периода'!$AG$61:$AG$108)+SUMIF('11.2. ДА за периода'!$B$61:$B$108,$B41,'11.2. ДА за периода'!AM$61:AM$108)+SUMIF('11.1.Амортиз.нови активи'!$B$61:$B$108,$B41,'11.1.Амортиз.нови активи'!AM$61:AM$108)+('11.1.Амортиз.нови активи'!Y$112*SUMIF('11.1.Амортиз.нови активи'!$B$61:$B$108,$B41,'11.1.Амортиз.нови активи'!BG$61:BG$108))</f>
        <v>0</v>
      </c>
      <c r="AN41" s="2860"/>
      <c r="AO41" s="2896"/>
      <c r="AP41" s="1421"/>
    </row>
    <row r="42" spans="1:42">
      <c r="A42" s="2862"/>
      <c r="B42" s="2892">
        <v>20306</v>
      </c>
      <c r="C42" s="2858">
        <v>0.1</v>
      </c>
      <c r="D42" s="2897" t="s">
        <v>414</v>
      </c>
      <c r="E42" s="2970">
        <v>27</v>
      </c>
      <c r="F42" s="2971">
        <f>$E42-SUMIF('11.2. ДА за периода'!$B$61:$B$108,$B42,'11.2. ДА за периода'!$E$61:$E$108)+SUMIF('11.2. ДА за периода'!$B$61:$B$108,$B42,'11.2. ДА за периода'!F$61:F$108)+SUMIF('11.1.Амортиз.нови активи'!$B$61:$B$108,$B42,'11.1.Амортиз.нови активи'!F$61:F$108)+('11.1.Амортиз.нови активи'!F$110*SUMIF('11.1.Амортиз.нови активи'!$B$61:$B$108,$B42,'11.1.Амортиз.нови активи'!AO$61:AO$108))</f>
        <v>30.015000000000001</v>
      </c>
      <c r="G42" s="1226">
        <f>$E42-SUMIF('11.2. ДА за периода'!$B$61:$B$108,$B42,'11.2. ДА за периода'!$E$61:$E$108)+SUMIF('11.2. ДА за периода'!$B$61:$B$108,$B42,'11.2. ДА за периода'!G$61:G$108)+SUMIF('11.1.Амортиз.нови активи'!$B$61:$B$108,$B42,'11.1.Амортиз.нови активи'!G$61:G$108)+('11.1.Амортиз.нови активи'!G$110*SUMIF('11.1.Амортиз.нови активи'!$B$61:$B$108,$B42,'11.1.Амортиз.нови активи'!AP$61:AP$108))</f>
        <v>32.949071018969086</v>
      </c>
      <c r="H42" s="1226">
        <f>$E42-SUMIF('11.2. ДА за периода'!$B$61:$B$108,$B42,'11.2. ДА за периода'!$E$61:$E$108)+SUMIF('11.2. ДА за периода'!$B$61:$B$108,$B42,'11.2. ДА за периода'!H$61:H$108)+SUMIF('11.1.Амортиз.нови активи'!$B$61:$B$108,$B42,'11.1.Амортиз.нови активи'!H$61:H$108)+('11.1.Амортиз.нови активи'!H$110*SUMIF('11.1.Амортиз.нови активи'!$B$61:$B$108,$B42,'11.1.Амортиз.нови активи'!AQ$61:AQ$108))</f>
        <v>34.052133256695349</v>
      </c>
      <c r="I42" s="1226">
        <f>$E42-SUMIF('11.2. ДА за периода'!$B$61:$B$108,$B42,'11.2. ДА за периода'!$E$61:$E$108)+SUMIF('11.2. ДА за периода'!$B$61:$B$108,$B42,'11.2. ДА за периода'!I$61:I$108)+SUMIF('11.1.Амортиз.нови активи'!$B$61:$B$108,$B42,'11.1.Амортиз.нови активи'!I$61:I$108)+('11.1.Амортиз.нови активи'!I$110*SUMIF('11.1.Амортиз.нови активи'!$B$61:$B$108,$B42,'11.1.Амортиз.нови активи'!AR$61:AR$108))</f>
        <v>35.747632805930195</v>
      </c>
      <c r="J42" s="1226">
        <f>$E42-SUMIF('11.2. ДА за периода'!$B$61:$B$108,$B42,'11.2. ДА за периода'!$E$61:$E$108)+SUMIF('11.2. ДА за периода'!$B$61:$B$108,$B42,'11.2. ДА за периода'!J$61:J$108)+SUMIF('11.1.Амортиз.нови активи'!$B$61:$B$108,$B42,'11.1.Амортиз.нови активи'!J$61:J$108)+('11.1.Амортиз.нови активи'!J$110*SUMIF('11.1.Амортиз.нови активи'!$B$61:$B$108,$B42,'11.1.Амортиз.нови активи'!AS$61:AS$108))</f>
        <v>25.456622588335414</v>
      </c>
      <c r="K42" s="2972">
        <f>$E42-SUMIF('11.2. ДА за периода'!$B$61:$B$108,$B42,'11.2. ДА за периода'!$E$61:$E$108)+SUMIF('11.2. ДА за периода'!$B$61:$B$108,$B42,'11.2. ДА за периода'!K$61:K$108)+SUMIF('11.1.Амортиз.нови активи'!$B$61:$B$108,$B42,'11.1.Амортиз.нови активи'!K$61:K$108)+('11.1.Амортиз.нови активи'!K$110*SUMIF('11.1.Амортиз.нови активи'!$B$61:$B$108,$B42,'11.1.Амортиз.нови активи'!AT$61:AT$108))</f>
        <v>27.47967510642497</v>
      </c>
      <c r="L42" s="2970">
        <v>1</v>
      </c>
      <c r="M42" s="2971">
        <f>$L42-SUMIF('11.2. ДА за периода'!$B$61:$B$108,$B42,'11.2. ДА за периода'!$L$61:$L$108)+SUMIF('11.2. ДА за периода'!$B$61:$B$108,$B42,'11.2. ДА за периода'!M$61:M$108)+SUMIF('11.1.Амортиз.нови активи'!$B$61:$B$108,$B42,'11.1.Амортиз.нови активи'!M$61:M$108)+('11.1.Амортиз.нови активи'!F$111*SUMIF('11.1.Амортиз.нови активи'!$B$61:$B$108,$B42,'11.1.Амортиз.нови активи'!AO$61:AO$108))</f>
        <v>1.1499999999999999</v>
      </c>
      <c r="N42" s="1226">
        <f>$L42-SUMIF('11.2. ДА за периода'!$B$61:$B$108,$B42,'11.2. ДА за периода'!$L$61:$L$108)+SUMIF('11.2. ДА за периода'!$B$61:$B$108,$B42,'11.2. ДА за периода'!N$61:N$108)+SUMIF('11.1.Амортиз.нови активи'!$B$61:$B$108,$B42,'11.1.Амортиз.нови активи'!N$61:N$108)+('11.1.Амортиз.нови активи'!G$111*SUMIF('11.1.Амортиз.нови активи'!$B$61:$B$108,$B42,'11.1.Амортиз.нови активи'!AP$61:AP$108))</f>
        <v>1.3855205924943574</v>
      </c>
      <c r="O42" s="1226">
        <f>$L42-SUMIF('11.2. ДА за периода'!$B$61:$B$108,$B42,'11.2. ДА за периода'!$L$61:$L$108)+SUMIF('11.2. ДА за периода'!$B$61:$B$108,$B42,'11.2. ДА за периода'!O$61:O$108)+SUMIF('11.1.Амортиз.нови активи'!$B$61:$B$108,$B42,'11.1.Амортиз.нови активи'!O$61:O$108)+('11.1.Амортиз.нови активи'!H$111*SUMIF('11.1.Амортиз.нови активи'!$B$61:$B$108,$B42,'11.1.Амортиз.нови активи'!AQ$61:AQ$108))</f>
        <v>1.8486207129311452</v>
      </c>
      <c r="P42" s="1226">
        <f>$L42-SUMIF('11.2. ДА за периода'!$B$61:$B$108,$B42,'11.2. ДА за периода'!$L$61:$L$108)+SUMIF('11.2. ДА за периода'!$B$61:$B$108,$B42,'11.2. ДА за периода'!P$61:P$108)+SUMIF('11.1.Амортиз.нови активи'!$B$61:$B$108,$B42,'11.1.Амортиз.нови активи'!P$61:P$108)+('11.1.Амортиз.нови активи'!I$111*SUMIF('11.1.Амортиз.нови активи'!$B$61:$B$108,$B42,'11.1.Амортиз.нови активи'!AR$61:AR$108))</f>
        <v>2.5373297577906055</v>
      </c>
      <c r="Q42" s="1226">
        <f>$L42-SUMIF('11.2. ДА за периода'!$B$61:$B$108,$B42,'11.2. ДА за периода'!$L$61:$L$108)+SUMIF('11.2. ДА за периода'!$B$61:$B$108,$B42,'11.2. ДА за периода'!Q$61:Q$108)+SUMIF('11.1.Амортиз.нови активи'!$B$61:$B$108,$B42,'11.1.Амортиз.нови активи'!Q$61:Q$108)+('11.1.Амортиз.нови активи'!J$111*SUMIF('11.1.Амортиз.нови активи'!$B$61:$B$108,$B42,'11.1.Амортиз.нови активи'!AS$61:AS$108))</f>
        <v>3.041928853242557</v>
      </c>
      <c r="R42" s="2972">
        <f>$L42-SUMIF('11.2. ДА за периода'!$B$61:$B$108,$B42,'11.2. ДА за периода'!$L$61:$L$108)+SUMIF('11.2. ДА за периода'!$B$61:$B$108,$B42,'11.2. ДА за периода'!R$61:R$108)+SUMIF('11.1.Амортиз.нови активи'!$B$61:$B$108,$B42,'11.1.Амортиз.нови активи'!R$61:R$108)+('11.1.Амортиз.нови активи'!K$111*SUMIF('11.1.Амортиз.нови активи'!$B$61:$B$108,$B42,'11.1.Амортиз.нови активи'!AT$61:AT$108))</f>
        <v>4.5117402813027399</v>
      </c>
      <c r="S42" s="2970">
        <v>0</v>
      </c>
      <c r="T42" s="2971">
        <f>$S42-SUMIF('11.2. ДА за периода'!$B$61:$B$108,$B42,'11.2. ДА за периода'!$S$61:$S$108)+SUMIF('11.2. ДА за периода'!$B$61:$B$108,$B42,'11.2. ДА за периода'!T$61:T$108)+SUMIF('11.1.Амортиз.нови активи'!$B$61:$B$108,$B42,'11.1.Амортиз.нови активи'!T$61:T$108)+('11.1.Амортиз.нови активи'!F$112*SUMIF('11.1.Амортиз.нови активи'!$B$61:$B$108,$B42,'11.1.Амортиз.нови активи'!AO$61:AO$108))</f>
        <v>0</v>
      </c>
      <c r="U42" s="1226">
        <f>$S42-SUMIF('11.2. ДА за периода'!$B$61:$B$108,$B42,'11.2. ДА за периода'!$S$61:$S$108)+SUMIF('11.2. ДА за периода'!$B$61:$B$108,$B42,'11.2. ДА за периода'!U$61:U$108)+SUMIF('11.1.Амортиз.нови активи'!$B$61:$B$108,$B42,'11.1.Амортиз.нови активи'!U$61:U$108)+('11.1.Амортиз.нови активи'!G$112*SUMIF('11.1.Амортиз.нови активи'!$B$61:$B$108,$B42,'11.1.Амортиз.нови активи'!AP$61:AP$108))</f>
        <v>8.0408388536556574E-2</v>
      </c>
      <c r="V42" s="1226">
        <f>$S42-SUMIF('11.2. ДА за периода'!$B$61:$B$108,$B42,'11.2. ДА за периода'!$S$61:$S$108)+SUMIF('11.2. ДА за периода'!$B$61:$B$108,$B42,'11.2. ДА за периода'!V$61:V$108)+SUMIF('11.1.Амортиз.нови активи'!$B$61:$B$108,$B42,'11.1.Амортиз.нови активи'!V$61:V$108)+('11.1.Амортиз.нови активи'!H$112*SUMIF('11.1.Амортиз.нови активи'!$B$61:$B$108,$B42,'11.1.Амортиз.нови активи'!AQ$61:AQ$108))</f>
        <v>0.33424603037350853</v>
      </c>
      <c r="W42" s="1226">
        <f>$S42-SUMIF('11.2. ДА за периода'!$B$61:$B$108,$B42,'11.2. ДА за периода'!$S$61:$S$108)+SUMIF('11.2. ДА за периода'!$B$61:$B$108,$B42,'11.2. ДА за периода'!W$61:W$108)+SUMIF('11.1.Амортиз.нови активи'!$B$61:$B$108,$B42,'11.1.Амортиз.нови активи'!W$61:W$108)+('11.1.Амортиз.нови активи'!I$112*SUMIF('11.1.Амортиз.нови активи'!$B$61:$B$108,$B42,'11.1.Амортиз.нови активи'!AR$61:AR$108))</f>
        <v>0.5450374362792012</v>
      </c>
      <c r="X42" s="1226">
        <f>$S42-SUMIF('11.2. ДА за периода'!$B$61:$B$108,$B42,'11.2. ДА за периода'!$S$61:$S$108)+SUMIF('11.2. ДА за периода'!$B$61:$B$108,$B42,'11.2. ДА за периода'!X$61:X$108)+SUMIF('11.1.Амортиз.нови активи'!$B$61:$B$108,$B42,'11.1.Амортиз.нови активи'!X$61:X$108)+('11.1.Амортиз.нови активи'!J$112*SUMIF('11.1.Амортиз.нови активи'!$B$61:$B$108,$B42,'11.1.Амортиз.нови активи'!AS$61:AS$108))</f>
        <v>0.70644855842202803</v>
      </c>
      <c r="Y42" s="2972">
        <f>$S42-SUMIF('11.2. ДА за периода'!$B$61:$B$108,$B42,'11.2. ДА за периода'!$S$61:$S$108)+SUMIF('11.2. ДА за периода'!$B$61:$B$108,$B42,'11.2. ДА за периода'!Y$61:Y$108)+SUMIF('11.1.Амортиз.нови активи'!$B$61:$B$108,$B42,'11.1.Амортиз.нови активи'!Y$61:Y$108)+('11.1.Амортиз.нови активи'!K$112*SUMIF('11.1.Амортиз.нови активи'!$B$61:$B$108,$B42,'11.1.Амортиз.нови активи'!AT$61:AT$108))</f>
        <v>0.83858461227228953</v>
      </c>
      <c r="Z42" s="448">
        <v>0</v>
      </c>
      <c r="AA42" s="2971">
        <f>$Z42-SUMIF('11.2. ДА за периода'!$B$61:$B$108,$B42,'11.2. ДА за периода'!$Z$61:$Z$108)+SUMIF('11.2. ДА за периода'!$B$61:$B$108,$B42,'11.2. ДА за периода'!AA$61:AA$108)+SUMIF('11.1.Амортиз.нови активи'!$B$61:$B$108,$B42,'11.1.Амортиз.нови активи'!AA$61:AA$108)</f>
        <v>0</v>
      </c>
      <c r="AB42" s="1226">
        <f>$Z42-SUMIF('11.2. ДА за периода'!$B$61:$B$108,$B42,'11.2. ДА за периода'!$Z$61:$Z$108)+SUMIF('11.2. ДА за периода'!$B$61:$B$108,$B42,'11.2. ДА за периода'!AB$61:AB$108)+SUMIF('11.1.Амортиз.нови активи'!$B$61:$B$108,$B42,'11.1.Амортиз.нови активи'!AB$61:AB$108)</f>
        <v>0.05</v>
      </c>
      <c r="AC42" s="1226">
        <f>$Z42-SUMIF('11.2. ДА за периода'!$B$61:$B$108,$B42,'11.2. ДА за периода'!$Z$61:$Z$108)+SUMIF('11.2. ДА за периода'!$B$61:$B$108,$B42,'11.2. ДА за периода'!AC$61:AC$108)+SUMIF('11.1.Амортиз.нови активи'!$B$61:$B$108,$B42,'11.1.Амортиз.нови активи'!AC$61:AC$108)</f>
        <v>0.15000000000000002</v>
      </c>
      <c r="AD42" s="1226">
        <f>$Z42-SUMIF('11.2. ДА за периода'!$B$61:$B$108,$B42,'11.2. ДА за периода'!$Z$61:$Z$108)+SUMIF('11.2. ДА за периода'!$B$61:$B$108,$B42,'11.2. ДА за периода'!AD$61:AD$108)+SUMIF('11.1.Амортиз.нови активи'!$B$61:$B$108,$B42,'11.1.Амортиз.нови активи'!AD$61:AD$108)</f>
        <v>0.2</v>
      </c>
      <c r="AE42" s="1226">
        <f>$Z42-SUMIF('11.2. ДА за периода'!$B$61:$B$108,$B42,'11.2. ДА за периода'!$Z$61:$Z$108)+SUMIF('11.2. ДА за периода'!$B$61:$B$108,$B42,'11.2. ДА за периода'!AE$61:AE$108)+SUMIF('11.1.Амортиз.нови активи'!$B$61:$B$108,$B42,'11.1.Амортиз.нови активи'!AE$61:AE$108)</f>
        <v>0.2</v>
      </c>
      <c r="AF42" s="2972">
        <f>$Z42-SUMIF('11.2. ДА за периода'!$B$61:$B$108,$B42,'11.2. ДА за периода'!$Z$61:$Z$108)+SUMIF('11.2. ДА за периода'!$B$61:$B$108,$B42,'11.2. ДА за периода'!AF$61:AF$108)+SUMIF('11.1.Амортиз.нови активи'!$B$61:$B$108,$B42,'11.1.Амортиз.нови активи'!AF$61:AF$108)</f>
        <v>0.2</v>
      </c>
      <c r="AG42" s="2970"/>
      <c r="AH42" s="2971">
        <f>$AG42-SUMIF('11.2. ДА за периода'!$B$61:$B$108,$B42,'11.2. ДА за периода'!$AG$61:$AG$108)+SUMIF('11.2. ДА за периода'!$B$61:$B$108,$B42,'11.2. ДА за периода'!AH$61:AH$108)+SUMIF('11.1.Амортиз.нови активи'!$B$61:$B$108,$B42,'11.1.Амортиз.нови активи'!AH$61:AH$108)+('11.1.Амортиз.нови активи'!T$112*SUMIF('11.1.Амортиз.нови активи'!$B$61:$B$108,$B42,'11.1.Амортиз.нови активи'!BB$61:BB$108))</f>
        <v>0</v>
      </c>
      <c r="AI42" s="1226">
        <f>$AG42-SUMIF('11.2. ДА за периода'!$B$61:$B$108,$B42,'11.2. ДА за периода'!$AG$61:$AG$108)+SUMIF('11.2. ДА за периода'!$B$61:$B$108,$B42,'11.2. ДА за периода'!AI$61:AI$108)+SUMIF('11.1.Амортиз.нови активи'!$B$61:$B$108,$B42,'11.1.Амортиз.нови активи'!AI$61:AI$108)+('11.1.Амортиз.нови активи'!U$112*SUMIF('11.1.Амортиз.нови активи'!$B$61:$B$108,$B42,'11.1.Амортиз.нови активи'!BC$61:BC$108))</f>
        <v>0</v>
      </c>
      <c r="AJ42" s="1226">
        <f>$AG42-SUMIF('11.2. ДА за периода'!$B$61:$B$108,$B42,'11.2. ДА за периода'!$AG$61:$AG$108)+SUMIF('11.2. ДА за периода'!$B$61:$B$108,$B42,'11.2. ДА за периода'!AJ$61:AJ$108)+SUMIF('11.1.Амортиз.нови активи'!$B$61:$B$108,$B42,'11.1.Амортиз.нови активи'!AJ$61:AJ$108)+('11.1.Амортиз.нови активи'!V$112*SUMIF('11.1.Амортиз.нови активи'!$B$61:$B$108,$B42,'11.1.Амортиз.нови активи'!BD$61:BD$108))</f>
        <v>0</v>
      </c>
      <c r="AK42" s="1226">
        <f>$AG42-SUMIF('11.2. ДА за периода'!$B$61:$B$108,$B42,'11.2. ДА за периода'!$AG$61:$AG$108)+SUMIF('11.2. ДА за периода'!$B$61:$B$108,$B42,'11.2. ДА за периода'!AK$61:AK$108)+SUMIF('11.1.Амортиз.нови активи'!$B$61:$B$108,$B42,'11.1.Амортиз.нови активи'!AK$61:AK$108)+('11.1.Амортиз.нови активи'!W$112*SUMIF('11.1.Амортиз.нови активи'!$B$61:$B$108,$B42,'11.1.Амортиз.нови активи'!BE$61:BE$108))</f>
        <v>0</v>
      </c>
      <c r="AL42" s="1226">
        <f>$AG42-SUMIF('11.2. ДА за периода'!$B$61:$B$108,$B42,'11.2. ДА за периода'!$AG$61:$AG$108)+SUMIF('11.2. ДА за периода'!$B$61:$B$108,$B42,'11.2. ДА за периода'!AL$61:AL$108)+SUMIF('11.1.Амортиз.нови активи'!$B$61:$B$108,$B42,'11.1.Амортиз.нови активи'!AL$61:AL$108)+('11.1.Амортиз.нови активи'!X$112*SUMIF('11.1.Амортиз.нови активи'!$B$61:$B$108,$B42,'11.1.Амортиз.нови активи'!BF$61:BF$108))</f>
        <v>0</v>
      </c>
      <c r="AM42" s="2972">
        <f>$AG42-SUMIF('11.2. ДА за периода'!$B$61:$B$108,$B42,'11.2. ДА за периода'!$AG$61:$AG$108)+SUMIF('11.2. ДА за периода'!$B$61:$B$108,$B42,'11.2. ДА за периода'!AM$61:AM$108)+SUMIF('11.1.Амортиз.нови активи'!$B$61:$B$108,$B42,'11.1.Амортиз.нови активи'!AM$61:AM$108)+('11.1.Амортиз.нови активи'!Y$112*SUMIF('11.1.Амортиз.нови активи'!$B$61:$B$108,$B42,'11.1.Амортиз.нови активи'!BG$61:BG$108))</f>
        <v>0</v>
      </c>
      <c r="AN42" s="2860"/>
      <c r="AO42" s="2898"/>
    </row>
    <row r="43" spans="1:42">
      <c r="A43" s="2862">
        <v>4</v>
      </c>
      <c r="B43" s="2863">
        <v>20403</v>
      </c>
      <c r="C43" s="2869">
        <v>0.04</v>
      </c>
      <c r="D43" s="2899" t="s">
        <v>439</v>
      </c>
      <c r="E43" s="2970">
        <v>1</v>
      </c>
      <c r="F43" s="2971">
        <f>$E43-SUMIF('11.2. ДА за периода'!$B$61:$B$108,$B43,'11.2. ДА за периода'!$E$61:$E$108)+SUMIF('11.2. ДА за периода'!$B$61:$B$108,$B43,'11.2. ДА за периода'!F$61:F$108)+SUMIF('11.1.Амортиз.нови активи'!$B$61:$B$108,$B43,'11.1.Амортиз.нови активи'!F$61:F$108)+('11.1.Амортиз.нови активи'!F$110*SUMIF('11.1.Амортиз.нови активи'!$B$61:$B$108,$B43,'11.1.Амортиз.нови активи'!AO$61:AO$108))</f>
        <v>1.0822400000000001</v>
      </c>
      <c r="G43" s="1226">
        <f>$E43-SUMIF('11.2. ДА за периода'!$B$61:$B$108,$B43,'11.2. ДА за периода'!$E$61:$E$108)+SUMIF('11.2. ДА за периода'!$B$61:$B$108,$B43,'11.2. ДА за периода'!G$61:G$108)+SUMIF('11.1.Амортиз.нови активи'!$B$61:$B$108,$B43,'11.1.Амортиз.нови активи'!G$61:G$108)+('11.1.Амортиз.нови активи'!G$110*SUMIF('11.1.Амортиз.нови активи'!$B$61:$B$108,$B43,'11.1.Амортиз.нови активи'!AP$61:AP$108))</f>
        <v>1.0822400000000001</v>
      </c>
      <c r="H43" s="1226">
        <f>$E43-SUMIF('11.2. ДА за периода'!$B$61:$B$108,$B43,'11.2. ДА за периода'!$E$61:$E$108)+SUMIF('11.2. ДА за периода'!$B$61:$B$108,$B43,'11.2. ДА за периода'!H$61:H$108)+SUMIF('11.1.Амортиз.нови активи'!$B$61:$B$108,$B43,'11.1.Амортиз.нови активи'!H$61:H$108)+('11.1.Амортиз.нови активи'!H$110*SUMIF('11.1.Амортиз.нови активи'!$B$61:$B$108,$B43,'11.1.Амортиз.нови активи'!AQ$61:AQ$108))</f>
        <v>1.0822400000000001</v>
      </c>
      <c r="I43" s="1226">
        <f>$E43-SUMIF('11.2. ДА за периода'!$B$61:$B$108,$B43,'11.2. ДА за периода'!$E$61:$E$108)+SUMIF('11.2. ДА за периода'!$B$61:$B$108,$B43,'11.2. ДА за периода'!I$61:I$108)+SUMIF('11.1.Амортиз.нови активи'!$B$61:$B$108,$B43,'11.1.Амортиз.нови активи'!I$61:I$108)+('11.1.Амортиз.нови активи'!I$110*SUMIF('11.1.Амортиз.нови активи'!$B$61:$B$108,$B43,'11.1.Амортиз.нови активи'!AR$61:AR$108))</f>
        <v>1.0822400000000001</v>
      </c>
      <c r="J43" s="1226">
        <f>$E43-SUMIF('11.2. ДА за периода'!$B$61:$B$108,$B43,'11.2. ДА за периода'!$E$61:$E$108)+SUMIF('11.2. ДА за периода'!$B$61:$B$108,$B43,'11.2. ДА за периода'!J$61:J$108)+SUMIF('11.1.Амортиз.нови активи'!$B$61:$B$108,$B43,'11.1.Амортиз.нови активи'!J$61:J$108)+('11.1.Амортиз.нови активи'!J$110*SUMIF('11.1.Амортиз.нови активи'!$B$61:$B$108,$B43,'11.1.Амортиз.нови активи'!AS$61:AS$108))</f>
        <v>1.0822400000000001</v>
      </c>
      <c r="K43" s="2972">
        <f>$E43-SUMIF('11.2. ДА за периода'!$B$61:$B$108,$B43,'11.2. ДА за периода'!$E$61:$E$108)+SUMIF('11.2. ДА за периода'!$B$61:$B$108,$B43,'11.2. ДА за периода'!K$61:K$108)+SUMIF('11.1.Амортиз.нови активи'!$B$61:$B$108,$B43,'11.1.Амортиз.нови активи'!K$61:K$108)+('11.1.Амортиз.нови активи'!K$110*SUMIF('11.1.Амортиз.нови активи'!$B$61:$B$108,$B43,'11.1.Амортиз.нови активи'!AT$61:AT$108))</f>
        <v>1.0822400000000001</v>
      </c>
      <c r="L43" s="2970">
        <v>0</v>
      </c>
      <c r="M43" s="2971">
        <f>$L43-SUMIF('11.2. ДА за периода'!$B$61:$B$108,$B43,'11.2. ДА за периода'!$L$61:$L$108)+SUMIF('11.2. ДА за периода'!$B$61:$B$108,$B43,'11.2. ДА за периода'!M$61:M$108)+SUMIF('11.1.Амортиз.нови активи'!$B$61:$B$108,$B43,'11.1.Амортиз.нови активи'!M$61:M$108)+('11.1.Амортиз.нови активи'!F$111*SUMIF('11.1.Амортиз.нови активи'!$B$61:$B$108,$B43,'11.1.Амортиз.нови активи'!AO$61:AO$108))</f>
        <v>0</v>
      </c>
      <c r="N43" s="1226">
        <f>$L43-SUMIF('11.2. ДА за периода'!$B$61:$B$108,$B43,'11.2. ДА за периода'!$L$61:$L$108)+SUMIF('11.2. ДА за периода'!$B$61:$B$108,$B43,'11.2. ДА за периода'!N$61:N$108)+SUMIF('11.1.Амортиз.нови активи'!$B$61:$B$108,$B43,'11.1.Амортиз.нови активи'!N$61:N$108)+('11.1.Амортиз.нови активи'!G$111*SUMIF('11.1.Амортиз.нови активи'!$B$61:$B$108,$B43,'11.1.Амортиз.нови активи'!AP$61:AP$108))</f>
        <v>0</v>
      </c>
      <c r="O43" s="1226">
        <f>$L43-SUMIF('11.2. ДА за периода'!$B$61:$B$108,$B43,'11.2. ДА за периода'!$L$61:$L$108)+SUMIF('11.2. ДА за периода'!$B$61:$B$108,$B43,'11.2. ДА за периода'!O$61:O$108)+SUMIF('11.1.Амортиз.нови активи'!$B$61:$B$108,$B43,'11.1.Амортиз.нови активи'!O$61:O$108)+('11.1.Амортиз.нови активи'!H$111*SUMIF('11.1.Амортиз.нови активи'!$B$61:$B$108,$B43,'11.1.Амортиз.нови активи'!AQ$61:AQ$108))</f>
        <v>0</v>
      </c>
      <c r="P43" s="1226">
        <f>$L43-SUMIF('11.2. ДА за периода'!$B$61:$B$108,$B43,'11.2. ДА за периода'!$L$61:$L$108)+SUMIF('11.2. ДА за периода'!$B$61:$B$108,$B43,'11.2. ДА за периода'!P$61:P$108)+SUMIF('11.1.Амортиз.нови активи'!$B$61:$B$108,$B43,'11.1.Амортиз.нови активи'!P$61:P$108)+('11.1.Амортиз.нови активи'!I$111*SUMIF('11.1.Амортиз.нови активи'!$B$61:$B$108,$B43,'11.1.Амортиз.нови активи'!AR$61:AR$108))</f>
        <v>0</v>
      </c>
      <c r="Q43" s="1226">
        <f>$L43-SUMIF('11.2. ДА за периода'!$B$61:$B$108,$B43,'11.2. ДА за периода'!$L$61:$L$108)+SUMIF('11.2. ДА за периода'!$B$61:$B$108,$B43,'11.2. ДА за периода'!Q$61:Q$108)+SUMIF('11.1.Амортиз.нови активи'!$B$61:$B$108,$B43,'11.1.Амортиз.нови активи'!Q$61:Q$108)+('11.1.Амортиз.нови активи'!J$111*SUMIF('11.1.Амортиз.нови активи'!$B$61:$B$108,$B43,'11.1.Амортиз.нови активи'!AS$61:AS$108))</f>
        <v>0</v>
      </c>
      <c r="R43" s="2972">
        <f>$L43-SUMIF('11.2. ДА за периода'!$B$61:$B$108,$B43,'11.2. ДА за периода'!$L$61:$L$108)+SUMIF('11.2. ДА за периода'!$B$61:$B$108,$B43,'11.2. ДА за периода'!R$61:R$108)+SUMIF('11.1.Амортиз.нови активи'!$B$61:$B$108,$B43,'11.1.Амортиз.нови активи'!R$61:R$108)+('11.1.Амортиз.нови активи'!K$111*SUMIF('11.1.Амортиз.нови активи'!$B$61:$B$108,$B43,'11.1.Амортиз.нови активи'!AT$61:AT$108))</f>
        <v>0</v>
      </c>
      <c r="S43" s="2970">
        <v>2</v>
      </c>
      <c r="T43" s="2971">
        <f>$S43-SUMIF('11.2. ДА за периода'!$B$61:$B$108,$B43,'11.2. ДА за периода'!$S$61:$S$108)+SUMIF('11.2. ДА за периода'!$B$61:$B$108,$B43,'11.2. ДА за периода'!T$61:T$108)+SUMIF('11.1.Амортиз.нови активи'!$B$61:$B$108,$B43,'11.1.Амортиз.нови активи'!T$61:T$108)+('11.1.Амортиз.нови активи'!F$112*SUMIF('11.1.Амортиз.нови активи'!$B$61:$B$108,$B43,'11.1.Амортиз.нови активи'!AO$61:AO$108))</f>
        <v>0</v>
      </c>
      <c r="U43" s="1226">
        <f>$S43-SUMIF('11.2. ДА за периода'!$B$61:$B$108,$B43,'11.2. ДА за периода'!$S$61:$S$108)+SUMIF('11.2. ДА за периода'!$B$61:$B$108,$B43,'11.2. ДА за периода'!U$61:U$108)+SUMIF('11.1.Амортиз.нови активи'!$B$61:$B$108,$B43,'11.1.Амортиз.нови активи'!U$61:U$108)+('11.1.Амортиз.нови активи'!G$112*SUMIF('11.1.Амортиз.нови активи'!$B$61:$B$108,$B43,'11.1.Амортиз.нови активи'!AP$61:AP$108))</f>
        <v>0</v>
      </c>
      <c r="V43" s="1226">
        <f>$S43-SUMIF('11.2. ДА за периода'!$B$61:$B$108,$B43,'11.2. ДА за периода'!$S$61:$S$108)+SUMIF('11.2. ДА за периода'!$B$61:$B$108,$B43,'11.2. ДА за периода'!V$61:V$108)+SUMIF('11.1.Амортиз.нови активи'!$B$61:$B$108,$B43,'11.1.Амортиз.нови активи'!V$61:V$108)+('11.1.Амортиз.нови активи'!H$112*SUMIF('11.1.Амортиз.нови активи'!$B$61:$B$108,$B43,'11.1.Амортиз.нови активи'!AQ$61:AQ$108))</f>
        <v>0</v>
      </c>
      <c r="W43" s="1226">
        <f>$S43-SUMIF('11.2. ДА за периода'!$B$61:$B$108,$B43,'11.2. ДА за периода'!$S$61:$S$108)+SUMIF('11.2. ДА за периода'!$B$61:$B$108,$B43,'11.2. ДА за периода'!W$61:W$108)+SUMIF('11.1.Амортиз.нови активи'!$B$61:$B$108,$B43,'11.1.Амортиз.нови активи'!W$61:W$108)+('11.1.Амортиз.нови активи'!I$112*SUMIF('11.1.Амортиз.нови активи'!$B$61:$B$108,$B43,'11.1.Амортиз.нови активи'!AR$61:AR$108))</f>
        <v>0</v>
      </c>
      <c r="X43" s="1226">
        <f>$S43-SUMIF('11.2. ДА за периода'!$B$61:$B$108,$B43,'11.2. ДА за периода'!$S$61:$S$108)+SUMIF('11.2. ДА за периода'!$B$61:$B$108,$B43,'11.2. ДА за периода'!X$61:X$108)+SUMIF('11.1.Амортиз.нови активи'!$B$61:$B$108,$B43,'11.1.Амортиз.нови активи'!X$61:X$108)+('11.1.Амортиз.нови активи'!J$112*SUMIF('11.1.Амортиз.нови активи'!$B$61:$B$108,$B43,'11.1.Амортиз.нови активи'!AS$61:AS$108))</f>
        <v>0</v>
      </c>
      <c r="Y43" s="2972">
        <f>$S43-SUMIF('11.2. ДА за периода'!$B$61:$B$108,$B43,'11.2. ДА за периода'!$S$61:$S$108)+SUMIF('11.2. ДА за периода'!$B$61:$B$108,$B43,'11.2. ДА за периода'!Y$61:Y$108)+SUMIF('11.1.Амортиз.нови активи'!$B$61:$B$108,$B43,'11.1.Амортиз.нови активи'!Y$61:Y$108)+('11.1.Амортиз.нови активи'!K$112*SUMIF('11.1.Амортиз.нови активи'!$B$61:$B$108,$B43,'11.1.Амортиз.нови активи'!AT$61:AT$108))</f>
        <v>0</v>
      </c>
      <c r="Z43" s="448">
        <v>0</v>
      </c>
      <c r="AA43" s="2971">
        <f>$Z43-SUMIF('11.2. ДА за периода'!$B$61:$B$108,$B43,'11.2. ДА за периода'!$Z$61:$Z$108)+SUMIF('11.2. ДА за периода'!$B$61:$B$108,$B43,'11.2. ДА за периода'!AA$61:AA$108)+SUMIF('11.1.Амортиз.нови активи'!$B$61:$B$108,$B43,'11.1.Амортиз.нови активи'!AA$61:AA$108)</f>
        <v>0</v>
      </c>
      <c r="AB43" s="1226">
        <f>$Z43-SUMIF('11.2. ДА за периода'!$B$61:$B$108,$B43,'11.2. ДА за периода'!$Z$61:$Z$108)+SUMIF('11.2. ДА за периода'!$B$61:$B$108,$B43,'11.2. ДА за периода'!AB$61:AB$108)+SUMIF('11.1.Амортиз.нови активи'!$B$61:$B$108,$B43,'11.1.Амортиз.нови активи'!AB$61:AB$108)</f>
        <v>0</v>
      </c>
      <c r="AC43" s="1226">
        <f>$Z43-SUMIF('11.2. ДА за периода'!$B$61:$B$108,$B43,'11.2. ДА за периода'!$Z$61:$Z$108)+SUMIF('11.2. ДА за периода'!$B$61:$B$108,$B43,'11.2. ДА за периода'!AC$61:AC$108)+SUMIF('11.1.Амортиз.нови активи'!$B$61:$B$108,$B43,'11.1.Амортиз.нови активи'!AC$61:AC$108)</f>
        <v>0</v>
      </c>
      <c r="AD43" s="1226">
        <f>$Z43-SUMIF('11.2. ДА за периода'!$B$61:$B$108,$B43,'11.2. ДА за периода'!$Z$61:$Z$108)+SUMIF('11.2. ДА за периода'!$B$61:$B$108,$B43,'11.2. ДА за периода'!AD$61:AD$108)+SUMIF('11.1.Амортиз.нови активи'!$B$61:$B$108,$B43,'11.1.Амортиз.нови активи'!AD$61:AD$108)</f>
        <v>0</v>
      </c>
      <c r="AE43" s="1226">
        <f>$Z43-SUMIF('11.2. ДА за периода'!$B$61:$B$108,$B43,'11.2. ДА за периода'!$Z$61:$Z$108)+SUMIF('11.2. ДА за периода'!$B$61:$B$108,$B43,'11.2. ДА за периода'!AE$61:AE$108)+SUMIF('11.1.Амортиз.нови активи'!$B$61:$B$108,$B43,'11.1.Амортиз.нови активи'!AE$61:AE$108)</f>
        <v>0</v>
      </c>
      <c r="AF43" s="2972">
        <f>$Z43-SUMIF('11.2. ДА за периода'!$B$61:$B$108,$B43,'11.2. ДА за периода'!$Z$61:$Z$108)+SUMIF('11.2. ДА за периода'!$B$61:$B$108,$B43,'11.2. ДА за периода'!AF$61:AF$108)+SUMIF('11.1.Амортиз.нови активи'!$B$61:$B$108,$B43,'11.1.Амортиз.нови активи'!AF$61:AF$108)</f>
        <v>0</v>
      </c>
      <c r="AG43" s="2970"/>
      <c r="AH43" s="2971">
        <f>$AG43-SUMIF('11.2. ДА за периода'!$B$61:$B$108,$B43,'11.2. ДА за периода'!$AG$61:$AG$108)+SUMIF('11.2. ДА за периода'!$B$61:$B$108,$B43,'11.2. ДА за периода'!AH$61:AH$108)+SUMIF('11.1.Амортиз.нови активи'!$B$61:$B$108,$B43,'11.1.Амортиз.нови активи'!AH$61:AH$108)+('11.1.Амортиз.нови активи'!T$112*SUMIF('11.1.Амортиз.нови активи'!$B$61:$B$108,$B43,'11.1.Амортиз.нови активи'!BB$61:BB$108))</f>
        <v>0</v>
      </c>
      <c r="AI43" s="1226">
        <f>$AG43-SUMIF('11.2. ДА за периода'!$B$61:$B$108,$B43,'11.2. ДА за периода'!$AG$61:$AG$108)+SUMIF('11.2. ДА за периода'!$B$61:$B$108,$B43,'11.2. ДА за периода'!AI$61:AI$108)+SUMIF('11.1.Амортиз.нови активи'!$B$61:$B$108,$B43,'11.1.Амортиз.нови активи'!AI$61:AI$108)+('11.1.Амортиз.нови активи'!U$112*SUMIF('11.1.Амортиз.нови активи'!$B$61:$B$108,$B43,'11.1.Амортиз.нови активи'!BC$61:BC$108))</f>
        <v>0</v>
      </c>
      <c r="AJ43" s="1226">
        <f>$AG43-SUMIF('11.2. ДА за периода'!$B$61:$B$108,$B43,'11.2. ДА за периода'!$AG$61:$AG$108)+SUMIF('11.2. ДА за периода'!$B$61:$B$108,$B43,'11.2. ДА за периода'!AJ$61:AJ$108)+SUMIF('11.1.Амортиз.нови активи'!$B$61:$B$108,$B43,'11.1.Амортиз.нови активи'!AJ$61:AJ$108)+('11.1.Амортиз.нови активи'!V$112*SUMIF('11.1.Амортиз.нови активи'!$B$61:$B$108,$B43,'11.1.Амортиз.нови активи'!BD$61:BD$108))</f>
        <v>0</v>
      </c>
      <c r="AK43" s="1226">
        <f>$AG43-SUMIF('11.2. ДА за периода'!$B$61:$B$108,$B43,'11.2. ДА за периода'!$AG$61:$AG$108)+SUMIF('11.2. ДА за периода'!$B$61:$B$108,$B43,'11.2. ДА за периода'!AK$61:AK$108)+SUMIF('11.1.Амортиз.нови активи'!$B$61:$B$108,$B43,'11.1.Амортиз.нови активи'!AK$61:AK$108)+('11.1.Амортиз.нови активи'!W$112*SUMIF('11.1.Амортиз.нови активи'!$B$61:$B$108,$B43,'11.1.Амортиз.нови активи'!BE$61:BE$108))</f>
        <v>0</v>
      </c>
      <c r="AL43" s="1226">
        <f>$AG43-SUMIF('11.2. ДА за периода'!$B$61:$B$108,$B43,'11.2. ДА за периода'!$AG$61:$AG$108)+SUMIF('11.2. ДА за периода'!$B$61:$B$108,$B43,'11.2. ДА за периода'!AL$61:AL$108)+SUMIF('11.1.Амортиз.нови активи'!$B$61:$B$108,$B43,'11.1.Амортиз.нови активи'!AL$61:AL$108)+('11.1.Амортиз.нови активи'!X$112*SUMIF('11.1.Амортиз.нови активи'!$B$61:$B$108,$B43,'11.1.Амортиз.нови активи'!BF$61:BF$108))</f>
        <v>0</v>
      </c>
      <c r="AM43" s="2972">
        <f>$AG43-SUMIF('11.2. ДА за периода'!$B$61:$B$108,$B43,'11.2. ДА за периода'!$AG$61:$AG$108)+SUMIF('11.2. ДА за периода'!$B$61:$B$108,$B43,'11.2. ДА за периода'!AM$61:AM$108)+SUMIF('11.1.Амортиз.нови активи'!$B$61:$B$108,$B43,'11.1.Амортиз.нови активи'!AM$61:AM$108)+('11.1.Амортиз.нови активи'!Y$112*SUMIF('11.1.Амортиз.нови активи'!$B$61:$B$108,$B43,'11.1.Амортиз.нови активи'!BG$61:BG$108))</f>
        <v>0</v>
      </c>
      <c r="AN43" s="2860"/>
      <c r="AO43" s="2898"/>
    </row>
    <row r="44" spans="1:42">
      <c r="A44" s="2862">
        <v>5</v>
      </c>
      <c r="B44" s="2892">
        <v>205</v>
      </c>
      <c r="C44" s="2858"/>
      <c r="D44" s="2894" t="s">
        <v>217</v>
      </c>
      <c r="E44" s="2964">
        <f>SUM(E45:E48)</f>
        <v>32</v>
      </c>
      <c r="F44" s="2965">
        <f>SUM(F45:F48)</f>
        <v>40.212293032384693</v>
      </c>
      <c r="G44" s="2966">
        <f>SUM(G45:G48)</f>
        <v>49.245146956350744</v>
      </c>
      <c r="H44" s="2966">
        <f>SUM(H45:H48)</f>
        <v>54.798269954886578</v>
      </c>
      <c r="I44" s="2966">
        <f>SUM(I45:I48)</f>
        <v>61.503456007347609</v>
      </c>
      <c r="J44" s="2966">
        <f t="shared" ref="J44:K44" si="17">SUM(J45:J48)</f>
        <v>69.282055412817954</v>
      </c>
      <c r="K44" s="2966">
        <f t="shared" si="17"/>
        <v>77.958461814133699</v>
      </c>
      <c r="L44" s="2964">
        <f>SUM(L45:L48)</f>
        <v>43</v>
      </c>
      <c r="M44" s="2965">
        <f>SUM(M45:M48)</f>
        <v>46.834434151128555</v>
      </c>
      <c r="N44" s="2966">
        <f>SUM(N45:N48)</f>
        <v>49.657257568783869</v>
      </c>
      <c r="O44" s="2966">
        <f t="shared" ref="O44:R44" si="18">SUM(O45:O48)</f>
        <v>52.907589100704094</v>
      </c>
      <c r="P44" s="2966">
        <f t="shared" si="18"/>
        <v>53.024240859438265</v>
      </c>
      <c r="Q44" s="2966">
        <f t="shared" si="18"/>
        <v>43.850445759045066</v>
      </c>
      <c r="R44" s="2966">
        <f t="shared" si="18"/>
        <v>35.389598098822532</v>
      </c>
      <c r="S44" s="2964">
        <f>SUM(S45:S48)</f>
        <v>4</v>
      </c>
      <c r="T44" s="2965">
        <f>SUM(T45:T48)</f>
        <v>4.1293728164867511</v>
      </c>
      <c r="U44" s="2966">
        <f>SUM(U45:U48)</f>
        <v>5.4136954748653885</v>
      </c>
      <c r="V44" s="2966">
        <f t="shared" ref="V44:Y44" si="19">SUM(V45:V48)</f>
        <v>5.9402409444093385</v>
      </c>
      <c r="W44" s="2966">
        <f t="shared" si="19"/>
        <v>6.0084031332141219</v>
      </c>
      <c r="X44" s="2966">
        <f t="shared" si="19"/>
        <v>6.0735988281369915</v>
      </c>
      <c r="Y44" s="2967">
        <f t="shared" si="19"/>
        <v>6.1480400870437792</v>
      </c>
      <c r="Z44" s="2964">
        <f>SUM(Z45:Z48)</f>
        <v>0.4</v>
      </c>
      <c r="AA44" s="2965">
        <f>SUM(AA45:AA48)</f>
        <v>0.40460000000000002</v>
      </c>
      <c r="AB44" s="2966">
        <f>SUM(AB45:AB48)</f>
        <v>0.40460000000000002</v>
      </c>
      <c r="AC44" s="2966">
        <f t="shared" ref="AC44:AF44" si="20">SUM(AC45:AC48)</f>
        <v>0.40460000000000002</v>
      </c>
      <c r="AD44" s="2966">
        <f t="shared" si="20"/>
        <v>-0.39540000000000003</v>
      </c>
      <c r="AE44" s="2966">
        <f t="shared" si="20"/>
        <v>-0.39540000000000003</v>
      </c>
      <c r="AF44" s="2967">
        <f t="shared" si="20"/>
        <v>-0.39540000000000003</v>
      </c>
      <c r="AG44" s="2964">
        <f>SUM(AG45:AG48)</f>
        <v>0</v>
      </c>
      <c r="AH44" s="2965">
        <f>SUM(AH45:AH48)</f>
        <v>0</v>
      </c>
      <c r="AI44" s="2966">
        <f>SUM(AI45:AI48)</f>
        <v>0</v>
      </c>
      <c r="AJ44" s="2966">
        <f t="shared" ref="AJ44:AM44" si="21">SUM(AJ45:AJ48)</f>
        <v>0</v>
      </c>
      <c r="AK44" s="2966">
        <f t="shared" si="21"/>
        <v>0</v>
      </c>
      <c r="AL44" s="2966">
        <f t="shared" si="21"/>
        <v>0</v>
      </c>
      <c r="AM44" s="2967">
        <f t="shared" si="21"/>
        <v>0</v>
      </c>
      <c r="AN44" s="2860"/>
      <c r="AO44" s="2898"/>
    </row>
    <row r="45" spans="1:42">
      <c r="A45" s="2873"/>
      <c r="B45" s="2877">
        <v>20501</v>
      </c>
      <c r="C45" s="2858">
        <v>0.08</v>
      </c>
      <c r="D45" s="2900" t="s">
        <v>415</v>
      </c>
      <c r="E45" s="2970">
        <v>22</v>
      </c>
      <c r="F45" s="2971">
        <f>$E45-SUMIF('11.2. ДА за периода'!$B$61:$B$108,$B45,'11.2. ДА за периода'!$E$61:$E$108)+SUMIF('11.2. ДА за периода'!$B$61:$B$108,$B45,'11.2. ДА за периода'!F$61:F$108)+SUMIF('11.1.Амортиз.нови активи'!$B$61:$B$108,$B45,'11.1.Амортиз.нови активи'!F$61:F$108)+('11.1.Амортиз.нови активи'!F$110*SUMIF('11.1.Амортиз.нови активи'!$B$61:$B$108,$B45,'11.1.Амортиз.нови активи'!AO$61:AO$108))</f>
        <v>28.43165456329735</v>
      </c>
      <c r="G45" s="1226">
        <f>$E45-SUMIF('11.2. ДА за периода'!$B$61:$B$108,$B45,'11.2. ДА за периода'!$E$61:$E$108)+SUMIF('11.2. ДА за периода'!$B$61:$B$108,$B45,'11.2. ДА за периода'!G$61:G$108)+SUMIF('11.1.Амортиз.нови активи'!$B$61:$B$108,$B45,'11.1.Амортиз.нови активи'!G$61:G$108)+('11.1.Амортиз.нови активи'!G$110*SUMIF('11.1.Амортиз.нови активи'!$B$61:$B$108,$B45,'11.1.Амортиз.нови активи'!AP$61:AP$108))</f>
        <v>35.166551654185753</v>
      </c>
      <c r="H45" s="1226">
        <f>$E45-SUMIF('11.2. ДА за периода'!$B$61:$B$108,$B45,'11.2. ДА за периода'!$E$61:$E$108)+SUMIF('11.2. ДА за периода'!$B$61:$B$108,$B45,'11.2. ДА за периода'!H$61:H$108)+SUMIF('11.1.Амортиз.нови активи'!$B$61:$B$108,$B45,'11.1.Амортиз.нови активи'!H$61:H$108)+('11.1.Амортиз.нови активи'!H$110*SUMIF('11.1.Амортиз.нови активи'!$B$61:$B$108,$B45,'11.1.Амортиз.нови активи'!AQ$61:AQ$108))</f>
        <v>37.506427404709648</v>
      </c>
      <c r="I45" s="1226">
        <f>$E45-SUMIF('11.2. ДА за периода'!$B$61:$B$108,$B45,'11.2. ДА за периода'!$E$61:$E$108)+SUMIF('11.2. ДА за периода'!$B$61:$B$108,$B45,'11.2. ДА за периода'!I$61:I$108)+SUMIF('11.1.Амортиз.нови активи'!$B$61:$B$108,$B45,'11.1.Амортиз.нови активи'!I$61:I$108)+('11.1.Амортиз.нови активи'!I$110*SUMIF('11.1.Амортиз.нови активи'!$B$61:$B$108,$B45,'11.1.Амортиз.нови активи'!AR$61:AR$108))</f>
        <v>40.483679925481781</v>
      </c>
      <c r="J45" s="1226">
        <f>$E45-SUMIF('11.2. ДА за периода'!$B$61:$B$108,$B45,'11.2. ДА за периода'!$E$61:$E$108)+SUMIF('11.2. ДА за периода'!$B$61:$B$108,$B45,'11.2. ДА за периода'!J$61:J$108)+SUMIF('11.1.Амортиз.нови активи'!$B$61:$B$108,$B45,'11.1.Амортиз.нови активи'!J$61:J$108)+('11.1.Амортиз.нови активи'!J$110*SUMIF('11.1.Амортиз.нови активи'!$B$61:$B$108,$B45,'11.1.Амортиз.нови активи'!AS$61:AS$108))</f>
        <v>42.808095830154137</v>
      </c>
      <c r="K45" s="2972">
        <f>$E45-SUMIF('11.2. ДА за периода'!$B$61:$B$108,$B45,'11.2. ДА за периода'!$E$61:$E$108)+SUMIF('11.2. ДА за периода'!$B$61:$B$108,$B45,'11.2. ДА за периода'!K$61:K$108)+SUMIF('11.1.Амортиз.нови активи'!$B$61:$B$108,$B45,'11.1.Амортиз.нови активи'!K$61:K$108)+('11.1.Амортиз.нови активи'!K$110*SUMIF('11.1.Амортиз.нови активи'!$B$61:$B$108,$B45,'11.1.Амортиз.нови активи'!AT$61:AT$108))</f>
        <v>45.176458906280949</v>
      </c>
      <c r="L45" s="2970">
        <v>7</v>
      </c>
      <c r="M45" s="2971">
        <f>$L45-SUMIF('11.2. ДА за периода'!$B$61:$B$108,$B45,'11.2. ДА за периода'!$L$61:$L$108)+SUMIF('11.2. ДА за периода'!$B$61:$B$108,$B45,'11.2. ДА за периода'!M$61:M$108)+SUMIF('11.1.Амортиз.нови активи'!$B$61:$B$108,$B45,'11.1.Амортиз.нови активи'!M$61:M$108)+('11.1.Амортиз.нови активи'!F$111*SUMIF('11.1.Амортиз.нови активи'!$B$61:$B$108,$B45,'11.1.Амортиз.нови активи'!AO$61:AO$108))</f>
        <v>7.115721295387635</v>
      </c>
      <c r="N45" s="1226">
        <f>$L45-SUMIF('11.2. ДА за периода'!$B$61:$B$108,$B45,'11.2. ДА за периода'!$L$61:$L$108)+SUMIF('11.2. ДА за периода'!$B$61:$B$108,$B45,'11.2. ДА за периода'!N$61:N$108)+SUMIF('11.1.Амортиз.нови активи'!$B$61:$B$108,$B45,'11.1.Амортиз.нови активи'!N$61:N$108)+('11.1.Амортиз.нови активи'!G$111*SUMIF('11.1.Амортиз.нови активи'!$B$61:$B$108,$B45,'11.1.Амортиз.нови активи'!AP$61:AP$108))</f>
        <v>9.5559759394243873</v>
      </c>
      <c r="O45" s="1226">
        <f>$L45-SUMIF('11.2. ДА за периода'!$B$61:$B$108,$B45,'11.2. ДА за периода'!$L$61:$L$108)+SUMIF('11.2. ДА за периода'!$B$61:$B$108,$B45,'11.2. ДА за периода'!O$61:O$108)+SUMIF('11.1.Амортиз.нови активи'!$B$61:$B$108,$B45,'11.1.Амортиз.нови активи'!O$61:O$108)+('11.1.Амортиз.нови активи'!H$111*SUMIF('11.1.Амортиз.нови активи'!$B$61:$B$108,$B45,'11.1.Амортиз.нови активи'!AQ$61:AQ$108))</f>
        <v>12.226085617048751</v>
      </c>
      <c r="P45" s="1226">
        <f>$L45-SUMIF('11.2. ДА за периода'!$B$61:$B$108,$B45,'11.2. ДА за периода'!$L$61:$L$108)+SUMIF('11.2. ДА за периода'!$B$61:$B$108,$B45,'11.2. ДА за периода'!P$61:P$108)+SUMIF('11.1.Амортиз.нови активи'!$B$61:$B$108,$B45,'11.1.Амортиз.нови активи'!P$61:P$108)+('11.1.Амортиз.нови активи'!I$111*SUMIF('11.1.Амортиз.нови активи'!$B$61:$B$108,$B45,'11.1.Амортиз.нови активи'!AR$61:AR$108))</f>
        <v>15.077250000817509</v>
      </c>
      <c r="Q45" s="1226">
        <f>$L45-SUMIF('11.2. ДА за периода'!$B$61:$B$108,$B45,'11.2. ДА за периода'!$L$61:$L$108)+SUMIF('11.2. ДА за периода'!$B$61:$B$108,$B45,'11.2. ДА за периода'!Q$61:Q$108)+SUMIF('11.1.Амортиз.нови активи'!$B$61:$B$108,$B45,'11.1.Амортиз.нови активи'!Q$61:Q$108)+('11.1.Амортиз.нови активи'!J$111*SUMIF('11.1.Амортиз.нови активи'!$B$61:$B$108,$B45,'11.1.Амортиз.нови активи'!AS$61:AS$108))</f>
        <v>17.679593113993583</v>
      </c>
      <c r="R45" s="2972">
        <f>$L45-SUMIF('11.2. ДА за периода'!$B$61:$B$108,$B45,'11.2. ДА за периода'!$L$61:$L$108)+SUMIF('11.2. ДА за периода'!$B$61:$B$108,$B45,'11.2. ДА за периода'!R$61:R$108)+SUMIF('11.1.Амортиз.нови активи'!$B$61:$B$108,$B45,'11.1.Амортиз.нови активи'!R$61:R$108)+('11.1.Амортиз.нови активи'!K$111*SUMIF('11.1.Амортиз.нови активи'!$B$61:$B$108,$B45,'11.1.Амортиз.нови активи'!AT$61:AT$108))</f>
        <v>17.646648866119182</v>
      </c>
      <c r="S45" s="2970">
        <v>4</v>
      </c>
      <c r="T45" s="2971">
        <f>$S45-SUMIF('11.2. ДА за периода'!$B$61:$B$108,$B45,'11.2. ДА за периода'!$S$61:$S$108)+SUMIF('11.2. ДА за периода'!$B$61:$B$108,$B45,'11.2. ДА за периода'!T$61:T$108)+SUMIF('11.1.Амортиз.нови активи'!$B$61:$B$108,$B45,'11.1.Амортиз.нови активи'!T$61:T$108)+('11.1.Амортиз.нови активи'!F$112*SUMIF('11.1.Амортиз.нови активи'!$B$61:$B$108,$B45,'11.1.Амортиз.нови активи'!AO$61:AO$108))</f>
        <v>4.0126241413150145</v>
      </c>
      <c r="U45" s="1226">
        <f>$S45-SUMIF('11.2. ДА за периода'!$B$61:$B$108,$B45,'11.2. ДА за периода'!$S$61:$S$108)+SUMIF('11.2. ДА за периода'!$B$61:$B$108,$B45,'11.2. ДА за периода'!U$61:U$108)+SUMIF('11.1.Амортиз.нови активи'!$B$61:$B$108,$B45,'11.1.Амортиз.нови активи'!U$61:U$108)+('11.1.Амортиз.нови активи'!G$112*SUMIF('11.1.Амортиз.нови активи'!$B$61:$B$108,$B45,'11.1.Амортиз.нови активи'!AP$61:AP$108))</f>
        <v>5.077472406389858</v>
      </c>
      <c r="V45" s="1226">
        <f>$S45-SUMIF('11.2. ДА за периода'!$B$61:$B$108,$B45,'11.2. ДА за периода'!$S$61:$S$108)+SUMIF('11.2. ДА за периода'!$B$61:$B$108,$B45,'11.2. ДА за периода'!V$61:V$108)+SUMIF('11.1.Амортиз.нови активи'!$B$61:$B$108,$B45,'11.1.Амортиз.нови активи'!V$61:V$108)+('11.1.Амортиз.нови активи'!H$112*SUMIF('11.1.Амортиз.нови активи'!$B$61:$B$108,$B45,'11.1.Амортиз.нови активи'!AQ$61:AQ$108))</f>
        <v>5.347486978241605</v>
      </c>
      <c r="W45" s="1226">
        <f>$S45-SUMIF('11.2. ДА за периода'!$B$61:$B$108,$B45,'11.2. ДА за периода'!$S$61:$S$108)+SUMIF('11.2. ДА за периода'!$B$61:$B$108,$B45,'11.2. ДА за периода'!W$61:W$108)+SUMIF('11.1.Амортиз.нови активи'!$B$61:$B$108,$B45,'11.1.Амортиз.нови активи'!W$61:W$108)+('11.1.Амортиз.нови активи'!I$112*SUMIF('11.1.Амортиз.нови активи'!$B$61:$B$108,$B45,'11.1.Амортиз.нови активи'!AR$61:AR$108))</f>
        <v>5.2590700737007063</v>
      </c>
      <c r="X45" s="1226">
        <f>$S45-SUMIF('11.2. ДА за периода'!$B$61:$B$108,$B45,'11.2. ДА за периода'!$S$61:$S$108)+SUMIF('11.2. ДА за периода'!$B$61:$B$108,$B45,'11.2. ДА за периода'!X$61:X$108)+SUMIF('11.1.Амортиз.нови активи'!$B$61:$B$108,$B45,'11.1.Амортиз.нови активи'!X$61:X$108)+('11.1.Амортиз.нови активи'!J$112*SUMIF('11.1.Амортиз.нови активи'!$B$61:$B$108,$B45,'11.1.Амортиз.нови активи'!AS$61:AS$108))</f>
        <v>5.1523110558522802</v>
      </c>
      <c r="Y45" s="2972">
        <f>$S45-SUMIF('11.2. ДА за периода'!$B$61:$B$108,$B45,'11.2. ДА за периода'!$S$61:$S$108)+SUMIF('11.2. ДА за периода'!$B$61:$B$108,$B45,'11.2. ДА за периода'!Y$61:Y$108)+SUMIF('11.1.Амортиз.нови активи'!$B$61:$B$108,$B45,'11.1.Амортиз.нови активи'!Y$61:Y$108)+('11.1.Амортиз.нови активи'!K$112*SUMIF('11.1.Амортиз.нови активи'!$B$61:$B$108,$B45,'11.1.Амортиз.нови активи'!AT$61:AT$108))</f>
        <v>5.05689222759987</v>
      </c>
      <c r="Z45" s="448">
        <v>0.4</v>
      </c>
      <c r="AA45" s="2971">
        <f>$Z45-SUMIF('11.2. ДА за периода'!$B$61:$B$108,$B45,'11.2. ДА за периода'!$Z$61:$Z$108)+SUMIF('11.2. ДА за периода'!$B$61:$B$108,$B45,'11.2. ДА за периода'!AA$61:AA$108)+SUMIF('11.1.Амортиз.нови активи'!$B$61:$B$108,$B45,'11.1.Амортиз.нови активи'!AA$61:AA$108)</f>
        <v>0.4</v>
      </c>
      <c r="AB45" s="1226">
        <f>$Z45-SUMIF('11.2. ДА за периода'!$B$61:$B$108,$B45,'11.2. ДА за периода'!$Z$61:$Z$108)+SUMIF('11.2. ДА за периода'!$B$61:$B$108,$B45,'11.2. ДА за периода'!AB$61:AB$108)+SUMIF('11.1.Амортиз.нови активи'!$B$61:$B$108,$B45,'11.1.Амортиз.нови активи'!AB$61:AB$108)</f>
        <v>0.4</v>
      </c>
      <c r="AC45" s="1226">
        <f>$Z45-SUMIF('11.2. ДА за периода'!$B$61:$B$108,$B45,'11.2. ДА за периода'!$Z$61:$Z$108)+SUMIF('11.2. ДА за периода'!$B$61:$B$108,$B45,'11.2. ДА за периода'!AC$61:AC$108)+SUMIF('11.1.Амортиз.нови активи'!$B$61:$B$108,$B45,'11.1.Амортиз.нови активи'!AC$61:AC$108)</f>
        <v>0.4</v>
      </c>
      <c r="AD45" s="1226">
        <f>$Z45-SUMIF('11.2. ДА за периода'!$B$61:$B$108,$B45,'11.2. ДА за периода'!$Z$61:$Z$108)+SUMIF('11.2. ДА за периода'!$B$61:$B$108,$B45,'11.2. ДА за периода'!AD$61:AD$108)+SUMIF('11.1.Амортиз.нови активи'!$B$61:$B$108,$B45,'11.1.Амортиз.нови активи'!AD$61:AD$108)</f>
        <v>-0.4</v>
      </c>
      <c r="AE45" s="1226">
        <f>$Z45-SUMIF('11.2. ДА за периода'!$B$61:$B$108,$B45,'11.2. ДА за периода'!$Z$61:$Z$108)+SUMIF('11.2. ДА за периода'!$B$61:$B$108,$B45,'11.2. ДА за периода'!AE$61:AE$108)+SUMIF('11.1.Амортиз.нови активи'!$B$61:$B$108,$B45,'11.1.Амортиз.нови активи'!AE$61:AE$108)</f>
        <v>-0.4</v>
      </c>
      <c r="AF45" s="2972">
        <f>$Z45-SUMIF('11.2. ДА за периода'!$B$61:$B$108,$B45,'11.2. ДА за периода'!$Z$61:$Z$108)+SUMIF('11.2. ДА за периода'!$B$61:$B$108,$B45,'11.2. ДА за периода'!AF$61:AF$108)+SUMIF('11.1.Амортиз.нови активи'!$B$61:$B$108,$B45,'11.1.Амортиз.нови активи'!AF$61:AF$108)</f>
        <v>-0.4</v>
      </c>
      <c r="AG45" s="2970"/>
      <c r="AH45" s="2971">
        <f>$AG45-SUMIF('11.2. ДА за периода'!$B$61:$B$108,$B45,'11.2. ДА за периода'!$AG$61:$AG$108)+SUMIF('11.2. ДА за периода'!$B$61:$B$108,$B45,'11.2. ДА за периода'!AH$61:AH$108)+SUMIF('11.1.Амортиз.нови активи'!$B$61:$B$108,$B45,'11.1.Амортиз.нови активи'!AH$61:AH$108)+('11.1.Амортиз.нови активи'!T$112*SUMIF('11.1.Амортиз.нови активи'!$B$61:$B$108,$B45,'11.1.Амортиз.нови активи'!BB$61:BB$108))</f>
        <v>0</v>
      </c>
      <c r="AI45" s="1226">
        <f>$AG45-SUMIF('11.2. ДА за периода'!$B$61:$B$108,$B45,'11.2. ДА за периода'!$AG$61:$AG$108)+SUMIF('11.2. ДА за периода'!$B$61:$B$108,$B45,'11.2. ДА за периода'!AI$61:AI$108)+SUMIF('11.1.Амортиз.нови активи'!$B$61:$B$108,$B45,'11.1.Амортиз.нови активи'!AI$61:AI$108)+('11.1.Амортиз.нови активи'!U$112*SUMIF('11.1.Амортиз.нови активи'!$B$61:$B$108,$B45,'11.1.Амортиз.нови активи'!BC$61:BC$108))</f>
        <v>0</v>
      </c>
      <c r="AJ45" s="1226">
        <f>$AG45-SUMIF('11.2. ДА за периода'!$B$61:$B$108,$B45,'11.2. ДА за периода'!$AG$61:$AG$108)+SUMIF('11.2. ДА за периода'!$B$61:$B$108,$B45,'11.2. ДА за периода'!AJ$61:AJ$108)+SUMIF('11.1.Амортиз.нови активи'!$B$61:$B$108,$B45,'11.1.Амортиз.нови активи'!AJ$61:AJ$108)+('11.1.Амортиз.нови активи'!V$112*SUMIF('11.1.Амортиз.нови активи'!$B$61:$B$108,$B45,'11.1.Амортиз.нови активи'!BD$61:BD$108))</f>
        <v>0</v>
      </c>
      <c r="AK45" s="1226">
        <f>$AG45-SUMIF('11.2. ДА за периода'!$B$61:$B$108,$B45,'11.2. ДА за периода'!$AG$61:$AG$108)+SUMIF('11.2. ДА за периода'!$B$61:$B$108,$B45,'11.2. ДА за периода'!AK$61:AK$108)+SUMIF('11.1.Амортиз.нови активи'!$B$61:$B$108,$B45,'11.1.Амортиз.нови активи'!AK$61:AK$108)+('11.1.Амортиз.нови активи'!W$112*SUMIF('11.1.Амортиз.нови активи'!$B$61:$B$108,$B45,'11.1.Амортиз.нови активи'!BE$61:BE$108))</f>
        <v>0</v>
      </c>
      <c r="AL45" s="1226">
        <f>$AG45-SUMIF('11.2. ДА за периода'!$B$61:$B$108,$B45,'11.2. ДА за периода'!$AG$61:$AG$108)+SUMIF('11.2. ДА за периода'!$B$61:$B$108,$B45,'11.2. ДА за периода'!AL$61:AL$108)+SUMIF('11.1.Амортиз.нови активи'!$B$61:$B$108,$B45,'11.1.Амортиз.нови активи'!AL$61:AL$108)+('11.1.Амортиз.нови активи'!X$112*SUMIF('11.1.Амортиз.нови активи'!$B$61:$B$108,$B45,'11.1.Амортиз.нови активи'!BF$61:BF$108))</f>
        <v>0</v>
      </c>
      <c r="AM45" s="2972">
        <f>$AG45-SUMIF('11.2. ДА за периода'!$B$61:$B$108,$B45,'11.2. ДА за периода'!$AG$61:$AG$108)+SUMIF('11.2. ДА за периода'!$B$61:$B$108,$B45,'11.2. ДА за периода'!AM$61:AM$108)+SUMIF('11.1.Амортиз.нови активи'!$B$61:$B$108,$B45,'11.1.Амортиз.нови активи'!AM$61:AM$108)+('11.1.Амортиз.нови активи'!Y$112*SUMIF('11.1.Амортиз.нови активи'!$B$61:$B$108,$B45,'11.1.Амортиз.нови активи'!BG$61:BG$108))</f>
        <v>0</v>
      </c>
      <c r="AN45" s="2860"/>
      <c r="AO45" s="2898"/>
    </row>
    <row r="46" spans="1:42">
      <c r="A46" s="2873"/>
      <c r="B46" s="2877">
        <v>20502</v>
      </c>
      <c r="C46" s="2858">
        <v>0.1</v>
      </c>
      <c r="D46" s="2900" t="s">
        <v>416</v>
      </c>
      <c r="E46" s="2970">
        <v>5</v>
      </c>
      <c r="F46" s="2971">
        <f>$E46-SUMIF('11.2. ДА за периода'!$B$61:$B$108,$B46,'11.2. ДА за периода'!$E$61:$E$108)+SUMIF('11.2. ДА за периода'!$B$61:$B$108,$B46,'11.2. ДА за периода'!F$61:F$108)+SUMIF('11.1.Амортиз.нови активи'!$B$61:$B$108,$B46,'11.1.Амортиз.нови активи'!F$61:F$108)+('11.1.Амортиз.нови активи'!F$110*SUMIF('11.1.Амортиз.нови активи'!$B$61:$B$108,$B46,'11.1.Амортиз.нови активи'!AO$61:AO$108))</f>
        <v>6.2232384690873408</v>
      </c>
      <c r="G46" s="1226">
        <f>$E46-SUMIF('11.2. ДА за периода'!$B$61:$B$108,$B46,'11.2. ДА за периода'!$E$61:$E$108)+SUMIF('11.2. ДА за периода'!$B$61:$B$108,$B46,'11.2. ДА за периода'!G$61:G$108)+SUMIF('11.1.Амортиз.нови активи'!$B$61:$B$108,$B46,'11.1.Амортиз.нови активи'!G$61:G$108)+('11.1.Амортиз.нови активи'!G$110*SUMIF('11.1.Амортиз.нови активи'!$B$61:$B$108,$B46,'11.1.Амортиз.нови активи'!AP$61:AP$108))</f>
        <v>7.7791597926804439</v>
      </c>
      <c r="H46" s="1226">
        <f>$E46-SUMIF('11.2. ДА за периода'!$B$61:$B$108,$B46,'11.2. ДА за периода'!$E$61:$E$108)+SUMIF('11.2. ДА за периода'!$B$61:$B$108,$B46,'11.2. ДА за периода'!H$61:H$108)+SUMIF('11.1.Амортиз.нови активи'!$B$61:$B$108,$B46,'11.1.Амортиз.нови активи'!H$61:H$108)+('11.1.Амортиз.нови активи'!H$110*SUMIF('11.1.Амортиз.нови активи'!$B$61:$B$108,$B46,'11.1.Амортиз.нови активи'!AQ$61:AQ$108))</f>
        <v>9.6546185869631618</v>
      </c>
      <c r="I46" s="1226">
        <f>$E46-SUMIF('11.2. ДА за периода'!$B$61:$B$108,$B46,'11.2. ДА за периода'!$E$61:$E$108)+SUMIF('11.2. ДА за периода'!$B$61:$B$108,$B46,'11.2. ДА за периода'!I$61:I$108)+SUMIF('11.1.Амортиз.нови активи'!$B$61:$B$108,$B46,'11.1.Амортиз.нови активи'!I$61:I$108)+('11.1.Амортиз.нови активи'!I$110*SUMIF('11.1.Амортиз.нови активи'!$B$61:$B$108,$B46,'11.1.Амортиз.нови активи'!AR$61:AR$108))</f>
        <v>11.835570125619224</v>
      </c>
      <c r="J46" s="1226">
        <f>$E46-SUMIF('11.2. ДА за периода'!$B$61:$B$108,$B46,'11.2. ДА за периода'!$E$61:$E$108)+SUMIF('11.2. ДА за периода'!$B$61:$B$108,$B46,'11.2. ДА за периода'!J$61:J$108)+SUMIF('11.1.Амортиз.нови активи'!$B$61:$B$108,$B46,'11.1.Амортиз.нови активи'!J$61:J$108)+('11.1.Амортиз.нови активи'!J$110*SUMIF('11.1.Амортиз.нови активи'!$B$61:$B$108,$B46,'11.1.Амортиз.нови активи'!AS$61:AS$108))</f>
        <v>14.81362321070047</v>
      </c>
      <c r="K46" s="2972">
        <f>$E46-SUMIF('11.2. ДА за периода'!$B$61:$B$108,$B46,'11.2. ДА за периода'!$E$61:$E$108)+SUMIF('11.2. ДА за периода'!$B$61:$B$108,$B46,'11.2. ДА за периода'!K$61:K$108)+SUMIF('11.1.Амортиз.нови активи'!$B$61:$B$108,$B46,'11.1.Амортиз.нови активи'!K$61:K$108)+('11.1.Амортиз.нови активи'!K$110*SUMIF('11.1.Амортиз.нови активи'!$B$61:$B$108,$B46,'11.1.Амортиз.нови активи'!AT$61:AT$108))</f>
        <v>18.098092671425906</v>
      </c>
      <c r="L46" s="2970">
        <v>1</v>
      </c>
      <c r="M46" s="2971">
        <f>$L46-SUMIF('11.2. ДА за периода'!$B$61:$B$108,$B46,'11.2. ДА за периода'!$L$61:$L$108)+SUMIF('11.2. ДА за периода'!$B$61:$B$108,$B46,'11.2. ДА за периода'!M$61:M$108)+SUMIF('11.1.Амортиз.нови активи'!$B$61:$B$108,$B46,'11.1.Амортиз.нови активи'!M$61:M$108)+('11.1.Амортиз.нови активи'!F$111*SUMIF('11.1.Амортиз.нови активи'!$B$61:$B$108,$B46,'11.1.Амортиз.нови активи'!AO$61:AO$108))</f>
        <v>1.0151128557409226</v>
      </c>
      <c r="N46" s="1226">
        <f>$L46-SUMIF('11.2. ДА за периода'!$B$61:$B$108,$B46,'11.2. ДА за периода'!$L$61:$L$108)+SUMIF('11.2. ДА за периода'!$B$61:$B$108,$B46,'11.2. ДА за периода'!N$61:N$108)+SUMIF('11.1.Амортиз.нови активи'!$B$61:$B$108,$B46,'11.1.Амортиз.нови активи'!N$61:N$108)+('11.1.Амортиз.нови активи'!G$111*SUMIF('11.1.Амортиз.нови активи'!$B$61:$B$108,$B46,'11.1.Амортиз.нови активи'!AP$61:AP$108))</f>
        <v>1.3799213331123039</v>
      </c>
      <c r="O46" s="1226">
        <f>$L46-SUMIF('11.2. ДА за периода'!$B$61:$B$108,$B46,'11.2. ДА за периода'!$L$61:$L$108)+SUMIF('11.2. ДА за периода'!$B$61:$B$108,$B46,'11.2. ДА за периода'!O$61:O$108)+SUMIF('11.1.Амортиз.нови активи'!$B$61:$B$108,$B46,'11.1.Амортиз.нови активи'!O$61:O$108)+('11.1.Амортиз.нови активи'!H$111*SUMIF('11.1.Амортиз.нови активи'!$B$61:$B$108,$B46,'11.1.Амортиз.нови активи'!AQ$61:AQ$108))</f>
        <v>1.858565541448391</v>
      </c>
      <c r="P46" s="1226">
        <f>$L46-SUMIF('11.2. ДА за периода'!$B$61:$B$108,$B46,'11.2. ДА за периода'!$L$61:$L$108)+SUMIF('11.2. ДА за периода'!$B$61:$B$108,$B46,'11.2. ДА за периода'!P$61:P$108)+SUMIF('11.1.Амортиз.нови активи'!$B$61:$B$108,$B46,'11.1.Амортиз.нови активи'!P$61:P$108)+('11.1.Амортиз.нови активи'!I$111*SUMIF('11.1.Амортиз.нови активи'!$B$61:$B$108,$B46,'11.1.Амортиз.нови активи'!AR$61:AR$108))</f>
        <v>2.0050979480204787</v>
      </c>
      <c r="Q46" s="1226">
        <f>$L46-SUMIF('11.2. ДА за периода'!$B$61:$B$108,$B46,'11.2. ДА за периода'!$L$61:$L$108)+SUMIF('11.2. ДА за периода'!$B$61:$B$108,$B46,'11.2. ДА за периода'!Q$61:Q$108)+SUMIF('11.1.Амортиз.нови активи'!$B$61:$B$108,$B46,'11.1.Амортиз.нови активи'!Q$61:Q$108)+('11.1.Амортиз.нови активи'!J$111*SUMIF('11.1.Амортиз.нови активи'!$B$61:$B$108,$B46,'11.1.Амортиз.нови активи'!AS$61:AS$108))</f>
        <v>2.1319149556315744</v>
      </c>
      <c r="R46" s="2972">
        <f>$L46-SUMIF('11.2. ДА за периода'!$B$61:$B$108,$B46,'11.2. ДА за периода'!$L$61:$L$108)+SUMIF('11.2. ДА за периода'!$B$61:$B$108,$B46,'11.2. ДА за периода'!R$61:R$108)+SUMIF('11.1.Амортиз.нови активи'!$B$61:$B$108,$B46,'11.1.Амортиз.нови активи'!R$61:R$108)+('11.1.Амортиз.нови активи'!K$111*SUMIF('11.1.Амортиз.нови активи'!$B$61:$B$108,$B46,'11.1.Амортиз.нови активи'!AT$61:AT$108))</f>
        <v>3.600363171335363</v>
      </c>
      <c r="S46" s="2970">
        <v>0</v>
      </c>
      <c r="T46" s="2971">
        <f>$S46-SUMIF('11.2. ДА за периода'!$B$61:$B$108,$B46,'11.2. ДА за периода'!$S$61:$S$108)+SUMIF('11.2. ДА за периода'!$B$61:$B$108,$B46,'11.2. ДА за периода'!T$61:T$108)+SUMIF('11.1.Амортиз.нови активи'!$B$61:$B$108,$B46,'11.1.Амортиз.нови активи'!T$61:T$108)+('11.1.Амортиз.нови активи'!F$112*SUMIF('11.1.Амортиз.нови активи'!$B$61:$B$108,$B46,'11.1.Амортиз.нови активи'!AO$61:AO$108))</f>
        <v>1.6486751717369971E-3</v>
      </c>
      <c r="U46" s="1226">
        <f>$S46-SUMIF('11.2. ДА за периода'!$B$61:$B$108,$B46,'11.2. ДА за периода'!$S$61:$S$108)+SUMIF('11.2. ДА за периода'!$B$61:$B$108,$B46,'11.2. ДА за периода'!U$61:U$108)+SUMIF('11.1.Амортиз.нови активи'!$B$61:$B$108,$B46,'11.1.Амортиз.нови активи'!U$61:U$108)+('11.1.Амортиз.нови активи'!G$112*SUMIF('11.1.Амортиз.нови активи'!$B$61:$B$108,$B46,'11.1.Амортиз.нови активи'!AP$61:AP$108))</f>
        <v>0.18091887420725231</v>
      </c>
      <c r="V46" s="1226">
        <f>$S46-SUMIF('11.2. ДА за периода'!$B$61:$B$108,$B46,'11.2. ДА за периода'!$S$61:$S$108)+SUMIF('11.2. ДА за периода'!$B$61:$B$108,$B46,'11.2. ДА за периода'!V$61:V$108)+SUMIF('11.1.Амортиз.нови активи'!$B$61:$B$108,$B46,'11.1.Амортиз.нови активи'!V$61:V$108)+('11.1.Амортиз.нови активи'!H$112*SUMIF('11.1.Амортиз.нови активи'!$B$61:$B$108,$B46,'11.1.Амортиз.нови активи'!AQ$61:AQ$108))</f>
        <v>0.32681587158844888</v>
      </c>
      <c r="W46" s="1226">
        <f>$S46-SUMIF('11.2. ДА за периода'!$B$61:$B$108,$B46,'11.2. ДА за периода'!$S$61:$S$108)+SUMIF('11.2. ДА за периода'!$B$61:$B$108,$B46,'11.2. ДА за периода'!W$61:W$108)+SUMIF('11.1.Амортиз.нови активи'!$B$61:$B$108,$B46,'11.1.Амортиз.нови активи'!W$61:W$108)+('11.1.Амортиз.нови активи'!I$112*SUMIF('11.1.Амортиз.нови активи'!$B$61:$B$108,$B46,'11.1.Амортиз.нови активи'!AR$61:AR$108))</f>
        <v>0.39933192636029857</v>
      </c>
      <c r="X46" s="1226">
        <f>$S46-SUMIF('11.2. ДА за периода'!$B$61:$B$108,$B46,'11.2. ДА за периода'!$S$61:$S$108)+SUMIF('11.2. ДА за периода'!$B$61:$B$108,$B46,'11.2. ДА за периода'!X$61:X$108)+SUMIF('11.1.Амортиз.нови активи'!$B$61:$B$108,$B46,'11.1.Амортиз.нови активи'!X$61:X$108)+('11.1.Амортиз.нови активи'!J$112*SUMIF('11.1.Амортиз.нови активи'!$B$61:$B$108,$B46,'11.1.Амортиз.нови активи'!AS$61:AS$108))</f>
        <v>0.49446183366795621</v>
      </c>
      <c r="Y46" s="2972">
        <f>$S46-SUMIF('11.2. ДА за периода'!$B$61:$B$108,$B46,'11.2. ДА за периода'!$S$61:$S$108)+SUMIF('11.2. ДА за периода'!$B$61:$B$108,$B46,'11.2. ДА за периода'!Y$61:Y$108)+SUMIF('11.1.Амортиз.нови активи'!$B$61:$B$108,$B46,'11.1.Амортиз.нови активи'!Y$61:Y$108)+('11.1.Амортиз.нови активи'!K$112*SUMIF('11.1.Амортиз.нови активи'!$B$61:$B$108,$B46,'11.1.Амортиз.нови активи'!AT$61:AT$108))</f>
        <v>0.59154415723873299</v>
      </c>
      <c r="Z46" s="448">
        <v>0</v>
      </c>
      <c r="AA46" s="2971">
        <f>$Z46-SUMIF('11.2. ДА за периода'!$B$61:$B$108,$B46,'11.2. ДА за периода'!$Z$61:$Z$108)+SUMIF('11.2. ДА за периода'!$B$61:$B$108,$B46,'11.2. ДА за периода'!AA$61:AA$108)+SUMIF('11.1.Амортиз.нови активи'!$B$61:$B$108,$B46,'11.1.Амортиз.нови активи'!AA$61:AA$108)</f>
        <v>0</v>
      </c>
      <c r="AB46" s="1226">
        <f>$Z46-SUMIF('11.2. ДА за периода'!$B$61:$B$108,$B46,'11.2. ДА за периода'!$Z$61:$Z$108)+SUMIF('11.2. ДА за периода'!$B$61:$B$108,$B46,'11.2. ДА за периода'!AB$61:AB$108)+SUMIF('11.1.Амортиз.нови активи'!$B$61:$B$108,$B46,'11.1.Амортиз.нови активи'!AB$61:AB$108)</f>
        <v>0</v>
      </c>
      <c r="AC46" s="1226">
        <f>$Z46-SUMIF('11.2. ДА за периода'!$B$61:$B$108,$B46,'11.2. ДА за периода'!$Z$61:$Z$108)+SUMIF('11.2. ДА за периода'!$B$61:$B$108,$B46,'11.2. ДА за периода'!AC$61:AC$108)+SUMIF('11.1.Амортиз.нови активи'!$B$61:$B$108,$B46,'11.1.Амортиз.нови активи'!AC$61:AC$108)</f>
        <v>0</v>
      </c>
      <c r="AD46" s="1226">
        <f>$Z46-SUMIF('11.2. ДА за периода'!$B$61:$B$108,$B46,'11.2. ДА за периода'!$Z$61:$Z$108)+SUMIF('11.2. ДА за периода'!$B$61:$B$108,$B46,'11.2. ДА за периода'!AD$61:AD$108)+SUMIF('11.1.Амортиз.нови активи'!$B$61:$B$108,$B46,'11.1.Амортиз.нови активи'!AD$61:AD$108)</f>
        <v>0</v>
      </c>
      <c r="AE46" s="1226">
        <f>$Z46-SUMIF('11.2. ДА за периода'!$B$61:$B$108,$B46,'11.2. ДА за периода'!$Z$61:$Z$108)+SUMIF('11.2. ДА за периода'!$B$61:$B$108,$B46,'11.2. ДА за периода'!AE$61:AE$108)+SUMIF('11.1.Амортиз.нови активи'!$B$61:$B$108,$B46,'11.1.Амортиз.нови активи'!AE$61:AE$108)</f>
        <v>0</v>
      </c>
      <c r="AF46" s="2972">
        <f>$Z46-SUMIF('11.2. ДА за периода'!$B$61:$B$108,$B46,'11.2. ДА за периода'!$Z$61:$Z$108)+SUMIF('11.2. ДА за периода'!$B$61:$B$108,$B46,'11.2. ДА за периода'!AF$61:AF$108)+SUMIF('11.1.Амортиз.нови активи'!$B$61:$B$108,$B46,'11.1.Амортиз.нови активи'!AF$61:AF$108)</f>
        <v>0</v>
      </c>
      <c r="AG46" s="2970"/>
      <c r="AH46" s="2971">
        <f>$AG46-SUMIF('11.2. ДА за периода'!$B$61:$B$108,$B46,'11.2. ДА за периода'!$AG$61:$AG$108)+SUMIF('11.2. ДА за периода'!$B$61:$B$108,$B46,'11.2. ДА за периода'!AH$61:AH$108)+SUMIF('11.1.Амортиз.нови активи'!$B$61:$B$108,$B46,'11.1.Амортиз.нови активи'!AH$61:AH$108)+('11.1.Амортиз.нови активи'!T$112*SUMIF('11.1.Амортиз.нови активи'!$B$61:$B$108,$B46,'11.1.Амортиз.нови активи'!BB$61:BB$108))</f>
        <v>0</v>
      </c>
      <c r="AI46" s="1226">
        <f>$AG46-SUMIF('11.2. ДА за периода'!$B$61:$B$108,$B46,'11.2. ДА за периода'!$AG$61:$AG$108)+SUMIF('11.2. ДА за периода'!$B$61:$B$108,$B46,'11.2. ДА за периода'!AI$61:AI$108)+SUMIF('11.1.Амортиз.нови активи'!$B$61:$B$108,$B46,'11.1.Амортиз.нови активи'!AI$61:AI$108)+('11.1.Амортиз.нови активи'!U$112*SUMIF('11.1.Амортиз.нови активи'!$B$61:$B$108,$B46,'11.1.Амортиз.нови активи'!BC$61:BC$108))</f>
        <v>0</v>
      </c>
      <c r="AJ46" s="1226">
        <f>$AG46-SUMIF('11.2. ДА за периода'!$B$61:$B$108,$B46,'11.2. ДА за периода'!$AG$61:$AG$108)+SUMIF('11.2. ДА за периода'!$B$61:$B$108,$B46,'11.2. ДА за периода'!AJ$61:AJ$108)+SUMIF('11.1.Амортиз.нови активи'!$B$61:$B$108,$B46,'11.1.Амортиз.нови активи'!AJ$61:AJ$108)+('11.1.Амортиз.нови активи'!V$112*SUMIF('11.1.Амортиз.нови активи'!$B$61:$B$108,$B46,'11.1.Амортиз.нови активи'!BD$61:BD$108))</f>
        <v>0</v>
      </c>
      <c r="AK46" s="1226">
        <f>$AG46-SUMIF('11.2. ДА за периода'!$B$61:$B$108,$B46,'11.2. ДА за периода'!$AG$61:$AG$108)+SUMIF('11.2. ДА за периода'!$B$61:$B$108,$B46,'11.2. ДА за периода'!AK$61:AK$108)+SUMIF('11.1.Амортиз.нови активи'!$B$61:$B$108,$B46,'11.1.Амортиз.нови активи'!AK$61:AK$108)+('11.1.Амортиз.нови активи'!W$112*SUMIF('11.1.Амортиз.нови активи'!$B$61:$B$108,$B46,'11.1.Амортиз.нови активи'!BE$61:BE$108))</f>
        <v>0</v>
      </c>
      <c r="AL46" s="1226">
        <f>$AG46-SUMIF('11.2. ДА за периода'!$B$61:$B$108,$B46,'11.2. ДА за периода'!$AG$61:$AG$108)+SUMIF('11.2. ДА за периода'!$B$61:$B$108,$B46,'11.2. ДА за периода'!AL$61:AL$108)+SUMIF('11.1.Амортиз.нови активи'!$B$61:$B$108,$B46,'11.1.Амортиз.нови активи'!AL$61:AL$108)+('11.1.Амортиз.нови активи'!X$112*SUMIF('11.1.Амортиз.нови активи'!$B$61:$B$108,$B46,'11.1.Амортиз.нови активи'!BF$61:BF$108))</f>
        <v>0</v>
      </c>
      <c r="AM46" s="2972">
        <f>$AG46-SUMIF('11.2. ДА за периода'!$B$61:$B$108,$B46,'11.2. ДА за периода'!$AG$61:$AG$108)+SUMIF('11.2. ДА за периода'!$B$61:$B$108,$B46,'11.2. ДА за периода'!AM$61:AM$108)+SUMIF('11.1.Амортиз.нови активи'!$B$61:$B$108,$B46,'11.1.Амортиз.нови активи'!AM$61:AM$108)+('11.1.Амортиз.нови активи'!Y$112*SUMIF('11.1.Амортиз.нови активи'!$B$61:$B$108,$B46,'11.1.Амортиз.нови активи'!BG$61:BG$108))</f>
        <v>0</v>
      </c>
      <c r="AN46" s="2860"/>
      <c r="AO46" s="2898"/>
    </row>
    <row r="47" spans="1:42">
      <c r="A47" s="2873"/>
      <c r="B47" s="2877">
        <v>20503</v>
      </c>
      <c r="C47" s="2858">
        <v>0.1</v>
      </c>
      <c r="D47" s="2897" t="s">
        <v>417</v>
      </c>
      <c r="E47" s="2970">
        <v>5</v>
      </c>
      <c r="F47" s="2971">
        <f>$E47-SUMIF('11.2. ДА за периода'!$B$61:$B$108,$B47,'11.2. ДА за периода'!$E$61:$E$108)+SUMIF('11.2. ДА за периода'!$B$61:$B$108,$B47,'11.2. ДА за периода'!F$61:F$108)+SUMIF('11.1.Амортиз.нови активи'!$B$61:$B$108,$B47,'11.1.Амортиз.нови активи'!F$61:F$108)+('11.1.Амортиз.нови активи'!F$110*SUMIF('11.1.Амортиз.нови активи'!$B$61:$B$108,$B47,'11.1.Амортиз.нови активи'!AO$61:AO$108))</f>
        <v>5.5574000000000003</v>
      </c>
      <c r="G47" s="1226">
        <f>$E47-SUMIF('11.2. ДА за периода'!$B$61:$B$108,$B47,'11.2. ДА за периода'!$E$61:$E$108)+SUMIF('11.2. ДА за периода'!$B$61:$B$108,$B47,'11.2. ДА за периода'!G$61:G$108)+SUMIF('11.1.Амортиз.нови активи'!$B$61:$B$108,$B47,'11.1.Амортиз.нови активи'!G$61:G$108)+('11.1.Амортиз.нови активи'!G$110*SUMIF('11.1.Амортиз.нови активи'!$B$61:$B$108,$B47,'11.1.Амортиз.нови активи'!AP$61:AP$108))</f>
        <v>6.2994355094845442</v>
      </c>
      <c r="H47" s="1226">
        <f>$E47-SUMIF('11.2. ДА за периода'!$B$61:$B$108,$B47,'11.2. ДА за периода'!$E$61:$E$108)+SUMIF('11.2. ДА за периода'!$B$61:$B$108,$B47,'11.2. ДА за периода'!H$61:H$108)+SUMIF('11.1.Амортиз.нови активи'!$B$61:$B$108,$B47,'11.1.Амортиз.нови активи'!H$61:H$108)+('11.1.Амортиз.нови активи'!H$110*SUMIF('11.1.Амортиз.нови активи'!$B$61:$B$108,$B47,'11.1.Амортиз.нови активи'!AQ$61:AQ$108))</f>
        <v>7.6372239632137671</v>
      </c>
      <c r="I47" s="1226">
        <f>$E47-SUMIF('11.2. ДА за периода'!$B$61:$B$108,$B47,'11.2. ДА за периода'!$E$61:$E$108)+SUMIF('11.2. ДА за периода'!$B$61:$B$108,$B47,'11.2. ДА за периода'!I$61:I$108)+SUMIF('11.1.Амортиз.нови активи'!$B$61:$B$108,$B47,'11.1.Амортиз.нови активи'!I$61:I$108)+('11.1.Амортиз.нови активи'!I$110*SUMIF('11.1.Амортиз.нови активи'!$B$61:$B$108,$B47,'11.1.Амортиз.нови активи'!AR$61:AR$108))</f>
        <v>9.1842059562466023</v>
      </c>
      <c r="J47" s="1226">
        <f>$E47-SUMIF('11.2. ДА за периода'!$B$61:$B$108,$B47,'11.2. ДА за периода'!$E$61:$E$108)+SUMIF('11.2. ДА за периода'!$B$61:$B$108,$B47,'11.2. ДА за периода'!J$61:J$108)+SUMIF('11.1.Амортиз.нови активи'!$B$61:$B$108,$B47,'11.1.Амортиз.нови активи'!J$61:J$108)+('11.1.Амортиз.нови активи'!J$110*SUMIF('11.1.Амортиз.нови активи'!$B$61:$B$108,$B47,'11.1.Амортиз.нови активи'!AS$61:AS$108))</f>
        <v>11.660336371963341</v>
      </c>
      <c r="K47" s="2972">
        <f>$E47-SUMIF('11.2. ДА за периода'!$B$61:$B$108,$B47,'11.2. ДА за периода'!$E$61:$E$108)+SUMIF('11.2. ДА за периода'!$B$61:$B$108,$B47,'11.2. ДА за периода'!K$61:K$108)+SUMIF('11.1.Амортиз.нови активи'!$B$61:$B$108,$B47,'11.1.Амортиз.нови активи'!K$61:K$108)+('11.1.Амортиз.нови активи'!K$110*SUMIF('11.1.Амортиз.нови активи'!$B$61:$B$108,$B47,'11.1.Амортиз.нови активи'!AT$61:AT$108))</f>
        <v>14.68391023642684</v>
      </c>
      <c r="L47" s="2970">
        <v>1</v>
      </c>
      <c r="M47" s="2971">
        <f>$L47-SUMIF('11.2. ДА за периода'!$B$61:$B$108,$B47,'11.2. ДА за периода'!$L$61:$L$108)+SUMIF('11.2. ДА за периода'!$B$61:$B$108,$B47,'11.2. ДА за периода'!M$61:M$108)+SUMIF('11.1.Амортиз.нови активи'!$B$61:$B$108,$B47,'11.1.Амортиз.нови активи'!M$61:M$108)+('11.1.Амортиз.нови активи'!F$111*SUMIF('11.1.Амортиз.нови активи'!$B$61:$B$108,$B47,'11.1.Амортиз.нови активи'!AO$61:AO$108))</f>
        <v>1.2585999999999999</v>
      </c>
      <c r="N47" s="1226">
        <f>$L47-SUMIF('11.2. ДА за периода'!$B$61:$B$108,$B47,'11.2. ДА за периода'!$L$61:$L$108)+SUMIF('11.2. ДА за периода'!$B$61:$B$108,$B47,'11.2. ДА за периода'!N$61:N$108)+SUMIF('11.1.Амортиз.нови активи'!$B$61:$B$108,$B47,'11.1.Амортиз.нови активи'!N$61:N$108)+('11.1.Амортиз.нови активи'!G$111*SUMIF('11.1.Амортиз.нови активи'!$B$61:$B$108,$B47,'11.1.Амортиз.нови активи'!AP$61:AP$108))</f>
        <v>1.2763602962471785</v>
      </c>
      <c r="O47" s="1226">
        <f>$L47-SUMIF('11.2. ДА за периода'!$B$61:$B$108,$B47,'11.2. ДА за периода'!$L$61:$L$108)+SUMIF('11.2. ДА за периода'!$B$61:$B$108,$B47,'11.2. ДА за периода'!O$61:O$108)+SUMIF('11.1.Амортиз.нови активи'!$B$61:$B$108,$B47,'11.1.Амортиз.нови активи'!O$61:O$108)+('11.1.Амортиз.нови активи'!H$111*SUMIF('11.1.Амортиз.нови активи'!$B$61:$B$108,$B47,'11.1.Амортиз.нови активи'!AQ$61:AQ$108))</f>
        <v>1.3779379422069495</v>
      </c>
      <c r="P47" s="1226">
        <f>$L47-SUMIF('11.2. ДА за периода'!$B$61:$B$108,$B47,'11.2. ДА за периода'!$L$61:$L$108)+SUMIF('11.2. ДА за периода'!$B$61:$B$108,$B47,'11.2. ДА за периода'!P$61:P$108)+SUMIF('11.1.Амортиз.нови активи'!$B$61:$B$108,$B47,'11.1.Амортиз.нови активи'!P$61:P$108)+('11.1.Амортиз.нови активи'!I$111*SUMIF('11.1.Амортиз.нови активи'!$B$61:$B$108,$B47,'11.1.Амортиз.нови активи'!AR$61:AR$108))</f>
        <v>1.4968929106002815</v>
      </c>
      <c r="Q47" s="1226">
        <f>$L47-SUMIF('11.2. ДА за периода'!$B$61:$B$108,$B47,'11.2. ДА за периода'!$L$61:$L$108)+SUMIF('11.2. ДА за периода'!$B$61:$B$108,$B47,'11.2. ДА за периода'!Q$61:Q$108)+SUMIF('11.1.Амортиз.нови активи'!$B$61:$B$108,$B47,'11.1.Амортиз.нови активи'!Q$61:Q$108)+('11.1.Амортиз.нови активи'!J$111*SUMIF('11.1.Амортиз.нови активи'!$B$61:$B$108,$B47,'11.1.Амортиз.нови активи'!AS$61:AS$108))</f>
        <v>1.5939376894199055</v>
      </c>
      <c r="R47" s="2972">
        <f>$L47-SUMIF('11.2. ДА за периода'!$B$61:$B$108,$B47,'11.2. ДА за периода'!$L$61:$L$108)+SUMIF('11.2. ДА за периода'!$B$61:$B$108,$B47,'11.2. ДА за периода'!R$61:R$108)+SUMIF('11.1.Амортиз.нови активи'!$B$61:$B$108,$B47,'11.1.Амортиз.нови активи'!R$61:R$108)+('11.1.Амортиз.нови активи'!K$111*SUMIF('11.1.Амортиз.нови активи'!$B$61:$B$108,$B47,'11.1.Амортиз.нови активи'!AT$61:AT$108))</f>
        <v>1.6975860613679858</v>
      </c>
      <c r="S47" s="2970">
        <v>0</v>
      </c>
      <c r="T47" s="2971">
        <f>$S47-SUMIF('11.2. ДА за периода'!$B$61:$B$108,$B47,'11.2. ДА за периода'!$S$61:$S$108)+SUMIF('11.2. ДА за периода'!$B$61:$B$108,$B47,'11.2. ДА за периода'!T$61:T$108)+SUMIF('11.1.Амортиз.нови активи'!$B$61:$B$108,$B47,'11.1.Амортиз.нови активи'!T$61:T$108)+('11.1.Амортиз.нови активи'!F$112*SUMIF('11.1.Амортиз.нови активи'!$B$61:$B$108,$B47,'11.1.Амортиз.нови активи'!AO$61:AO$108))</f>
        <v>0.11510000000000001</v>
      </c>
      <c r="U47" s="1226">
        <f>$S47-SUMIF('11.2. ДА за периода'!$B$61:$B$108,$B47,'11.2. ДА за периода'!$S$61:$S$108)+SUMIF('11.2. ДА за периода'!$B$61:$B$108,$B47,'11.2. ДА за периода'!U$61:U$108)+SUMIF('11.1.Амортиз.нови активи'!$B$61:$B$108,$B47,'11.1.Амортиз.нови активи'!U$61:U$108)+('11.1.Амортиз.нови активи'!G$112*SUMIF('11.1.Амортиз.нови активи'!$B$61:$B$108,$B47,'11.1.Амортиз.нови активи'!AP$61:AP$108))</f>
        <v>0.15530419426827829</v>
      </c>
      <c r="V47" s="1226">
        <f>$S47-SUMIF('11.2. ДА за периода'!$B$61:$B$108,$B47,'11.2. ДА за периода'!$S$61:$S$108)+SUMIF('11.2. ДА за периода'!$B$61:$B$108,$B47,'11.2. ДА за периода'!V$61:V$108)+SUMIF('11.1.Амортиз.нови активи'!$B$61:$B$108,$B47,'11.1.Амортиз.нови активи'!V$61:V$108)+('11.1.Амортиз.нови активи'!H$112*SUMIF('11.1.Амортиз.нови активи'!$B$61:$B$108,$B47,'11.1.Амортиз.нови активи'!AQ$61:AQ$108))</f>
        <v>0.26593809457928413</v>
      </c>
      <c r="W47" s="1226">
        <f>$S47-SUMIF('11.2. ДА за периода'!$B$61:$B$108,$B47,'11.2. ДА за периода'!$S$61:$S$108)+SUMIF('11.2. ДА за периода'!$B$61:$B$108,$B47,'11.2. ДА за периода'!W$61:W$108)+SUMIF('11.1.Амортиз.нови активи'!$B$61:$B$108,$B47,'11.1.Амортиз.нови активи'!W$61:W$108)+('11.1.Амортиз.нови активи'!I$112*SUMIF('11.1.Амортиз.нови активи'!$B$61:$B$108,$B47,'11.1.Амортиз.нови активи'!AR$61:AR$108))</f>
        <v>0.35000113315311682</v>
      </c>
      <c r="X47" s="1226">
        <f>$S47-SUMIF('11.2. ДА за периода'!$B$61:$B$108,$B47,'11.2. ДА за периода'!$S$61:$S$108)+SUMIF('11.2. ДА за периода'!$B$61:$B$108,$B47,'11.2. ДА за периода'!X$61:X$108)+SUMIF('11.1.Амортиз.нови активи'!$B$61:$B$108,$B47,'11.1.Амортиз.нови активи'!X$61:X$108)+('11.1.Амортиз.нови активи'!J$112*SUMIF('11.1.Амортиз.нови активи'!$B$61:$B$108,$B47,'11.1.Амортиз.нови активи'!AS$61:AS$108))</f>
        <v>0.42682593861675511</v>
      </c>
      <c r="Y47" s="2972">
        <f>$S47-SUMIF('11.2. ДА за периода'!$B$61:$B$108,$B47,'11.2. ДА за периода'!$S$61:$S$108)+SUMIF('11.2. ДА за периода'!$B$61:$B$108,$B47,'11.2. ДА за периода'!Y$61:Y$108)+SUMIF('11.1.Амортиз.нови активи'!$B$61:$B$108,$B47,'11.1.Амортиз.нови активи'!Y$61:Y$108)+('11.1.Амортиз.нови активи'!K$112*SUMIF('11.1.Амортиз.нови активи'!$B$61:$B$108,$B47,'11.1.Амортиз.нови активи'!AT$61:AT$108))</f>
        <v>0.49960370220517647</v>
      </c>
      <c r="Z47" s="448">
        <v>0</v>
      </c>
      <c r="AA47" s="2971">
        <f>$Z47-SUMIF('11.2. ДА за периода'!$B$61:$B$108,$B47,'11.2. ДА за периода'!$Z$61:$Z$108)+SUMIF('11.2. ДА за периода'!$B$61:$B$108,$B47,'11.2. ДА за периода'!AA$61:AA$108)+SUMIF('11.1.Амортиз.нови активи'!$B$61:$B$108,$B47,'11.1.Амортиз.нови активи'!AA$61:AA$108)</f>
        <v>4.5999999999999999E-3</v>
      </c>
      <c r="AB47" s="1226">
        <f>$Z47-SUMIF('11.2. ДА за периода'!$B$61:$B$108,$B47,'11.2. ДА за периода'!$Z$61:$Z$108)+SUMIF('11.2. ДА за периода'!$B$61:$B$108,$B47,'11.2. ДА за периода'!AB$61:AB$108)+SUMIF('11.1.Амортиз.нови активи'!$B$61:$B$108,$B47,'11.1.Амортиз.нови активи'!AB$61:AB$108)</f>
        <v>4.5999999999999999E-3</v>
      </c>
      <c r="AC47" s="1226">
        <f>$Z47-SUMIF('11.2. ДА за периода'!$B$61:$B$108,$B47,'11.2. ДА за периода'!$Z$61:$Z$108)+SUMIF('11.2. ДА за периода'!$B$61:$B$108,$B47,'11.2. ДА за периода'!AC$61:AC$108)+SUMIF('11.1.Амортиз.нови активи'!$B$61:$B$108,$B47,'11.1.Амортиз.нови активи'!AC$61:AC$108)</f>
        <v>4.5999999999999999E-3</v>
      </c>
      <c r="AD47" s="1226">
        <f>$Z47-SUMIF('11.2. ДА за периода'!$B$61:$B$108,$B47,'11.2. ДА за периода'!$Z$61:$Z$108)+SUMIF('11.2. ДА за периода'!$B$61:$B$108,$B47,'11.2. ДА за периода'!AD$61:AD$108)+SUMIF('11.1.Амортиз.нови активи'!$B$61:$B$108,$B47,'11.1.Амортиз.нови активи'!AD$61:AD$108)</f>
        <v>4.5999999999999999E-3</v>
      </c>
      <c r="AE47" s="1226">
        <f>$Z47-SUMIF('11.2. ДА за периода'!$B$61:$B$108,$B47,'11.2. ДА за периода'!$Z$61:$Z$108)+SUMIF('11.2. ДА за периода'!$B$61:$B$108,$B47,'11.2. ДА за периода'!AE$61:AE$108)+SUMIF('11.1.Амортиз.нови активи'!$B$61:$B$108,$B47,'11.1.Амортиз.нови активи'!AE$61:AE$108)</f>
        <v>4.5999999999999999E-3</v>
      </c>
      <c r="AF47" s="2972">
        <f>$Z47-SUMIF('11.2. ДА за периода'!$B$61:$B$108,$B47,'11.2. ДА за периода'!$Z$61:$Z$108)+SUMIF('11.2. ДА за периода'!$B$61:$B$108,$B47,'11.2. ДА за периода'!AF$61:AF$108)+SUMIF('11.1.Амортиз.нови активи'!$B$61:$B$108,$B47,'11.1.Амортиз.нови активи'!AF$61:AF$108)</f>
        <v>4.5999999999999999E-3</v>
      </c>
      <c r="AG47" s="2970"/>
      <c r="AH47" s="2971">
        <f>$AG47-SUMIF('11.2. ДА за периода'!$B$61:$B$108,$B47,'11.2. ДА за периода'!$AG$61:$AG$108)+SUMIF('11.2. ДА за периода'!$B$61:$B$108,$B47,'11.2. ДА за периода'!AH$61:AH$108)+SUMIF('11.1.Амортиз.нови активи'!$B$61:$B$108,$B47,'11.1.Амортиз.нови активи'!AH$61:AH$108)+('11.1.Амортиз.нови активи'!T$112*SUMIF('11.1.Амортиз.нови активи'!$B$61:$B$108,$B47,'11.1.Амортиз.нови активи'!BB$61:BB$108))</f>
        <v>0</v>
      </c>
      <c r="AI47" s="1226">
        <f>$AG47-SUMIF('11.2. ДА за периода'!$B$61:$B$108,$B47,'11.2. ДА за периода'!$AG$61:$AG$108)+SUMIF('11.2. ДА за периода'!$B$61:$B$108,$B47,'11.2. ДА за периода'!AI$61:AI$108)+SUMIF('11.1.Амортиз.нови активи'!$B$61:$B$108,$B47,'11.1.Амортиз.нови активи'!AI$61:AI$108)+('11.1.Амортиз.нови активи'!U$112*SUMIF('11.1.Амортиз.нови активи'!$B$61:$B$108,$B47,'11.1.Амортиз.нови активи'!BC$61:BC$108))</f>
        <v>0</v>
      </c>
      <c r="AJ47" s="1226">
        <f>$AG47-SUMIF('11.2. ДА за периода'!$B$61:$B$108,$B47,'11.2. ДА за периода'!$AG$61:$AG$108)+SUMIF('11.2. ДА за периода'!$B$61:$B$108,$B47,'11.2. ДА за периода'!AJ$61:AJ$108)+SUMIF('11.1.Амортиз.нови активи'!$B$61:$B$108,$B47,'11.1.Амортиз.нови активи'!AJ$61:AJ$108)+('11.1.Амортиз.нови активи'!V$112*SUMIF('11.1.Амортиз.нови активи'!$B$61:$B$108,$B47,'11.1.Амортиз.нови активи'!BD$61:BD$108))</f>
        <v>0</v>
      </c>
      <c r="AK47" s="1226">
        <f>$AG47-SUMIF('11.2. ДА за периода'!$B$61:$B$108,$B47,'11.2. ДА за периода'!$AG$61:$AG$108)+SUMIF('11.2. ДА за периода'!$B$61:$B$108,$B47,'11.2. ДА за периода'!AK$61:AK$108)+SUMIF('11.1.Амортиз.нови активи'!$B$61:$B$108,$B47,'11.1.Амортиз.нови активи'!AK$61:AK$108)+('11.1.Амортиз.нови активи'!W$112*SUMIF('11.1.Амортиз.нови активи'!$B$61:$B$108,$B47,'11.1.Амортиз.нови активи'!BE$61:BE$108))</f>
        <v>0</v>
      </c>
      <c r="AL47" s="1226">
        <f>$AG47-SUMIF('11.2. ДА за периода'!$B$61:$B$108,$B47,'11.2. ДА за периода'!$AG$61:$AG$108)+SUMIF('11.2. ДА за периода'!$B$61:$B$108,$B47,'11.2. ДА за периода'!AL$61:AL$108)+SUMIF('11.1.Амортиз.нови активи'!$B$61:$B$108,$B47,'11.1.Амортиз.нови активи'!AL$61:AL$108)+('11.1.Амортиз.нови активи'!X$112*SUMIF('11.1.Амортиз.нови активи'!$B$61:$B$108,$B47,'11.1.Амортиз.нови активи'!BF$61:BF$108))</f>
        <v>0</v>
      </c>
      <c r="AM47" s="2972">
        <f>$AG47-SUMIF('11.2. ДА за периода'!$B$61:$B$108,$B47,'11.2. ДА за периода'!$AG$61:$AG$108)+SUMIF('11.2. ДА за периода'!$B$61:$B$108,$B47,'11.2. ДА за периода'!AM$61:AM$108)+SUMIF('11.1.Амортиз.нови активи'!$B$61:$B$108,$B47,'11.1.Амортиз.нови активи'!AM$61:AM$108)+('11.1.Амортиз.нови активи'!Y$112*SUMIF('11.1.Амортиз.нови активи'!$B$61:$B$108,$B47,'11.1.Амортиз.нови активи'!BG$61:BG$108))</f>
        <v>0</v>
      </c>
      <c r="AN47" s="2860"/>
      <c r="AO47" s="2898"/>
    </row>
    <row r="48" spans="1:42">
      <c r="A48" s="2873"/>
      <c r="B48" s="2877">
        <v>20504</v>
      </c>
      <c r="C48" s="2858">
        <v>0.1</v>
      </c>
      <c r="D48" s="2897" t="s">
        <v>563</v>
      </c>
      <c r="E48" s="2970">
        <v>0</v>
      </c>
      <c r="F48" s="2971">
        <f>$E48-SUMIF('11.2. ДА за периода'!$B$61:$B$108,$B48,'11.2. ДА за периода'!$E$61:$E$108)+SUMIF('11.2. ДА за периода'!$B$61:$B$108,$B48,'11.2. ДА за периода'!F$61:F$108)+SUMIF('11.1.Амортиз.нови активи'!$B$61:$B$108,$B48,'11.1.Амортиз.нови активи'!F$61:F$108)+('11.1.Амортиз.нови активи'!F$110*SUMIF('11.1.Амортиз.нови активи'!$B$61:$B$108,$B48,'11.1.Амортиз.нови активи'!AO$61:AO$108))</f>
        <v>0</v>
      </c>
      <c r="G48" s="1226">
        <f>$E48-SUMIF('11.2. ДА за периода'!$B$61:$B$108,$B48,'11.2. ДА за периода'!$E$61:$E$108)+SUMIF('11.2. ДА за периода'!$B$61:$B$108,$B48,'11.2. ДА за периода'!G$61:G$108)+SUMIF('11.1.Амортиз.нови активи'!$B$61:$B$108,$B48,'11.1.Амортиз.нови активи'!G$61:G$108)+('11.1.Амортиз.нови активи'!G$110*SUMIF('11.1.Амортиз.нови активи'!$B$61:$B$108,$B48,'11.1.Амортиз.нови активи'!AP$61:AP$108))</f>
        <v>0</v>
      </c>
      <c r="H48" s="1226">
        <f>$E48-SUMIF('11.2. ДА за периода'!$B$61:$B$108,$B48,'11.2. ДА за периода'!$E$61:$E$108)+SUMIF('11.2. ДА за периода'!$B$61:$B$108,$B48,'11.2. ДА за периода'!H$61:H$108)+SUMIF('11.1.Амортиз.нови активи'!$B$61:$B$108,$B48,'11.1.Амортиз.нови активи'!H$61:H$108)+('11.1.Амортиз.нови активи'!H$110*SUMIF('11.1.Амортиз.нови активи'!$B$61:$B$108,$B48,'11.1.Амортиз.нови активи'!AQ$61:AQ$108))</f>
        <v>0</v>
      </c>
      <c r="I48" s="1226">
        <f>$E48-SUMIF('11.2. ДА за периода'!$B$61:$B$108,$B48,'11.2. ДА за периода'!$E$61:$E$108)+SUMIF('11.2. ДА за периода'!$B$61:$B$108,$B48,'11.2. ДА за периода'!I$61:I$108)+SUMIF('11.1.Амортиз.нови активи'!$B$61:$B$108,$B48,'11.1.Амортиз.нови активи'!I$61:I$108)+('11.1.Амортиз.нови активи'!I$110*SUMIF('11.1.Амортиз.нови активи'!$B$61:$B$108,$B48,'11.1.Амортиз.нови активи'!AR$61:AR$108))</f>
        <v>0</v>
      </c>
      <c r="J48" s="1226">
        <f>$E48-SUMIF('11.2. ДА за периода'!$B$61:$B$108,$B48,'11.2. ДА за периода'!$E$61:$E$108)+SUMIF('11.2. ДА за периода'!$B$61:$B$108,$B48,'11.2. ДА за периода'!J$61:J$108)+SUMIF('11.1.Амортиз.нови активи'!$B$61:$B$108,$B48,'11.1.Амортиз.нови активи'!J$61:J$108)+('11.1.Амортиз.нови активи'!J$110*SUMIF('11.1.Амортиз.нови активи'!$B$61:$B$108,$B48,'11.1.Амортиз.нови активи'!AS$61:AS$108))</f>
        <v>0</v>
      </c>
      <c r="K48" s="2972">
        <f>$E48-SUMIF('11.2. ДА за периода'!$B$61:$B$108,$B48,'11.2. ДА за периода'!$E$61:$E$108)+SUMIF('11.2. ДА за периода'!$B$61:$B$108,$B48,'11.2. ДА за периода'!K$61:K$108)+SUMIF('11.1.Амортиз.нови активи'!$B$61:$B$108,$B48,'11.1.Амортиз.нови активи'!K$61:K$108)+('11.1.Амортиз.нови активи'!K$110*SUMIF('11.1.Амортиз.нови активи'!$B$61:$B$108,$B48,'11.1.Амортиз.нови активи'!AT$61:AT$108))</f>
        <v>0</v>
      </c>
      <c r="L48" s="2970">
        <v>34</v>
      </c>
      <c r="M48" s="2971">
        <f>$L48-SUMIF('11.2. ДА за периода'!$B$61:$B$108,$B48,'11.2. ДА за периода'!$L$61:$L$108)+SUMIF('11.2. ДА за периода'!$B$61:$B$108,$B48,'11.2. ДА за периода'!M$61:M$108)+SUMIF('11.1.Амортиз.нови активи'!$B$61:$B$108,$B48,'11.1.Амортиз.нови активи'!M$61:M$108)+('11.1.Амортиз.нови активи'!F$111*SUMIF('11.1.Амортиз.нови активи'!$B$61:$B$108,$B48,'11.1.Амортиз.нови активи'!AO$61:AO$108))</f>
        <v>37.445</v>
      </c>
      <c r="N48" s="1226">
        <f>$L48-SUMIF('11.2. ДА за периода'!$B$61:$B$108,$B48,'11.2. ДА за периода'!$L$61:$L$108)+SUMIF('11.2. ДА за периода'!$B$61:$B$108,$B48,'11.2. ДА за периода'!N$61:N$108)+SUMIF('11.1.Амортиз.нови активи'!$B$61:$B$108,$B48,'11.1.Амортиз.нови активи'!N$61:N$108)+('11.1.Амортиз.нови активи'!G$111*SUMIF('11.1.Амортиз.нови активи'!$B$61:$B$108,$B48,'11.1.Амортиз.нови активи'!AP$61:AP$108))</f>
        <v>37.445</v>
      </c>
      <c r="O48" s="1226">
        <f>$L48-SUMIF('11.2. ДА за периода'!$B$61:$B$108,$B48,'11.2. ДА за периода'!$L$61:$L$108)+SUMIF('11.2. ДА за периода'!$B$61:$B$108,$B48,'11.2. ДА за периода'!O$61:O$108)+SUMIF('11.1.Амортиз.нови активи'!$B$61:$B$108,$B48,'11.1.Амортиз.нови активи'!O$61:O$108)+('11.1.Амортиз.нови активи'!H$111*SUMIF('11.1.Амортиз.нови активи'!$B$61:$B$108,$B48,'11.1.Амортиз.нови активи'!AQ$61:AQ$108))</f>
        <v>37.445</v>
      </c>
      <c r="P48" s="1226">
        <f>$L48-SUMIF('11.2. ДА за периода'!$B$61:$B$108,$B48,'11.2. ДА за периода'!$L$61:$L$108)+SUMIF('11.2. ДА за периода'!$B$61:$B$108,$B48,'11.2. ДА за периода'!P$61:P$108)+SUMIF('11.1.Амортиз.нови активи'!$B$61:$B$108,$B48,'11.1.Амортиз.нови активи'!P$61:P$108)+('11.1.Амортиз.нови активи'!I$111*SUMIF('11.1.Амортиз.нови активи'!$B$61:$B$108,$B48,'11.1.Амортиз.нови активи'!AR$61:AR$108))</f>
        <v>34.445</v>
      </c>
      <c r="Q48" s="1226">
        <f>$L48-SUMIF('11.2. ДА за периода'!$B$61:$B$108,$B48,'11.2. ДА за периода'!$L$61:$L$108)+SUMIF('11.2. ДА за периода'!$B$61:$B$108,$B48,'11.2. ДА за периода'!Q$61:Q$108)+SUMIF('11.1.Амортиз.нови активи'!$B$61:$B$108,$B48,'11.1.Амортиз.нови активи'!Q$61:Q$108)+('11.1.Амортиз.нови активи'!J$111*SUMIF('11.1.Амортиз.нови активи'!$B$61:$B$108,$B48,'11.1.Амортиз.нови активи'!AS$61:AS$108))</f>
        <v>22.445</v>
      </c>
      <c r="R48" s="2972">
        <f>$L48-SUMIF('11.2. ДА за периода'!$B$61:$B$108,$B48,'11.2. ДА за периода'!$L$61:$L$108)+SUMIF('11.2. ДА за периода'!$B$61:$B$108,$B48,'11.2. ДА за периода'!R$61:R$108)+SUMIF('11.1.Амортиз.нови активи'!$B$61:$B$108,$B48,'11.1.Амортиз.нови активи'!R$61:R$108)+('11.1.Амортиз.нови активи'!K$111*SUMIF('11.1.Амортиз.нови активи'!$B$61:$B$108,$B48,'11.1.Амортиз.нови активи'!AT$61:AT$108))</f>
        <v>12.445</v>
      </c>
      <c r="S48" s="2970">
        <v>0</v>
      </c>
      <c r="T48" s="2971">
        <f>$S48-SUMIF('11.2. ДА за периода'!$B$61:$B$108,$B48,'11.2. ДА за периода'!$S$61:$S$108)+SUMIF('11.2. ДА за периода'!$B$61:$B$108,$B48,'11.2. ДА за периода'!T$61:T$108)+SUMIF('11.1.Амортиз.нови активи'!$B$61:$B$108,$B48,'11.1.Амортиз.нови активи'!T$61:T$108)+('11.1.Амортиз.нови активи'!F$112*SUMIF('11.1.Амортиз.нови активи'!$B$61:$B$108,$B48,'11.1.Амортиз.нови активи'!AO$61:AO$108))</f>
        <v>0</v>
      </c>
      <c r="U48" s="1226">
        <f>$S48-SUMIF('11.2. ДА за периода'!$B$61:$B$108,$B48,'11.2. ДА за периода'!$S$61:$S$108)+SUMIF('11.2. ДА за периода'!$B$61:$B$108,$B48,'11.2. ДА за периода'!U$61:U$108)+SUMIF('11.1.Амортиз.нови активи'!$B$61:$B$108,$B48,'11.1.Амортиз.нови активи'!U$61:U$108)+('11.1.Амортиз.нови активи'!G$112*SUMIF('11.1.Амортиз.нови активи'!$B$61:$B$108,$B48,'11.1.Амортиз.нови активи'!AP$61:AP$108))</f>
        <v>0</v>
      </c>
      <c r="V48" s="1226">
        <f>$S48-SUMIF('11.2. ДА за периода'!$B$61:$B$108,$B48,'11.2. ДА за периода'!$S$61:$S$108)+SUMIF('11.2. ДА за периода'!$B$61:$B$108,$B48,'11.2. ДА за периода'!V$61:V$108)+SUMIF('11.1.Амортиз.нови активи'!$B$61:$B$108,$B48,'11.1.Амортиз.нови активи'!V$61:V$108)+('11.1.Амортиз.нови активи'!H$112*SUMIF('11.1.Амортиз.нови активи'!$B$61:$B$108,$B48,'11.1.Амортиз.нови активи'!AQ$61:AQ$108))</f>
        <v>0</v>
      </c>
      <c r="W48" s="1226">
        <f>$S48-SUMIF('11.2. ДА за периода'!$B$61:$B$108,$B48,'11.2. ДА за периода'!$S$61:$S$108)+SUMIF('11.2. ДА за периода'!$B$61:$B$108,$B48,'11.2. ДА за периода'!W$61:W$108)+SUMIF('11.1.Амортиз.нови активи'!$B$61:$B$108,$B48,'11.1.Амортиз.нови активи'!W$61:W$108)+('11.1.Амортиз.нови активи'!I$112*SUMIF('11.1.Амортиз.нови активи'!$B$61:$B$108,$B48,'11.1.Амортиз.нови активи'!AR$61:AR$108))</f>
        <v>0</v>
      </c>
      <c r="X48" s="1226">
        <f>$S48-SUMIF('11.2. ДА за периода'!$B$61:$B$108,$B48,'11.2. ДА за периода'!$S$61:$S$108)+SUMIF('11.2. ДА за периода'!$B$61:$B$108,$B48,'11.2. ДА за периода'!X$61:X$108)+SUMIF('11.1.Амортиз.нови активи'!$B$61:$B$108,$B48,'11.1.Амортиз.нови активи'!X$61:X$108)+('11.1.Амортиз.нови активи'!J$112*SUMIF('11.1.Амортиз.нови активи'!$B$61:$B$108,$B48,'11.1.Амортиз.нови активи'!AS$61:AS$108))</f>
        <v>0</v>
      </c>
      <c r="Y48" s="2972">
        <f>$S48-SUMIF('11.2. ДА за периода'!$B$61:$B$108,$B48,'11.2. ДА за периода'!$S$61:$S$108)+SUMIF('11.2. ДА за периода'!$B$61:$B$108,$B48,'11.2. ДА за периода'!Y$61:Y$108)+SUMIF('11.1.Амортиз.нови активи'!$B$61:$B$108,$B48,'11.1.Амортиз.нови активи'!Y$61:Y$108)+('11.1.Амортиз.нови активи'!K$112*SUMIF('11.1.Амортиз.нови активи'!$B$61:$B$108,$B48,'11.1.Амортиз.нови активи'!AT$61:AT$108))</f>
        <v>0</v>
      </c>
      <c r="Z48" s="448">
        <v>0</v>
      </c>
      <c r="AA48" s="2971">
        <f>$Z48-SUMIF('11.2. ДА за периода'!$B$61:$B$108,$B48,'11.2. ДА за периода'!$Z$61:$Z$108)+SUMIF('11.2. ДА за периода'!$B$61:$B$108,$B48,'11.2. ДА за периода'!AA$61:AA$108)+SUMIF('11.1.Амортиз.нови активи'!$B$61:$B$108,$B48,'11.1.Амортиз.нови активи'!AA$61:AA$108)</f>
        <v>0</v>
      </c>
      <c r="AB48" s="1226">
        <f>$Z48-SUMIF('11.2. ДА за периода'!$B$61:$B$108,$B48,'11.2. ДА за периода'!$Z$61:$Z$108)+SUMIF('11.2. ДА за периода'!$B$61:$B$108,$B48,'11.2. ДА за периода'!AB$61:AB$108)+SUMIF('11.1.Амортиз.нови активи'!$B$61:$B$108,$B48,'11.1.Амортиз.нови активи'!AB$61:AB$108)</f>
        <v>0</v>
      </c>
      <c r="AC48" s="1226">
        <f>$Z48-SUMIF('11.2. ДА за периода'!$B$61:$B$108,$B48,'11.2. ДА за периода'!$Z$61:$Z$108)+SUMIF('11.2. ДА за периода'!$B$61:$B$108,$B48,'11.2. ДА за периода'!AC$61:AC$108)+SUMIF('11.1.Амортиз.нови активи'!$B$61:$B$108,$B48,'11.1.Амортиз.нови активи'!AC$61:AC$108)</f>
        <v>0</v>
      </c>
      <c r="AD48" s="1226">
        <f>$Z48-SUMIF('11.2. ДА за периода'!$B$61:$B$108,$B48,'11.2. ДА за периода'!$Z$61:$Z$108)+SUMIF('11.2. ДА за периода'!$B$61:$B$108,$B48,'11.2. ДА за периода'!AD$61:AD$108)+SUMIF('11.1.Амортиз.нови активи'!$B$61:$B$108,$B48,'11.1.Амортиз.нови активи'!AD$61:AD$108)</f>
        <v>0</v>
      </c>
      <c r="AE48" s="1226">
        <f>$Z48-SUMIF('11.2. ДА за периода'!$B$61:$B$108,$B48,'11.2. ДА за периода'!$Z$61:$Z$108)+SUMIF('11.2. ДА за периода'!$B$61:$B$108,$B48,'11.2. ДА за периода'!AE$61:AE$108)+SUMIF('11.1.Амортиз.нови активи'!$B$61:$B$108,$B48,'11.1.Амортиз.нови активи'!AE$61:AE$108)</f>
        <v>0</v>
      </c>
      <c r="AF48" s="2972">
        <f>$Z48-SUMIF('11.2. ДА за периода'!$B$61:$B$108,$B48,'11.2. ДА за периода'!$Z$61:$Z$108)+SUMIF('11.2. ДА за периода'!$B$61:$B$108,$B48,'11.2. ДА за периода'!AF$61:AF$108)+SUMIF('11.1.Амортиз.нови активи'!$B$61:$B$108,$B48,'11.1.Амортиз.нови активи'!AF$61:AF$108)</f>
        <v>0</v>
      </c>
      <c r="AG48" s="2970"/>
      <c r="AH48" s="2971">
        <f>$AG48-SUMIF('11.2. ДА за периода'!$B$61:$B$108,$B48,'11.2. ДА за периода'!$AG$61:$AG$108)+SUMIF('11.2. ДА за периода'!$B$61:$B$108,$B48,'11.2. ДА за периода'!AH$61:AH$108)+SUMIF('11.1.Амортиз.нови активи'!$B$61:$B$108,$B48,'11.1.Амортиз.нови активи'!AH$61:AH$108)+('11.1.Амортиз.нови активи'!T$112*SUMIF('11.1.Амортиз.нови активи'!$B$61:$B$108,$B48,'11.1.Амортиз.нови активи'!BB$61:BB$108))</f>
        <v>0</v>
      </c>
      <c r="AI48" s="1226">
        <f>$AG48-SUMIF('11.2. ДА за периода'!$B$61:$B$108,$B48,'11.2. ДА за периода'!$AG$61:$AG$108)+SUMIF('11.2. ДА за периода'!$B$61:$B$108,$B48,'11.2. ДА за периода'!AI$61:AI$108)+SUMIF('11.1.Амортиз.нови активи'!$B$61:$B$108,$B48,'11.1.Амортиз.нови активи'!AI$61:AI$108)+('11.1.Амортиз.нови активи'!U$112*SUMIF('11.1.Амортиз.нови активи'!$B$61:$B$108,$B48,'11.1.Амортиз.нови активи'!BC$61:BC$108))</f>
        <v>0</v>
      </c>
      <c r="AJ48" s="1226">
        <f>$AG48-SUMIF('11.2. ДА за периода'!$B$61:$B$108,$B48,'11.2. ДА за периода'!$AG$61:$AG$108)+SUMIF('11.2. ДА за периода'!$B$61:$B$108,$B48,'11.2. ДА за периода'!AJ$61:AJ$108)+SUMIF('11.1.Амортиз.нови активи'!$B$61:$B$108,$B48,'11.1.Амортиз.нови активи'!AJ$61:AJ$108)+('11.1.Амортиз.нови активи'!V$112*SUMIF('11.1.Амортиз.нови активи'!$B$61:$B$108,$B48,'11.1.Амортиз.нови активи'!BD$61:BD$108))</f>
        <v>0</v>
      </c>
      <c r="AK48" s="1226">
        <f>$AG48-SUMIF('11.2. ДА за периода'!$B$61:$B$108,$B48,'11.2. ДА за периода'!$AG$61:$AG$108)+SUMIF('11.2. ДА за периода'!$B$61:$B$108,$B48,'11.2. ДА за периода'!AK$61:AK$108)+SUMIF('11.1.Амортиз.нови активи'!$B$61:$B$108,$B48,'11.1.Амортиз.нови активи'!AK$61:AK$108)+('11.1.Амортиз.нови активи'!W$112*SUMIF('11.1.Амортиз.нови активи'!$B$61:$B$108,$B48,'11.1.Амортиз.нови активи'!BE$61:BE$108))</f>
        <v>0</v>
      </c>
      <c r="AL48" s="1226">
        <f>$AG48-SUMIF('11.2. ДА за периода'!$B$61:$B$108,$B48,'11.2. ДА за периода'!$AG$61:$AG$108)+SUMIF('11.2. ДА за периода'!$B$61:$B$108,$B48,'11.2. ДА за периода'!AL$61:AL$108)+SUMIF('11.1.Амортиз.нови активи'!$B$61:$B$108,$B48,'11.1.Амортиз.нови активи'!AL$61:AL$108)+('11.1.Амортиз.нови активи'!X$112*SUMIF('11.1.Амортиз.нови активи'!$B$61:$B$108,$B48,'11.1.Амортиз.нови активи'!BF$61:BF$108))</f>
        <v>0</v>
      </c>
      <c r="AM48" s="2972">
        <f>$AG48-SUMIF('11.2. ДА за периода'!$B$61:$B$108,$B48,'11.2. ДА за периода'!$AG$61:$AG$108)+SUMIF('11.2. ДА за периода'!$B$61:$B$108,$B48,'11.2. ДА за периода'!AM$61:AM$108)+SUMIF('11.1.Амортиз.нови активи'!$B$61:$B$108,$B48,'11.1.Амортиз.нови активи'!AM$61:AM$108)+('11.1.Амортиз.нови активи'!Y$112*SUMIF('11.1.Амортиз.нови активи'!$B$61:$B$108,$B48,'11.1.Амортиз.нови активи'!BG$61:BG$108))</f>
        <v>0</v>
      </c>
      <c r="AN48" s="2860"/>
      <c r="AO48" s="2898"/>
    </row>
    <row r="49" spans="1:42">
      <c r="A49" s="2873">
        <v>6</v>
      </c>
      <c r="B49" s="2877">
        <v>208</v>
      </c>
      <c r="C49" s="2858">
        <v>0.2</v>
      </c>
      <c r="D49" s="2899" t="s">
        <v>418</v>
      </c>
      <c r="E49" s="2970">
        <v>4</v>
      </c>
      <c r="F49" s="2971">
        <f>$E49-SUMIF('11.2. ДА за периода'!$B$61:$B$108,$B49,'11.2. ДА за периода'!$E$61:$E$108)+SUMIF('11.2. ДА за периода'!$B$61:$B$108,$B49,'11.2. ДА за периода'!F$61:F$108)+SUMIF('11.1.Амортиз.нови активи'!$B$61:$B$108,$B49,'11.1.Амортиз.нови активи'!F$61:F$108)+('11.1.Амортиз.нови активи'!F$110*SUMIF('11.1.Амортиз.нови активи'!$B$61:$B$108,$B49,'11.1.Амортиз.нови активи'!AO$61:AO$108))</f>
        <v>5.968419823356232</v>
      </c>
      <c r="G49" s="1226">
        <f>$E49-SUMIF('11.2. ДА за периода'!$B$61:$B$108,$B49,'11.2. ДА за периода'!$E$61:$E$108)+SUMIF('11.2. ДА за периода'!$B$61:$B$108,$B49,'11.2. ДА за периода'!G$61:G$108)+SUMIF('11.1.Амортиз.нови активи'!$B$61:$B$108,$B49,'11.1.Амортиз.нови активи'!G$61:G$108)+('11.1.Амортиз.нови активи'!G$110*SUMIF('11.1.Амортиз.нови активи'!$B$61:$B$108,$B49,'11.1.Амортиз.нови активи'!AP$61:AP$108))</f>
        <v>7.5440699823713047</v>
      </c>
      <c r="H49" s="1226">
        <f>$E49-SUMIF('11.2. ДА за периода'!$B$61:$B$108,$B49,'11.2. ДА за периода'!$E$61:$E$108)+SUMIF('11.2. ДА за периода'!$B$61:$B$108,$B49,'11.2. ДА за периода'!H$61:H$108)+SUMIF('11.1.Амортиз.нови активи'!$B$61:$B$108,$B49,'11.1.Амортиз.нови активи'!H$61:H$108)+('11.1.Амортиз.нови активи'!H$110*SUMIF('11.1.Амортиз.нови активи'!$B$61:$B$108,$B49,'11.1.Амортиз.нови активи'!AQ$61:AQ$108))</f>
        <v>7.5273516137445462</v>
      </c>
      <c r="I49" s="1226">
        <f>$E49-SUMIF('11.2. ДА за периода'!$B$61:$B$108,$B49,'11.2. ДА за периода'!$E$61:$E$108)+SUMIF('11.2. ДА за периода'!$B$61:$B$108,$B49,'11.2. ДА за периода'!I$61:I$108)+SUMIF('11.1.Амортиз.нови активи'!$B$61:$B$108,$B49,'11.1.Амортиз.нови активи'!I$61:I$108)+('11.1.Амортиз.нови активи'!I$110*SUMIF('11.1.Амортиз.нови активи'!$B$61:$B$108,$B49,'11.1.Амортиз.нови активи'!AR$61:AR$108))</f>
        <v>5.857202884975532</v>
      </c>
      <c r="J49" s="1226">
        <f>$E49-SUMIF('11.2. ДА за периода'!$B$61:$B$108,$B49,'11.2. ДА за периода'!$E$61:$E$108)+SUMIF('11.2. ДА за периода'!$B$61:$B$108,$B49,'11.2. ДА за периода'!J$61:J$108)+SUMIF('11.1.Амортиз.нови активи'!$B$61:$B$108,$B49,'11.1.Амортиз.нови активи'!J$61:J$108)+('11.1.Амортиз.нови активи'!J$110*SUMIF('11.1.Амортиз.нови активи'!$B$61:$B$108,$B49,'11.1.Амортиз.нови активи'!AS$61:AS$108))</f>
        <v>0.60494362075819419</v>
      </c>
      <c r="K49" s="2972">
        <f>$E49-SUMIF('11.2. ДА за периода'!$B$61:$B$108,$B49,'11.2. ДА за периода'!$E$61:$E$108)+SUMIF('11.2. ДА за периода'!$B$61:$B$108,$B49,'11.2. ДА за периода'!K$61:K$108)+SUMIF('11.1.Амортиз.нови активи'!$B$61:$B$108,$B49,'11.1.Амортиз.нови активи'!K$61:K$108)+('11.1.Амортиз.нови активи'!K$110*SUMIF('11.1.Амортиз.нови активи'!$B$61:$B$108,$B49,'11.1.Амортиз.нови активи'!AT$61:AT$108))</f>
        <v>1.4945570371345007</v>
      </c>
      <c r="L49" s="2970">
        <v>2</v>
      </c>
      <c r="M49" s="2971">
        <f>$L49-SUMIF('11.2. ДА за периода'!$B$61:$B$108,$B49,'11.2. ДА за периода'!$L$61:$L$108)+SUMIF('11.2. ДА за периода'!$B$61:$B$108,$B49,'11.2. ДА за периода'!M$61:M$108)+SUMIF('11.1.Амортиз.нови активи'!$B$61:$B$108,$B49,'11.1.Амортиз.нови активи'!M$61:M$108)+('11.1.Амортиз.нови активи'!F$111*SUMIF('11.1.Амортиз.нови активи'!$B$61:$B$108,$B49,'11.1.Амортиз.нови активи'!AO$61:AO$108))</f>
        <v>2.116359175662414</v>
      </c>
      <c r="N49" s="1226">
        <f>$L49-SUMIF('11.2. ДА за периода'!$B$61:$B$108,$B49,'11.2. ДА за периода'!$L$61:$L$108)+SUMIF('11.2. ДА за периода'!$B$61:$B$108,$B49,'11.2. ДА за периода'!N$61:N$108)+SUMIF('11.1.Амортиз.нови активи'!$B$61:$B$108,$B49,'11.1.Амортиз.нови активи'!N$61:N$108)+('11.1.Амортиз.нови активи'!G$111*SUMIF('11.1.Амортиз.нови активи'!$B$61:$B$108,$B49,'11.1.Амортиз.нови активи'!AP$61:AP$108))</f>
        <v>0.46512725805587701</v>
      </c>
      <c r="O49" s="1226">
        <f>$L49-SUMIF('11.2. ДА за периода'!$B$61:$B$108,$B49,'11.2. ДА за периода'!$L$61:$L$108)+SUMIF('11.2. ДА за периода'!$B$61:$B$108,$B49,'11.2. ДА за периода'!O$61:O$108)+SUMIF('11.1.Амортиз.нови активи'!$B$61:$B$108,$B49,'11.1.Амортиз.нови активи'!O$61:O$108)+('11.1.Амортиз.нови активи'!H$111*SUMIF('11.1.Амортиз.нови активи'!$B$61:$B$108,$B49,'11.1.Амортиз.нови активи'!AQ$61:AQ$108))</f>
        <v>1.2830483931729717</v>
      </c>
      <c r="P49" s="1226">
        <f>$L49-SUMIF('11.2. ДА за периода'!$B$61:$B$108,$B49,'11.2. ДА за периода'!$L$61:$L$108)+SUMIF('11.2. ДА за периода'!$B$61:$B$108,$B49,'11.2. ДА за периода'!P$61:P$108)+SUMIF('11.1.Амортиз.нови активи'!$B$61:$B$108,$B49,'11.1.Амортиз.нови активи'!P$61:P$108)+('11.1.Амортиз.нови активи'!I$111*SUMIF('11.1.Амортиз.нови активи'!$B$61:$B$108,$B49,'11.1.Амортиз.нови активи'!AR$61:AR$108))</f>
        <v>1.7457089563220269</v>
      </c>
      <c r="Q49" s="1226">
        <f>$L49-SUMIF('11.2. ДА за периода'!$B$61:$B$108,$B49,'11.2. ДА за периода'!$L$61:$L$108)+SUMIF('11.2. ДА за периода'!$B$61:$B$108,$B49,'11.2. ДА за периода'!Q$61:Q$108)+SUMIF('11.1.Амортиз.нови активи'!$B$61:$B$108,$B49,'11.1.Амортиз.нови активи'!Q$61:Q$108)+('11.1.Амортиз.нови активи'!J$111*SUMIF('11.1.Амортиз.нови активи'!$B$61:$B$108,$B49,'11.1.Амортиз.нови активи'!AS$61:AS$108))</f>
        <v>1.9263924505125698</v>
      </c>
      <c r="R49" s="2972">
        <f>$L49-SUMIF('11.2. ДА за периода'!$B$61:$B$108,$B49,'11.2. ДА за периода'!$L$61:$L$108)+SUMIF('11.2. ДА за периода'!$B$61:$B$108,$B49,'11.2. ДА за периода'!R$61:R$108)+SUMIF('11.1.Амортиз.нови активи'!$B$61:$B$108,$B49,'11.1.Амортиз.нови активи'!R$61:R$108)+('11.1.Амортиз.нови активи'!K$111*SUMIF('11.1.Амортиз.нови активи'!$B$61:$B$108,$B49,'11.1.Амортиз.нови активи'!AT$61:AT$108))</f>
        <v>2.1461379368508036</v>
      </c>
      <c r="S49" s="2970">
        <v>1</v>
      </c>
      <c r="T49" s="2971">
        <f>$S49-SUMIF('11.2. ДА за периода'!$B$61:$B$108,$B49,'11.2. ДА за периода'!$S$61:$S$108)+SUMIF('11.2. ДА за периода'!$B$61:$B$108,$B49,'11.2. ДА за периода'!T$61:T$108)+SUMIF('11.1.Амортиз.нови активи'!$B$61:$B$108,$B49,'11.1.Амортиз.нови активи'!T$61:T$108)+('11.1.Амортиз.нови активи'!F$112*SUMIF('11.1.Амортиз.нови активи'!$B$61:$B$108,$B49,'11.1.Амортиз.нови активи'!AO$61:AO$108))</f>
        <v>1.0232210009813543</v>
      </c>
      <c r="U49" s="1226">
        <f>$S49-SUMIF('11.2. ДА за периода'!$B$61:$B$108,$B49,'11.2. ДА за периода'!$S$61:$S$108)+SUMIF('11.2. ДА за периода'!$B$61:$B$108,$B49,'11.2. ДА за периода'!U$61:U$108)+SUMIF('11.1.Амортиз.нови активи'!$B$61:$B$108,$B49,'11.1.Амортиз.нови активи'!U$61:U$108)+('11.1.Амортиз.нови активи'!G$112*SUMIF('11.1.Амортиз.нови активи'!$B$61:$B$108,$B49,'11.1.Амортиз.нови активи'!AP$61:AP$108))</f>
        <v>-1.1972404271818338E-3</v>
      </c>
      <c r="V49" s="1226">
        <f>$S49-SUMIF('11.2. ДА за периода'!$B$61:$B$108,$B49,'11.2. ДА за периода'!$S$61:$S$108)+SUMIF('11.2. ДА за периода'!$B$61:$B$108,$B49,'11.2. ДА за периода'!V$61:V$108)+SUMIF('11.1.Амортиз.нови активи'!$B$61:$B$108,$B49,'11.1.Амортиз.нови активи'!V$61:V$108)+('11.1.Амортиз.нови активи'!H$112*SUMIF('11.1.Амортиз.нови активи'!$B$61:$B$108,$B49,'11.1.Амортиз.нови активи'!AQ$61:AQ$108))</f>
        <v>0.59759999308248313</v>
      </c>
      <c r="W49" s="1226">
        <f>$S49-SUMIF('11.2. ДА за периода'!$B$61:$B$108,$B49,'11.2. ДА за периода'!$S$61:$S$108)+SUMIF('11.2. ДА за периода'!$B$61:$B$108,$B49,'11.2. ДА за периода'!W$61:W$108)+SUMIF('11.1.Амортиз.нови активи'!$B$61:$B$108,$B49,'11.1.Амортиз.нови активи'!W$61:W$108)+('11.1.Амортиз.нови активи'!I$112*SUMIF('11.1.Амортиз.нови активи'!$B$61:$B$108,$B49,'11.1.Амортиз.нови активи'!AR$61:AR$108))</f>
        <v>0.70508815870244113</v>
      </c>
      <c r="X49" s="1226">
        <f>$S49-SUMIF('11.2. ДА за периода'!$B$61:$B$108,$B49,'11.2. ДА за периода'!$S$61:$S$108)+SUMIF('11.2. ДА за периода'!$B$61:$B$108,$B49,'11.2. ДА за периода'!X$61:X$108)+SUMIF('11.1.Амортиз.нови активи'!$B$61:$B$108,$B49,'11.1.Амортиз.нови активи'!X$61:X$108)+('11.1.Амортиз.нови активи'!J$112*SUMIF('11.1.Амортиз.нови активи'!$B$61:$B$108,$B49,'11.1.Амортиз.нови активи'!AS$61:AS$108))</f>
        <v>0.77666392872923518</v>
      </c>
      <c r="Y49" s="2972">
        <f>$S49-SUMIF('11.2. ДА за периода'!$B$61:$B$108,$B49,'11.2. ДА за периода'!$S$61:$S$108)+SUMIF('11.2. ДА за периода'!$B$61:$B$108,$B49,'11.2. ДА за периода'!Y$61:Y$108)+SUMIF('11.1.Амортиз.нови активи'!$B$61:$B$108,$B49,'11.1.Амортиз.нови активи'!Y$61:Y$108)+('11.1.Амортиз.нови активи'!K$112*SUMIF('11.1.Амортиз.нови активи'!$B$61:$B$108,$B49,'11.1.Амортиз.нови активи'!AT$61:AT$108))</f>
        <v>0.86730502601469683</v>
      </c>
      <c r="Z49" s="448">
        <v>0</v>
      </c>
      <c r="AA49" s="2971">
        <f>$Z49-SUMIF('11.2. ДА за периода'!$B$61:$B$108,$B49,'11.2. ДА за периода'!$Z$61:$Z$108)+SUMIF('11.2. ДА за периода'!$B$61:$B$108,$B49,'11.2. ДА за периода'!AA$61:AA$108)+SUMIF('11.1.Амортиз.нови активи'!$B$61:$B$108,$B49,'11.1.Амортиз.нови активи'!AA$61:AA$108)</f>
        <v>6.0000000000000006E-4</v>
      </c>
      <c r="AB49" s="1226">
        <f>$Z49-SUMIF('11.2. ДА за периода'!$B$61:$B$108,$B49,'11.2. ДА за периода'!$Z$61:$Z$108)+SUMIF('11.2. ДА за периода'!$B$61:$B$108,$B49,'11.2. ДА за периода'!AB$61:AB$108)+SUMIF('11.1.Амортиз.нови активи'!$B$61:$B$108,$B49,'11.1.Амортиз.нови активи'!AB$61:AB$108)</f>
        <v>6.0000000000000006E-4</v>
      </c>
      <c r="AC49" s="1226">
        <f>$Z49-SUMIF('11.2. ДА за периода'!$B$61:$B$108,$B49,'11.2. ДА за периода'!$Z$61:$Z$108)+SUMIF('11.2. ДА за периода'!$B$61:$B$108,$B49,'11.2. ДА за периода'!AC$61:AC$108)+SUMIF('11.1.Амортиз.нови активи'!$B$61:$B$108,$B49,'11.1.Амортиз.нови активи'!AC$61:AC$108)</f>
        <v>6.0000000000000006E-4</v>
      </c>
      <c r="AD49" s="1226">
        <f>$Z49-SUMIF('11.2. ДА за периода'!$B$61:$B$108,$B49,'11.2. ДА за периода'!$Z$61:$Z$108)+SUMIF('11.2. ДА за периода'!$B$61:$B$108,$B49,'11.2. ДА за периода'!AD$61:AD$108)+SUMIF('11.1.Амортиз.нови активи'!$B$61:$B$108,$B49,'11.1.Амортиз.нови активи'!AD$61:AD$108)</f>
        <v>6.0000000000000006E-4</v>
      </c>
      <c r="AE49" s="1226">
        <f>$Z49-SUMIF('11.2. ДА за периода'!$B$61:$B$108,$B49,'11.2. ДА за периода'!$Z$61:$Z$108)+SUMIF('11.2. ДА за периода'!$B$61:$B$108,$B49,'11.2. ДА за периода'!AE$61:AE$108)+SUMIF('11.1.Амортиз.нови активи'!$B$61:$B$108,$B49,'11.1.Амортиз.нови активи'!AE$61:AE$108)</f>
        <v>6.0000000000000006E-4</v>
      </c>
      <c r="AF49" s="2972">
        <f>$Z49-SUMIF('11.2. ДА за периода'!$B$61:$B$108,$B49,'11.2. ДА за периода'!$Z$61:$Z$108)+SUMIF('11.2. ДА за периода'!$B$61:$B$108,$B49,'11.2. ДА за периода'!AF$61:AF$108)+SUMIF('11.1.Амортиз.нови активи'!$B$61:$B$108,$B49,'11.1.Амортиз.нови активи'!AF$61:AF$108)</f>
        <v>6.0000000000000006E-4</v>
      </c>
      <c r="AG49" s="2970"/>
      <c r="AH49" s="2971">
        <f>$AG49-SUMIF('11.2. ДА за периода'!$B$61:$B$108,$B49,'11.2. ДА за периода'!$AG$61:$AG$108)+SUMIF('11.2. ДА за периода'!$B$61:$B$108,$B49,'11.2. ДА за периода'!AH$61:AH$108)+SUMIF('11.1.Амортиз.нови активи'!$B$61:$B$108,$B49,'11.1.Амортиз.нови активи'!AH$61:AH$108)+('11.1.Амортиз.нови активи'!T$112*SUMIF('11.1.Амортиз.нови активи'!$B$61:$B$108,$B49,'11.1.Амортиз.нови активи'!BB$61:BB$108))</f>
        <v>0</v>
      </c>
      <c r="AI49" s="1226">
        <f>$AG49-SUMIF('11.2. ДА за периода'!$B$61:$B$108,$B49,'11.2. ДА за периода'!$AG$61:$AG$108)+SUMIF('11.2. ДА за периода'!$B$61:$B$108,$B49,'11.2. ДА за периода'!AI$61:AI$108)+SUMIF('11.1.Амортиз.нови активи'!$B$61:$B$108,$B49,'11.1.Амортиз.нови активи'!AI$61:AI$108)+('11.1.Амортиз.нови активи'!U$112*SUMIF('11.1.Амортиз.нови активи'!$B$61:$B$108,$B49,'11.1.Амортиз.нови активи'!BC$61:BC$108))</f>
        <v>0</v>
      </c>
      <c r="AJ49" s="1226">
        <f>$AG49-SUMIF('11.2. ДА за периода'!$B$61:$B$108,$B49,'11.2. ДА за периода'!$AG$61:$AG$108)+SUMIF('11.2. ДА за периода'!$B$61:$B$108,$B49,'11.2. ДА за периода'!AJ$61:AJ$108)+SUMIF('11.1.Амортиз.нови активи'!$B$61:$B$108,$B49,'11.1.Амортиз.нови активи'!AJ$61:AJ$108)+('11.1.Амортиз.нови активи'!V$112*SUMIF('11.1.Амортиз.нови активи'!$B$61:$B$108,$B49,'11.1.Амортиз.нови активи'!BD$61:BD$108))</f>
        <v>0</v>
      </c>
      <c r="AK49" s="1226">
        <f>$AG49-SUMIF('11.2. ДА за периода'!$B$61:$B$108,$B49,'11.2. ДА за периода'!$AG$61:$AG$108)+SUMIF('11.2. ДА за периода'!$B$61:$B$108,$B49,'11.2. ДА за периода'!AK$61:AK$108)+SUMIF('11.1.Амортиз.нови активи'!$B$61:$B$108,$B49,'11.1.Амортиз.нови активи'!AK$61:AK$108)+('11.1.Амортиз.нови активи'!W$112*SUMIF('11.1.Амортиз.нови активи'!$B$61:$B$108,$B49,'11.1.Амортиз.нови активи'!BE$61:BE$108))</f>
        <v>0</v>
      </c>
      <c r="AL49" s="1226">
        <f>$AG49-SUMIF('11.2. ДА за периода'!$B$61:$B$108,$B49,'11.2. ДА за периода'!$AG$61:$AG$108)+SUMIF('11.2. ДА за периода'!$B$61:$B$108,$B49,'11.2. ДА за периода'!AL$61:AL$108)+SUMIF('11.1.Амортиз.нови активи'!$B$61:$B$108,$B49,'11.1.Амортиз.нови активи'!AL$61:AL$108)+('11.1.Амортиз.нови активи'!X$112*SUMIF('11.1.Амортиз.нови активи'!$B$61:$B$108,$B49,'11.1.Амортиз.нови активи'!BF$61:BF$108))</f>
        <v>0</v>
      </c>
      <c r="AM49" s="2972">
        <f>$AG49-SUMIF('11.2. ДА за периода'!$B$61:$B$108,$B49,'11.2. ДА за периода'!$AG$61:$AG$108)+SUMIF('11.2. ДА за периода'!$B$61:$B$108,$B49,'11.2. ДА за периода'!AM$61:AM$108)+SUMIF('11.1.Амортиз.нови активи'!$B$61:$B$108,$B49,'11.1.Амортиз.нови активи'!AM$61:AM$108)+('11.1.Амортиз.нови активи'!Y$112*SUMIF('11.1.Амортиз.нови активи'!$B$61:$B$108,$B49,'11.1.Амортиз.нови активи'!BG$61:BG$108))</f>
        <v>0</v>
      </c>
      <c r="AN49" s="2860"/>
      <c r="AO49" s="2898"/>
    </row>
    <row r="50" spans="1:42">
      <c r="A50" s="2873">
        <v>7</v>
      </c>
      <c r="B50" s="2877">
        <v>20601</v>
      </c>
      <c r="C50" s="2869">
        <v>0.1</v>
      </c>
      <c r="D50" s="2899" t="s">
        <v>570</v>
      </c>
      <c r="E50" s="2970">
        <v>4</v>
      </c>
      <c r="F50" s="2971">
        <f>$E50-SUMIF('11.2. ДА за периода'!$B$61:$B$108,$B50,'11.2. ДА за периода'!$E$61:$E$108)+SUMIF('11.2. ДА за периода'!$B$61:$B$108,$B50,'11.2. ДА за периода'!F$61:F$108)+SUMIF('11.1.Амортиз.нови активи'!$B$61:$B$108,$B50,'11.1.Амортиз.нови активи'!F$61:F$108)+('11.1.Амортиз.нови активи'!F$110*SUMIF('11.1.Амортиз.нови активи'!$B$61:$B$108,$B50,'11.1.Амортиз.нови активи'!AO$61:AO$108))</f>
        <v>4.9614769381746813</v>
      </c>
      <c r="G50" s="1226">
        <f>$E50-SUMIF('11.2. ДА за периода'!$B$61:$B$108,$B50,'11.2. ДА за периода'!$E$61:$E$108)+SUMIF('11.2. ДА за периода'!$B$61:$B$108,$B50,'11.2. ДА за периода'!G$61:G$108)+SUMIF('11.1.Амортиз.нови активи'!$B$61:$B$108,$B50,'11.1.Амортиз.нови активи'!G$61:G$108)+('11.1.Амортиз.нови активи'!G$110*SUMIF('11.1.Амортиз.нови активи'!$B$61:$B$108,$B50,'11.1.Амортиз.нови активи'!AP$61:AP$108))</f>
        <v>5.6443373401031591</v>
      </c>
      <c r="H50" s="1226">
        <f>$E50-SUMIF('11.2. ДА за периода'!$B$61:$B$108,$B50,'11.2. ДА за периода'!$E$61:$E$108)+SUMIF('11.2. ДА за периода'!$B$61:$B$108,$B50,'11.2. ДА за периода'!H$61:H$108)+SUMIF('11.1.Амортиз.нови активи'!$B$61:$B$108,$B50,'11.1.Амортиз.нови активи'!H$61:H$108)+('11.1.Амортиз.нови активи'!H$110*SUMIF('11.1.Амортиз.нови активи'!$B$61:$B$108,$B50,'11.1.Амортиз.нови активи'!AQ$61:AQ$108))</f>
        <v>5.8341784949975759</v>
      </c>
      <c r="I50" s="1226">
        <f>$E50-SUMIF('11.2. ДА за периода'!$B$61:$B$108,$B50,'11.2. ДА за периода'!$E$61:$E$108)+SUMIF('11.2. ДА за периода'!$B$61:$B$108,$B50,'11.2. ДА за периода'!I$61:I$108)+SUMIF('11.1.Амортиз.нови активи'!$B$61:$B$108,$B50,'11.1.Амортиз.нови активи'!I$61:I$108)+('11.1.Амортиз.нови активи'!I$110*SUMIF('11.1.Амортиз.нови активи'!$B$61:$B$108,$B50,'11.1.Амортиз.нови активи'!AR$61:AR$108))</f>
        <v>6.3758835271740759</v>
      </c>
      <c r="J50" s="1226">
        <f>$E50-SUMIF('11.2. ДА за периода'!$B$61:$B$108,$B50,'11.2. ДА за периода'!$E$61:$E$108)+SUMIF('11.2. ДА за периода'!$B$61:$B$108,$B50,'11.2. ДА за периода'!J$61:J$108)+SUMIF('11.1.Амортиз.нови активи'!$B$61:$B$108,$B50,'11.1.Амортиз.нови активи'!J$61:J$108)+('11.1.Амортиз.нови активи'!J$110*SUMIF('11.1.Амортиз.нови активи'!$B$61:$B$108,$B50,'11.1.Амортиз.нови активи'!AS$61:AS$108))</f>
        <v>7.1744959546271474</v>
      </c>
      <c r="K50" s="2972">
        <f>$E50-SUMIF('11.2. ДА за периода'!$B$61:$B$108,$B50,'11.2. ДА за периода'!$E$61:$E$108)+SUMIF('11.2. ДА за периода'!$B$61:$B$108,$B50,'11.2. ДА за периода'!K$61:K$108)+SUMIF('11.1.Амортиз.нови активи'!$B$61:$B$108,$B50,'11.1.Амортиз.нови активи'!K$61:K$108)+('11.1.Амортиз.нови активи'!K$110*SUMIF('11.1.Амортиз.нови активи'!$B$61:$B$108,$B50,'11.1.Амортиз.нови активи'!AT$61:AT$108))</f>
        <v>7.5878760757092181</v>
      </c>
      <c r="L50" s="2970">
        <v>0</v>
      </c>
      <c r="M50" s="2971">
        <f>$L50-SUMIF('11.2. ДА за периода'!$B$61:$B$108,$B50,'11.2. ДА за периода'!$L$61:$L$108)+SUMIF('11.2. ДА за периода'!$B$61:$B$108,$B50,'11.2. ДА за периода'!M$61:M$108)+SUMIF('11.1.Амортиз.нови активи'!$B$61:$B$108,$B50,'11.1.Амортиз.нови активи'!M$61:M$108)+('11.1.Амортиз.нови активи'!F$111*SUMIF('11.1.Амортиз.нови активи'!$B$61:$B$108,$B50,'11.1.Амортиз.нови активи'!AO$61:AO$108))</f>
        <v>8.5725711481844963E-2</v>
      </c>
      <c r="N50" s="1226">
        <f>$L50-SUMIF('11.2. ДА за периода'!$B$61:$B$108,$B50,'11.2. ДА за периода'!$L$61:$L$108)+SUMIF('11.2. ДА за периода'!$B$61:$B$108,$B50,'11.2. ДА за периода'!N$61:N$108)+SUMIF('11.1.Амортиз.нови активи'!$B$61:$B$108,$B50,'11.1.Амортиз.нови активи'!N$61:N$108)+('11.1.Амортиз.нови активи'!G$111*SUMIF('11.1.Амортиз.нови активи'!$B$61:$B$108,$B50,'11.1.Амортиз.нови активи'!AP$61:AP$108))</f>
        <v>0.22422281434819721</v>
      </c>
      <c r="O50" s="1226">
        <f>$L50-SUMIF('11.2. ДА за периода'!$B$61:$B$108,$B50,'11.2. ДА за периода'!$L$61:$L$108)+SUMIF('11.2. ДА за периода'!$B$61:$B$108,$B50,'11.2. ДА за периода'!O$61:O$108)+SUMIF('11.1.Амортиз.нови активи'!$B$61:$B$108,$B50,'11.1.Амортиз.нови активи'!O$61:O$108)+('11.1.Амортиз.нови активи'!H$111*SUMIF('11.1.Амортиз.нови активи'!$B$61:$B$108,$B50,'11.1.Амортиз.нови активи'!AQ$61:AQ$108))</f>
        <v>0.61241039696576527</v>
      </c>
      <c r="P50" s="1226">
        <f>$L50-SUMIF('11.2. ДА за периода'!$B$61:$B$108,$B50,'11.2. ДА за периода'!$L$61:$L$108)+SUMIF('11.2. ДА за периода'!$B$61:$B$108,$B50,'11.2. ДА за периода'!P$61:P$108)+SUMIF('11.1.Амортиз.нови активи'!$B$61:$B$108,$B50,'11.1.Амортиз.нови активи'!P$61:P$108)+('11.1.Амортиз.нови активи'!I$111*SUMIF('11.1.Амортиз.нови активи'!$B$61:$B$108,$B50,'11.1.Амортиз.нови активи'!AR$61:AR$108))</f>
        <v>0.99675699687111208</v>
      </c>
      <c r="Q50" s="1226">
        <f>$L50-SUMIF('11.2. ДА за периода'!$B$61:$B$108,$B50,'11.2. ДА за периода'!$L$61:$L$108)+SUMIF('11.2. ДА за периода'!$B$61:$B$108,$B50,'11.2. ДА за периода'!Q$61:Q$108)+SUMIF('11.1.Амортиз.нови активи'!$B$61:$B$108,$B50,'11.1.Амортиз.нови активи'!Q$61:Q$108)+('11.1.Амортиз.нови активи'!J$111*SUMIF('11.1.Амортиз.нови активи'!$B$61:$B$108,$B50,'11.1.Амортиз.нови активи'!AS$61:AS$108))</f>
        <v>1.2580903344713861</v>
      </c>
      <c r="R50" s="2972">
        <f>$L50-SUMIF('11.2. ДА за периода'!$B$61:$B$108,$B50,'11.2. ДА за периода'!$L$61:$L$108)+SUMIF('11.2. ДА за периода'!$B$61:$B$108,$B50,'11.2. ДА за периода'!R$61:R$108)+SUMIF('11.1.Амортиз.нови активи'!$B$61:$B$108,$B50,'11.1.Амортиз.нови активи'!R$61:R$108)+('11.1.Амортиз.нови активи'!K$111*SUMIF('11.1.Амортиз.нови активи'!$B$61:$B$108,$B50,'11.1.Амортиз.нови активи'!AT$61:AT$108))</f>
        <v>1.3386900255371894</v>
      </c>
      <c r="S50" s="2970">
        <v>0</v>
      </c>
      <c r="T50" s="2971">
        <f>$S50-SUMIF('11.2. ДА за периода'!$B$61:$B$108,$B50,'11.2. ДА за периода'!$S$61:$S$108)+SUMIF('11.2. ДА за периода'!$B$61:$B$108,$B50,'11.2. ДА за периода'!T$61:T$108)+SUMIF('11.1.Амортиз.нови активи'!$B$61:$B$108,$B50,'11.1.Амортиз.нови активи'!T$61:T$108)+('11.1.Амортиз.нови активи'!F$112*SUMIF('11.1.Амортиз.нови активи'!$B$61:$B$108,$B50,'11.1.Амортиз.нови активи'!AO$61:AO$108))</f>
        <v>2.2297350343473993E-2</v>
      </c>
      <c r="U50" s="1226">
        <f>$S50-SUMIF('11.2. ДА за периода'!$B$61:$B$108,$B50,'11.2. ДА за периода'!$S$61:$S$108)+SUMIF('11.2. ДА за периода'!$B$61:$B$108,$B50,'11.2. ДА за периода'!U$61:U$108)+SUMIF('11.1.Амортиз.нови активи'!$B$61:$B$108,$B50,'11.1.Амортиз.нови активи'!U$61:U$108)+('11.1.Амортиз.нови активи'!G$112*SUMIF('11.1.Амортиз.нови активи'!$B$61:$B$108,$B50,'11.1.Амортиз.нови активи'!AP$61:AP$108))</f>
        <v>0.40093984554864376</v>
      </c>
      <c r="V50" s="1226">
        <f>$S50-SUMIF('11.2. ДА за периода'!$B$61:$B$108,$B50,'11.2. ДА за периода'!$S$61:$S$108)+SUMIF('11.2. ДА за периода'!$B$61:$B$108,$B50,'11.2. ДА за периода'!V$61:V$108)+SUMIF('11.1.Амортиз.нови активи'!$B$61:$B$108,$B50,'11.1.Амортиз.нови активи'!V$61:V$108)+('11.1.Амортиз.нови активи'!H$112*SUMIF('11.1.Амортиз.нови активи'!$B$61:$B$108,$B50,'11.1.Амортиз.нови активи'!AQ$61:AQ$108))</f>
        <v>0.72291110803665926</v>
      </c>
      <c r="W50" s="1226">
        <f>$S50-SUMIF('11.2. ДА за периода'!$B$61:$B$108,$B50,'11.2. ДА за периода'!$S$61:$S$108)+SUMIF('11.2. ДА за периода'!$B$61:$B$108,$B50,'11.2. ДА за периода'!W$61:W$108)+SUMIF('11.1.Амортиз.нови активи'!$B$61:$B$108,$B50,'11.1.Амортиз.нови активи'!W$61:W$108)+('11.1.Амортиз.нови активи'!I$112*SUMIF('11.1.Амортиз.нови активи'!$B$61:$B$108,$B50,'11.1.Амортиз.нови активи'!AR$61:AR$108))</f>
        <v>0.94685947595481146</v>
      </c>
      <c r="X50" s="1226">
        <f>$S50-SUMIF('11.2. ДА за периода'!$B$61:$B$108,$B50,'11.2. ДА за периода'!$S$61:$S$108)+SUMIF('11.2. ДА за периода'!$B$61:$B$108,$B50,'11.2. ДА за периода'!X$61:X$108)+SUMIF('11.1.Амортиз.нови активи'!$B$61:$B$108,$B50,'11.1.Амортиз.нови активи'!X$61:X$108)+('11.1.Амортиз.нови активи'!J$112*SUMIF('11.1.Амортиз.нови активи'!$B$61:$B$108,$B50,'11.1.Амортиз.нови активи'!AS$61:AS$108))</f>
        <v>1.1369137109014662</v>
      </c>
      <c r="Y50" s="2972">
        <f>$S50-SUMIF('11.2. ДА за периода'!$B$61:$B$108,$B50,'11.2. ДА за периода'!$S$61:$S$108)+SUMIF('11.2. ДА за периода'!$B$61:$B$108,$B50,'11.2. ДА за периода'!Y$61:Y$108)+SUMIF('11.1.Амортиз.нови активи'!$B$61:$B$108,$B50,'11.1.Амортиз.нови активи'!Y$61:Y$108)+('11.1.Амортиз.нови активи'!K$112*SUMIF('11.1.Амортиз.нови активи'!$B$61:$B$108,$B50,'11.1.Амортиз.нови активи'!AT$61:AT$108))</f>
        <v>1.1429338987535926</v>
      </c>
      <c r="Z50" s="448">
        <v>0</v>
      </c>
      <c r="AA50" s="2971">
        <f>$Z50-SUMIF('11.2. ДА за периода'!$B$61:$B$108,$B50,'11.2. ДА за периода'!$Z$61:$Z$108)+SUMIF('11.2. ДА за периода'!$B$61:$B$108,$B50,'11.2. ДА за периода'!AA$61:AA$108)+SUMIF('11.1.Амортиз.нови активи'!$B$61:$B$108,$B50,'11.1.Амортиз.нови активи'!AA$61:AA$108)</f>
        <v>1.2000000000000001E-3</v>
      </c>
      <c r="AB50" s="1226">
        <f>$Z50-SUMIF('11.2. ДА за периода'!$B$61:$B$108,$B50,'11.2. ДА за периода'!$Z$61:$Z$108)+SUMIF('11.2. ДА за периода'!$B$61:$B$108,$B50,'11.2. ДА за периода'!AB$61:AB$108)+SUMIF('11.1.Амортиз.нови активи'!$B$61:$B$108,$B50,'11.1.Амортиз.нови активи'!AB$61:AB$108)</f>
        <v>1.2000000000000001E-3</v>
      </c>
      <c r="AC50" s="1226">
        <f>$Z50-SUMIF('11.2. ДА за периода'!$B$61:$B$108,$B50,'11.2. ДА за периода'!$Z$61:$Z$108)+SUMIF('11.2. ДА за периода'!$B$61:$B$108,$B50,'11.2. ДА за периода'!AC$61:AC$108)+SUMIF('11.1.Амортиз.нови активи'!$B$61:$B$108,$B50,'11.1.Амортиз.нови активи'!AC$61:AC$108)</f>
        <v>1.2000000000000001E-3</v>
      </c>
      <c r="AD50" s="1226">
        <f>$Z50-SUMIF('11.2. ДА за периода'!$B$61:$B$108,$B50,'11.2. ДА за периода'!$Z$61:$Z$108)+SUMIF('11.2. ДА за периода'!$B$61:$B$108,$B50,'11.2. ДА за периода'!AD$61:AD$108)+SUMIF('11.1.Амортиз.нови активи'!$B$61:$B$108,$B50,'11.1.Амортиз.нови активи'!AD$61:AD$108)</f>
        <v>1.2000000000000001E-3</v>
      </c>
      <c r="AE50" s="1226">
        <f>$Z50-SUMIF('11.2. ДА за периода'!$B$61:$B$108,$B50,'11.2. ДА за периода'!$Z$61:$Z$108)+SUMIF('11.2. ДА за периода'!$B$61:$B$108,$B50,'11.2. ДА за периода'!AE$61:AE$108)+SUMIF('11.1.Амортиз.нови активи'!$B$61:$B$108,$B50,'11.1.Амортиз.нови активи'!AE$61:AE$108)</f>
        <v>1.2000000000000001E-3</v>
      </c>
      <c r="AF50" s="2972">
        <f>$Z50-SUMIF('11.2. ДА за периода'!$B$61:$B$108,$B50,'11.2. ДА за периода'!$Z$61:$Z$108)+SUMIF('11.2. ДА за периода'!$B$61:$B$108,$B50,'11.2. ДА за периода'!AF$61:AF$108)+SUMIF('11.1.Амортиз.нови активи'!$B$61:$B$108,$B50,'11.1.Амортиз.нови активи'!AF$61:AF$108)</f>
        <v>1.2000000000000001E-3</v>
      </c>
      <c r="AG50" s="2970"/>
      <c r="AH50" s="2971">
        <f>$AG50-SUMIF('11.2. ДА за периода'!$B$61:$B$108,$B50,'11.2. ДА за периода'!$AG$61:$AG$108)+SUMIF('11.2. ДА за периода'!$B$61:$B$108,$B50,'11.2. ДА за периода'!AH$61:AH$108)+SUMIF('11.1.Амортиз.нови активи'!$B$61:$B$108,$B50,'11.1.Амортиз.нови активи'!AH$61:AH$108)+('11.1.Амортиз.нови активи'!T$112*SUMIF('11.1.Амортиз.нови активи'!$B$61:$B$108,$B50,'11.1.Амортиз.нови активи'!BB$61:BB$108))</f>
        <v>0</v>
      </c>
      <c r="AI50" s="1226">
        <f>$AG50-SUMIF('11.2. ДА за периода'!$B$61:$B$108,$B50,'11.2. ДА за периода'!$AG$61:$AG$108)+SUMIF('11.2. ДА за периода'!$B$61:$B$108,$B50,'11.2. ДА за периода'!AI$61:AI$108)+SUMIF('11.1.Амортиз.нови активи'!$B$61:$B$108,$B50,'11.1.Амортиз.нови активи'!AI$61:AI$108)+('11.1.Амортиз.нови активи'!U$112*SUMIF('11.1.Амортиз.нови активи'!$B$61:$B$108,$B50,'11.1.Амортиз.нови активи'!BC$61:BC$108))</f>
        <v>0</v>
      </c>
      <c r="AJ50" s="1226">
        <f>$AG50-SUMIF('11.2. ДА за периода'!$B$61:$B$108,$B50,'11.2. ДА за периода'!$AG$61:$AG$108)+SUMIF('11.2. ДА за периода'!$B$61:$B$108,$B50,'11.2. ДА за периода'!AJ$61:AJ$108)+SUMIF('11.1.Амортиз.нови активи'!$B$61:$B$108,$B50,'11.1.Амортиз.нови активи'!AJ$61:AJ$108)+('11.1.Амортиз.нови активи'!V$112*SUMIF('11.1.Амортиз.нови активи'!$B$61:$B$108,$B50,'11.1.Амортиз.нови активи'!BD$61:BD$108))</f>
        <v>0</v>
      </c>
      <c r="AK50" s="1226">
        <f>$AG50-SUMIF('11.2. ДА за периода'!$B$61:$B$108,$B50,'11.2. ДА за периода'!$AG$61:$AG$108)+SUMIF('11.2. ДА за периода'!$B$61:$B$108,$B50,'11.2. ДА за периода'!AK$61:AK$108)+SUMIF('11.1.Амортиз.нови активи'!$B$61:$B$108,$B50,'11.1.Амортиз.нови активи'!AK$61:AK$108)+('11.1.Амортиз.нови активи'!W$112*SUMIF('11.1.Амортиз.нови активи'!$B$61:$B$108,$B50,'11.1.Амортиз.нови активи'!BE$61:BE$108))</f>
        <v>0</v>
      </c>
      <c r="AL50" s="1226">
        <f>$AG50-SUMIF('11.2. ДА за периода'!$B$61:$B$108,$B50,'11.2. ДА за периода'!$AG$61:$AG$108)+SUMIF('11.2. ДА за периода'!$B$61:$B$108,$B50,'11.2. ДА за периода'!AL$61:AL$108)+SUMIF('11.1.Амортиз.нови активи'!$B$61:$B$108,$B50,'11.1.Амортиз.нови активи'!AL$61:AL$108)+('11.1.Амортиз.нови активи'!X$112*SUMIF('11.1.Амортиз.нови активи'!$B$61:$B$108,$B50,'11.1.Амортиз.нови активи'!BF$61:BF$108))</f>
        <v>0</v>
      </c>
      <c r="AM50" s="2972">
        <f>$AG50-SUMIF('11.2. ДА за периода'!$B$61:$B$108,$B50,'11.2. ДА за периода'!$AG$61:$AG$108)+SUMIF('11.2. ДА за периода'!$B$61:$B$108,$B50,'11.2. ДА за периода'!AM$61:AM$108)+SUMIF('11.1.Амортиз.нови активи'!$B$61:$B$108,$B50,'11.1.Амортиз.нови активи'!AM$61:AM$108)+('11.1.Амортиз.нови активи'!Y$112*SUMIF('11.1.Амортиз.нови активи'!$B$61:$B$108,$B50,'11.1.Амортиз.нови активи'!BG$61:BG$108))</f>
        <v>0</v>
      </c>
      <c r="AN50" s="2860"/>
      <c r="AO50" s="2898"/>
    </row>
    <row r="51" spans="1:42">
      <c r="A51" s="2878">
        <v>8</v>
      </c>
      <c r="B51" s="2877">
        <v>20602</v>
      </c>
      <c r="C51" s="2869">
        <v>0.1</v>
      </c>
      <c r="D51" s="2899" t="s">
        <v>440</v>
      </c>
      <c r="E51" s="2970">
        <v>2</v>
      </c>
      <c r="F51" s="2971">
        <f>$E51-SUMIF('11.2. ДА за периода'!$B$61:$B$108,$B51,'11.2. ДА за периода'!$E$61:$E$108)+SUMIF('11.2. ДА за периода'!$B$61:$B$108,$B51,'11.2. ДА за периода'!F$61:F$108)+SUMIF('11.1.Амортиз.нови активи'!$B$61:$B$108,$B51,'11.1.Амортиз.нови активи'!F$61:F$108)+('11.1.Амортиз.нови активи'!F$110*SUMIF('11.1.Амортиз.нови активи'!$B$61:$B$108,$B51,'11.1.Амортиз.нови активи'!AO$61:AO$108))</f>
        <v>2.4438</v>
      </c>
      <c r="G51" s="1226">
        <f>$E51-SUMIF('11.2. ДА за периода'!$B$61:$B$108,$B51,'11.2. ДА за периода'!$E$61:$E$108)+SUMIF('11.2. ДА за периода'!$B$61:$B$108,$B51,'11.2. ДА за периода'!G$61:G$108)+SUMIF('11.1.Амортиз.нови активи'!$B$61:$B$108,$B51,'11.1.Амортиз.нови активи'!G$61:G$108)+('11.1.Амортиз.нови активи'!G$110*SUMIF('11.1.Амортиз.нови активи'!$B$61:$B$108,$B51,'11.1.Амортиз.нови активи'!AP$61:AP$108))</f>
        <v>2.4438</v>
      </c>
      <c r="H51" s="1226">
        <f>$E51-SUMIF('11.2. ДА за периода'!$B$61:$B$108,$B51,'11.2. ДА за периода'!$E$61:$E$108)+SUMIF('11.2. ДА за периода'!$B$61:$B$108,$B51,'11.2. ДА за периода'!H$61:H$108)+SUMIF('11.1.Амортиз.нови активи'!$B$61:$B$108,$B51,'11.1.Амортиз.нови активи'!H$61:H$108)+('11.1.Амортиз.нови активи'!H$110*SUMIF('11.1.Амортиз.нови активи'!$B$61:$B$108,$B51,'11.1.Амортиз.нови активи'!AQ$61:AQ$108))</f>
        <v>2.4438</v>
      </c>
      <c r="I51" s="1226">
        <f>$E51-SUMIF('11.2. ДА за периода'!$B$61:$B$108,$B51,'11.2. ДА за периода'!$E$61:$E$108)+SUMIF('11.2. ДА за периода'!$B$61:$B$108,$B51,'11.2. ДА за периода'!I$61:I$108)+SUMIF('11.1.Амортиз.нови активи'!$B$61:$B$108,$B51,'11.1.Амортиз.нови активи'!I$61:I$108)+('11.1.Амортиз.нови активи'!I$110*SUMIF('11.1.Амортиз.нови активи'!$B$61:$B$108,$B51,'11.1.Амортиз.нови активи'!AR$61:AR$108))</f>
        <v>2.4438</v>
      </c>
      <c r="J51" s="1226">
        <f>$E51-SUMIF('11.2. ДА за периода'!$B$61:$B$108,$B51,'11.2. ДА за периода'!$E$61:$E$108)+SUMIF('11.2. ДА за периода'!$B$61:$B$108,$B51,'11.2. ДА за периода'!J$61:J$108)+SUMIF('11.1.Амортиз.нови активи'!$B$61:$B$108,$B51,'11.1.Амортиз.нови активи'!J$61:J$108)+('11.1.Амортиз.нови активи'!J$110*SUMIF('11.1.Амортиз.нови активи'!$B$61:$B$108,$B51,'11.1.Амортиз.нови активи'!AS$61:AS$108))</f>
        <v>2.4438</v>
      </c>
      <c r="K51" s="2972">
        <f>$E51-SUMIF('11.2. ДА за периода'!$B$61:$B$108,$B51,'11.2. ДА за периода'!$E$61:$E$108)+SUMIF('11.2. ДА за периода'!$B$61:$B$108,$B51,'11.2. ДА за периода'!K$61:K$108)+SUMIF('11.1.Амортиз.нови активи'!$B$61:$B$108,$B51,'11.1.Амортиз.нови активи'!K$61:K$108)+('11.1.Амортиз.нови активи'!K$110*SUMIF('11.1.Амортиз.нови активи'!$B$61:$B$108,$B51,'11.1.Амортиз.нови активи'!AT$61:AT$108))</f>
        <v>2.4438</v>
      </c>
      <c r="L51" s="2970">
        <v>1</v>
      </c>
      <c r="M51" s="2971">
        <f>$L51-SUMIF('11.2. ДА за периода'!$B$61:$B$108,$B51,'11.2. ДА за периода'!$L$61:$L$108)+SUMIF('11.2. ДА за периода'!$B$61:$B$108,$B51,'11.2. ДА за периода'!M$61:M$108)+SUMIF('11.1.Амортиз.нови активи'!$B$61:$B$108,$B51,'11.1.Амортиз.нови активи'!M$61:M$108)+('11.1.Амортиз.нови активи'!F$111*SUMIF('11.1.Амортиз.нови активи'!$B$61:$B$108,$B51,'11.1.Амортиз.нови активи'!AO$61:AO$108))</f>
        <v>1.0773999999999999</v>
      </c>
      <c r="N51" s="1226">
        <f>$L51-SUMIF('11.2. ДА за периода'!$B$61:$B$108,$B51,'11.2. ДА за периода'!$L$61:$L$108)+SUMIF('11.2. ДА за периода'!$B$61:$B$108,$B51,'11.2. ДА за периода'!N$61:N$108)+SUMIF('11.1.Амортиз.нови активи'!$B$61:$B$108,$B51,'11.1.Амортиз.нови активи'!N$61:N$108)+('11.1.Амортиз.нови активи'!G$111*SUMIF('11.1.Амортиз.нови активи'!$B$61:$B$108,$B51,'11.1.Амортиз.нови активи'!AP$61:AP$108))</f>
        <v>1.0773999999999999</v>
      </c>
      <c r="O51" s="1226">
        <f>$L51-SUMIF('11.2. ДА за периода'!$B$61:$B$108,$B51,'11.2. ДА за периода'!$L$61:$L$108)+SUMIF('11.2. ДА за периода'!$B$61:$B$108,$B51,'11.2. ДА за периода'!O$61:O$108)+SUMIF('11.1.Амортиз.нови активи'!$B$61:$B$108,$B51,'11.1.Амортиз.нови активи'!O$61:O$108)+('11.1.Амортиз.нови активи'!H$111*SUMIF('11.1.Амортиз.нови активи'!$B$61:$B$108,$B51,'11.1.Амортиз.нови активи'!AQ$61:AQ$108))</f>
        <v>1.0773999999999999</v>
      </c>
      <c r="P51" s="1226">
        <f>$L51-SUMIF('11.2. ДА за периода'!$B$61:$B$108,$B51,'11.2. ДА за периода'!$L$61:$L$108)+SUMIF('11.2. ДА за периода'!$B$61:$B$108,$B51,'11.2. ДА за периода'!P$61:P$108)+SUMIF('11.1.Амортиз.нови активи'!$B$61:$B$108,$B51,'11.1.Амортиз.нови активи'!P$61:P$108)+('11.1.Амортиз.нови активи'!I$111*SUMIF('11.1.Амортиз.нови активи'!$B$61:$B$108,$B51,'11.1.Амортиз.нови активи'!AR$61:AR$108))</f>
        <v>1.0773999999999999</v>
      </c>
      <c r="Q51" s="1226">
        <f>$L51-SUMIF('11.2. ДА за периода'!$B$61:$B$108,$B51,'11.2. ДА за периода'!$L$61:$L$108)+SUMIF('11.2. ДА за периода'!$B$61:$B$108,$B51,'11.2. ДА за периода'!Q$61:Q$108)+SUMIF('11.1.Амортиз.нови активи'!$B$61:$B$108,$B51,'11.1.Амортиз.нови активи'!Q$61:Q$108)+('11.1.Амортиз.нови активи'!J$111*SUMIF('11.1.Амортиз.нови активи'!$B$61:$B$108,$B51,'11.1.Амортиз.нови активи'!AS$61:AS$108))</f>
        <v>7.7400000000000024E-2</v>
      </c>
      <c r="R51" s="2972">
        <f>$L51-SUMIF('11.2. ДА за периода'!$B$61:$B$108,$B51,'11.2. ДА за периода'!$L$61:$L$108)+SUMIF('11.2. ДА за периода'!$B$61:$B$108,$B51,'11.2. ДА за периода'!R$61:R$108)+SUMIF('11.1.Амортиз.нови активи'!$B$61:$B$108,$B51,'11.1.Амортиз.нови активи'!R$61:R$108)+('11.1.Амортиз.нови активи'!K$111*SUMIF('11.1.Амортиз.нови активи'!$B$61:$B$108,$B51,'11.1.Амортиз.нови активи'!AT$61:AT$108))</f>
        <v>7.7400000000000024E-2</v>
      </c>
      <c r="S51" s="2970">
        <v>0</v>
      </c>
      <c r="T51" s="2971">
        <f>$S51-SUMIF('11.2. ДА за периода'!$B$61:$B$108,$B51,'11.2. ДА за периода'!$S$61:$S$108)+SUMIF('11.2. ДА за периода'!$B$61:$B$108,$B51,'11.2. ДА за периода'!T$61:T$108)+SUMIF('11.1.Амортиз.нови активи'!$B$61:$B$108,$B51,'11.1.Амортиз.нови активи'!T$61:T$108)+('11.1.Амортиз.нови активи'!F$112*SUMIF('11.1.Амортиз.нови активи'!$B$61:$B$108,$B51,'11.1.Амортиз.нови активи'!AO$61:AO$108))</f>
        <v>3.4200000000000001E-2</v>
      </c>
      <c r="U51" s="1226">
        <f>$S51-SUMIF('11.2. ДА за периода'!$B$61:$B$108,$B51,'11.2. ДА за периода'!$S$61:$S$108)+SUMIF('11.2. ДА за периода'!$B$61:$B$108,$B51,'11.2. ДА за периода'!U$61:U$108)+SUMIF('11.1.Амортиз.нови активи'!$B$61:$B$108,$B51,'11.1.Амортиз.нови активи'!U$61:U$108)+('11.1.Амортиз.нови активи'!G$112*SUMIF('11.1.Амортиз.нови активи'!$B$61:$B$108,$B51,'11.1.Амортиз.нови активи'!AP$61:AP$108))</f>
        <v>3.4200000000000001E-2</v>
      </c>
      <c r="V51" s="1226">
        <f>$S51-SUMIF('11.2. ДА за периода'!$B$61:$B$108,$B51,'11.2. ДА за периода'!$S$61:$S$108)+SUMIF('11.2. ДА за периода'!$B$61:$B$108,$B51,'11.2. ДА за периода'!V$61:V$108)+SUMIF('11.1.Амортиз.нови активи'!$B$61:$B$108,$B51,'11.1.Амортиз.нови активи'!V$61:V$108)+('11.1.Амортиз.нови активи'!H$112*SUMIF('11.1.Амортиз.нови активи'!$B$61:$B$108,$B51,'11.1.Амортиз.нови активи'!AQ$61:AQ$108))</f>
        <v>3.4200000000000001E-2</v>
      </c>
      <c r="W51" s="1226">
        <f>$S51-SUMIF('11.2. ДА за периода'!$B$61:$B$108,$B51,'11.2. ДА за периода'!$S$61:$S$108)+SUMIF('11.2. ДА за периода'!$B$61:$B$108,$B51,'11.2. ДА за периода'!W$61:W$108)+SUMIF('11.1.Амортиз.нови активи'!$B$61:$B$108,$B51,'11.1.Амортиз.нови активи'!W$61:W$108)+('11.1.Амортиз.нови активи'!I$112*SUMIF('11.1.Амортиз.нови активи'!$B$61:$B$108,$B51,'11.1.Амортиз.нови активи'!AR$61:AR$108))</f>
        <v>3.4200000000000001E-2</v>
      </c>
      <c r="X51" s="1226">
        <f>$S51-SUMIF('11.2. ДА за периода'!$B$61:$B$108,$B51,'11.2. ДА за периода'!$S$61:$S$108)+SUMIF('11.2. ДА за периода'!$B$61:$B$108,$B51,'11.2. ДА за периода'!X$61:X$108)+SUMIF('11.1.Амортиз.нови активи'!$B$61:$B$108,$B51,'11.1.Амортиз.нови активи'!X$61:X$108)+('11.1.Амортиз.нови активи'!J$112*SUMIF('11.1.Амортиз.нови активи'!$B$61:$B$108,$B51,'11.1.Амортиз.нови активи'!AS$61:AS$108))</f>
        <v>3.4200000000000001E-2</v>
      </c>
      <c r="Y51" s="2972">
        <f>$S51-SUMIF('11.2. ДА за периода'!$B$61:$B$108,$B51,'11.2. ДА за периода'!$S$61:$S$108)+SUMIF('11.2. ДА за периода'!$B$61:$B$108,$B51,'11.2. ДА за периода'!Y$61:Y$108)+SUMIF('11.1.Амортиз.нови активи'!$B$61:$B$108,$B51,'11.1.Амортиз.нови активи'!Y$61:Y$108)+('11.1.Амортиз.нови активи'!K$112*SUMIF('11.1.Амортиз.нови активи'!$B$61:$B$108,$B51,'11.1.Амортиз.нови активи'!AT$61:AT$108))</f>
        <v>3.4200000000000001E-2</v>
      </c>
      <c r="Z51" s="448">
        <v>0</v>
      </c>
      <c r="AA51" s="2971">
        <f>$Z51-SUMIF('11.2. ДА за периода'!$B$61:$B$108,$B51,'11.2. ДА за периода'!$Z$61:$Z$108)+SUMIF('11.2. ДА за периода'!$B$61:$B$108,$B51,'11.2. ДА за периода'!AA$61:AA$108)+SUMIF('11.1.Амортиз.нови активи'!$B$61:$B$108,$B51,'11.1.Амортиз.нови активи'!AA$61:AA$108)</f>
        <v>2.0000000000000001E-4</v>
      </c>
      <c r="AB51" s="1226">
        <f>$Z51-SUMIF('11.2. ДА за периода'!$B$61:$B$108,$B51,'11.2. ДА за периода'!$Z$61:$Z$108)+SUMIF('11.2. ДА за периода'!$B$61:$B$108,$B51,'11.2. ДА за периода'!AB$61:AB$108)+SUMIF('11.1.Амортиз.нови активи'!$B$61:$B$108,$B51,'11.1.Амортиз.нови активи'!AB$61:AB$108)</f>
        <v>2.0000000000000001E-4</v>
      </c>
      <c r="AC51" s="1226">
        <f>$Z51-SUMIF('11.2. ДА за периода'!$B$61:$B$108,$B51,'11.2. ДА за периода'!$Z$61:$Z$108)+SUMIF('11.2. ДА за периода'!$B$61:$B$108,$B51,'11.2. ДА за периода'!AC$61:AC$108)+SUMIF('11.1.Амортиз.нови активи'!$B$61:$B$108,$B51,'11.1.Амортиз.нови активи'!AC$61:AC$108)</f>
        <v>2.0000000000000001E-4</v>
      </c>
      <c r="AD51" s="1226">
        <f>$Z51-SUMIF('11.2. ДА за периода'!$B$61:$B$108,$B51,'11.2. ДА за периода'!$Z$61:$Z$108)+SUMIF('11.2. ДА за периода'!$B$61:$B$108,$B51,'11.2. ДА за периода'!AD$61:AD$108)+SUMIF('11.1.Амортиз.нови активи'!$B$61:$B$108,$B51,'11.1.Амортиз.нови активи'!AD$61:AD$108)</f>
        <v>2.0000000000000001E-4</v>
      </c>
      <c r="AE51" s="1226">
        <f>$Z51-SUMIF('11.2. ДА за периода'!$B$61:$B$108,$B51,'11.2. ДА за периода'!$Z$61:$Z$108)+SUMIF('11.2. ДА за периода'!$B$61:$B$108,$B51,'11.2. ДА за периода'!AE$61:AE$108)+SUMIF('11.1.Амортиз.нови активи'!$B$61:$B$108,$B51,'11.1.Амортиз.нови активи'!AE$61:AE$108)</f>
        <v>2.0000000000000001E-4</v>
      </c>
      <c r="AF51" s="2972">
        <f>$Z51-SUMIF('11.2. ДА за периода'!$B$61:$B$108,$B51,'11.2. ДА за периода'!$Z$61:$Z$108)+SUMIF('11.2. ДА за периода'!$B$61:$B$108,$B51,'11.2. ДА за периода'!AF$61:AF$108)+SUMIF('11.1.Амортиз.нови активи'!$B$61:$B$108,$B51,'11.1.Амортиз.нови активи'!AF$61:AF$108)</f>
        <v>2.0000000000000001E-4</v>
      </c>
      <c r="AG51" s="2970"/>
      <c r="AH51" s="2971">
        <f>$AG51-SUMIF('11.2. ДА за периода'!$B$61:$B$108,$B51,'11.2. ДА за периода'!$AG$61:$AG$108)+SUMIF('11.2. ДА за периода'!$B$61:$B$108,$B51,'11.2. ДА за периода'!AH$61:AH$108)+SUMIF('11.1.Амортиз.нови активи'!$B$61:$B$108,$B51,'11.1.Амортиз.нови активи'!AH$61:AH$108)+('11.1.Амортиз.нови активи'!T$112*SUMIF('11.1.Амортиз.нови активи'!$B$61:$B$108,$B51,'11.1.Амортиз.нови активи'!BB$61:BB$108))</f>
        <v>0</v>
      </c>
      <c r="AI51" s="1226">
        <f>$AG51-SUMIF('11.2. ДА за периода'!$B$61:$B$108,$B51,'11.2. ДА за периода'!$AG$61:$AG$108)+SUMIF('11.2. ДА за периода'!$B$61:$B$108,$B51,'11.2. ДА за периода'!AI$61:AI$108)+SUMIF('11.1.Амортиз.нови активи'!$B$61:$B$108,$B51,'11.1.Амортиз.нови активи'!AI$61:AI$108)+('11.1.Амортиз.нови активи'!U$112*SUMIF('11.1.Амортиз.нови активи'!$B$61:$B$108,$B51,'11.1.Амортиз.нови активи'!BC$61:BC$108))</f>
        <v>0</v>
      </c>
      <c r="AJ51" s="1226">
        <f>$AG51-SUMIF('11.2. ДА за периода'!$B$61:$B$108,$B51,'11.2. ДА за периода'!$AG$61:$AG$108)+SUMIF('11.2. ДА за периода'!$B$61:$B$108,$B51,'11.2. ДА за периода'!AJ$61:AJ$108)+SUMIF('11.1.Амортиз.нови активи'!$B$61:$B$108,$B51,'11.1.Амортиз.нови активи'!AJ$61:AJ$108)+('11.1.Амортиз.нови активи'!V$112*SUMIF('11.1.Амортиз.нови активи'!$B$61:$B$108,$B51,'11.1.Амортиз.нови активи'!BD$61:BD$108))</f>
        <v>0</v>
      </c>
      <c r="AK51" s="1226">
        <f>$AG51-SUMIF('11.2. ДА за периода'!$B$61:$B$108,$B51,'11.2. ДА за периода'!$AG$61:$AG$108)+SUMIF('11.2. ДА за периода'!$B$61:$B$108,$B51,'11.2. ДА за периода'!AK$61:AK$108)+SUMIF('11.1.Амортиз.нови активи'!$B$61:$B$108,$B51,'11.1.Амортиз.нови активи'!AK$61:AK$108)+('11.1.Амортиз.нови активи'!W$112*SUMIF('11.1.Амортиз.нови активи'!$B$61:$B$108,$B51,'11.1.Амортиз.нови активи'!BE$61:BE$108))</f>
        <v>0</v>
      </c>
      <c r="AL51" s="1226">
        <f>$AG51-SUMIF('11.2. ДА за периода'!$B$61:$B$108,$B51,'11.2. ДА за периода'!$AG$61:$AG$108)+SUMIF('11.2. ДА за периода'!$B$61:$B$108,$B51,'11.2. ДА за периода'!AL$61:AL$108)+SUMIF('11.1.Амортиз.нови активи'!$B$61:$B$108,$B51,'11.1.Амортиз.нови активи'!AL$61:AL$108)+('11.1.Амортиз.нови активи'!X$112*SUMIF('11.1.Амортиз.нови активи'!$B$61:$B$108,$B51,'11.1.Амортиз.нови активи'!BF$61:BF$108))</f>
        <v>0</v>
      </c>
      <c r="AM51" s="2972">
        <f>$AG51-SUMIF('11.2. ДА за периода'!$B$61:$B$108,$B51,'11.2. ДА за периода'!$AG$61:$AG$108)+SUMIF('11.2. ДА за периода'!$B$61:$B$108,$B51,'11.2. ДА за периода'!AM$61:AM$108)+SUMIF('11.1.Амортиз.нови активи'!$B$61:$B$108,$B51,'11.1.Амортиз.нови активи'!AM$61:AM$108)+('11.1.Амортиз.нови активи'!Y$112*SUMIF('11.1.Амортиз.нови активи'!$B$61:$B$108,$B51,'11.1.Амортиз.нови активи'!BG$61:BG$108))</f>
        <v>0</v>
      </c>
      <c r="AN51" s="2860"/>
      <c r="AO51" s="2898"/>
    </row>
    <row r="52" spans="1:42">
      <c r="A52" s="2878">
        <v>9</v>
      </c>
      <c r="B52" s="2874">
        <v>20603</v>
      </c>
      <c r="C52" s="2869">
        <v>0.5</v>
      </c>
      <c r="D52" s="2899" t="s">
        <v>1023</v>
      </c>
      <c r="E52" s="2970">
        <v>1</v>
      </c>
      <c r="F52" s="2971">
        <f>$E52-SUMIF('11.2. ДА за периода'!$B$61:$B$108,$B52,'11.2. ДА за периода'!$E$61:$E$108)+SUMIF('11.2. ДА за периода'!$B$61:$B$108,$B52,'11.2. ДА за периода'!F$61:F$108)+SUMIF('11.1.Амортиз.нови активи'!$B$61:$B$108,$B52,'11.1.Амортиз.нови активи'!F$61:F$108)+('11.1.Амортиз.нови активи'!F$110*SUMIF('11.1.Амортиз.нови активи'!$B$61:$B$108,$B52,'11.1.Амортиз.нови активи'!AO$61:AO$108))</f>
        <v>1.65</v>
      </c>
      <c r="G52" s="1226">
        <f>$E52-SUMIF('11.2. ДА за периода'!$B$61:$B$108,$B52,'11.2. ДА за периода'!$E$61:$E$108)+SUMIF('11.2. ДА за периода'!$B$61:$B$108,$B52,'11.2. ДА за периода'!G$61:G$108)+SUMIF('11.1.Амортиз.нови активи'!$B$61:$B$108,$B52,'11.1.Амортиз.нови активи'!G$61:G$108)+('11.1.Амортиз.нови активи'!G$110*SUMIF('11.1.Амортиз.нови активи'!$B$61:$B$108,$B52,'11.1.Амортиз.нови активи'!AP$61:AP$108))</f>
        <v>0.14999999999999991</v>
      </c>
      <c r="H52" s="1226">
        <f>$E52-SUMIF('11.2. ДА за периода'!$B$61:$B$108,$B52,'11.2. ДА за периода'!$E$61:$E$108)+SUMIF('11.2. ДА за периода'!$B$61:$B$108,$B52,'11.2. ДА за периода'!H$61:H$108)+SUMIF('11.1.Амортиз.нови активи'!$B$61:$B$108,$B52,'11.1.Амортиз.нови активи'!H$61:H$108)+('11.1.Амортиз.нови активи'!H$110*SUMIF('11.1.Амортиз.нови активи'!$B$61:$B$108,$B52,'11.1.Амортиз.нови активи'!AQ$61:AQ$108))</f>
        <v>0.14999999999999991</v>
      </c>
      <c r="I52" s="1226">
        <f>$E52-SUMIF('11.2. ДА за периода'!$B$61:$B$108,$B52,'11.2. ДА за периода'!$E$61:$E$108)+SUMIF('11.2. ДА за периода'!$B$61:$B$108,$B52,'11.2. ДА за периода'!I$61:I$108)+SUMIF('11.1.Амортиз.нови активи'!$B$61:$B$108,$B52,'11.1.Амортиз.нови активи'!I$61:I$108)+('11.1.Амортиз.нови активи'!I$110*SUMIF('11.1.Амортиз.нови активи'!$B$61:$B$108,$B52,'11.1.Амортиз.нови активи'!AR$61:AR$108))</f>
        <v>0.14999999999999991</v>
      </c>
      <c r="J52" s="1226">
        <f>$E52-SUMIF('11.2. ДА за периода'!$B$61:$B$108,$B52,'11.2. ДА за периода'!$E$61:$E$108)+SUMIF('11.2. ДА за периода'!$B$61:$B$108,$B52,'11.2. ДА за периода'!J$61:J$108)+SUMIF('11.1.Амортиз.нови активи'!$B$61:$B$108,$B52,'11.1.Амортиз.нови активи'!J$61:J$108)+('11.1.Амортиз.нови активи'!J$110*SUMIF('11.1.Амортиз.нови активи'!$B$61:$B$108,$B52,'11.1.Амортиз.нови активи'!AS$61:AS$108))</f>
        <v>0.14999999999999991</v>
      </c>
      <c r="K52" s="2972">
        <f>$E52-SUMIF('11.2. ДА за периода'!$B$61:$B$108,$B52,'11.2. ДА за периода'!$E$61:$E$108)+SUMIF('11.2. ДА за периода'!$B$61:$B$108,$B52,'11.2. ДА за периода'!K$61:K$108)+SUMIF('11.1.Амортиз.нови активи'!$B$61:$B$108,$B52,'11.1.Амортиз.нови активи'!K$61:K$108)+('11.1.Амортиз.нови активи'!K$110*SUMIF('11.1.Амортиз.нови активи'!$B$61:$B$108,$B52,'11.1.Амортиз.нови активи'!AT$61:AT$108))</f>
        <v>0.14999999999999991</v>
      </c>
      <c r="L52" s="2970">
        <v>0</v>
      </c>
      <c r="M52" s="2971">
        <f>$L52-SUMIF('11.2. ДА за периода'!$B$61:$B$108,$B52,'11.2. ДА за периода'!$L$61:$L$108)+SUMIF('11.2. ДА за периода'!$B$61:$B$108,$B52,'11.2. ДА за периода'!M$61:M$108)+SUMIF('11.1.Амортиз.нови активи'!$B$61:$B$108,$B52,'11.1.Амортиз.нови активи'!M$61:M$108)+('11.1.Амортиз.нови активи'!F$111*SUMIF('11.1.Амортиз.нови активи'!$B$61:$B$108,$B52,'11.1.Амортиз.нови активи'!AO$61:AO$108))</f>
        <v>0.18049999999999999</v>
      </c>
      <c r="N52" s="1226">
        <f>$L52-SUMIF('11.2. ДА за периода'!$B$61:$B$108,$B52,'11.2. ДА за периода'!$L$61:$L$108)+SUMIF('11.2. ДА за периода'!$B$61:$B$108,$B52,'11.2. ДА за периода'!N$61:N$108)+SUMIF('11.1.Амортиз.нови активи'!$B$61:$B$108,$B52,'11.1.Амортиз.нови активи'!N$61:N$108)+('11.1.Амортиз.нови активи'!G$111*SUMIF('11.1.Амортиз.нови активи'!$B$61:$B$108,$B52,'11.1.Амортиз.нови активи'!AP$61:AP$108))</f>
        <v>0.18049999999999999</v>
      </c>
      <c r="O52" s="1226">
        <f>$L52-SUMIF('11.2. ДА за периода'!$B$61:$B$108,$B52,'11.2. ДА за периода'!$L$61:$L$108)+SUMIF('11.2. ДА за периода'!$B$61:$B$108,$B52,'11.2. ДА за периода'!O$61:O$108)+SUMIF('11.1.Амортиз.нови активи'!$B$61:$B$108,$B52,'11.1.Амортиз.нови активи'!O$61:O$108)+('11.1.Амортиз.нови активи'!H$111*SUMIF('11.1.Амортиз.нови активи'!$B$61:$B$108,$B52,'11.1.Амортиз.нови активи'!AQ$61:AQ$108))</f>
        <v>0.18049999999999999</v>
      </c>
      <c r="P52" s="1226">
        <f>$L52-SUMIF('11.2. ДА за периода'!$B$61:$B$108,$B52,'11.2. ДА за периода'!$L$61:$L$108)+SUMIF('11.2. ДА за периода'!$B$61:$B$108,$B52,'11.2. ДА за периода'!P$61:P$108)+SUMIF('11.1.Амортиз.нови активи'!$B$61:$B$108,$B52,'11.1.Амортиз.нови активи'!P$61:P$108)+('11.1.Амортиз.нови активи'!I$111*SUMIF('11.1.Амортиз.нови активи'!$B$61:$B$108,$B52,'11.1.Амортиз.нови активи'!AR$61:AR$108))</f>
        <v>0.18049999999999999</v>
      </c>
      <c r="Q52" s="1226">
        <f>$L52-SUMIF('11.2. ДА за периода'!$B$61:$B$108,$B52,'11.2. ДА за периода'!$L$61:$L$108)+SUMIF('11.2. ДА за периода'!$B$61:$B$108,$B52,'11.2. ДА за периода'!Q$61:Q$108)+SUMIF('11.1.Амортиз.нови активи'!$B$61:$B$108,$B52,'11.1.Амортиз.нови активи'!Q$61:Q$108)+('11.1.Амортиз.нови активи'!J$111*SUMIF('11.1.Амортиз.нови активи'!$B$61:$B$108,$B52,'11.1.Амортиз.нови активи'!AS$61:AS$108))</f>
        <v>0.18049999999999999</v>
      </c>
      <c r="R52" s="2972">
        <f>$L52-SUMIF('11.2. ДА за периода'!$B$61:$B$108,$B52,'11.2. ДА за периода'!$L$61:$L$108)+SUMIF('11.2. ДА за периода'!$B$61:$B$108,$B52,'11.2. ДА за периода'!R$61:R$108)+SUMIF('11.1.Амортиз.нови активи'!$B$61:$B$108,$B52,'11.1.Амортиз.нови активи'!R$61:R$108)+('11.1.Амортиз.нови активи'!K$111*SUMIF('11.1.Амортиз.нови активи'!$B$61:$B$108,$B52,'11.1.Амортиз.нови активи'!AT$61:AT$108))</f>
        <v>0.18049999999999999</v>
      </c>
      <c r="S52" s="2970">
        <v>0</v>
      </c>
      <c r="T52" s="2971">
        <f>$S52-SUMIF('11.2. ДА за периода'!$B$61:$B$108,$B52,'11.2. ДА за периода'!$S$61:$S$108)+SUMIF('11.2. ДА за периода'!$B$61:$B$108,$B52,'11.2. ДА за периода'!T$61:T$108)+SUMIF('11.1.Амортиз.нови активи'!$B$61:$B$108,$B52,'11.1.Амортиз.нови активи'!T$61:T$108)+('11.1.Амортиз.нови активи'!F$112*SUMIF('11.1.Амортиз.нови активи'!$B$61:$B$108,$B52,'11.1.Амортиз.нови активи'!AO$61:AO$108))</f>
        <v>8.1000000000000003E-2</v>
      </c>
      <c r="U52" s="1226">
        <f>$S52-SUMIF('11.2. ДА за периода'!$B$61:$B$108,$B52,'11.2. ДА за периода'!$S$61:$S$108)+SUMIF('11.2. ДА за периода'!$B$61:$B$108,$B52,'11.2. ДА за периода'!U$61:U$108)+SUMIF('11.1.Амортиз.нови активи'!$B$61:$B$108,$B52,'11.1.Амортиз.нови активи'!U$61:U$108)+('11.1.Амортиз.нови активи'!G$112*SUMIF('11.1.Амортиз.нови активи'!$B$61:$B$108,$B52,'11.1.Амортиз.нови активи'!AP$61:AP$108))</f>
        <v>8.1000000000000003E-2</v>
      </c>
      <c r="V52" s="1226">
        <f>$S52-SUMIF('11.2. ДА за периода'!$B$61:$B$108,$B52,'11.2. ДА за периода'!$S$61:$S$108)+SUMIF('11.2. ДА за периода'!$B$61:$B$108,$B52,'11.2. ДА за периода'!V$61:V$108)+SUMIF('11.1.Амортиз.нови активи'!$B$61:$B$108,$B52,'11.1.Амортиз.нови активи'!V$61:V$108)+('11.1.Амортиз.нови активи'!H$112*SUMIF('11.1.Амортиз.нови активи'!$B$61:$B$108,$B52,'11.1.Амортиз.нови активи'!AQ$61:AQ$108))</f>
        <v>8.1000000000000003E-2</v>
      </c>
      <c r="W52" s="1226">
        <f>$S52-SUMIF('11.2. ДА за периода'!$B$61:$B$108,$B52,'11.2. ДА за периода'!$S$61:$S$108)+SUMIF('11.2. ДА за периода'!$B$61:$B$108,$B52,'11.2. ДА за периода'!W$61:W$108)+SUMIF('11.1.Амортиз.нови активи'!$B$61:$B$108,$B52,'11.1.Амортиз.нови активи'!W$61:W$108)+('11.1.Амортиз.нови активи'!I$112*SUMIF('11.1.Амортиз.нови активи'!$B$61:$B$108,$B52,'11.1.Амортиз.нови активи'!AR$61:AR$108))</f>
        <v>8.1000000000000003E-2</v>
      </c>
      <c r="X52" s="1226">
        <f>$S52-SUMIF('11.2. ДА за периода'!$B$61:$B$108,$B52,'11.2. ДА за периода'!$S$61:$S$108)+SUMIF('11.2. ДА за периода'!$B$61:$B$108,$B52,'11.2. ДА за периода'!X$61:X$108)+SUMIF('11.1.Амортиз.нови активи'!$B$61:$B$108,$B52,'11.1.Амортиз.нови активи'!X$61:X$108)+('11.1.Амортиз.нови активи'!J$112*SUMIF('11.1.Амортиз.нови активи'!$B$61:$B$108,$B52,'11.1.Амортиз.нови активи'!AS$61:AS$108))</f>
        <v>8.1000000000000003E-2</v>
      </c>
      <c r="Y52" s="2972">
        <f>$S52-SUMIF('11.2. ДА за периода'!$B$61:$B$108,$B52,'11.2. ДА за периода'!$S$61:$S$108)+SUMIF('11.2. ДА за периода'!$B$61:$B$108,$B52,'11.2. ДА за периода'!Y$61:Y$108)+SUMIF('11.1.Амортиз.нови активи'!$B$61:$B$108,$B52,'11.1.Амортиз.нови активи'!Y$61:Y$108)+('11.1.Амортиз.нови активи'!K$112*SUMIF('11.1.Амортиз.нови активи'!$B$61:$B$108,$B52,'11.1.Амортиз.нови активи'!AT$61:AT$108))</f>
        <v>8.1000000000000003E-2</v>
      </c>
      <c r="Z52" s="448">
        <v>0</v>
      </c>
      <c r="AA52" s="2971">
        <f>$Z52-SUMIF('11.2. ДА за периода'!$B$61:$B$108,$B52,'11.2. ДА за периода'!$Z$61:$Z$108)+SUMIF('11.2. ДА за периода'!$B$61:$B$108,$B52,'11.2. ДА за периода'!AA$61:AA$108)+SUMIF('11.1.Амортиз.нови активи'!$B$61:$B$108,$B52,'11.1.Амортиз.нови активи'!AA$61:AA$108)</f>
        <v>2.4999999999999996E-3</v>
      </c>
      <c r="AB52" s="1226">
        <f>$Z52-SUMIF('11.2. ДА за периода'!$B$61:$B$108,$B52,'11.2. ДА за периода'!$Z$61:$Z$108)+SUMIF('11.2. ДА за периода'!$B$61:$B$108,$B52,'11.2. ДА за периода'!AB$61:AB$108)+SUMIF('11.1.Амортиз.нови активи'!$B$61:$B$108,$B52,'11.1.Амортиз.нови активи'!AB$61:AB$108)</f>
        <v>2.4999999999999996E-3</v>
      </c>
      <c r="AC52" s="1226">
        <f>$Z52-SUMIF('11.2. ДА за периода'!$B$61:$B$108,$B52,'11.2. ДА за периода'!$Z$61:$Z$108)+SUMIF('11.2. ДА за периода'!$B$61:$B$108,$B52,'11.2. ДА за периода'!AC$61:AC$108)+SUMIF('11.1.Амортиз.нови активи'!$B$61:$B$108,$B52,'11.1.Амортиз.нови активи'!AC$61:AC$108)</f>
        <v>2.4999999999999996E-3</v>
      </c>
      <c r="AD52" s="1226">
        <f>$Z52-SUMIF('11.2. ДА за периода'!$B$61:$B$108,$B52,'11.2. ДА за периода'!$Z$61:$Z$108)+SUMIF('11.2. ДА за периода'!$B$61:$B$108,$B52,'11.2. ДА за периода'!AD$61:AD$108)+SUMIF('11.1.Амортиз.нови активи'!$B$61:$B$108,$B52,'11.1.Амортиз.нови активи'!AD$61:AD$108)</f>
        <v>2.4999999999999996E-3</v>
      </c>
      <c r="AE52" s="1226">
        <f>$Z52-SUMIF('11.2. ДА за периода'!$B$61:$B$108,$B52,'11.2. ДА за периода'!$Z$61:$Z$108)+SUMIF('11.2. ДА за периода'!$B$61:$B$108,$B52,'11.2. ДА за периода'!AE$61:AE$108)+SUMIF('11.1.Амортиз.нови активи'!$B$61:$B$108,$B52,'11.1.Амортиз.нови активи'!AE$61:AE$108)</f>
        <v>2.4999999999999996E-3</v>
      </c>
      <c r="AF52" s="2972">
        <f>$Z52-SUMIF('11.2. ДА за периода'!$B$61:$B$108,$B52,'11.2. ДА за периода'!$Z$61:$Z$108)+SUMIF('11.2. ДА за периода'!$B$61:$B$108,$B52,'11.2. ДА за периода'!AF$61:AF$108)+SUMIF('11.1.Амортиз.нови активи'!$B$61:$B$108,$B52,'11.1.Амортиз.нови активи'!AF$61:AF$108)</f>
        <v>2.4999999999999996E-3</v>
      </c>
      <c r="AG52" s="2970"/>
      <c r="AH52" s="2971">
        <f>$AG52-SUMIF('11.2. ДА за периода'!$B$61:$B$108,$B52,'11.2. ДА за периода'!$AG$61:$AG$108)+SUMIF('11.2. ДА за периода'!$B$61:$B$108,$B52,'11.2. ДА за периода'!AH$61:AH$108)+SUMIF('11.1.Амортиз.нови активи'!$B$61:$B$108,$B52,'11.1.Амортиз.нови активи'!AH$61:AH$108)+('11.1.Амортиз.нови активи'!T$112*SUMIF('11.1.Амортиз.нови активи'!$B$61:$B$108,$B52,'11.1.Амортиз.нови активи'!BB$61:BB$108))</f>
        <v>0</v>
      </c>
      <c r="AI52" s="1226">
        <f>$AG52-SUMIF('11.2. ДА за периода'!$B$61:$B$108,$B52,'11.2. ДА за периода'!$AG$61:$AG$108)+SUMIF('11.2. ДА за периода'!$B$61:$B$108,$B52,'11.2. ДА за периода'!AI$61:AI$108)+SUMIF('11.1.Амортиз.нови активи'!$B$61:$B$108,$B52,'11.1.Амортиз.нови активи'!AI$61:AI$108)+('11.1.Амортиз.нови активи'!U$112*SUMIF('11.1.Амортиз.нови активи'!$B$61:$B$108,$B52,'11.1.Амортиз.нови активи'!BC$61:BC$108))</f>
        <v>0</v>
      </c>
      <c r="AJ52" s="1226">
        <f>$AG52-SUMIF('11.2. ДА за периода'!$B$61:$B$108,$B52,'11.2. ДА за периода'!$AG$61:$AG$108)+SUMIF('11.2. ДА за периода'!$B$61:$B$108,$B52,'11.2. ДА за периода'!AJ$61:AJ$108)+SUMIF('11.1.Амортиз.нови активи'!$B$61:$B$108,$B52,'11.1.Амортиз.нови активи'!AJ$61:AJ$108)+('11.1.Амортиз.нови активи'!V$112*SUMIF('11.1.Амортиз.нови активи'!$B$61:$B$108,$B52,'11.1.Амортиз.нови активи'!BD$61:BD$108))</f>
        <v>0</v>
      </c>
      <c r="AK52" s="1226">
        <f>$AG52-SUMIF('11.2. ДА за периода'!$B$61:$B$108,$B52,'11.2. ДА за периода'!$AG$61:$AG$108)+SUMIF('11.2. ДА за периода'!$B$61:$B$108,$B52,'11.2. ДА за периода'!AK$61:AK$108)+SUMIF('11.1.Амортиз.нови активи'!$B$61:$B$108,$B52,'11.1.Амортиз.нови активи'!AK$61:AK$108)+('11.1.Амортиз.нови активи'!W$112*SUMIF('11.1.Амортиз.нови активи'!$B$61:$B$108,$B52,'11.1.Амортиз.нови активи'!BE$61:BE$108))</f>
        <v>0</v>
      </c>
      <c r="AL52" s="1226">
        <f>$AG52-SUMIF('11.2. ДА за периода'!$B$61:$B$108,$B52,'11.2. ДА за периода'!$AG$61:$AG$108)+SUMIF('11.2. ДА за периода'!$B$61:$B$108,$B52,'11.2. ДА за периода'!AL$61:AL$108)+SUMIF('11.1.Амортиз.нови активи'!$B$61:$B$108,$B52,'11.1.Амортиз.нови активи'!AL$61:AL$108)+('11.1.Амортиз.нови активи'!X$112*SUMIF('11.1.Амортиз.нови активи'!$B$61:$B$108,$B52,'11.1.Амортиз.нови активи'!BF$61:BF$108))</f>
        <v>0</v>
      </c>
      <c r="AM52" s="2972">
        <f>$AG52-SUMIF('11.2. ДА за периода'!$B$61:$B$108,$B52,'11.2. ДА за периода'!$AG$61:$AG$108)+SUMIF('11.2. ДА за периода'!$B$61:$B$108,$B52,'11.2. ДА за периода'!AM$61:AM$108)+SUMIF('11.1.Амортиз.нови активи'!$B$61:$B$108,$B52,'11.1.Амортиз.нови активи'!AM$61:AM$108)+('11.1.Амортиз.нови активи'!Y$112*SUMIF('11.1.Амортиз.нови активи'!$B$61:$B$108,$B52,'11.1.Амортиз.нови активи'!BG$61:BG$108))</f>
        <v>0</v>
      </c>
      <c r="AN52" s="2860"/>
      <c r="AO52" s="2898"/>
    </row>
    <row r="53" spans="1:42">
      <c r="A53" s="2878">
        <v>10</v>
      </c>
      <c r="B53" s="2877">
        <v>209</v>
      </c>
      <c r="C53" s="2858">
        <v>0.1</v>
      </c>
      <c r="D53" s="2899" t="s">
        <v>218</v>
      </c>
      <c r="E53" s="2970">
        <v>1</v>
      </c>
      <c r="F53" s="2971">
        <f>$E53-SUMIF('11.2. ДА за периода'!$B$61:$B$108,$B53,'11.2. ДА за периода'!$E$61:$E$108)+SUMIF('11.2. ДА за периода'!$B$61:$B$108,$B53,'11.2. ДА за периода'!F$61:F$108)+SUMIF('11.1.Амортиз.нови активи'!$B$61:$B$108,$B53,'11.1.Амортиз.нови активи'!F$61:F$108)+('11.1.Амортиз.нови активи'!F$110*SUMIF('11.1.Амортиз.нови активи'!$B$61:$B$108,$B53,'11.1.Амортиз.нови активи'!AO$61:AO$108))</f>
        <v>1</v>
      </c>
      <c r="G53" s="1226">
        <f>$E53-SUMIF('11.2. ДА за периода'!$B$61:$B$108,$B53,'11.2. ДА за периода'!$E$61:$E$108)+SUMIF('11.2. ДА за периода'!$B$61:$B$108,$B53,'11.2. ДА за периода'!G$61:G$108)+SUMIF('11.1.Амортиз.нови активи'!$B$61:$B$108,$B53,'11.1.Амортиз.нови активи'!G$61:G$108)+('11.1.Амортиз.нови активи'!G$110*SUMIF('11.1.Амортиз.нови активи'!$B$61:$B$108,$B53,'11.1.Амортиз.нови активи'!AP$61:AP$108))</f>
        <v>1</v>
      </c>
      <c r="H53" s="1226">
        <f>$E53-SUMIF('11.2. ДА за периода'!$B$61:$B$108,$B53,'11.2. ДА за периода'!$E$61:$E$108)+SUMIF('11.2. ДА за периода'!$B$61:$B$108,$B53,'11.2. ДА за периода'!H$61:H$108)+SUMIF('11.1.Амортиз.нови активи'!$B$61:$B$108,$B53,'11.1.Амортиз.нови активи'!H$61:H$108)+('11.1.Амортиз.нови активи'!H$110*SUMIF('11.1.Амортиз.нови активи'!$B$61:$B$108,$B53,'11.1.Амортиз.нови активи'!AQ$61:AQ$108))</f>
        <v>1</v>
      </c>
      <c r="I53" s="1226">
        <f>$E53-SUMIF('11.2. ДА за периода'!$B$61:$B$108,$B53,'11.2. ДА за периода'!$E$61:$E$108)+SUMIF('11.2. ДА за периода'!$B$61:$B$108,$B53,'11.2. ДА за периода'!I$61:I$108)+SUMIF('11.1.Амортиз.нови активи'!$B$61:$B$108,$B53,'11.1.Амортиз.нови активи'!I$61:I$108)+('11.1.Амортиз.нови активи'!I$110*SUMIF('11.1.Амортиз.нови активи'!$B$61:$B$108,$B53,'11.1.Амортиз.нови активи'!AR$61:AR$108))</f>
        <v>1</v>
      </c>
      <c r="J53" s="1226">
        <f>$E53-SUMIF('11.2. ДА за периода'!$B$61:$B$108,$B53,'11.2. ДА за периода'!$E$61:$E$108)+SUMIF('11.2. ДА за периода'!$B$61:$B$108,$B53,'11.2. ДА за периода'!J$61:J$108)+SUMIF('11.1.Амортиз.нови активи'!$B$61:$B$108,$B53,'11.1.Амортиз.нови активи'!J$61:J$108)+('11.1.Амортиз.нови активи'!J$110*SUMIF('11.1.Амортиз.нови активи'!$B$61:$B$108,$B53,'11.1.Амортиз.нови активи'!AS$61:AS$108))</f>
        <v>0</v>
      </c>
      <c r="K53" s="2972">
        <f>$E53-SUMIF('11.2. ДА за периода'!$B$61:$B$108,$B53,'11.2. ДА за периода'!$E$61:$E$108)+SUMIF('11.2. ДА за периода'!$B$61:$B$108,$B53,'11.2. ДА за периода'!K$61:K$108)+SUMIF('11.1.Амортиз.нови активи'!$B$61:$B$108,$B53,'11.1.Амортиз.нови активи'!K$61:K$108)+('11.1.Амортиз.нови активи'!K$110*SUMIF('11.1.Амортиз.нови активи'!$B$61:$B$108,$B53,'11.1.Амортиз.нови активи'!AT$61:AT$108))</f>
        <v>0</v>
      </c>
      <c r="L53" s="2970">
        <v>0</v>
      </c>
      <c r="M53" s="2971">
        <f>$L53-SUMIF('11.2. ДА за периода'!$B$61:$B$108,$B53,'11.2. ДА за периода'!$L$61:$L$108)+SUMIF('11.2. ДА за периода'!$B$61:$B$108,$B53,'11.2. ДА за периода'!M$61:M$108)+SUMIF('11.1.Амортиз.нови активи'!$B$61:$B$108,$B53,'11.1.Амортиз.нови активи'!M$61:M$108)+('11.1.Амортиз.нови активи'!F$111*SUMIF('11.1.Амортиз.нови активи'!$B$61:$B$108,$B53,'11.1.Амортиз.нови активи'!AO$61:AO$108))</f>
        <v>0</v>
      </c>
      <c r="N53" s="1226">
        <f>$L53-SUMIF('11.2. ДА за периода'!$B$61:$B$108,$B53,'11.2. ДА за периода'!$L$61:$L$108)+SUMIF('11.2. ДА за периода'!$B$61:$B$108,$B53,'11.2. ДА за периода'!N$61:N$108)+SUMIF('11.1.Амортиз.нови активи'!$B$61:$B$108,$B53,'11.1.Амортиз.нови активи'!N$61:N$108)+('11.1.Амортиз.нови активи'!G$111*SUMIF('11.1.Амортиз.нови активи'!$B$61:$B$108,$B53,'11.1.Амортиз.нови активи'!AP$61:AP$108))</f>
        <v>0</v>
      </c>
      <c r="O53" s="1226">
        <f>$L53-SUMIF('11.2. ДА за периода'!$B$61:$B$108,$B53,'11.2. ДА за периода'!$L$61:$L$108)+SUMIF('11.2. ДА за периода'!$B$61:$B$108,$B53,'11.2. ДА за периода'!O$61:O$108)+SUMIF('11.1.Амортиз.нови активи'!$B$61:$B$108,$B53,'11.1.Амортиз.нови активи'!O$61:O$108)+('11.1.Амортиз.нови активи'!H$111*SUMIF('11.1.Амортиз.нови активи'!$B$61:$B$108,$B53,'11.1.Амортиз.нови активи'!AQ$61:AQ$108))</f>
        <v>0</v>
      </c>
      <c r="P53" s="1226">
        <f>$L53-SUMIF('11.2. ДА за периода'!$B$61:$B$108,$B53,'11.2. ДА за периода'!$L$61:$L$108)+SUMIF('11.2. ДА за периода'!$B$61:$B$108,$B53,'11.2. ДА за периода'!P$61:P$108)+SUMIF('11.1.Амортиз.нови активи'!$B$61:$B$108,$B53,'11.1.Амортиз.нови активи'!P$61:P$108)+('11.1.Амортиз.нови активи'!I$111*SUMIF('11.1.Амортиз.нови активи'!$B$61:$B$108,$B53,'11.1.Амортиз.нови активи'!AR$61:AR$108))</f>
        <v>0</v>
      </c>
      <c r="Q53" s="1226">
        <f>$L53-SUMIF('11.2. ДА за периода'!$B$61:$B$108,$B53,'11.2. ДА за периода'!$L$61:$L$108)+SUMIF('11.2. ДА за периода'!$B$61:$B$108,$B53,'11.2. ДА за периода'!Q$61:Q$108)+SUMIF('11.1.Амортиз.нови активи'!$B$61:$B$108,$B53,'11.1.Амортиз.нови активи'!Q$61:Q$108)+('11.1.Амортиз.нови активи'!J$111*SUMIF('11.1.Амортиз.нови активи'!$B$61:$B$108,$B53,'11.1.Амортиз.нови активи'!AS$61:AS$108))</f>
        <v>0</v>
      </c>
      <c r="R53" s="2972">
        <f>$L53-SUMIF('11.2. ДА за периода'!$B$61:$B$108,$B53,'11.2. ДА за периода'!$L$61:$L$108)+SUMIF('11.2. ДА за периода'!$B$61:$B$108,$B53,'11.2. ДА за периода'!R$61:R$108)+SUMIF('11.1.Амортиз.нови активи'!$B$61:$B$108,$B53,'11.1.Амортиз.нови активи'!R$61:R$108)+('11.1.Амортиз.нови активи'!K$111*SUMIF('11.1.Амортиз.нови активи'!$B$61:$B$108,$B53,'11.1.Амортиз.нови активи'!AT$61:AT$108))</f>
        <v>0</v>
      </c>
      <c r="S53" s="2970">
        <v>0</v>
      </c>
      <c r="T53" s="2971">
        <f>$S53-SUMIF('11.2. ДА за периода'!$B$61:$B$108,$B53,'11.2. ДА за периода'!$S$61:$S$108)+SUMIF('11.2. ДА за периода'!$B$61:$B$108,$B53,'11.2. ДА за периода'!T$61:T$108)+SUMIF('11.1.Амортиз.нови активи'!$B$61:$B$108,$B53,'11.1.Амортиз.нови активи'!T$61:T$108)+('11.1.Амортиз.нови активи'!F$112*SUMIF('11.1.Амортиз.нови активи'!$B$61:$B$108,$B53,'11.1.Амортиз.нови активи'!AO$61:AO$108))</f>
        <v>0</v>
      </c>
      <c r="U53" s="1226">
        <f>$S53-SUMIF('11.2. ДА за периода'!$B$61:$B$108,$B53,'11.2. ДА за периода'!$S$61:$S$108)+SUMIF('11.2. ДА за периода'!$B$61:$B$108,$B53,'11.2. ДА за периода'!U$61:U$108)+SUMIF('11.1.Амортиз.нови активи'!$B$61:$B$108,$B53,'11.1.Амортиз.нови активи'!U$61:U$108)+('11.1.Амортиз.нови активи'!G$112*SUMIF('11.1.Амортиз.нови активи'!$B$61:$B$108,$B53,'11.1.Амортиз.нови активи'!AP$61:AP$108))</f>
        <v>0</v>
      </c>
      <c r="V53" s="1226">
        <f>$S53-SUMIF('11.2. ДА за периода'!$B$61:$B$108,$B53,'11.2. ДА за периода'!$S$61:$S$108)+SUMIF('11.2. ДА за периода'!$B$61:$B$108,$B53,'11.2. ДА за периода'!V$61:V$108)+SUMIF('11.1.Амортиз.нови активи'!$B$61:$B$108,$B53,'11.1.Амортиз.нови активи'!V$61:V$108)+('11.1.Амортиз.нови активи'!H$112*SUMIF('11.1.Амортиз.нови активи'!$B$61:$B$108,$B53,'11.1.Амортиз.нови активи'!AQ$61:AQ$108))</f>
        <v>0</v>
      </c>
      <c r="W53" s="1226">
        <f>$S53-SUMIF('11.2. ДА за периода'!$B$61:$B$108,$B53,'11.2. ДА за периода'!$S$61:$S$108)+SUMIF('11.2. ДА за периода'!$B$61:$B$108,$B53,'11.2. ДА за периода'!W$61:W$108)+SUMIF('11.1.Амортиз.нови активи'!$B$61:$B$108,$B53,'11.1.Амортиз.нови активи'!W$61:W$108)+('11.1.Амортиз.нови активи'!I$112*SUMIF('11.1.Амортиз.нови активи'!$B$61:$B$108,$B53,'11.1.Амортиз.нови активи'!AR$61:AR$108))</f>
        <v>0</v>
      </c>
      <c r="X53" s="1226">
        <f>$S53-SUMIF('11.2. ДА за периода'!$B$61:$B$108,$B53,'11.2. ДА за периода'!$S$61:$S$108)+SUMIF('11.2. ДА за периода'!$B$61:$B$108,$B53,'11.2. ДА за периода'!X$61:X$108)+SUMIF('11.1.Амортиз.нови активи'!$B$61:$B$108,$B53,'11.1.Амортиз.нови активи'!X$61:X$108)+('11.1.Амортиз.нови активи'!J$112*SUMIF('11.1.Амортиз.нови активи'!$B$61:$B$108,$B53,'11.1.Амортиз.нови активи'!AS$61:AS$108))</f>
        <v>0</v>
      </c>
      <c r="Y53" s="2972">
        <f>$S53-SUMIF('11.2. ДА за периода'!$B$61:$B$108,$B53,'11.2. ДА за периода'!$S$61:$S$108)+SUMIF('11.2. ДА за периода'!$B$61:$B$108,$B53,'11.2. ДА за периода'!Y$61:Y$108)+SUMIF('11.1.Амортиз.нови активи'!$B$61:$B$108,$B53,'11.1.Амортиз.нови активи'!Y$61:Y$108)+('11.1.Амортиз.нови активи'!K$112*SUMIF('11.1.Амортиз.нови активи'!$B$61:$B$108,$B53,'11.1.Амортиз.нови активи'!AT$61:AT$108))</f>
        <v>0</v>
      </c>
      <c r="Z53" s="448">
        <v>0</v>
      </c>
      <c r="AA53" s="2971">
        <f>$Z53-SUMIF('11.2. ДА за периода'!$B$61:$B$108,$B53,'11.2. ДА за периода'!$Z$61:$Z$108)+SUMIF('11.2. ДА за периода'!$B$61:$B$108,$B53,'11.2. ДА за периода'!AA$61:AA$108)+SUMIF('11.1.Амортиз.нови активи'!$B$61:$B$108,$B53,'11.1.Амортиз.нови активи'!AA$61:AA$108)</f>
        <v>0</v>
      </c>
      <c r="AB53" s="1226">
        <f>$Z53-SUMIF('11.2. ДА за периода'!$B$61:$B$108,$B53,'11.2. ДА за периода'!$Z$61:$Z$108)+SUMIF('11.2. ДА за периода'!$B$61:$B$108,$B53,'11.2. ДА за периода'!AB$61:AB$108)+SUMIF('11.1.Амортиз.нови активи'!$B$61:$B$108,$B53,'11.1.Амортиз.нови активи'!AB$61:AB$108)</f>
        <v>0</v>
      </c>
      <c r="AC53" s="1226">
        <f>$Z53-SUMIF('11.2. ДА за периода'!$B$61:$B$108,$B53,'11.2. ДА за периода'!$Z$61:$Z$108)+SUMIF('11.2. ДА за периода'!$B$61:$B$108,$B53,'11.2. ДА за периода'!AC$61:AC$108)+SUMIF('11.1.Амортиз.нови активи'!$B$61:$B$108,$B53,'11.1.Амортиз.нови активи'!AC$61:AC$108)</f>
        <v>0</v>
      </c>
      <c r="AD53" s="1226">
        <f>$Z53-SUMIF('11.2. ДА за периода'!$B$61:$B$108,$B53,'11.2. ДА за периода'!$Z$61:$Z$108)+SUMIF('11.2. ДА за периода'!$B$61:$B$108,$B53,'11.2. ДА за периода'!AD$61:AD$108)+SUMIF('11.1.Амортиз.нови активи'!$B$61:$B$108,$B53,'11.1.Амортиз.нови активи'!AD$61:AD$108)</f>
        <v>0</v>
      </c>
      <c r="AE53" s="1226">
        <f>$Z53-SUMIF('11.2. ДА за периода'!$B$61:$B$108,$B53,'11.2. ДА за периода'!$Z$61:$Z$108)+SUMIF('11.2. ДА за периода'!$B$61:$B$108,$B53,'11.2. ДА за периода'!AE$61:AE$108)+SUMIF('11.1.Амортиз.нови активи'!$B$61:$B$108,$B53,'11.1.Амортиз.нови активи'!AE$61:AE$108)</f>
        <v>0</v>
      </c>
      <c r="AF53" s="2972">
        <f>$Z53-SUMIF('11.2. ДА за периода'!$B$61:$B$108,$B53,'11.2. ДА за периода'!$Z$61:$Z$108)+SUMIF('11.2. ДА за периода'!$B$61:$B$108,$B53,'11.2. ДА за периода'!AF$61:AF$108)+SUMIF('11.1.Амортиз.нови активи'!$B$61:$B$108,$B53,'11.1.Амортиз.нови активи'!AF$61:AF$108)</f>
        <v>0</v>
      </c>
      <c r="AG53" s="2970"/>
      <c r="AH53" s="2971">
        <f>$AG53-SUMIF('11.2. ДА за периода'!$B$61:$B$108,$B53,'11.2. ДА за периода'!$AG$61:$AG$108)+SUMIF('11.2. ДА за периода'!$B$61:$B$108,$B53,'11.2. ДА за периода'!AH$61:AH$108)+SUMIF('11.1.Амортиз.нови активи'!$B$61:$B$108,$B53,'11.1.Амортиз.нови активи'!AH$61:AH$108)+('11.1.Амортиз.нови активи'!T$112*SUMIF('11.1.Амортиз.нови активи'!$B$61:$B$108,$B53,'11.1.Амортиз.нови активи'!BB$61:BB$108))</f>
        <v>0</v>
      </c>
      <c r="AI53" s="1226">
        <f>$AG53-SUMIF('11.2. ДА за периода'!$B$61:$B$108,$B53,'11.2. ДА за периода'!$AG$61:$AG$108)+SUMIF('11.2. ДА за периода'!$B$61:$B$108,$B53,'11.2. ДА за периода'!AI$61:AI$108)+SUMIF('11.1.Амортиз.нови активи'!$B$61:$B$108,$B53,'11.1.Амортиз.нови активи'!AI$61:AI$108)+('11.1.Амортиз.нови активи'!U$112*SUMIF('11.1.Амортиз.нови активи'!$B$61:$B$108,$B53,'11.1.Амортиз.нови активи'!BC$61:BC$108))</f>
        <v>0</v>
      </c>
      <c r="AJ53" s="1226">
        <f>$AG53-SUMIF('11.2. ДА за периода'!$B$61:$B$108,$B53,'11.2. ДА за периода'!$AG$61:$AG$108)+SUMIF('11.2. ДА за периода'!$B$61:$B$108,$B53,'11.2. ДА за периода'!AJ$61:AJ$108)+SUMIF('11.1.Амортиз.нови активи'!$B$61:$B$108,$B53,'11.1.Амортиз.нови активи'!AJ$61:AJ$108)+('11.1.Амортиз.нови активи'!V$112*SUMIF('11.1.Амортиз.нови активи'!$B$61:$B$108,$B53,'11.1.Амортиз.нови активи'!BD$61:BD$108))</f>
        <v>0</v>
      </c>
      <c r="AK53" s="1226">
        <f>$AG53-SUMIF('11.2. ДА за периода'!$B$61:$B$108,$B53,'11.2. ДА за периода'!$AG$61:$AG$108)+SUMIF('11.2. ДА за периода'!$B$61:$B$108,$B53,'11.2. ДА за периода'!AK$61:AK$108)+SUMIF('11.1.Амортиз.нови активи'!$B$61:$B$108,$B53,'11.1.Амортиз.нови активи'!AK$61:AK$108)+('11.1.Амортиз.нови активи'!W$112*SUMIF('11.1.Амортиз.нови активи'!$B$61:$B$108,$B53,'11.1.Амортиз.нови активи'!BE$61:BE$108))</f>
        <v>0</v>
      </c>
      <c r="AL53" s="1226">
        <f>$AG53-SUMIF('11.2. ДА за периода'!$B$61:$B$108,$B53,'11.2. ДА за периода'!$AG$61:$AG$108)+SUMIF('11.2. ДА за периода'!$B$61:$B$108,$B53,'11.2. ДА за периода'!AL$61:AL$108)+SUMIF('11.1.Амортиз.нови активи'!$B$61:$B$108,$B53,'11.1.Амортиз.нови активи'!AL$61:AL$108)+('11.1.Амортиз.нови активи'!X$112*SUMIF('11.1.Амортиз.нови активи'!$B$61:$B$108,$B53,'11.1.Амортиз.нови активи'!BF$61:BF$108))</f>
        <v>0</v>
      </c>
      <c r="AM53" s="2972">
        <f>$AG53-SUMIF('11.2. ДА за периода'!$B$61:$B$108,$B53,'11.2. ДА за периода'!$AG$61:$AG$108)+SUMIF('11.2. ДА за периода'!$B$61:$B$108,$B53,'11.2. ДА за периода'!AM$61:AM$108)+SUMIF('11.1.Амортиз.нови активи'!$B$61:$B$108,$B53,'11.1.Амортиз.нови активи'!AM$61:AM$108)+('11.1.Амортиз.нови активи'!Y$112*SUMIF('11.1.Амортиз.нови активи'!$B$61:$B$108,$B53,'11.1.Амортиз.нови активи'!BG$61:BG$108))</f>
        <v>0</v>
      </c>
      <c r="AN53" s="2860"/>
      <c r="AO53" s="2898"/>
    </row>
    <row r="54" spans="1:42" ht="24">
      <c r="A54" s="2878">
        <v>11</v>
      </c>
      <c r="B54" s="2877">
        <v>207</v>
      </c>
      <c r="C54" s="2858" t="s">
        <v>318</v>
      </c>
      <c r="D54" s="2899" t="s">
        <v>419</v>
      </c>
      <c r="E54" s="448">
        <v>0</v>
      </c>
      <c r="F54" s="2971">
        <f>$E54-SUMIF('11.2. ДА за периода'!$B$61:$B$108,$B54,'11.2. ДА за периода'!$E$61:$E$108)+SUMIF('11.2. ДА за периода'!$B$61:$B$108,$B54,'11.2. ДА за периода'!F$61:F$108)+SUMIF('11.1.Амортиз.нови активи'!$B$61:$B$108,$B54,'11.1.Амортиз.нови активи'!F$61:F$108)+('11.1.Амортиз.нови активи'!F$110*SUMIF('11.1.Амортиз.нови активи'!$B$61:$B$108,$B54,'11.1.Амортиз.нови активи'!AO$61:AO$108))</f>
        <v>0</v>
      </c>
      <c r="G54" s="1226">
        <f>$E54-SUMIF('11.2. ДА за периода'!$B$61:$B$108,$B54,'11.2. ДА за периода'!$E$61:$E$108)+SUMIF('11.2. ДА за периода'!$B$61:$B$108,$B54,'11.2. ДА за периода'!G$61:G$108)+SUMIF('11.1.Амортиз.нови активи'!$B$61:$B$108,$B54,'11.1.Амортиз.нови активи'!G$61:G$108)+('11.1.Амортиз.нови активи'!G$110*SUMIF('11.1.Амортиз.нови активи'!$B$61:$B$108,$B54,'11.1.Амортиз.нови активи'!AP$61:AP$108))</f>
        <v>0</v>
      </c>
      <c r="H54" s="1226">
        <f>$E54-SUMIF('11.2. ДА за периода'!$B$61:$B$108,$B54,'11.2. ДА за периода'!$E$61:$E$108)+SUMIF('11.2. ДА за периода'!$B$61:$B$108,$B54,'11.2. ДА за периода'!H$61:H$108)+SUMIF('11.1.Амортиз.нови активи'!$B$61:$B$108,$B54,'11.1.Амортиз.нови активи'!H$61:H$108)+('11.1.Амортиз.нови активи'!H$110*SUMIF('11.1.Амортиз.нови активи'!$B$61:$B$108,$B54,'11.1.Амортиз.нови активи'!AQ$61:AQ$108))</f>
        <v>0</v>
      </c>
      <c r="I54" s="1226">
        <f>$E54-SUMIF('11.2. ДА за периода'!$B$61:$B$108,$B54,'11.2. ДА за периода'!$E$61:$E$108)+SUMIF('11.2. ДА за периода'!$B$61:$B$108,$B54,'11.2. ДА за периода'!I$61:I$108)+SUMIF('11.1.Амортиз.нови активи'!$B$61:$B$108,$B54,'11.1.Амортиз.нови активи'!I$61:I$108)+('11.1.Амортиз.нови активи'!I$110*SUMIF('11.1.Амортиз.нови активи'!$B$61:$B$108,$B54,'11.1.Амортиз.нови активи'!AR$61:AR$108))</f>
        <v>0</v>
      </c>
      <c r="J54" s="1226">
        <f>$E54-SUMIF('11.2. ДА за периода'!$B$61:$B$108,$B54,'11.2. ДА за периода'!$E$61:$E$108)+SUMIF('11.2. ДА за периода'!$B$61:$B$108,$B54,'11.2. ДА за периода'!J$61:J$108)+SUMIF('11.1.Амортиз.нови активи'!$B$61:$B$108,$B54,'11.1.Амортиз.нови активи'!J$61:J$108)+('11.1.Амортиз.нови активи'!J$110*SUMIF('11.1.Амортиз.нови активи'!$B$61:$B$108,$B54,'11.1.Амортиз.нови активи'!AS$61:AS$108))</f>
        <v>0</v>
      </c>
      <c r="K54" s="2972">
        <f>$E54-SUMIF('11.2. ДА за периода'!$B$61:$B$108,$B54,'11.2. ДА за периода'!$E$61:$E$108)+SUMIF('11.2. ДА за периода'!$B$61:$B$108,$B54,'11.2. ДА за периода'!K$61:K$108)+SUMIF('11.1.Амортиз.нови активи'!$B$61:$B$108,$B54,'11.1.Амортиз.нови активи'!K$61:K$108)+('11.1.Амортиз.нови активи'!K$110*SUMIF('11.1.Амортиз.нови активи'!$B$61:$B$108,$B54,'11.1.Амортиз.нови активи'!AT$61:AT$108))</f>
        <v>0</v>
      </c>
      <c r="L54" s="448">
        <v>0</v>
      </c>
      <c r="M54" s="2971">
        <f>$L54-SUMIF('11.2. ДА за периода'!$B$61:$B$108,$B54,'11.2. ДА за периода'!$L$61:$L$108)+SUMIF('11.2. ДА за периода'!$B$61:$B$108,$B54,'11.2. ДА за периода'!M$61:M$108)+SUMIF('11.1.Амортиз.нови активи'!$B$61:$B$108,$B54,'11.1.Амортиз.нови активи'!M$61:M$108)+('11.1.Амортиз.нови активи'!F$111*SUMIF('11.1.Амортиз.нови активи'!$B$61:$B$108,$B54,'11.1.Амортиз.нови активи'!AO$61:AO$108))</f>
        <v>0</v>
      </c>
      <c r="N54" s="1226">
        <f>$L54-SUMIF('11.2. ДА за периода'!$B$61:$B$108,$B54,'11.2. ДА за периода'!$L$61:$L$108)+SUMIF('11.2. ДА за периода'!$B$61:$B$108,$B54,'11.2. ДА за периода'!N$61:N$108)+SUMIF('11.1.Амортиз.нови активи'!$B$61:$B$108,$B54,'11.1.Амортиз.нови активи'!N$61:N$108)+('11.1.Амортиз.нови активи'!G$111*SUMIF('11.1.Амортиз.нови активи'!$B$61:$B$108,$B54,'11.1.Амортиз.нови активи'!AP$61:AP$108))</f>
        <v>0</v>
      </c>
      <c r="O54" s="1226">
        <f>$L54-SUMIF('11.2. ДА за периода'!$B$61:$B$108,$B54,'11.2. ДА за периода'!$L$61:$L$108)+SUMIF('11.2. ДА за периода'!$B$61:$B$108,$B54,'11.2. ДА за периода'!O$61:O$108)+SUMIF('11.1.Амортиз.нови активи'!$B$61:$B$108,$B54,'11.1.Амортиз.нови активи'!O$61:O$108)+('11.1.Амортиз.нови активи'!H$111*SUMIF('11.1.Амортиз.нови активи'!$B$61:$B$108,$B54,'11.1.Амортиз.нови активи'!AQ$61:AQ$108))</f>
        <v>0</v>
      </c>
      <c r="P54" s="1226">
        <f>$L54-SUMIF('11.2. ДА за периода'!$B$61:$B$108,$B54,'11.2. ДА за периода'!$L$61:$L$108)+SUMIF('11.2. ДА за периода'!$B$61:$B$108,$B54,'11.2. ДА за периода'!P$61:P$108)+SUMIF('11.1.Амортиз.нови активи'!$B$61:$B$108,$B54,'11.1.Амортиз.нови активи'!P$61:P$108)+('11.1.Амортиз.нови активи'!I$111*SUMIF('11.1.Амортиз.нови активи'!$B$61:$B$108,$B54,'11.1.Амортиз.нови активи'!AR$61:AR$108))</f>
        <v>0</v>
      </c>
      <c r="Q54" s="1226">
        <f>$L54-SUMIF('11.2. ДА за периода'!$B$61:$B$108,$B54,'11.2. ДА за периода'!$L$61:$L$108)+SUMIF('11.2. ДА за периода'!$B$61:$B$108,$B54,'11.2. ДА за периода'!Q$61:Q$108)+SUMIF('11.1.Амортиз.нови активи'!$B$61:$B$108,$B54,'11.1.Амортиз.нови активи'!Q$61:Q$108)+('11.1.Амортиз.нови активи'!J$111*SUMIF('11.1.Амортиз.нови активи'!$B$61:$B$108,$B54,'11.1.Амортиз.нови активи'!AS$61:AS$108))</f>
        <v>0</v>
      </c>
      <c r="R54" s="2972">
        <f>$L54-SUMIF('11.2. ДА за периода'!$B$61:$B$108,$B54,'11.2. ДА за периода'!$L$61:$L$108)+SUMIF('11.2. ДА за периода'!$B$61:$B$108,$B54,'11.2. ДА за периода'!R$61:R$108)+SUMIF('11.1.Амортиз.нови активи'!$B$61:$B$108,$B54,'11.1.Амортиз.нови активи'!R$61:R$108)+('11.1.Амортиз.нови активи'!K$111*SUMIF('11.1.Амортиз.нови активи'!$B$61:$B$108,$B54,'11.1.Амортиз.нови активи'!AT$61:AT$108))</f>
        <v>0</v>
      </c>
      <c r="S54" s="2970">
        <v>0</v>
      </c>
      <c r="T54" s="2971">
        <f>$S54-SUMIF('11.2. ДА за периода'!$B$61:$B$108,$B54,'11.2. ДА за периода'!$S$61:$S$108)+SUMIF('11.2. ДА за периода'!$B$61:$B$108,$B54,'11.2. ДА за периода'!T$61:T$108)+SUMIF('11.1.Амортиз.нови активи'!$B$61:$B$108,$B54,'11.1.Амортиз.нови активи'!T$61:T$108)+('11.1.Амортиз.нови активи'!F$112*SUMIF('11.1.Амортиз.нови активи'!$B$61:$B$108,$B54,'11.1.Амортиз.нови активи'!AO$61:AO$108))</f>
        <v>0</v>
      </c>
      <c r="U54" s="1226">
        <f>$S54-SUMIF('11.2. ДА за периода'!$B$61:$B$108,$B54,'11.2. ДА за периода'!$S$61:$S$108)+SUMIF('11.2. ДА за периода'!$B$61:$B$108,$B54,'11.2. ДА за периода'!U$61:U$108)+SUMIF('11.1.Амортиз.нови активи'!$B$61:$B$108,$B54,'11.1.Амортиз.нови активи'!U$61:U$108)+('11.1.Амортиз.нови активи'!G$112*SUMIF('11.1.Амортиз.нови активи'!$B$61:$B$108,$B54,'11.1.Амортиз.нови активи'!AP$61:AP$108))</f>
        <v>0</v>
      </c>
      <c r="V54" s="1226">
        <f>$S54-SUMIF('11.2. ДА за периода'!$B$61:$B$108,$B54,'11.2. ДА за периода'!$S$61:$S$108)+SUMIF('11.2. ДА за периода'!$B$61:$B$108,$B54,'11.2. ДА за периода'!V$61:V$108)+SUMIF('11.1.Амортиз.нови активи'!$B$61:$B$108,$B54,'11.1.Амортиз.нови активи'!V$61:V$108)+('11.1.Амортиз.нови активи'!H$112*SUMIF('11.1.Амортиз.нови активи'!$B$61:$B$108,$B54,'11.1.Амортиз.нови активи'!AQ$61:AQ$108))</f>
        <v>0</v>
      </c>
      <c r="W54" s="1226">
        <f>$S54-SUMIF('11.2. ДА за периода'!$B$61:$B$108,$B54,'11.2. ДА за периода'!$S$61:$S$108)+SUMIF('11.2. ДА за периода'!$B$61:$B$108,$B54,'11.2. ДА за периода'!W$61:W$108)+SUMIF('11.1.Амортиз.нови активи'!$B$61:$B$108,$B54,'11.1.Амортиз.нови активи'!W$61:W$108)+('11.1.Амортиз.нови активи'!I$112*SUMIF('11.1.Амортиз.нови активи'!$B$61:$B$108,$B54,'11.1.Амортиз.нови активи'!AR$61:AR$108))</f>
        <v>0</v>
      </c>
      <c r="X54" s="1226">
        <f>$S54-SUMIF('11.2. ДА за периода'!$B$61:$B$108,$B54,'11.2. ДА за периода'!$S$61:$S$108)+SUMIF('11.2. ДА за периода'!$B$61:$B$108,$B54,'11.2. ДА за периода'!X$61:X$108)+SUMIF('11.1.Амортиз.нови активи'!$B$61:$B$108,$B54,'11.1.Амортиз.нови активи'!X$61:X$108)+('11.1.Амортиз.нови активи'!J$112*SUMIF('11.1.Амортиз.нови активи'!$B$61:$B$108,$B54,'11.1.Амортиз.нови активи'!AS$61:AS$108))</f>
        <v>0</v>
      </c>
      <c r="Y54" s="2972">
        <f>$S54-SUMIF('11.2. ДА за периода'!$B$61:$B$108,$B54,'11.2. ДА за периода'!$S$61:$S$108)+SUMIF('11.2. ДА за периода'!$B$61:$B$108,$B54,'11.2. ДА за периода'!Y$61:Y$108)+SUMIF('11.1.Амортиз.нови активи'!$B$61:$B$108,$B54,'11.1.Амортиз.нови активи'!Y$61:Y$108)+('11.1.Амортиз.нови активи'!K$112*SUMIF('11.1.Амортиз.нови активи'!$B$61:$B$108,$B54,'11.1.Амортиз.нови активи'!AT$61:AT$108))</f>
        <v>0</v>
      </c>
      <c r="Z54" s="448">
        <v>0</v>
      </c>
      <c r="AA54" s="2971">
        <f>$Z54-SUMIF('11.2. ДА за периода'!$B$61:$B$108,$B54,'11.2. ДА за периода'!$Z$61:$Z$108)+SUMIF('11.2. ДА за периода'!$B$61:$B$108,$B54,'11.2. ДА за периода'!AA$61:AA$108)+SUMIF('11.1.Амортиз.нови активи'!$B$61:$B$108,$B54,'11.1.Амортиз.нови активи'!AA$61:AA$108)</f>
        <v>0</v>
      </c>
      <c r="AB54" s="1226">
        <f>$Z54-SUMIF('11.2. ДА за периода'!$B$61:$B$108,$B54,'11.2. ДА за периода'!$Z$61:$Z$108)+SUMIF('11.2. ДА за периода'!$B$61:$B$108,$B54,'11.2. ДА за периода'!AB$61:AB$108)+SUMIF('11.1.Амортиз.нови активи'!$B$61:$B$108,$B54,'11.1.Амортиз.нови активи'!AB$61:AB$108)</f>
        <v>0</v>
      </c>
      <c r="AC54" s="1226">
        <f>$Z54-SUMIF('11.2. ДА за периода'!$B$61:$B$108,$B54,'11.2. ДА за периода'!$Z$61:$Z$108)+SUMIF('11.2. ДА за периода'!$B$61:$B$108,$B54,'11.2. ДА за периода'!AC$61:AC$108)+SUMIF('11.1.Амортиз.нови активи'!$B$61:$B$108,$B54,'11.1.Амортиз.нови активи'!AC$61:AC$108)</f>
        <v>0</v>
      </c>
      <c r="AD54" s="1226">
        <f>$Z54-SUMIF('11.2. ДА за периода'!$B$61:$B$108,$B54,'11.2. ДА за периода'!$Z$61:$Z$108)+SUMIF('11.2. ДА за периода'!$B$61:$B$108,$B54,'11.2. ДА за периода'!AD$61:AD$108)+SUMIF('11.1.Амортиз.нови активи'!$B$61:$B$108,$B54,'11.1.Амортиз.нови активи'!AD$61:AD$108)</f>
        <v>0</v>
      </c>
      <c r="AE54" s="1226">
        <f>$Z54-SUMIF('11.2. ДА за периода'!$B$61:$B$108,$B54,'11.2. ДА за периода'!$Z$61:$Z$108)+SUMIF('11.2. ДА за периода'!$B$61:$B$108,$B54,'11.2. ДА за периода'!AE$61:AE$108)+SUMIF('11.1.Амортиз.нови активи'!$B$61:$B$108,$B54,'11.1.Амортиз.нови активи'!AE$61:AE$108)</f>
        <v>0</v>
      </c>
      <c r="AF54" s="2972">
        <f>$Z54-SUMIF('11.2. ДА за периода'!$B$61:$B$108,$B54,'11.2. ДА за периода'!$Z$61:$Z$108)+SUMIF('11.2. ДА за периода'!$B$61:$B$108,$B54,'11.2. ДА за периода'!AF$61:AF$108)+SUMIF('11.1.Амортиз.нови активи'!$B$61:$B$108,$B54,'11.1.Амортиз.нови активи'!AF$61:AF$108)</f>
        <v>0</v>
      </c>
      <c r="AG54" s="448"/>
      <c r="AH54" s="2971">
        <f>$AG54-SUMIF('11.2. ДА за периода'!$B$61:$B$108,$B54,'11.2. ДА за периода'!$AG$61:$AG$108)+SUMIF('11.2. ДА за периода'!$B$61:$B$108,$B54,'11.2. ДА за периода'!AH$61:AH$108)+SUMIF('11.1.Амортиз.нови активи'!$B$61:$B$108,$B54,'11.1.Амортиз.нови активи'!AH$61:AH$108)+('11.1.Амортиз.нови активи'!T$112*SUMIF('11.1.Амортиз.нови активи'!$B$61:$B$108,$B54,'11.1.Амортиз.нови активи'!BB$61:BB$108))</f>
        <v>0</v>
      </c>
      <c r="AI54" s="1226">
        <f>$AG54-SUMIF('11.2. ДА за периода'!$B$61:$B$108,$B54,'11.2. ДА за периода'!$AG$61:$AG$108)+SUMIF('11.2. ДА за периода'!$B$61:$B$108,$B54,'11.2. ДА за периода'!AI$61:AI$108)+SUMIF('11.1.Амортиз.нови активи'!$B$61:$B$108,$B54,'11.1.Амортиз.нови активи'!AI$61:AI$108)+('11.1.Амортиз.нови активи'!U$112*SUMIF('11.1.Амортиз.нови активи'!$B$61:$B$108,$B54,'11.1.Амортиз.нови активи'!BC$61:BC$108))</f>
        <v>0</v>
      </c>
      <c r="AJ54" s="1226">
        <f>$AG54-SUMIF('11.2. ДА за периода'!$B$61:$B$108,$B54,'11.2. ДА за периода'!$AG$61:$AG$108)+SUMIF('11.2. ДА за периода'!$B$61:$B$108,$B54,'11.2. ДА за периода'!AJ$61:AJ$108)+SUMIF('11.1.Амортиз.нови активи'!$B$61:$B$108,$B54,'11.1.Амортиз.нови активи'!AJ$61:AJ$108)+('11.1.Амортиз.нови активи'!V$112*SUMIF('11.1.Амортиз.нови активи'!$B$61:$B$108,$B54,'11.1.Амортиз.нови активи'!BD$61:BD$108))</f>
        <v>0</v>
      </c>
      <c r="AK54" s="1226">
        <f>$AG54-SUMIF('11.2. ДА за периода'!$B$61:$B$108,$B54,'11.2. ДА за периода'!$AG$61:$AG$108)+SUMIF('11.2. ДА за периода'!$B$61:$B$108,$B54,'11.2. ДА за периода'!AK$61:AK$108)+SUMIF('11.1.Амортиз.нови активи'!$B$61:$B$108,$B54,'11.1.Амортиз.нови активи'!AK$61:AK$108)+('11.1.Амортиз.нови активи'!W$112*SUMIF('11.1.Амортиз.нови активи'!$B$61:$B$108,$B54,'11.1.Амортиз.нови активи'!BE$61:BE$108))</f>
        <v>0</v>
      </c>
      <c r="AL54" s="1226">
        <f>$AG54-SUMIF('11.2. ДА за периода'!$B$61:$B$108,$B54,'11.2. ДА за периода'!$AG$61:$AG$108)+SUMIF('11.2. ДА за периода'!$B$61:$B$108,$B54,'11.2. ДА за периода'!AL$61:AL$108)+SUMIF('11.1.Амортиз.нови активи'!$B$61:$B$108,$B54,'11.1.Амортиз.нови активи'!AL$61:AL$108)+('11.1.Амортиз.нови активи'!X$112*SUMIF('11.1.Амортиз.нови активи'!$B$61:$B$108,$B54,'11.1.Амортиз.нови активи'!BF$61:BF$108))</f>
        <v>0</v>
      </c>
      <c r="AM54" s="2972">
        <f>$AG54-SUMIF('11.2. ДА за периода'!$B$61:$B$108,$B54,'11.2. ДА за периода'!$AG$61:$AG$108)+SUMIF('11.2. ДА за периода'!$B$61:$B$108,$B54,'11.2. ДА за периода'!AM$61:AM$108)+SUMIF('11.1.Амортиз.нови активи'!$B$61:$B$108,$B54,'11.1.Амортиз.нови активи'!AM$61:AM$108)+('11.1.Амортиз.нови активи'!Y$112*SUMIF('11.1.Амортиз.нови активи'!$B$61:$B$108,$B54,'11.1.Амортиз.нови активи'!BG$61:BG$108))</f>
        <v>0</v>
      </c>
      <c r="AN54" s="2860"/>
      <c r="AO54" s="2898"/>
    </row>
    <row r="55" spans="1:42">
      <c r="A55" s="2878">
        <v>12</v>
      </c>
      <c r="B55" s="2874">
        <v>212</v>
      </c>
      <c r="C55" s="2869">
        <v>0.2</v>
      </c>
      <c r="D55" s="2901" t="s">
        <v>219</v>
      </c>
      <c r="E55" s="2970">
        <v>1</v>
      </c>
      <c r="F55" s="2971">
        <f>$E55-SUMIF('11.2. ДА за периода'!$B$61:$B$108,$B55,'11.2. ДА за периода'!$E$61:$E$108)+SUMIF('11.2. ДА за периода'!$B$61:$B$108,$B55,'11.2. ДА за периода'!F$61:F$108)+SUMIF('11.1.Амортиз.нови активи'!$B$61:$B$108,$B55,'11.1.Амортиз.нови активи'!F$61:F$108)+('11.1.Амортиз.нови активи'!F$110*SUMIF('11.1.Амортиз.нови активи'!$B$61:$B$108,$B55,'11.1.Амортиз.нови активи'!AO$61:AO$108))</f>
        <v>2.6142109911678117</v>
      </c>
      <c r="G55" s="1226">
        <f>$E55-SUMIF('11.2. ДА за периода'!$B$61:$B$108,$B55,'11.2. ДА за периода'!$E$61:$E$108)+SUMIF('11.2. ДА за периода'!$B$61:$B$108,$B55,'11.2. ДА за периода'!G$61:G$108)+SUMIF('11.1.Амортиз.нови активи'!$B$61:$B$108,$B55,'11.1.Амортиз.нови активи'!G$61:G$108)+('11.1.Амортиз.нови активи'!G$110*SUMIF('11.1.Амортиз.нови активи'!$B$61:$B$108,$B55,'11.1.Амортиз.нови активи'!AP$61:AP$108))</f>
        <v>2.8740887737113576</v>
      </c>
      <c r="H55" s="1226">
        <f>$E55-SUMIF('11.2. ДА за периода'!$B$61:$B$108,$B55,'11.2. ДА за периода'!$E$61:$E$108)+SUMIF('11.2. ДА за периода'!$B$61:$B$108,$B55,'11.2. ДА за периода'!H$61:H$108)+SUMIF('11.1.Амортиз.нови активи'!$B$61:$B$108,$B55,'11.1.Амортиз.нови активи'!H$61:H$108)+('11.1.Амортиз.нови активи'!H$110*SUMIF('11.1.Амортиз.нови активи'!$B$61:$B$108,$B55,'11.1.Амортиз.нови активи'!AQ$61:AQ$108))</f>
        <v>3.1236772658919048</v>
      </c>
      <c r="I55" s="1226">
        <f>$E55-SUMIF('11.2. ДА за периода'!$B$61:$B$108,$B55,'11.2. ДА за периода'!$E$61:$E$108)+SUMIF('11.2. ДА за периода'!$B$61:$B$108,$B55,'11.2. ДА за периода'!I$61:I$108)+SUMIF('11.1.Амортиз.нови активи'!$B$61:$B$108,$B55,'11.1.Амортиз.нови активи'!I$61:I$108)+('11.1.Амортиз.нови активи'!I$110*SUMIF('11.1.Амортиз.нови активи'!$B$61:$B$108,$B55,'11.1.Амортиз.нови активи'!AR$61:AR$108))</f>
        <v>2.4145701256192229</v>
      </c>
      <c r="J55" s="1226">
        <f>$E55-SUMIF('11.2. ДА за периода'!$B$61:$B$108,$B55,'11.2. ДА за периода'!$E$61:$E$108)+SUMIF('11.2. ДА за периода'!$B$61:$B$108,$B55,'11.2. ДА за периода'!J$61:J$108)+SUMIF('11.1.Амортиз.нови активи'!$B$61:$B$108,$B55,'11.1.Амортиз.нови активи'!J$61:J$108)+('11.1.Амортиз.нови активи'!J$110*SUMIF('11.1.Амортиз.нови активи'!$B$61:$B$108,$B55,'11.1.Амортиз.нови активи'!AS$61:AS$108))</f>
        <v>2.2203106718026535</v>
      </c>
      <c r="K55" s="2972">
        <f>$E55-SUMIF('11.2. ДА за периода'!$B$61:$B$108,$B55,'11.2. ДА за периода'!$E$61:$E$108)+SUMIF('11.2. ДА за периода'!$B$61:$B$108,$B55,'11.2. ДА за периода'!K$61:K$108)+SUMIF('11.1.Амортиз.нови активи'!$B$61:$B$108,$B55,'11.1.Амортиз.нови активи'!K$61:K$108)+('11.1.Амортиз.нови активи'!K$110*SUMIF('11.1.Амортиз.нови активи'!$B$61:$B$108,$B55,'11.1.Амортиз.нови активи'!AT$61:AT$108))</f>
        <v>2.680977549283003</v>
      </c>
      <c r="L55" s="2970">
        <v>0</v>
      </c>
      <c r="M55" s="2971">
        <f>$L55-SUMIF('11.2. ДА за периода'!$B$61:$B$108,$B55,'11.2. ДА за периода'!$L$61:$L$108)+SUMIF('11.2. ДА за периода'!$B$61:$B$108,$B55,'11.2. ДА за периода'!M$61:M$108)+SUMIF('11.1.Амортиз.нови активи'!$B$61:$B$108,$B55,'11.1.Амортиз.нови активи'!M$61:M$108)+('11.1.Амортиз.нови активи'!F$111*SUMIF('11.1.Амортиз.нови активи'!$B$61:$B$108,$B55,'11.1.Амортиз.нови активи'!AO$61:AO$108))</f>
        <v>0.71071795878312072</v>
      </c>
      <c r="N55" s="1226">
        <f>$L55-SUMIF('11.2. ДА за периода'!$B$61:$B$108,$B55,'11.2. ДА за периода'!$L$61:$L$108)+SUMIF('11.2. ДА за периода'!$B$61:$B$108,$B55,'11.2. ДА за периода'!N$61:N$108)+SUMIF('11.1.Амортиз.нови активи'!$B$61:$B$108,$B55,'11.1.Амортиз.нови активи'!N$61:N$108)+('11.1.Амортиз.нови активи'!G$111*SUMIF('11.1.Амортиз.нови активи'!$B$61:$B$108,$B55,'11.1.Амортиз.нови активи'!AP$61:AP$108))</f>
        <v>0.75080074061794666</v>
      </c>
      <c r="O55" s="1226">
        <f>$L55-SUMIF('11.2. ДА за периода'!$B$61:$B$108,$B55,'11.2. ДА за периода'!$L$61:$L$108)+SUMIF('11.2. ДА за периода'!$B$61:$B$108,$B55,'11.2. ДА за периода'!O$61:O$108)+SUMIF('11.1.Амортиз.нови активи'!$B$61:$B$108,$B55,'11.1.Амортиз.нови активи'!O$61:O$108)+('11.1.Амортиз.нови активи'!H$111*SUMIF('11.1.Амортиз.нови активи'!$B$61:$B$108,$B55,'11.1.Амортиз.нови активи'!AQ$61:AQ$108))</f>
        <v>0.92518622737940781</v>
      </c>
      <c r="P55" s="1226">
        <f>$L55-SUMIF('11.2. ДА за периода'!$B$61:$B$108,$B55,'11.2. ДА за периода'!$L$61:$L$108)+SUMIF('11.2. ДА за периода'!$B$61:$B$108,$B55,'11.2. ДА за периода'!P$61:P$108)+SUMIF('11.1.Амортиз.нови активи'!$B$61:$B$108,$B55,'11.1.Амортиз.нови активи'!P$61:P$108)+('11.1.Амортиз.нови активи'!I$111*SUMIF('11.1.Амортиз.нови активи'!$B$61:$B$108,$B55,'11.1.Амортиз.нови активи'!AR$61:AR$108))</f>
        <v>1.1114979480204785</v>
      </c>
      <c r="Q55" s="1226">
        <f>$L55-SUMIF('11.2. ДА за периода'!$B$61:$B$108,$B55,'11.2. ДА за периода'!$L$61:$L$108)+SUMIF('11.2. ДА за периода'!$B$61:$B$108,$B55,'11.2. ДА за периода'!Q$61:Q$108)+SUMIF('11.1.Амортиз.нови активи'!$B$61:$B$108,$B55,'11.1.Амортиз.нови активи'!Q$61:Q$108)+('11.1.Амортиз.нови активи'!J$111*SUMIF('11.1.Амортиз.нови активи'!$B$61:$B$108,$B55,'11.1.Амортиз.нови активи'!AS$61:AS$108))</f>
        <v>1.2498783242322609</v>
      </c>
      <c r="R55" s="2972">
        <f>$L55-SUMIF('11.2. ДА за периода'!$B$61:$B$108,$B55,'11.2. ДА за периода'!$L$61:$L$108)+SUMIF('11.2. ДА за периода'!$B$61:$B$108,$B55,'11.2. ДА за периода'!R$61:R$108)+SUMIF('11.1.Амортиз.нови активи'!$B$61:$B$108,$B55,'11.1.Амортиз.нови активи'!R$61:R$108)+('11.1.Амортиз.нови активи'!K$111*SUMIF('11.1.Амортиз.нови активи'!$B$61:$B$108,$B55,'11.1.Амортиз.нови активи'!AT$61:AT$108))</f>
        <v>1.3930192241909523</v>
      </c>
      <c r="S55" s="2970">
        <v>0</v>
      </c>
      <c r="T55" s="2971">
        <f>$S55-SUMIF('11.2. ДА за периода'!$B$61:$B$108,$B55,'11.2. ДА за периода'!$S$61:$S$108)+SUMIF('11.2. ДА за периода'!$B$61:$B$108,$B55,'11.2. ДА за периода'!T$61:T$108)+SUMIF('11.1.Амортиз.нови активи'!$B$61:$B$108,$B55,'11.1.Амортиз.нови активи'!T$61:T$108)+('11.1.Амортиз.нови активи'!F$112*SUMIF('11.1.Амортиз.нови активи'!$B$61:$B$108,$B55,'11.1.Амортиз.нови активи'!AO$61:AO$108))</f>
        <v>0.18867105004906776</v>
      </c>
      <c r="U55" s="1226">
        <f>$S55-SUMIF('11.2. ДА за периода'!$B$61:$B$108,$B55,'11.2. ДА за периода'!$S$61:$S$108)+SUMIF('11.2. ДА за периода'!$B$61:$B$108,$B55,'11.2. ДА за периода'!U$61:U$108)+SUMIF('11.1.Амортиз.нови активи'!$B$61:$B$108,$B55,'11.1.Амортиз.нови активи'!U$61:U$108)+('11.1.Амортиз.нови активи'!G$112*SUMIF('11.1.Амортиз.нови активи'!$B$61:$B$108,$B55,'11.1.Амортиз.нови активи'!AP$61:AP$108))</f>
        <v>0.28871048567069574</v>
      </c>
      <c r="V55" s="1226">
        <f>$S55-SUMIF('11.2. ДА за периода'!$B$61:$B$108,$B55,'11.2. ДА за периода'!$S$61:$S$108)+SUMIF('11.2. ДА за периода'!$B$61:$B$108,$B55,'11.2. ДА за периода'!V$61:V$108)+SUMIF('11.1.Амортиз.нови активи'!$B$61:$B$108,$B55,'11.1.Амортиз.нови активи'!V$61:V$108)+('11.1.Амортиз.нови активи'!H$112*SUMIF('11.1.Амортиз.нови активи'!$B$61:$B$108,$B55,'11.1.Амортиз.нови активи'!AQ$61:AQ$108))</f>
        <v>0.46473650672868755</v>
      </c>
      <c r="W55" s="1226">
        <f>$S55-SUMIF('11.2. ДА за периода'!$B$61:$B$108,$B55,'11.2. ДА за периода'!$S$61:$S$108)+SUMIF('11.2. ДА за периода'!$B$61:$B$108,$B55,'11.2. ДА за периода'!W$61:W$108)+SUMIF('11.1.Амортиз.нови активи'!$B$61:$B$108,$B55,'11.1.Амортиз.нови активи'!W$61:W$108)+('11.1.Амортиз.нови активи'!I$112*SUMIF('11.1.Амортиз.нови активи'!$B$61:$B$108,$B55,'11.1.Амортиз.нови активи'!AR$61:AR$108))</f>
        <v>0.58753192636029872</v>
      </c>
      <c r="X55" s="1226">
        <f>$S55-SUMIF('11.2. ДА за периода'!$B$61:$B$108,$B55,'11.2. ДА за периода'!$S$61:$S$108)+SUMIF('11.2. ДА за периода'!$B$61:$B$108,$B55,'11.2. ДА за периода'!X$61:X$108)+SUMIF('11.1.Амортиз.нови активи'!$B$61:$B$108,$B55,'11.1.Амортиз.нови активи'!X$61:X$108)+('11.1.Амортиз.нови активи'!J$112*SUMIF('11.1.Амортиз.нови активи'!$B$61:$B$108,$B55,'11.1.Амортиз.нови активи'!AS$61:AS$108))</f>
        <v>0.6934110039650857</v>
      </c>
      <c r="Y55" s="2972">
        <f>$S55-SUMIF('11.2. ДА за периода'!$B$61:$B$108,$B55,'11.2. ДА за периода'!$S$61:$S$108)+SUMIF('11.2. ДА за периода'!$B$61:$B$108,$B55,'11.2. ДА за периода'!Y$61:Y$108)+SUMIF('11.1.Амортиз.нови активи'!$B$61:$B$108,$B55,'11.1.Амортиз.нови активи'!Y$61:Y$108)+('11.1.Амортиз.нови активи'!K$112*SUMIF('11.1.Амортиз.нови активи'!$B$61:$B$108,$B55,'11.1.Амортиз.нови активи'!AT$61:AT$108))</f>
        <v>0.78960322652604531</v>
      </c>
      <c r="Z55" s="448">
        <v>0</v>
      </c>
      <c r="AA55" s="2971">
        <f>$Z55-SUMIF('11.2. ДА за периода'!$B$61:$B$108,$B55,'11.2. ДА за периода'!$Z$61:$Z$108)+SUMIF('11.2. ДА за периода'!$B$61:$B$108,$B55,'11.2. ДА за периода'!AA$61:AA$108)+SUMIF('11.1.Амортиз.нови активи'!$B$61:$B$108,$B55,'11.1.Амортиз.нови активи'!AA$61:AA$108)</f>
        <v>1.34E-2</v>
      </c>
      <c r="AB55" s="1226">
        <f>$Z55-SUMIF('11.2. ДА за периода'!$B$61:$B$108,$B55,'11.2. ДА за периода'!$Z$61:$Z$108)+SUMIF('11.2. ДА за периода'!$B$61:$B$108,$B55,'11.2. ДА за периода'!AB$61:AB$108)+SUMIF('11.1.Амортиз.нови активи'!$B$61:$B$108,$B55,'11.1.Амортиз.нови активи'!AB$61:AB$108)</f>
        <v>1.34E-2</v>
      </c>
      <c r="AC55" s="1226">
        <f>$Z55-SUMIF('11.2. ДА за периода'!$B$61:$B$108,$B55,'11.2. ДА за периода'!$Z$61:$Z$108)+SUMIF('11.2. ДА за периода'!$B$61:$B$108,$B55,'11.2. ДА за периода'!AC$61:AC$108)+SUMIF('11.1.Амортиз.нови активи'!$B$61:$B$108,$B55,'11.1.Амортиз.нови активи'!AC$61:AC$108)</f>
        <v>1.34E-2</v>
      </c>
      <c r="AD55" s="1226">
        <f>$Z55-SUMIF('11.2. ДА за периода'!$B$61:$B$108,$B55,'11.2. ДА за периода'!$Z$61:$Z$108)+SUMIF('11.2. ДА за периода'!$B$61:$B$108,$B55,'11.2. ДА за периода'!AD$61:AD$108)+SUMIF('11.1.Амортиз.нови активи'!$B$61:$B$108,$B55,'11.1.Амортиз.нови активи'!AD$61:AD$108)</f>
        <v>1.34E-2</v>
      </c>
      <c r="AE55" s="1226">
        <f>$Z55-SUMIF('11.2. ДА за периода'!$B$61:$B$108,$B55,'11.2. ДА за периода'!$Z$61:$Z$108)+SUMIF('11.2. ДА за периода'!$B$61:$B$108,$B55,'11.2. ДА за периода'!AE$61:AE$108)+SUMIF('11.1.Амортиз.нови активи'!$B$61:$B$108,$B55,'11.1.Амортиз.нови активи'!AE$61:AE$108)</f>
        <v>1.34E-2</v>
      </c>
      <c r="AF55" s="2972">
        <f>$Z55-SUMIF('11.2. ДА за периода'!$B$61:$B$108,$B55,'11.2. ДА за периода'!$Z$61:$Z$108)+SUMIF('11.2. ДА за периода'!$B$61:$B$108,$B55,'11.2. ДА за периода'!AF$61:AF$108)+SUMIF('11.1.Амортиз.нови активи'!$B$61:$B$108,$B55,'11.1.Амортиз.нови активи'!AF$61:AF$108)</f>
        <v>1.34E-2</v>
      </c>
      <c r="AG55" s="2970"/>
      <c r="AH55" s="2971">
        <f>$AG55-SUMIF('11.2. ДА за периода'!$B$61:$B$108,$B55,'11.2. ДА за периода'!$AG$61:$AG$108)+SUMIF('11.2. ДА за периода'!$B$61:$B$108,$B55,'11.2. ДА за периода'!AH$61:AH$108)+SUMIF('11.1.Амортиз.нови активи'!$B$61:$B$108,$B55,'11.1.Амортиз.нови активи'!AH$61:AH$108)+('11.1.Амортиз.нови активи'!T$112*SUMIF('11.1.Амортиз.нови активи'!$B$61:$B$108,$B55,'11.1.Амортиз.нови активи'!BB$61:BB$108))</f>
        <v>0</v>
      </c>
      <c r="AI55" s="1226">
        <f>$AG55-SUMIF('11.2. ДА за периода'!$B$61:$B$108,$B55,'11.2. ДА за периода'!$AG$61:$AG$108)+SUMIF('11.2. ДА за периода'!$B$61:$B$108,$B55,'11.2. ДА за периода'!AI$61:AI$108)+SUMIF('11.1.Амортиз.нови активи'!$B$61:$B$108,$B55,'11.1.Амортиз.нови активи'!AI$61:AI$108)+('11.1.Амортиз.нови активи'!U$112*SUMIF('11.1.Амортиз.нови активи'!$B$61:$B$108,$B55,'11.1.Амортиз.нови активи'!BC$61:BC$108))</f>
        <v>0</v>
      </c>
      <c r="AJ55" s="1226">
        <f>$AG55-SUMIF('11.2. ДА за периода'!$B$61:$B$108,$B55,'11.2. ДА за периода'!$AG$61:$AG$108)+SUMIF('11.2. ДА за периода'!$B$61:$B$108,$B55,'11.2. ДА за периода'!AJ$61:AJ$108)+SUMIF('11.1.Амортиз.нови активи'!$B$61:$B$108,$B55,'11.1.Амортиз.нови активи'!AJ$61:AJ$108)+('11.1.Амортиз.нови активи'!V$112*SUMIF('11.1.Амортиз.нови активи'!$B$61:$B$108,$B55,'11.1.Амортиз.нови активи'!BD$61:BD$108))</f>
        <v>0</v>
      </c>
      <c r="AK55" s="1226">
        <f>$AG55-SUMIF('11.2. ДА за периода'!$B$61:$B$108,$B55,'11.2. ДА за периода'!$AG$61:$AG$108)+SUMIF('11.2. ДА за периода'!$B$61:$B$108,$B55,'11.2. ДА за периода'!AK$61:AK$108)+SUMIF('11.1.Амортиз.нови активи'!$B$61:$B$108,$B55,'11.1.Амортиз.нови активи'!AK$61:AK$108)+('11.1.Амортиз.нови активи'!W$112*SUMIF('11.1.Амортиз.нови активи'!$B$61:$B$108,$B55,'11.1.Амортиз.нови активи'!BE$61:BE$108))</f>
        <v>0</v>
      </c>
      <c r="AL55" s="1226">
        <f>$AG55-SUMIF('11.2. ДА за периода'!$B$61:$B$108,$B55,'11.2. ДА за периода'!$AG$61:$AG$108)+SUMIF('11.2. ДА за периода'!$B$61:$B$108,$B55,'11.2. ДА за периода'!AL$61:AL$108)+SUMIF('11.1.Амортиз.нови активи'!$B$61:$B$108,$B55,'11.1.Амортиз.нови активи'!AL$61:AL$108)+('11.1.Амортиз.нови активи'!X$112*SUMIF('11.1.Амортиз.нови активи'!$B$61:$B$108,$B55,'11.1.Амортиз.нови активи'!BF$61:BF$108))</f>
        <v>0</v>
      </c>
      <c r="AM55" s="2972">
        <f>$AG55-SUMIF('11.2. ДА за периода'!$B$61:$B$108,$B55,'11.2. ДА за периода'!$AG$61:$AG$108)+SUMIF('11.2. ДА за периода'!$B$61:$B$108,$B55,'11.2. ДА за периода'!AM$61:AM$108)+SUMIF('11.1.Амортиз.нови активи'!$B$61:$B$108,$B55,'11.1.Амортиз.нови активи'!AM$61:AM$108)+('11.1.Амортиз.нови активи'!Y$112*SUMIF('11.1.Амортиз.нови активи'!$B$61:$B$108,$B55,'11.1.Амортиз.нови активи'!BG$61:BG$108))</f>
        <v>0</v>
      </c>
      <c r="AN55" s="2860"/>
      <c r="AO55" s="2898"/>
    </row>
    <row r="56" spans="1:42">
      <c r="A56" s="2878">
        <v>13</v>
      </c>
      <c r="B56" s="2873">
        <v>213</v>
      </c>
      <c r="C56" s="2880">
        <v>0.2</v>
      </c>
      <c r="D56" s="2902" t="s">
        <v>220</v>
      </c>
      <c r="E56" s="2970">
        <v>0</v>
      </c>
      <c r="F56" s="2971">
        <f>$E56-SUMIF('11.2. ДА за периода'!$B$61:$B$108,$B56,'11.2. ДА за периода'!$E$61:$E$108)+SUMIF('11.2. ДА за периода'!$B$61:$B$108,$B56,'11.2. ДА за периода'!F$61:F$108)+SUMIF('11.1.Амортиз.нови активи'!$B$61:$B$108,$B56,'11.1.Амортиз.нови активи'!F$61:F$108)+('11.1.Амортиз.нови активи'!F$110*SUMIF('11.1.Амортиз.нови активи'!$B$61:$B$108,$B56,'11.1.Амортиз.нови активи'!AO$61:AO$108))</f>
        <v>0</v>
      </c>
      <c r="G56" s="1226">
        <f>$E56-SUMIF('11.2. ДА за периода'!$B$61:$B$108,$B56,'11.2. ДА за периода'!$E$61:$E$108)+SUMIF('11.2. ДА за периода'!$B$61:$B$108,$B56,'11.2. ДА за периода'!G$61:G$108)+SUMIF('11.1.Амортиз.нови активи'!$B$61:$B$108,$B56,'11.1.Амортиз.нови активи'!G$61:G$108)+('11.1.Амортиз.нови активи'!G$110*SUMIF('11.1.Амортиз.нови активи'!$B$61:$B$108,$B56,'11.1.Амортиз.нови активи'!AP$61:AP$108))</f>
        <v>0</v>
      </c>
      <c r="H56" s="1226">
        <f>$E56-SUMIF('11.2. ДА за периода'!$B$61:$B$108,$B56,'11.2. ДА за периода'!$E$61:$E$108)+SUMIF('11.2. ДА за периода'!$B$61:$B$108,$B56,'11.2. ДА за периода'!H$61:H$108)+SUMIF('11.1.Амортиз.нови активи'!$B$61:$B$108,$B56,'11.1.Амортиз.нови активи'!H$61:H$108)+('11.1.Амортиз.нови активи'!H$110*SUMIF('11.1.Амортиз.нови активи'!$B$61:$B$108,$B56,'11.1.Амортиз.нови активи'!AQ$61:AQ$108))</f>
        <v>0</v>
      </c>
      <c r="I56" s="1226">
        <f>$E56-SUMIF('11.2. ДА за периода'!$B$61:$B$108,$B56,'11.2. ДА за периода'!$E$61:$E$108)+SUMIF('11.2. ДА за периода'!$B$61:$B$108,$B56,'11.2. ДА за периода'!I$61:I$108)+SUMIF('11.1.Амортиз.нови активи'!$B$61:$B$108,$B56,'11.1.Амортиз.нови активи'!I$61:I$108)+('11.1.Амортиз.нови активи'!I$110*SUMIF('11.1.Амортиз.нови активи'!$B$61:$B$108,$B56,'11.1.Амортиз.нови активи'!AR$61:AR$108))</f>
        <v>0</v>
      </c>
      <c r="J56" s="1226">
        <f>$E56-SUMIF('11.2. ДА за периода'!$B$61:$B$108,$B56,'11.2. ДА за периода'!$E$61:$E$108)+SUMIF('11.2. ДА за периода'!$B$61:$B$108,$B56,'11.2. ДА за периода'!J$61:J$108)+SUMIF('11.1.Амортиз.нови активи'!$B$61:$B$108,$B56,'11.1.Амортиз.нови активи'!J$61:J$108)+('11.1.Амортиз.нови активи'!J$110*SUMIF('11.1.Амортиз.нови активи'!$B$61:$B$108,$B56,'11.1.Амортиз.нови активи'!AS$61:AS$108))</f>
        <v>0</v>
      </c>
      <c r="K56" s="2972">
        <f>$E56-SUMIF('11.2. ДА за периода'!$B$61:$B$108,$B56,'11.2. ДА за периода'!$E$61:$E$108)+SUMIF('11.2. ДА за периода'!$B$61:$B$108,$B56,'11.2. ДА за периода'!K$61:K$108)+SUMIF('11.1.Амортиз.нови активи'!$B$61:$B$108,$B56,'11.1.Амортиз.нови активи'!K$61:K$108)+('11.1.Амортиз.нови активи'!K$110*SUMIF('11.1.Амортиз.нови активи'!$B$61:$B$108,$B56,'11.1.Амортиз.нови активи'!AT$61:AT$108))</f>
        <v>0</v>
      </c>
      <c r="L56" s="448">
        <v>0</v>
      </c>
      <c r="M56" s="2971">
        <f>$L56-SUMIF('11.2. ДА за периода'!$B$61:$B$108,$B56,'11.2. ДА за периода'!$L$61:$L$108)+SUMIF('11.2. ДА за периода'!$B$61:$B$108,$B56,'11.2. ДА за периода'!M$61:M$108)+SUMIF('11.1.Амортиз.нови активи'!$B$61:$B$108,$B56,'11.1.Амортиз.нови активи'!M$61:M$108)+('11.1.Амортиз.нови активи'!F$111*SUMIF('11.1.Амортиз.нови активи'!$B$61:$B$108,$B56,'11.1.Амортиз.нови активи'!AO$61:AO$108))</f>
        <v>0</v>
      </c>
      <c r="N56" s="1226">
        <f>$L56-SUMIF('11.2. ДА за периода'!$B$61:$B$108,$B56,'11.2. ДА за периода'!$L$61:$L$108)+SUMIF('11.2. ДА за периода'!$B$61:$B$108,$B56,'11.2. ДА за периода'!N$61:N$108)+SUMIF('11.1.Амортиз.нови активи'!$B$61:$B$108,$B56,'11.1.Амортиз.нови активи'!N$61:N$108)+('11.1.Амортиз.нови активи'!G$111*SUMIF('11.1.Амортиз.нови активи'!$B$61:$B$108,$B56,'11.1.Амортиз.нови активи'!AP$61:AP$108))</f>
        <v>0</v>
      </c>
      <c r="O56" s="1226">
        <f>$L56-SUMIF('11.2. ДА за периода'!$B$61:$B$108,$B56,'11.2. ДА за периода'!$L$61:$L$108)+SUMIF('11.2. ДА за периода'!$B$61:$B$108,$B56,'11.2. ДА за периода'!O$61:O$108)+SUMIF('11.1.Амортиз.нови активи'!$B$61:$B$108,$B56,'11.1.Амортиз.нови активи'!O$61:O$108)+('11.1.Амортиз.нови активи'!H$111*SUMIF('11.1.Амортиз.нови активи'!$B$61:$B$108,$B56,'11.1.Амортиз.нови активи'!AQ$61:AQ$108))</f>
        <v>0</v>
      </c>
      <c r="P56" s="1226">
        <f>$L56-SUMIF('11.2. ДА за периода'!$B$61:$B$108,$B56,'11.2. ДА за периода'!$L$61:$L$108)+SUMIF('11.2. ДА за периода'!$B$61:$B$108,$B56,'11.2. ДА за периода'!P$61:P$108)+SUMIF('11.1.Амортиз.нови активи'!$B$61:$B$108,$B56,'11.1.Амортиз.нови активи'!P$61:P$108)+('11.1.Амортиз.нови активи'!I$111*SUMIF('11.1.Амортиз.нови активи'!$B$61:$B$108,$B56,'11.1.Амортиз.нови активи'!AR$61:AR$108))</f>
        <v>0</v>
      </c>
      <c r="Q56" s="1226">
        <f>$L56-SUMIF('11.2. ДА за периода'!$B$61:$B$108,$B56,'11.2. ДА за периода'!$L$61:$L$108)+SUMIF('11.2. ДА за периода'!$B$61:$B$108,$B56,'11.2. ДА за периода'!Q$61:Q$108)+SUMIF('11.1.Амортиз.нови активи'!$B$61:$B$108,$B56,'11.1.Амортиз.нови активи'!Q$61:Q$108)+('11.1.Амортиз.нови активи'!J$111*SUMIF('11.1.Амортиз.нови активи'!$B$61:$B$108,$B56,'11.1.Амортиз.нови активи'!AS$61:AS$108))</f>
        <v>0</v>
      </c>
      <c r="R56" s="2972">
        <f>$L56-SUMIF('11.2. ДА за периода'!$B$61:$B$108,$B56,'11.2. ДА за периода'!$L$61:$L$108)+SUMIF('11.2. ДА за периода'!$B$61:$B$108,$B56,'11.2. ДА за периода'!R$61:R$108)+SUMIF('11.1.Амортиз.нови активи'!$B$61:$B$108,$B56,'11.1.Амортиз.нови активи'!R$61:R$108)+('11.1.Амортиз.нови активи'!K$111*SUMIF('11.1.Амортиз.нови активи'!$B$61:$B$108,$B56,'11.1.Амортиз.нови активи'!AT$61:AT$108))</f>
        <v>0</v>
      </c>
      <c r="S56" s="2970">
        <v>0</v>
      </c>
      <c r="T56" s="2971">
        <f>$S56-SUMIF('11.2. ДА за периода'!$B$61:$B$108,$B56,'11.2. ДА за периода'!$S$61:$S$108)+SUMIF('11.2. ДА за периода'!$B$61:$B$108,$B56,'11.2. ДА за периода'!T$61:T$108)+SUMIF('11.1.Амортиз.нови активи'!$B$61:$B$108,$B56,'11.1.Амортиз.нови активи'!T$61:T$108)+('11.1.Амортиз.нови активи'!F$112*SUMIF('11.1.Амортиз.нови активи'!$B$61:$B$108,$B56,'11.1.Амортиз.нови активи'!AO$61:AO$108))</f>
        <v>0</v>
      </c>
      <c r="U56" s="1226">
        <f>$S56-SUMIF('11.2. ДА за периода'!$B$61:$B$108,$B56,'11.2. ДА за периода'!$S$61:$S$108)+SUMIF('11.2. ДА за периода'!$B$61:$B$108,$B56,'11.2. ДА за периода'!U$61:U$108)+SUMIF('11.1.Амортиз.нови активи'!$B$61:$B$108,$B56,'11.1.Амортиз.нови активи'!U$61:U$108)+('11.1.Амортиз.нови активи'!G$112*SUMIF('11.1.Амортиз.нови активи'!$B$61:$B$108,$B56,'11.1.Амортиз.нови активи'!AP$61:AP$108))</f>
        <v>0</v>
      </c>
      <c r="V56" s="1226">
        <f>$S56-SUMIF('11.2. ДА за периода'!$B$61:$B$108,$B56,'11.2. ДА за периода'!$S$61:$S$108)+SUMIF('11.2. ДА за периода'!$B$61:$B$108,$B56,'11.2. ДА за периода'!V$61:V$108)+SUMIF('11.1.Амортиз.нови активи'!$B$61:$B$108,$B56,'11.1.Амортиз.нови активи'!V$61:V$108)+('11.1.Амортиз.нови активи'!H$112*SUMIF('11.1.Амортиз.нови активи'!$B$61:$B$108,$B56,'11.1.Амортиз.нови активи'!AQ$61:AQ$108))</f>
        <v>0</v>
      </c>
      <c r="W56" s="1226">
        <f>$S56-SUMIF('11.2. ДА за периода'!$B$61:$B$108,$B56,'11.2. ДА за периода'!$S$61:$S$108)+SUMIF('11.2. ДА за периода'!$B$61:$B$108,$B56,'11.2. ДА за периода'!W$61:W$108)+SUMIF('11.1.Амортиз.нови активи'!$B$61:$B$108,$B56,'11.1.Амортиз.нови активи'!W$61:W$108)+('11.1.Амортиз.нови активи'!I$112*SUMIF('11.1.Амортиз.нови активи'!$B$61:$B$108,$B56,'11.1.Амортиз.нови активи'!AR$61:AR$108))</f>
        <v>0</v>
      </c>
      <c r="X56" s="1226">
        <f>$S56-SUMIF('11.2. ДА за периода'!$B$61:$B$108,$B56,'11.2. ДА за периода'!$S$61:$S$108)+SUMIF('11.2. ДА за периода'!$B$61:$B$108,$B56,'11.2. ДА за периода'!X$61:X$108)+SUMIF('11.1.Амортиз.нови активи'!$B$61:$B$108,$B56,'11.1.Амортиз.нови активи'!X$61:X$108)+('11.1.Амортиз.нови активи'!J$112*SUMIF('11.1.Амортиз.нови активи'!$B$61:$B$108,$B56,'11.1.Амортиз.нови активи'!AS$61:AS$108))</f>
        <v>0</v>
      </c>
      <c r="Y56" s="2972">
        <f>$S56-SUMIF('11.2. ДА за периода'!$B$61:$B$108,$B56,'11.2. ДА за периода'!$S$61:$S$108)+SUMIF('11.2. ДА за периода'!$B$61:$B$108,$B56,'11.2. ДА за периода'!Y$61:Y$108)+SUMIF('11.1.Амортиз.нови активи'!$B$61:$B$108,$B56,'11.1.Амортиз.нови активи'!Y$61:Y$108)+('11.1.Амортиз.нови активи'!K$112*SUMIF('11.1.Амортиз.нови активи'!$B$61:$B$108,$B56,'11.1.Амортиз.нови активи'!AT$61:AT$108))</f>
        <v>0</v>
      </c>
      <c r="Z56" s="448">
        <v>0</v>
      </c>
      <c r="AA56" s="2971">
        <f>$Z56-SUMIF('11.2. ДА за периода'!$B$61:$B$108,$B56,'11.2. ДА за периода'!$Z$61:$Z$108)+SUMIF('11.2. ДА за периода'!$B$61:$B$108,$B56,'11.2. ДА за периода'!AA$61:AA$108)+SUMIF('11.1.Амортиз.нови активи'!$B$61:$B$108,$B56,'11.1.Амортиз.нови активи'!AA$61:AA$108)</f>
        <v>0</v>
      </c>
      <c r="AB56" s="1226">
        <f>$Z56-SUMIF('11.2. ДА за периода'!$B$61:$B$108,$B56,'11.2. ДА за периода'!$Z$61:$Z$108)+SUMIF('11.2. ДА за периода'!$B$61:$B$108,$B56,'11.2. ДА за периода'!AB$61:AB$108)+SUMIF('11.1.Амортиз.нови активи'!$B$61:$B$108,$B56,'11.1.Амортиз.нови активи'!AB$61:AB$108)</f>
        <v>0</v>
      </c>
      <c r="AC56" s="1226">
        <f>$Z56-SUMIF('11.2. ДА за периода'!$B$61:$B$108,$B56,'11.2. ДА за периода'!$Z$61:$Z$108)+SUMIF('11.2. ДА за периода'!$B$61:$B$108,$B56,'11.2. ДА за периода'!AC$61:AC$108)+SUMIF('11.1.Амортиз.нови активи'!$B$61:$B$108,$B56,'11.1.Амортиз.нови активи'!AC$61:AC$108)</f>
        <v>0</v>
      </c>
      <c r="AD56" s="1226">
        <f>$Z56-SUMIF('11.2. ДА за периода'!$B$61:$B$108,$B56,'11.2. ДА за периода'!$Z$61:$Z$108)+SUMIF('11.2. ДА за периода'!$B$61:$B$108,$B56,'11.2. ДА за периода'!AD$61:AD$108)+SUMIF('11.1.Амортиз.нови активи'!$B$61:$B$108,$B56,'11.1.Амортиз.нови активи'!AD$61:AD$108)</f>
        <v>0</v>
      </c>
      <c r="AE56" s="1226">
        <f>$Z56-SUMIF('11.2. ДА за периода'!$B$61:$B$108,$B56,'11.2. ДА за периода'!$Z$61:$Z$108)+SUMIF('11.2. ДА за периода'!$B$61:$B$108,$B56,'11.2. ДА за периода'!AE$61:AE$108)+SUMIF('11.1.Амортиз.нови активи'!$B$61:$B$108,$B56,'11.1.Амортиз.нови активи'!AE$61:AE$108)</f>
        <v>0</v>
      </c>
      <c r="AF56" s="2972">
        <f>$Z56-SUMIF('11.2. ДА за периода'!$B$61:$B$108,$B56,'11.2. ДА за периода'!$Z$61:$Z$108)+SUMIF('11.2. ДА за периода'!$B$61:$B$108,$B56,'11.2. ДА за периода'!AF$61:AF$108)+SUMIF('11.1.Амортиз.нови активи'!$B$61:$B$108,$B56,'11.1.Амортиз.нови активи'!AF$61:AF$108)</f>
        <v>0</v>
      </c>
      <c r="AG56" s="448"/>
      <c r="AH56" s="2971">
        <f>$AG56-SUMIF('11.2. ДА за периода'!$B$61:$B$108,$B56,'11.2. ДА за периода'!$AG$61:$AG$108)+SUMIF('11.2. ДА за периода'!$B$61:$B$108,$B56,'11.2. ДА за периода'!AH$61:AH$108)+SUMIF('11.1.Амортиз.нови активи'!$B$61:$B$108,$B56,'11.1.Амортиз.нови активи'!AH$61:AH$108)+('11.1.Амортиз.нови активи'!T$112*SUMIF('11.1.Амортиз.нови активи'!$B$61:$B$108,$B56,'11.1.Амортиз.нови активи'!BB$61:BB$108))</f>
        <v>0</v>
      </c>
      <c r="AI56" s="1226">
        <f>$AG56-SUMIF('11.2. ДА за периода'!$B$61:$B$108,$B56,'11.2. ДА за периода'!$AG$61:$AG$108)+SUMIF('11.2. ДА за периода'!$B$61:$B$108,$B56,'11.2. ДА за периода'!AI$61:AI$108)+SUMIF('11.1.Амортиз.нови активи'!$B$61:$B$108,$B56,'11.1.Амортиз.нови активи'!AI$61:AI$108)+('11.1.Амортиз.нови активи'!U$112*SUMIF('11.1.Амортиз.нови активи'!$B$61:$B$108,$B56,'11.1.Амортиз.нови активи'!BC$61:BC$108))</f>
        <v>0</v>
      </c>
      <c r="AJ56" s="1226">
        <f>$AG56-SUMIF('11.2. ДА за периода'!$B$61:$B$108,$B56,'11.2. ДА за периода'!$AG$61:$AG$108)+SUMIF('11.2. ДА за периода'!$B$61:$B$108,$B56,'11.2. ДА за периода'!AJ$61:AJ$108)+SUMIF('11.1.Амортиз.нови активи'!$B$61:$B$108,$B56,'11.1.Амортиз.нови активи'!AJ$61:AJ$108)+('11.1.Амортиз.нови активи'!V$112*SUMIF('11.1.Амортиз.нови активи'!$B$61:$B$108,$B56,'11.1.Амортиз.нови активи'!BD$61:BD$108))</f>
        <v>0</v>
      </c>
      <c r="AK56" s="1226">
        <f>$AG56-SUMIF('11.2. ДА за периода'!$B$61:$B$108,$B56,'11.2. ДА за периода'!$AG$61:$AG$108)+SUMIF('11.2. ДА за периода'!$B$61:$B$108,$B56,'11.2. ДА за периода'!AK$61:AK$108)+SUMIF('11.1.Амортиз.нови активи'!$B$61:$B$108,$B56,'11.1.Амортиз.нови активи'!AK$61:AK$108)+('11.1.Амортиз.нови активи'!W$112*SUMIF('11.1.Амортиз.нови активи'!$B$61:$B$108,$B56,'11.1.Амортиз.нови активи'!BE$61:BE$108))</f>
        <v>0</v>
      </c>
      <c r="AL56" s="1226">
        <f>$AG56-SUMIF('11.2. ДА за периода'!$B$61:$B$108,$B56,'11.2. ДА за периода'!$AG$61:$AG$108)+SUMIF('11.2. ДА за периода'!$B$61:$B$108,$B56,'11.2. ДА за периода'!AL$61:AL$108)+SUMIF('11.1.Амортиз.нови активи'!$B$61:$B$108,$B56,'11.1.Амортиз.нови активи'!AL$61:AL$108)+('11.1.Амортиз.нови активи'!X$112*SUMIF('11.1.Амортиз.нови активи'!$B$61:$B$108,$B56,'11.1.Амортиз.нови активи'!BF$61:BF$108))</f>
        <v>0</v>
      </c>
      <c r="AM56" s="2972">
        <f>$AG56-SUMIF('11.2. ДА за периода'!$B$61:$B$108,$B56,'11.2. ДА за периода'!$AG$61:$AG$108)+SUMIF('11.2. ДА за периода'!$B$61:$B$108,$B56,'11.2. ДА за периода'!AM$61:AM$108)+SUMIF('11.1.Амортиз.нови активи'!$B$61:$B$108,$B56,'11.1.Амортиз.нови активи'!AM$61:AM$108)+('11.1.Амортиз.нови активи'!Y$112*SUMIF('11.1.Амортиз.нови активи'!$B$61:$B$108,$B56,'11.1.Амортиз.нови активи'!BG$61:BG$108))</f>
        <v>0</v>
      </c>
      <c r="AN56" s="2860"/>
      <c r="AO56" s="2898"/>
    </row>
    <row r="57" spans="1:42">
      <c r="A57" s="2878">
        <v>14</v>
      </c>
      <c r="B57" s="2954"/>
      <c r="C57" s="2954"/>
      <c r="D57" s="2903" t="s">
        <v>634</v>
      </c>
      <c r="E57" s="2970">
        <v>0</v>
      </c>
      <c r="F57" s="2971">
        <f>$E57-SUMIF('11.2. ДА за периода'!$B$61:$B$108,$B57,'11.2. ДА за периода'!$E$61:$E$108)+SUMIF('11.2. ДА за периода'!$B$61:$B$108,$B57,'11.2. ДА за периода'!F$61:F$108)+SUMIF('11.1.Амортиз.нови активи'!$B$61:$B$108,$B57,'11.1.Амортиз.нови активи'!F$61:F$108)+('11.1.Амортиз.нови активи'!F$110*SUMIF('11.1.Амортиз.нови активи'!$B$61:$B$108,$B57,'11.1.Амортиз.нови активи'!AO$61:AO$108))</f>
        <v>0</v>
      </c>
      <c r="G57" s="1226">
        <f>$E57-SUMIF('11.2. ДА за периода'!$B$61:$B$108,$B57,'11.2. ДА за периода'!$E$61:$E$108)+SUMIF('11.2. ДА за периода'!$B$61:$B$108,$B57,'11.2. ДА за периода'!G$61:G$108)+SUMIF('11.1.Амортиз.нови активи'!$B$61:$B$108,$B57,'11.1.Амортиз.нови активи'!G$61:G$108)+('11.1.Амортиз.нови активи'!G$110*SUMIF('11.1.Амортиз.нови активи'!$B$61:$B$108,$B57,'11.1.Амортиз.нови активи'!AP$61:AP$108))</f>
        <v>0</v>
      </c>
      <c r="H57" s="1226">
        <f>$E57-SUMIF('11.2. ДА за периода'!$B$61:$B$108,$B57,'11.2. ДА за периода'!$E$61:$E$108)+SUMIF('11.2. ДА за периода'!$B$61:$B$108,$B57,'11.2. ДА за периода'!H$61:H$108)+SUMIF('11.1.Амортиз.нови активи'!$B$61:$B$108,$B57,'11.1.Амортиз.нови активи'!H$61:H$108)+('11.1.Амортиз.нови активи'!H$110*SUMIF('11.1.Амортиз.нови активи'!$B$61:$B$108,$B57,'11.1.Амортиз.нови активи'!AQ$61:AQ$108))</f>
        <v>0</v>
      </c>
      <c r="I57" s="1226">
        <f>$E57-SUMIF('11.2. ДА за периода'!$B$61:$B$108,$B57,'11.2. ДА за периода'!$E$61:$E$108)+SUMIF('11.2. ДА за периода'!$B$61:$B$108,$B57,'11.2. ДА за периода'!I$61:I$108)+SUMIF('11.1.Амортиз.нови активи'!$B$61:$B$108,$B57,'11.1.Амортиз.нови активи'!I$61:I$108)+('11.1.Амортиз.нови активи'!I$110*SUMIF('11.1.Амортиз.нови активи'!$B$61:$B$108,$B57,'11.1.Амортиз.нови активи'!AR$61:AR$108))</f>
        <v>0</v>
      </c>
      <c r="J57" s="1226">
        <f>$E57-SUMIF('11.2. ДА за периода'!$B$61:$B$108,$B57,'11.2. ДА за периода'!$E$61:$E$108)+SUMIF('11.2. ДА за периода'!$B$61:$B$108,$B57,'11.2. ДА за периода'!J$61:J$108)+SUMIF('11.1.Амортиз.нови активи'!$B$61:$B$108,$B57,'11.1.Амортиз.нови активи'!J$61:J$108)+('11.1.Амортиз.нови активи'!J$110*SUMIF('11.1.Амортиз.нови активи'!$B$61:$B$108,$B57,'11.1.Амортиз.нови активи'!AS$61:AS$108))</f>
        <v>0</v>
      </c>
      <c r="K57" s="2972">
        <f>$E57-SUMIF('11.2. ДА за периода'!$B$61:$B$108,$B57,'11.2. ДА за периода'!$E$61:$E$108)+SUMIF('11.2. ДА за периода'!$B$61:$B$108,$B57,'11.2. ДА за периода'!K$61:K$108)+SUMIF('11.1.Амортиз.нови активи'!$B$61:$B$108,$B57,'11.1.Амортиз.нови активи'!K$61:K$108)+('11.1.Амортиз.нови активи'!K$110*SUMIF('11.1.Амортиз.нови активи'!$B$61:$B$108,$B57,'11.1.Амортиз.нови активи'!AT$61:AT$108))</f>
        <v>0</v>
      </c>
      <c r="L57" s="448">
        <v>0</v>
      </c>
      <c r="M57" s="2971">
        <f>$L57-SUMIF('11.2. ДА за периода'!$B$61:$B$108,$B57,'11.2. ДА за периода'!$L$61:$L$108)+SUMIF('11.2. ДА за периода'!$B$61:$B$108,$B57,'11.2. ДА за периода'!M$61:M$108)+SUMIF('11.1.Амортиз.нови активи'!$B$61:$B$108,$B57,'11.1.Амортиз.нови активи'!M$61:M$108)+('11.1.Амортиз.нови активи'!F$111*SUMIF('11.1.Амортиз.нови активи'!$B$61:$B$108,$B57,'11.1.Амортиз.нови активи'!AO$61:AO$108))</f>
        <v>0</v>
      </c>
      <c r="N57" s="1226">
        <f>$L57-SUMIF('11.2. ДА за периода'!$B$61:$B$108,$B57,'11.2. ДА за периода'!$L$61:$L$108)+SUMIF('11.2. ДА за периода'!$B$61:$B$108,$B57,'11.2. ДА за периода'!N$61:N$108)+SUMIF('11.1.Амортиз.нови активи'!$B$61:$B$108,$B57,'11.1.Амортиз.нови активи'!N$61:N$108)+('11.1.Амортиз.нови активи'!G$111*SUMIF('11.1.Амортиз.нови активи'!$B$61:$B$108,$B57,'11.1.Амортиз.нови активи'!AP$61:AP$108))</f>
        <v>0</v>
      </c>
      <c r="O57" s="1226">
        <f>$L57-SUMIF('11.2. ДА за периода'!$B$61:$B$108,$B57,'11.2. ДА за периода'!$L$61:$L$108)+SUMIF('11.2. ДА за периода'!$B$61:$B$108,$B57,'11.2. ДА за периода'!O$61:O$108)+SUMIF('11.1.Амортиз.нови активи'!$B$61:$B$108,$B57,'11.1.Амортиз.нови активи'!O$61:O$108)+('11.1.Амортиз.нови активи'!H$111*SUMIF('11.1.Амортиз.нови активи'!$B$61:$B$108,$B57,'11.1.Амортиз.нови активи'!AQ$61:AQ$108))</f>
        <v>0</v>
      </c>
      <c r="P57" s="1226">
        <f>$L57-SUMIF('11.2. ДА за периода'!$B$61:$B$108,$B57,'11.2. ДА за периода'!$L$61:$L$108)+SUMIF('11.2. ДА за периода'!$B$61:$B$108,$B57,'11.2. ДА за периода'!P$61:P$108)+SUMIF('11.1.Амортиз.нови активи'!$B$61:$B$108,$B57,'11.1.Амортиз.нови активи'!P$61:P$108)+('11.1.Амортиз.нови активи'!I$111*SUMIF('11.1.Амортиз.нови активи'!$B$61:$B$108,$B57,'11.1.Амортиз.нови активи'!AR$61:AR$108))</f>
        <v>0</v>
      </c>
      <c r="Q57" s="1226">
        <f>$L57-SUMIF('11.2. ДА за периода'!$B$61:$B$108,$B57,'11.2. ДА за периода'!$L$61:$L$108)+SUMIF('11.2. ДА за периода'!$B$61:$B$108,$B57,'11.2. ДА за периода'!Q$61:Q$108)+SUMIF('11.1.Амортиз.нови активи'!$B$61:$B$108,$B57,'11.1.Амортиз.нови активи'!Q$61:Q$108)+('11.1.Амортиз.нови активи'!J$111*SUMIF('11.1.Амортиз.нови активи'!$B$61:$B$108,$B57,'11.1.Амортиз.нови активи'!AS$61:AS$108))</f>
        <v>0</v>
      </c>
      <c r="R57" s="2972">
        <f>$L57-SUMIF('11.2. ДА за периода'!$B$61:$B$108,$B57,'11.2. ДА за периода'!$L$61:$L$108)+SUMIF('11.2. ДА за периода'!$B$61:$B$108,$B57,'11.2. ДА за периода'!R$61:R$108)+SUMIF('11.1.Амортиз.нови активи'!$B$61:$B$108,$B57,'11.1.Амортиз.нови активи'!R$61:R$108)+('11.1.Амортиз.нови активи'!K$111*SUMIF('11.1.Амортиз.нови активи'!$B$61:$B$108,$B57,'11.1.Амортиз.нови активи'!AT$61:AT$108))</f>
        <v>0</v>
      </c>
      <c r="S57" s="2970">
        <v>0</v>
      </c>
      <c r="T57" s="2971">
        <f>$S57-SUMIF('11.2. ДА за периода'!$B$61:$B$108,$B57,'11.2. ДА за периода'!$S$61:$S$108)+SUMIF('11.2. ДА за периода'!$B$61:$B$108,$B57,'11.2. ДА за периода'!T$61:T$108)+SUMIF('11.1.Амортиз.нови активи'!$B$61:$B$108,$B57,'11.1.Амортиз.нови активи'!T$61:T$108)+('11.1.Амортиз.нови активи'!F$112*SUMIF('11.1.Амортиз.нови активи'!$B$61:$B$108,$B57,'11.1.Амортиз.нови активи'!AO$61:AO$108))</f>
        <v>0</v>
      </c>
      <c r="U57" s="1226">
        <f>$S57-SUMIF('11.2. ДА за периода'!$B$61:$B$108,$B57,'11.2. ДА за периода'!$S$61:$S$108)+SUMIF('11.2. ДА за периода'!$B$61:$B$108,$B57,'11.2. ДА за периода'!U$61:U$108)+SUMIF('11.1.Амортиз.нови активи'!$B$61:$B$108,$B57,'11.1.Амортиз.нови активи'!U$61:U$108)+('11.1.Амортиз.нови активи'!G$112*SUMIF('11.1.Амортиз.нови активи'!$B$61:$B$108,$B57,'11.1.Амортиз.нови активи'!AP$61:AP$108))</f>
        <v>0</v>
      </c>
      <c r="V57" s="1226">
        <f>$S57-SUMIF('11.2. ДА за периода'!$B$61:$B$108,$B57,'11.2. ДА за периода'!$S$61:$S$108)+SUMIF('11.2. ДА за периода'!$B$61:$B$108,$B57,'11.2. ДА за периода'!V$61:V$108)+SUMIF('11.1.Амортиз.нови активи'!$B$61:$B$108,$B57,'11.1.Амортиз.нови активи'!V$61:V$108)+('11.1.Амортиз.нови активи'!H$112*SUMIF('11.1.Амортиз.нови активи'!$B$61:$B$108,$B57,'11.1.Амортиз.нови активи'!AQ$61:AQ$108))</f>
        <v>0</v>
      </c>
      <c r="W57" s="1226">
        <f>$S57-SUMIF('11.2. ДА за периода'!$B$61:$B$108,$B57,'11.2. ДА за периода'!$S$61:$S$108)+SUMIF('11.2. ДА за периода'!$B$61:$B$108,$B57,'11.2. ДА за периода'!W$61:W$108)+SUMIF('11.1.Амортиз.нови активи'!$B$61:$B$108,$B57,'11.1.Амортиз.нови активи'!W$61:W$108)+('11.1.Амортиз.нови активи'!I$112*SUMIF('11.1.Амортиз.нови активи'!$B$61:$B$108,$B57,'11.1.Амортиз.нови активи'!AR$61:AR$108))</f>
        <v>0</v>
      </c>
      <c r="X57" s="1226">
        <f>$S57-SUMIF('11.2. ДА за периода'!$B$61:$B$108,$B57,'11.2. ДА за периода'!$S$61:$S$108)+SUMIF('11.2. ДА за периода'!$B$61:$B$108,$B57,'11.2. ДА за периода'!X$61:X$108)+SUMIF('11.1.Амортиз.нови активи'!$B$61:$B$108,$B57,'11.1.Амортиз.нови активи'!X$61:X$108)+('11.1.Амортиз.нови активи'!J$112*SUMIF('11.1.Амортиз.нови активи'!$B$61:$B$108,$B57,'11.1.Амортиз.нови активи'!AS$61:AS$108))</f>
        <v>0</v>
      </c>
      <c r="Y57" s="2972">
        <f>$S57-SUMIF('11.2. ДА за периода'!$B$61:$B$108,$B57,'11.2. ДА за периода'!$S$61:$S$108)+SUMIF('11.2. ДА за периода'!$B$61:$B$108,$B57,'11.2. ДА за периода'!Y$61:Y$108)+SUMIF('11.1.Амортиз.нови активи'!$B$61:$B$108,$B57,'11.1.Амортиз.нови активи'!Y$61:Y$108)+('11.1.Амортиз.нови активи'!K$112*SUMIF('11.1.Амортиз.нови активи'!$B$61:$B$108,$B57,'11.1.Амортиз.нови активи'!AT$61:AT$108))</f>
        <v>0</v>
      </c>
      <c r="Z57" s="448">
        <v>0</v>
      </c>
      <c r="AA57" s="2971">
        <f>$Z57-SUMIF('11.2. ДА за периода'!$B$61:$B$108,$B57,'11.2. ДА за периода'!$Z$61:$Z$108)+SUMIF('11.2. ДА за периода'!$B$61:$B$108,$B57,'11.2. ДА за периода'!AA$61:AA$108)+SUMIF('11.1.Амортиз.нови активи'!$B$61:$B$108,$B57,'11.1.Амортиз.нови активи'!AA$61:AA$108)</f>
        <v>0</v>
      </c>
      <c r="AB57" s="1226">
        <f>$Z57-SUMIF('11.2. ДА за периода'!$B$61:$B$108,$B57,'11.2. ДА за периода'!$Z$61:$Z$108)+SUMIF('11.2. ДА за периода'!$B$61:$B$108,$B57,'11.2. ДА за периода'!AB$61:AB$108)+SUMIF('11.1.Амортиз.нови активи'!$B$61:$B$108,$B57,'11.1.Амортиз.нови активи'!AB$61:AB$108)</f>
        <v>0</v>
      </c>
      <c r="AC57" s="1226">
        <f>$Z57-SUMIF('11.2. ДА за периода'!$B$61:$B$108,$B57,'11.2. ДА за периода'!$Z$61:$Z$108)+SUMIF('11.2. ДА за периода'!$B$61:$B$108,$B57,'11.2. ДА за периода'!AC$61:AC$108)+SUMIF('11.1.Амортиз.нови активи'!$B$61:$B$108,$B57,'11.1.Амортиз.нови активи'!AC$61:AC$108)</f>
        <v>0</v>
      </c>
      <c r="AD57" s="1226">
        <f>$Z57-SUMIF('11.2. ДА за периода'!$B$61:$B$108,$B57,'11.2. ДА за периода'!$Z$61:$Z$108)+SUMIF('11.2. ДА за периода'!$B$61:$B$108,$B57,'11.2. ДА за периода'!AD$61:AD$108)+SUMIF('11.1.Амортиз.нови активи'!$B$61:$B$108,$B57,'11.1.Амортиз.нови активи'!AD$61:AD$108)</f>
        <v>0</v>
      </c>
      <c r="AE57" s="1226">
        <f>$Z57-SUMIF('11.2. ДА за периода'!$B$61:$B$108,$B57,'11.2. ДА за периода'!$Z$61:$Z$108)+SUMIF('11.2. ДА за периода'!$B$61:$B$108,$B57,'11.2. ДА за периода'!AE$61:AE$108)+SUMIF('11.1.Амортиз.нови активи'!$B$61:$B$108,$B57,'11.1.Амортиз.нови активи'!AE$61:AE$108)</f>
        <v>0</v>
      </c>
      <c r="AF57" s="2972">
        <f>$Z57-SUMIF('11.2. ДА за периода'!$B$61:$B$108,$B57,'11.2. ДА за периода'!$Z$61:$Z$108)+SUMIF('11.2. ДА за периода'!$B$61:$B$108,$B57,'11.2. ДА за периода'!AF$61:AF$108)+SUMIF('11.1.Амортиз.нови активи'!$B$61:$B$108,$B57,'11.1.Амортиз.нови активи'!AF$61:AF$108)</f>
        <v>0</v>
      </c>
      <c r="AG57" s="448"/>
      <c r="AH57" s="2971">
        <f>$AG57-SUMIF('11.2. ДА за периода'!$B$61:$B$108,$B57,'11.2. ДА за периода'!$AG$61:$AG$108)+SUMIF('11.2. ДА за периода'!$B$61:$B$108,$B57,'11.2. ДА за периода'!AH$61:AH$108)+SUMIF('11.1.Амортиз.нови активи'!$B$61:$B$108,$B57,'11.1.Амортиз.нови активи'!AH$61:AH$108)+('11.1.Амортиз.нови активи'!T$112*SUMIF('11.1.Амортиз.нови активи'!$B$61:$B$108,$B57,'11.1.Амортиз.нови активи'!BB$61:BB$108))</f>
        <v>0</v>
      </c>
      <c r="AI57" s="1226">
        <f>$AG57-SUMIF('11.2. ДА за периода'!$B$61:$B$108,$B57,'11.2. ДА за периода'!$AG$61:$AG$108)+SUMIF('11.2. ДА за периода'!$B$61:$B$108,$B57,'11.2. ДА за периода'!AI$61:AI$108)+SUMIF('11.1.Амортиз.нови активи'!$B$61:$B$108,$B57,'11.1.Амортиз.нови активи'!AI$61:AI$108)+('11.1.Амортиз.нови активи'!U$112*SUMIF('11.1.Амортиз.нови активи'!$B$61:$B$108,$B57,'11.1.Амортиз.нови активи'!BC$61:BC$108))</f>
        <v>0</v>
      </c>
      <c r="AJ57" s="1226">
        <f>$AG57-SUMIF('11.2. ДА за периода'!$B$61:$B$108,$B57,'11.2. ДА за периода'!$AG$61:$AG$108)+SUMIF('11.2. ДА за периода'!$B$61:$B$108,$B57,'11.2. ДА за периода'!AJ$61:AJ$108)+SUMIF('11.1.Амортиз.нови активи'!$B$61:$B$108,$B57,'11.1.Амортиз.нови активи'!AJ$61:AJ$108)+('11.1.Амортиз.нови активи'!V$112*SUMIF('11.1.Амортиз.нови активи'!$B$61:$B$108,$B57,'11.1.Амортиз.нови активи'!BD$61:BD$108))</f>
        <v>0</v>
      </c>
      <c r="AK57" s="1226">
        <f>$AG57-SUMIF('11.2. ДА за периода'!$B$61:$B$108,$B57,'11.2. ДА за периода'!$AG$61:$AG$108)+SUMIF('11.2. ДА за периода'!$B$61:$B$108,$B57,'11.2. ДА за периода'!AK$61:AK$108)+SUMIF('11.1.Амортиз.нови активи'!$B$61:$B$108,$B57,'11.1.Амортиз.нови активи'!AK$61:AK$108)+('11.1.Амортиз.нови активи'!W$112*SUMIF('11.1.Амортиз.нови активи'!$B$61:$B$108,$B57,'11.1.Амортиз.нови активи'!BE$61:BE$108))</f>
        <v>0</v>
      </c>
      <c r="AL57" s="1226">
        <f>$AG57-SUMIF('11.2. ДА за периода'!$B$61:$B$108,$B57,'11.2. ДА за периода'!$AG$61:$AG$108)+SUMIF('11.2. ДА за периода'!$B$61:$B$108,$B57,'11.2. ДА за периода'!AL$61:AL$108)+SUMIF('11.1.Амортиз.нови активи'!$B$61:$B$108,$B57,'11.1.Амортиз.нови активи'!AL$61:AL$108)+('11.1.Амортиз.нови активи'!X$112*SUMIF('11.1.Амортиз.нови активи'!$B$61:$B$108,$B57,'11.1.Амортиз.нови активи'!BF$61:BF$108))</f>
        <v>0</v>
      </c>
      <c r="AM57" s="2972">
        <f>$AG57-SUMIF('11.2. ДА за периода'!$B$61:$B$108,$B57,'11.2. ДА за периода'!$AG$61:$AG$108)+SUMIF('11.2. ДА за периода'!$B$61:$B$108,$B57,'11.2. ДА за периода'!AM$61:AM$108)+SUMIF('11.1.Амортиз.нови активи'!$B$61:$B$108,$B57,'11.1.Амортиз.нови активи'!AM$61:AM$108)+('11.1.Амортиз.нови активи'!Y$112*SUMIF('11.1.Амортиз.нови активи'!$B$61:$B$108,$B57,'11.1.Амортиз.нови активи'!BG$61:BG$108))</f>
        <v>0</v>
      </c>
      <c r="AN57" s="2860"/>
      <c r="AO57" s="2868"/>
      <c r="AP57" s="1421"/>
    </row>
    <row r="58" spans="1:42" ht="24">
      <c r="A58" s="2878">
        <v>15</v>
      </c>
      <c r="B58" s="2904">
        <v>207</v>
      </c>
      <c r="C58" s="2905" t="s">
        <v>318</v>
      </c>
      <c r="D58" s="2902" t="s">
        <v>420</v>
      </c>
      <c r="E58" s="2970">
        <v>0</v>
      </c>
      <c r="F58" s="2971">
        <f>$E58-SUMIF('11.2. ДА за периода'!$B$61:$B$108,$B58,'11.2. ДА за периода'!$E$61:$E$108)+SUMIF('11.2. ДА за периода'!$B$61:$B$108,$B58,'11.2. ДА за периода'!F$61:F$108)+SUMIF('11.1.Амортиз.нови активи'!$B$61:$B$108,$B58,'11.1.Амортиз.нови активи'!F$61:F$108)+('11.1.Амортиз.нови активи'!F$110*SUMIF('11.1.Амортиз.нови активи'!$B$61:$B$108,$B58,'11.1.Амортиз.нови активи'!AO$61:AO$108))</f>
        <v>0</v>
      </c>
      <c r="G58" s="1226">
        <f>$E58-SUMIF('11.2. ДА за периода'!$B$61:$B$108,$B58,'11.2. ДА за периода'!$E$61:$E$108)+SUMIF('11.2. ДА за периода'!$B$61:$B$108,$B58,'11.2. ДА за периода'!G$61:G$108)+SUMIF('11.1.Амортиз.нови активи'!$B$61:$B$108,$B58,'11.1.Амортиз.нови активи'!G$61:G$108)+('11.1.Амортиз.нови активи'!G$110*SUMIF('11.1.Амортиз.нови активи'!$B$61:$B$108,$B58,'11.1.Амортиз.нови активи'!AP$61:AP$108))</f>
        <v>0</v>
      </c>
      <c r="H58" s="1226">
        <f>$E58-SUMIF('11.2. ДА за периода'!$B$61:$B$108,$B58,'11.2. ДА за периода'!$E$61:$E$108)+SUMIF('11.2. ДА за периода'!$B$61:$B$108,$B58,'11.2. ДА за периода'!H$61:H$108)+SUMIF('11.1.Амортиз.нови активи'!$B$61:$B$108,$B58,'11.1.Амортиз.нови активи'!H$61:H$108)+('11.1.Амортиз.нови активи'!H$110*SUMIF('11.1.Амортиз.нови активи'!$B$61:$B$108,$B58,'11.1.Амортиз.нови активи'!AQ$61:AQ$108))</f>
        <v>0</v>
      </c>
      <c r="I58" s="1226">
        <f>$E58-SUMIF('11.2. ДА за периода'!$B$61:$B$108,$B58,'11.2. ДА за периода'!$E$61:$E$108)+SUMIF('11.2. ДА за периода'!$B$61:$B$108,$B58,'11.2. ДА за периода'!I$61:I$108)+SUMIF('11.1.Амортиз.нови активи'!$B$61:$B$108,$B58,'11.1.Амортиз.нови активи'!I$61:I$108)+('11.1.Амортиз.нови активи'!I$110*SUMIF('11.1.Амортиз.нови активи'!$B$61:$B$108,$B58,'11.1.Амортиз.нови активи'!AR$61:AR$108))</f>
        <v>0</v>
      </c>
      <c r="J58" s="1226">
        <f>$E58-SUMIF('11.2. ДА за периода'!$B$61:$B$108,$B58,'11.2. ДА за периода'!$E$61:$E$108)+SUMIF('11.2. ДА за периода'!$B$61:$B$108,$B58,'11.2. ДА за периода'!J$61:J$108)+SUMIF('11.1.Амортиз.нови активи'!$B$61:$B$108,$B58,'11.1.Амортиз.нови активи'!J$61:J$108)+('11.1.Амортиз.нови активи'!J$110*SUMIF('11.1.Амортиз.нови активи'!$B$61:$B$108,$B58,'11.1.Амортиз.нови активи'!AS$61:AS$108))</f>
        <v>0</v>
      </c>
      <c r="K58" s="2972">
        <f>$E58-SUMIF('11.2. ДА за периода'!$B$61:$B$108,$B58,'11.2. ДА за периода'!$E$61:$E$108)+SUMIF('11.2. ДА за периода'!$B$61:$B$108,$B58,'11.2. ДА за периода'!K$61:K$108)+SUMIF('11.1.Амортиз.нови активи'!$B$61:$B$108,$B58,'11.1.Амортиз.нови активи'!K$61:K$108)+('11.1.Амортиз.нови активи'!K$110*SUMIF('11.1.Амортиз.нови активи'!$B$61:$B$108,$B58,'11.1.Амортиз.нови активи'!AT$61:AT$108))</f>
        <v>0</v>
      </c>
      <c r="L58" s="448">
        <v>0</v>
      </c>
      <c r="M58" s="2971">
        <f>$L58-SUMIF('11.2. ДА за периода'!$B$61:$B$108,$B58,'11.2. ДА за периода'!$L$61:$L$108)+SUMIF('11.2. ДА за периода'!$B$61:$B$108,$B58,'11.2. ДА за периода'!M$61:M$108)+SUMIF('11.1.Амортиз.нови активи'!$B$61:$B$108,$B58,'11.1.Амортиз.нови активи'!M$61:M$108)+('11.1.Амортиз.нови активи'!F$111*SUMIF('11.1.Амортиз.нови активи'!$B$61:$B$108,$B58,'11.1.Амортиз.нови активи'!AO$61:AO$108))</f>
        <v>0</v>
      </c>
      <c r="N58" s="1226">
        <f>$L58-SUMIF('11.2. ДА за периода'!$B$61:$B$108,$B58,'11.2. ДА за периода'!$L$61:$L$108)+SUMIF('11.2. ДА за периода'!$B$61:$B$108,$B58,'11.2. ДА за периода'!N$61:N$108)+SUMIF('11.1.Амортиз.нови активи'!$B$61:$B$108,$B58,'11.1.Амортиз.нови активи'!N$61:N$108)+('11.1.Амортиз.нови активи'!G$111*SUMIF('11.1.Амортиз.нови активи'!$B$61:$B$108,$B58,'11.1.Амортиз.нови активи'!AP$61:AP$108))</f>
        <v>0</v>
      </c>
      <c r="O58" s="1226">
        <f>$L58-SUMIF('11.2. ДА за периода'!$B$61:$B$108,$B58,'11.2. ДА за периода'!$L$61:$L$108)+SUMIF('11.2. ДА за периода'!$B$61:$B$108,$B58,'11.2. ДА за периода'!O$61:O$108)+SUMIF('11.1.Амортиз.нови активи'!$B$61:$B$108,$B58,'11.1.Амортиз.нови активи'!O$61:O$108)+('11.1.Амортиз.нови активи'!H$111*SUMIF('11.1.Амортиз.нови активи'!$B$61:$B$108,$B58,'11.1.Амортиз.нови активи'!AQ$61:AQ$108))</f>
        <v>0</v>
      </c>
      <c r="P58" s="1226">
        <f>$L58-SUMIF('11.2. ДА за периода'!$B$61:$B$108,$B58,'11.2. ДА за периода'!$L$61:$L$108)+SUMIF('11.2. ДА за периода'!$B$61:$B$108,$B58,'11.2. ДА за периода'!P$61:P$108)+SUMIF('11.1.Амортиз.нови активи'!$B$61:$B$108,$B58,'11.1.Амортиз.нови активи'!P$61:P$108)+('11.1.Амортиз.нови активи'!I$111*SUMIF('11.1.Амортиз.нови активи'!$B$61:$B$108,$B58,'11.1.Амортиз.нови активи'!AR$61:AR$108))</f>
        <v>0</v>
      </c>
      <c r="Q58" s="1226">
        <f>$L58-SUMIF('11.2. ДА за периода'!$B$61:$B$108,$B58,'11.2. ДА за периода'!$L$61:$L$108)+SUMIF('11.2. ДА за периода'!$B$61:$B$108,$B58,'11.2. ДА за периода'!Q$61:Q$108)+SUMIF('11.1.Амортиз.нови активи'!$B$61:$B$108,$B58,'11.1.Амортиз.нови активи'!Q$61:Q$108)+('11.1.Амортиз.нови активи'!J$111*SUMIF('11.1.Амортиз.нови активи'!$B$61:$B$108,$B58,'11.1.Амортиз.нови активи'!AS$61:AS$108))</f>
        <v>0</v>
      </c>
      <c r="R58" s="2972">
        <f>$L58-SUMIF('11.2. ДА за периода'!$B$61:$B$108,$B58,'11.2. ДА за периода'!$L$61:$L$108)+SUMIF('11.2. ДА за периода'!$B$61:$B$108,$B58,'11.2. ДА за периода'!R$61:R$108)+SUMIF('11.1.Амортиз.нови активи'!$B$61:$B$108,$B58,'11.1.Амортиз.нови активи'!R$61:R$108)+('11.1.Амортиз.нови активи'!K$111*SUMIF('11.1.Амортиз.нови активи'!$B$61:$B$108,$B58,'11.1.Амортиз.нови активи'!AT$61:AT$108))</f>
        <v>0</v>
      </c>
      <c r="S58" s="2970">
        <v>0</v>
      </c>
      <c r="T58" s="2971">
        <f>$S58-SUMIF('11.2. ДА за периода'!$B$61:$B$108,$B58,'11.2. ДА за периода'!$S$61:$S$108)+SUMIF('11.2. ДА за периода'!$B$61:$B$108,$B58,'11.2. ДА за периода'!T$61:T$108)+SUMIF('11.1.Амортиз.нови активи'!$B$61:$B$108,$B58,'11.1.Амортиз.нови активи'!T$61:T$108)+('11.1.Амортиз.нови активи'!F$112*SUMIF('11.1.Амортиз.нови активи'!$B$61:$B$108,$B58,'11.1.Амортиз.нови активи'!AO$61:AO$108))</f>
        <v>0</v>
      </c>
      <c r="U58" s="1226">
        <f>$S58-SUMIF('11.2. ДА за периода'!$B$61:$B$108,$B58,'11.2. ДА за периода'!$S$61:$S$108)+SUMIF('11.2. ДА за периода'!$B$61:$B$108,$B58,'11.2. ДА за периода'!U$61:U$108)+SUMIF('11.1.Амортиз.нови активи'!$B$61:$B$108,$B58,'11.1.Амортиз.нови активи'!U$61:U$108)+('11.1.Амортиз.нови активи'!G$112*SUMIF('11.1.Амортиз.нови активи'!$B$61:$B$108,$B58,'11.1.Амортиз.нови активи'!AP$61:AP$108))</f>
        <v>0</v>
      </c>
      <c r="V58" s="1226">
        <f>$S58-SUMIF('11.2. ДА за периода'!$B$61:$B$108,$B58,'11.2. ДА за периода'!$S$61:$S$108)+SUMIF('11.2. ДА за периода'!$B$61:$B$108,$B58,'11.2. ДА за периода'!V$61:V$108)+SUMIF('11.1.Амортиз.нови активи'!$B$61:$B$108,$B58,'11.1.Амортиз.нови активи'!V$61:V$108)+('11.1.Амортиз.нови активи'!H$112*SUMIF('11.1.Амортиз.нови активи'!$B$61:$B$108,$B58,'11.1.Амортиз.нови активи'!AQ$61:AQ$108))</f>
        <v>0</v>
      </c>
      <c r="W58" s="1226">
        <f>$S58-SUMIF('11.2. ДА за периода'!$B$61:$B$108,$B58,'11.2. ДА за периода'!$S$61:$S$108)+SUMIF('11.2. ДА за периода'!$B$61:$B$108,$B58,'11.2. ДА за периода'!W$61:W$108)+SUMIF('11.1.Амортиз.нови активи'!$B$61:$B$108,$B58,'11.1.Амортиз.нови активи'!W$61:W$108)+('11.1.Амортиз.нови активи'!I$112*SUMIF('11.1.Амортиз.нови активи'!$B$61:$B$108,$B58,'11.1.Амортиз.нови активи'!AR$61:AR$108))</f>
        <v>0</v>
      </c>
      <c r="X58" s="1226">
        <f>$S58-SUMIF('11.2. ДА за периода'!$B$61:$B$108,$B58,'11.2. ДА за периода'!$S$61:$S$108)+SUMIF('11.2. ДА за периода'!$B$61:$B$108,$B58,'11.2. ДА за периода'!X$61:X$108)+SUMIF('11.1.Амортиз.нови активи'!$B$61:$B$108,$B58,'11.1.Амортиз.нови активи'!X$61:X$108)+('11.1.Амортиз.нови активи'!J$112*SUMIF('11.1.Амортиз.нови активи'!$B$61:$B$108,$B58,'11.1.Амортиз.нови активи'!AS$61:AS$108))</f>
        <v>0</v>
      </c>
      <c r="Y58" s="2972">
        <f>$S58-SUMIF('11.2. ДА за периода'!$B$61:$B$108,$B58,'11.2. ДА за периода'!$S$61:$S$108)+SUMIF('11.2. ДА за периода'!$B$61:$B$108,$B58,'11.2. ДА за периода'!Y$61:Y$108)+SUMIF('11.1.Амортиз.нови активи'!$B$61:$B$108,$B58,'11.1.Амортиз.нови активи'!Y$61:Y$108)+('11.1.Амортиз.нови активи'!K$112*SUMIF('11.1.Амортиз.нови активи'!$B$61:$B$108,$B58,'11.1.Амортиз.нови активи'!AT$61:AT$108))</f>
        <v>0</v>
      </c>
      <c r="Z58" s="448">
        <v>0</v>
      </c>
      <c r="AA58" s="2971">
        <f>$Z58-SUMIF('11.2. ДА за периода'!$B$61:$B$108,$B58,'11.2. ДА за периода'!$Z$61:$Z$108)+SUMIF('11.2. ДА за периода'!$B$61:$B$108,$B58,'11.2. ДА за периода'!AA$61:AA$108)+SUMIF('11.1.Амортиз.нови активи'!$B$61:$B$108,$B58,'11.1.Амортиз.нови активи'!AA$61:AA$108)</f>
        <v>0</v>
      </c>
      <c r="AB58" s="1226">
        <f>$Z58-SUMIF('11.2. ДА за периода'!$B$61:$B$108,$B58,'11.2. ДА за периода'!$Z$61:$Z$108)+SUMIF('11.2. ДА за периода'!$B$61:$B$108,$B58,'11.2. ДА за периода'!AB$61:AB$108)+SUMIF('11.1.Амортиз.нови активи'!$B$61:$B$108,$B58,'11.1.Амортиз.нови активи'!AB$61:AB$108)</f>
        <v>0</v>
      </c>
      <c r="AC58" s="1226">
        <f>$Z58-SUMIF('11.2. ДА за периода'!$B$61:$B$108,$B58,'11.2. ДА за периода'!$Z$61:$Z$108)+SUMIF('11.2. ДА за периода'!$B$61:$B$108,$B58,'11.2. ДА за периода'!AC$61:AC$108)+SUMIF('11.1.Амортиз.нови активи'!$B$61:$B$108,$B58,'11.1.Амортиз.нови активи'!AC$61:AC$108)</f>
        <v>0</v>
      </c>
      <c r="AD58" s="1226">
        <f>$Z58-SUMIF('11.2. ДА за периода'!$B$61:$B$108,$B58,'11.2. ДА за периода'!$Z$61:$Z$108)+SUMIF('11.2. ДА за периода'!$B$61:$B$108,$B58,'11.2. ДА за периода'!AD$61:AD$108)+SUMIF('11.1.Амортиз.нови активи'!$B$61:$B$108,$B58,'11.1.Амортиз.нови активи'!AD$61:AD$108)</f>
        <v>0</v>
      </c>
      <c r="AE58" s="1226">
        <f>$Z58-SUMIF('11.2. ДА за периода'!$B$61:$B$108,$B58,'11.2. ДА за периода'!$Z$61:$Z$108)+SUMIF('11.2. ДА за периода'!$B$61:$B$108,$B58,'11.2. ДА за периода'!AE$61:AE$108)+SUMIF('11.1.Амортиз.нови активи'!$B$61:$B$108,$B58,'11.1.Амортиз.нови активи'!AE$61:AE$108)</f>
        <v>0</v>
      </c>
      <c r="AF58" s="2972">
        <f>$Z58-SUMIF('11.2. ДА за периода'!$B$61:$B$108,$B58,'11.2. ДА за периода'!$Z$61:$Z$108)+SUMIF('11.2. ДА за периода'!$B$61:$B$108,$B58,'11.2. ДА за периода'!AF$61:AF$108)+SUMIF('11.1.Амортиз.нови активи'!$B$61:$B$108,$B58,'11.1.Амортиз.нови активи'!AF$61:AF$108)</f>
        <v>0</v>
      </c>
      <c r="AG58" s="448"/>
      <c r="AH58" s="2971">
        <f>$AG58-SUMIF('11.2. ДА за периода'!$B$61:$B$108,$B58,'11.2. ДА за периода'!$AG$61:$AG$108)+SUMIF('11.2. ДА за периода'!$B$61:$B$108,$B58,'11.2. ДА за периода'!AH$61:AH$108)+SUMIF('11.1.Амортиз.нови активи'!$B$61:$B$108,$B58,'11.1.Амортиз.нови активи'!AH$61:AH$108)+('11.1.Амортиз.нови активи'!T$112*SUMIF('11.1.Амортиз.нови активи'!$B$61:$B$108,$B58,'11.1.Амортиз.нови активи'!BB$61:BB$108))</f>
        <v>0</v>
      </c>
      <c r="AI58" s="1226">
        <f>$AG58-SUMIF('11.2. ДА за периода'!$B$61:$B$108,$B58,'11.2. ДА за периода'!$AG$61:$AG$108)+SUMIF('11.2. ДА за периода'!$B$61:$B$108,$B58,'11.2. ДА за периода'!AI$61:AI$108)+SUMIF('11.1.Амортиз.нови активи'!$B$61:$B$108,$B58,'11.1.Амортиз.нови активи'!AI$61:AI$108)+('11.1.Амортиз.нови активи'!U$112*SUMIF('11.1.Амортиз.нови активи'!$B$61:$B$108,$B58,'11.1.Амортиз.нови активи'!BC$61:BC$108))</f>
        <v>0</v>
      </c>
      <c r="AJ58" s="1226">
        <f>$AG58-SUMIF('11.2. ДА за периода'!$B$61:$B$108,$B58,'11.2. ДА за периода'!$AG$61:$AG$108)+SUMIF('11.2. ДА за периода'!$B$61:$B$108,$B58,'11.2. ДА за периода'!AJ$61:AJ$108)+SUMIF('11.1.Амортиз.нови активи'!$B$61:$B$108,$B58,'11.1.Амортиз.нови активи'!AJ$61:AJ$108)+('11.1.Амортиз.нови активи'!V$112*SUMIF('11.1.Амортиз.нови активи'!$B$61:$B$108,$B58,'11.1.Амортиз.нови активи'!BD$61:BD$108))</f>
        <v>0</v>
      </c>
      <c r="AK58" s="1226">
        <f>$AG58-SUMIF('11.2. ДА за периода'!$B$61:$B$108,$B58,'11.2. ДА за периода'!$AG$61:$AG$108)+SUMIF('11.2. ДА за периода'!$B$61:$B$108,$B58,'11.2. ДА за периода'!AK$61:AK$108)+SUMIF('11.1.Амортиз.нови активи'!$B$61:$B$108,$B58,'11.1.Амортиз.нови активи'!AK$61:AK$108)+('11.1.Амортиз.нови активи'!W$112*SUMIF('11.1.Амортиз.нови активи'!$B$61:$B$108,$B58,'11.1.Амортиз.нови активи'!BE$61:BE$108))</f>
        <v>0</v>
      </c>
      <c r="AL58" s="1226">
        <f>$AG58-SUMIF('11.2. ДА за периода'!$B$61:$B$108,$B58,'11.2. ДА за периода'!$AG$61:$AG$108)+SUMIF('11.2. ДА за периода'!$B$61:$B$108,$B58,'11.2. ДА за периода'!AL$61:AL$108)+SUMIF('11.1.Амортиз.нови активи'!$B$61:$B$108,$B58,'11.1.Амортиз.нови активи'!AL$61:AL$108)+('11.1.Амортиз.нови активи'!X$112*SUMIF('11.1.Амортиз.нови активи'!$B$61:$B$108,$B58,'11.1.Амортиз.нови активи'!BF$61:BF$108))</f>
        <v>0</v>
      </c>
      <c r="AM58" s="2972">
        <f>$AG58-SUMIF('11.2. ДА за периода'!$B$61:$B$108,$B58,'11.2. ДА за периода'!$AG$61:$AG$108)+SUMIF('11.2. ДА за периода'!$B$61:$B$108,$B58,'11.2. ДА за периода'!AM$61:AM$108)+SUMIF('11.1.Амортиз.нови активи'!$B$61:$B$108,$B58,'11.1.Амортиз.нови активи'!AM$61:AM$108)+('11.1.Амортиз.нови активи'!Y$112*SUMIF('11.1.Амортиз.нови активи'!$B$61:$B$108,$B58,'11.1.Амортиз.нови активи'!BG$61:BG$108))</f>
        <v>0</v>
      </c>
      <c r="AN58" s="2860"/>
      <c r="AO58" s="2898"/>
    </row>
    <row r="59" spans="1:42" ht="13.5" thickBot="1">
      <c r="A59" s="2878">
        <v>16</v>
      </c>
      <c r="B59" s="2906">
        <v>219</v>
      </c>
      <c r="C59" s="2905">
        <v>0.1</v>
      </c>
      <c r="D59" s="2907" t="s">
        <v>221</v>
      </c>
      <c r="E59" s="2970">
        <v>4</v>
      </c>
      <c r="F59" s="2971">
        <f>$E59-SUMIF('11.2. ДА за периода'!$B$61:$B$108,$B59,'11.2. ДА за периода'!$E$61:$E$108)+SUMIF('11.2. ДА за периода'!$B$61:$B$108,$B59,'11.2. ДА за периода'!F$61:F$108)+SUMIF('11.1.Амортиз.нови активи'!$B$61:$B$108,$B59,'11.1.Амортиз.нови активи'!F$61:F$108)+('11.1.Амортиз.нови активи'!F$110*SUMIF('11.1.Амортиз.нови активи'!$B$61:$B$108,$B59,'11.1.Амортиз.нови активи'!AO$61:AO$108))</f>
        <v>4</v>
      </c>
      <c r="G59" s="1226">
        <f>$E59-SUMIF('11.2. ДА за периода'!$B$61:$B$108,$B59,'11.2. ДА за периода'!$E$61:$E$108)+SUMIF('11.2. ДА за периода'!$B$61:$B$108,$B59,'11.2. ДА за периода'!G$61:G$108)+SUMIF('11.1.Амортиз.нови активи'!$B$61:$B$108,$B59,'11.1.Амортиз.нови активи'!G$61:G$108)+('11.1.Амортиз.нови активи'!G$110*SUMIF('11.1.Амортиз.нови активи'!$B$61:$B$108,$B59,'11.1.Амортиз.нови активи'!AP$61:AP$108))</f>
        <v>4</v>
      </c>
      <c r="H59" s="1226">
        <f>$E59-SUMIF('11.2. ДА за периода'!$B$61:$B$108,$B59,'11.2. ДА за периода'!$E$61:$E$108)+SUMIF('11.2. ДА за периода'!$B$61:$B$108,$B59,'11.2. ДА за периода'!H$61:H$108)+SUMIF('11.1.Амортиз.нови активи'!$B$61:$B$108,$B59,'11.1.Амортиз.нови активи'!H$61:H$108)+('11.1.Амортиз.нови активи'!H$110*SUMIF('11.1.Амортиз.нови активи'!$B$61:$B$108,$B59,'11.1.Амортиз.нови активи'!AQ$61:AQ$108))</f>
        <v>4</v>
      </c>
      <c r="I59" s="1226">
        <f>$E59-SUMIF('11.2. ДА за периода'!$B$61:$B$108,$B59,'11.2. ДА за периода'!$E$61:$E$108)+SUMIF('11.2. ДА за периода'!$B$61:$B$108,$B59,'11.2. ДА за периода'!I$61:I$108)+SUMIF('11.1.Амортиз.нови активи'!$B$61:$B$108,$B59,'11.1.Амортиз.нови активи'!I$61:I$108)+('11.1.Амортиз.нови активи'!I$110*SUMIF('11.1.Амортиз.нови активи'!$B$61:$B$108,$B59,'11.1.Амортиз.нови активи'!AR$61:AR$108))</f>
        <v>4</v>
      </c>
      <c r="J59" s="1226">
        <f>$E59-SUMIF('11.2. ДА за периода'!$B$61:$B$108,$B59,'11.2. ДА за периода'!$E$61:$E$108)+SUMIF('11.2. ДА за периода'!$B$61:$B$108,$B59,'11.2. ДА за периода'!J$61:J$108)+SUMIF('11.1.Амортиз.нови активи'!$B$61:$B$108,$B59,'11.1.Амортиз.нови активи'!J$61:J$108)+('11.1.Амортиз.нови активи'!J$110*SUMIF('11.1.Амортиз.нови активи'!$B$61:$B$108,$B59,'11.1.Амортиз.нови активи'!AS$61:AS$108))</f>
        <v>3</v>
      </c>
      <c r="K59" s="2972">
        <f>$E59-SUMIF('11.2. ДА за периода'!$B$61:$B$108,$B59,'11.2. ДА за периода'!$E$61:$E$108)+SUMIF('11.2. ДА за периода'!$B$61:$B$108,$B59,'11.2. ДА за периода'!K$61:K$108)+SUMIF('11.1.Амортиз.нови активи'!$B$61:$B$108,$B59,'11.1.Амортиз.нови активи'!K$61:K$108)+('11.1.Амортиз.нови активи'!K$110*SUMIF('11.1.Амортиз.нови активи'!$B$61:$B$108,$B59,'11.1.Амортиз.нови активи'!AT$61:AT$108))</f>
        <v>3</v>
      </c>
      <c r="L59" s="449">
        <v>0</v>
      </c>
      <c r="M59" s="2971">
        <f>$L59-SUMIF('11.2. ДА за периода'!$B$61:$B$108,$B59,'11.2. ДА за периода'!$L$61:$L$108)+SUMIF('11.2. ДА за периода'!$B$61:$B$108,$B59,'11.2. ДА за периода'!M$61:M$108)+SUMIF('11.1.Амортиз.нови активи'!$B$61:$B$108,$B59,'11.1.Амортиз.нови активи'!M$61:M$108)+('11.1.Амортиз.нови активи'!F$111*SUMIF('11.1.Амортиз.нови активи'!$B$61:$B$108,$B59,'11.1.Амортиз.нови активи'!AO$61:AO$108))</f>
        <v>0</v>
      </c>
      <c r="N59" s="1226">
        <f>$L59-SUMIF('11.2. ДА за периода'!$B$61:$B$108,$B59,'11.2. ДА за периода'!$L$61:$L$108)+SUMIF('11.2. ДА за периода'!$B$61:$B$108,$B59,'11.2. ДА за периода'!N$61:N$108)+SUMIF('11.1.Амортиз.нови активи'!$B$61:$B$108,$B59,'11.1.Амортиз.нови активи'!N$61:N$108)+('11.1.Амортиз.нови активи'!G$111*SUMIF('11.1.Амортиз.нови активи'!$B$61:$B$108,$B59,'11.1.Амортиз.нови активи'!AP$61:AP$108))</f>
        <v>0</v>
      </c>
      <c r="O59" s="1226">
        <f>$L59-SUMIF('11.2. ДА за периода'!$B$61:$B$108,$B59,'11.2. ДА за периода'!$L$61:$L$108)+SUMIF('11.2. ДА за периода'!$B$61:$B$108,$B59,'11.2. ДА за периода'!O$61:O$108)+SUMIF('11.1.Амортиз.нови активи'!$B$61:$B$108,$B59,'11.1.Амортиз.нови активи'!O$61:O$108)+('11.1.Амортиз.нови активи'!H$111*SUMIF('11.1.Амортиз.нови активи'!$B$61:$B$108,$B59,'11.1.Амортиз.нови активи'!AQ$61:AQ$108))</f>
        <v>0</v>
      </c>
      <c r="P59" s="1226">
        <f>$L59-SUMIF('11.2. ДА за периода'!$B$61:$B$108,$B59,'11.2. ДА за периода'!$L$61:$L$108)+SUMIF('11.2. ДА за периода'!$B$61:$B$108,$B59,'11.2. ДА за периода'!P$61:P$108)+SUMIF('11.1.Амортиз.нови активи'!$B$61:$B$108,$B59,'11.1.Амортиз.нови активи'!P$61:P$108)+('11.1.Амортиз.нови активи'!I$111*SUMIF('11.1.Амортиз.нови активи'!$B$61:$B$108,$B59,'11.1.Амортиз.нови активи'!AR$61:AR$108))</f>
        <v>0</v>
      </c>
      <c r="Q59" s="1226">
        <f>$L59-SUMIF('11.2. ДА за периода'!$B$61:$B$108,$B59,'11.2. ДА за периода'!$L$61:$L$108)+SUMIF('11.2. ДА за периода'!$B$61:$B$108,$B59,'11.2. ДА за периода'!Q$61:Q$108)+SUMIF('11.1.Амортиз.нови активи'!$B$61:$B$108,$B59,'11.1.Амортиз.нови активи'!Q$61:Q$108)+('11.1.Амортиз.нови активи'!J$111*SUMIF('11.1.Амортиз.нови активи'!$B$61:$B$108,$B59,'11.1.Амортиз.нови активи'!AS$61:AS$108))</f>
        <v>0</v>
      </c>
      <c r="R59" s="2972">
        <f>$L59-SUMIF('11.2. ДА за периода'!$B$61:$B$108,$B59,'11.2. ДА за периода'!$L$61:$L$108)+SUMIF('11.2. ДА за периода'!$B$61:$B$108,$B59,'11.2. ДА за периода'!R$61:R$108)+SUMIF('11.1.Амортиз.нови активи'!$B$61:$B$108,$B59,'11.1.Амортиз.нови активи'!R$61:R$108)+('11.1.Амортиз.нови активи'!K$111*SUMIF('11.1.Амортиз.нови активи'!$B$61:$B$108,$B59,'11.1.Амортиз.нови активи'!AT$61:AT$108))</f>
        <v>0</v>
      </c>
      <c r="S59" s="2970">
        <v>0</v>
      </c>
      <c r="T59" s="2971">
        <f>$S59-SUMIF('11.2. ДА за периода'!$B$61:$B$108,$B59,'11.2. ДА за периода'!$S$61:$S$108)+SUMIF('11.2. ДА за периода'!$B$61:$B$108,$B59,'11.2. ДА за периода'!T$61:T$108)+SUMIF('11.1.Амортиз.нови активи'!$B$61:$B$108,$B59,'11.1.Амортиз.нови активи'!T$61:T$108)+('11.1.Амортиз.нови активи'!F$112*SUMIF('11.1.Амортиз.нови активи'!$B$61:$B$108,$B59,'11.1.Амортиз.нови активи'!AO$61:AO$108))</f>
        <v>0</v>
      </c>
      <c r="U59" s="1226">
        <f>$S59-SUMIF('11.2. ДА за периода'!$B$61:$B$108,$B59,'11.2. ДА за периода'!$S$61:$S$108)+SUMIF('11.2. ДА за периода'!$B$61:$B$108,$B59,'11.2. ДА за периода'!U$61:U$108)+SUMIF('11.1.Амортиз.нови активи'!$B$61:$B$108,$B59,'11.1.Амортиз.нови активи'!U$61:U$108)+('11.1.Амортиз.нови активи'!G$112*SUMIF('11.1.Амортиз.нови активи'!$B$61:$B$108,$B59,'11.1.Амортиз.нови активи'!AP$61:AP$108))</f>
        <v>0</v>
      </c>
      <c r="V59" s="1226">
        <f>$S59-SUMIF('11.2. ДА за периода'!$B$61:$B$108,$B59,'11.2. ДА за периода'!$S$61:$S$108)+SUMIF('11.2. ДА за периода'!$B$61:$B$108,$B59,'11.2. ДА за периода'!V$61:V$108)+SUMIF('11.1.Амортиз.нови активи'!$B$61:$B$108,$B59,'11.1.Амортиз.нови активи'!V$61:V$108)+('11.1.Амортиз.нови активи'!H$112*SUMIF('11.1.Амортиз.нови активи'!$B$61:$B$108,$B59,'11.1.Амортиз.нови активи'!AQ$61:AQ$108))</f>
        <v>0</v>
      </c>
      <c r="W59" s="1226">
        <f>$S59-SUMIF('11.2. ДА за периода'!$B$61:$B$108,$B59,'11.2. ДА за периода'!$S$61:$S$108)+SUMIF('11.2. ДА за периода'!$B$61:$B$108,$B59,'11.2. ДА за периода'!W$61:W$108)+SUMIF('11.1.Амортиз.нови активи'!$B$61:$B$108,$B59,'11.1.Амортиз.нови активи'!W$61:W$108)+('11.1.Амортиз.нови активи'!I$112*SUMIF('11.1.Амортиз.нови активи'!$B$61:$B$108,$B59,'11.1.Амортиз.нови активи'!AR$61:AR$108))</f>
        <v>0</v>
      </c>
      <c r="X59" s="1226">
        <f>$S59-SUMIF('11.2. ДА за периода'!$B$61:$B$108,$B59,'11.2. ДА за периода'!$S$61:$S$108)+SUMIF('11.2. ДА за периода'!$B$61:$B$108,$B59,'11.2. ДА за периода'!X$61:X$108)+SUMIF('11.1.Амортиз.нови активи'!$B$61:$B$108,$B59,'11.1.Амортиз.нови активи'!X$61:X$108)+('11.1.Амортиз.нови активи'!J$112*SUMIF('11.1.Амортиз.нови активи'!$B$61:$B$108,$B59,'11.1.Амортиз.нови активи'!AS$61:AS$108))</f>
        <v>0</v>
      </c>
      <c r="Y59" s="2972">
        <f>$S59-SUMIF('11.2. ДА за периода'!$B$61:$B$108,$B59,'11.2. ДА за периода'!$S$61:$S$108)+SUMIF('11.2. ДА за периода'!$B$61:$B$108,$B59,'11.2. ДА за периода'!Y$61:Y$108)+SUMIF('11.1.Амортиз.нови активи'!$B$61:$B$108,$B59,'11.1.Амортиз.нови активи'!Y$61:Y$108)+('11.1.Амортиз.нови активи'!K$112*SUMIF('11.1.Амортиз.нови активи'!$B$61:$B$108,$B59,'11.1.Амортиз.нови активи'!AT$61:AT$108))</f>
        <v>0</v>
      </c>
      <c r="Z59" s="448">
        <v>0</v>
      </c>
      <c r="AA59" s="2971">
        <f>$Z59-SUMIF('11.2. ДА за периода'!$B$61:$B$108,$B59,'11.2. ДА за периода'!$Z$61:$Z$108)+SUMIF('11.2. ДА за периода'!$B$61:$B$108,$B59,'11.2. ДА за периода'!AA$61:AA$108)+SUMIF('11.1.Амортиз.нови активи'!$B$61:$B$108,$B59,'11.1.Амортиз.нови активи'!AA$61:AA$108)</f>
        <v>0</v>
      </c>
      <c r="AB59" s="1226">
        <f>$Z59-SUMIF('11.2. ДА за периода'!$B$61:$B$108,$B59,'11.2. ДА за периода'!$Z$61:$Z$108)+SUMIF('11.2. ДА за периода'!$B$61:$B$108,$B59,'11.2. ДА за периода'!AB$61:AB$108)+SUMIF('11.1.Амортиз.нови активи'!$B$61:$B$108,$B59,'11.1.Амортиз.нови активи'!AB$61:AB$108)</f>
        <v>0</v>
      </c>
      <c r="AC59" s="1226">
        <f>$Z59-SUMIF('11.2. ДА за периода'!$B$61:$B$108,$B59,'11.2. ДА за периода'!$Z$61:$Z$108)+SUMIF('11.2. ДА за периода'!$B$61:$B$108,$B59,'11.2. ДА за периода'!AC$61:AC$108)+SUMIF('11.1.Амортиз.нови активи'!$B$61:$B$108,$B59,'11.1.Амортиз.нови активи'!AC$61:AC$108)</f>
        <v>0</v>
      </c>
      <c r="AD59" s="1226">
        <f>$Z59-SUMIF('11.2. ДА за периода'!$B$61:$B$108,$B59,'11.2. ДА за периода'!$Z$61:$Z$108)+SUMIF('11.2. ДА за периода'!$B$61:$B$108,$B59,'11.2. ДА за периода'!AD$61:AD$108)+SUMIF('11.1.Амортиз.нови активи'!$B$61:$B$108,$B59,'11.1.Амортиз.нови активи'!AD$61:AD$108)</f>
        <v>0</v>
      </c>
      <c r="AE59" s="1226">
        <f>$Z59-SUMIF('11.2. ДА за периода'!$B$61:$B$108,$B59,'11.2. ДА за периода'!$Z$61:$Z$108)+SUMIF('11.2. ДА за периода'!$B$61:$B$108,$B59,'11.2. ДА за периода'!AE$61:AE$108)+SUMIF('11.1.Амортиз.нови активи'!$B$61:$B$108,$B59,'11.1.Амортиз.нови активи'!AE$61:AE$108)</f>
        <v>0</v>
      </c>
      <c r="AF59" s="2972">
        <f>$Z59-SUMIF('11.2. ДА за периода'!$B$61:$B$108,$B59,'11.2. ДА за периода'!$Z$61:$Z$108)+SUMIF('11.2. ДА за периода'!$B$61:$B$108,$B59,'11.2. ДА за периода'!AF$61:AF$108)+SUMIF('11.1.Амортиз.нови активи'!$B$61:$B$108,$B59,'11.1.Амортиз.нови активи'!AF$61:AF$108)</f>
        <v>0</v>
      </c>
      <c r="AG59" s="449"/>
      <c r="AH59" s="2971">
        <f>$AG59-SUMIF('11.2. ДА за периода'!$B$61:$B$108,$B59,'11.2. ДА за периода'!$AG$61:$AG$108)+SUMIF('11.2. ДА за периода'!$B$61:$B$108,$B59,'11.2. ДА за периода'!AH$61:AH$108)+SUMIF('11.1.Амортиз.нови активи'!$B$61:$B$108,$B59,'11.1.Амортиз.нови активи'!AH$61:AH$108)+('11.1.Амортиз.нови активи'!T$112*SUMIF('11.1.Амортиз.нови активи'!$B$61:$B$108,$B59,'11.1.Амортиз.нови активи'!BB$61:BB$108))</f>
        <v>0</v>
      </c>
      <c r="AI59" s="1226">
        <f>$AG59-SUMIF('11.2. ДА за периода'!$B$61:$B$108,$B59,'11.2. ДА за периода'!$AG$61:$AG$108)+SUMIF('11.2. ДА за периода'!$B$61:$B$108,$B59,'11.2. ДА за периода'!AI$61:AI$108)+SUMIF('11.1.Амортиз.нови активи'!$B$61:$B$108,$B59,'11.1.Амортиз.нови активи'!AI$61:AI$108)+('11.1.Амортиз.нови активи'!U$112*SUMIF('11.1.Амортиз.нови активи'!$B$61:$B$108,$B59,'11.1.Амортиз.нови активи'!BC$61:BC$108))</f>
        <v>0</v>
      </c>
      <c r="AJ59" s="1226">
        <f>$AG59-SUMIF('11.2. ДА за периода'!$B$61:$B$108,$B59,'11.2. ДА за периода'!$AG$61:$AG$108)+SUMIF('11.2. ДА за периода'!$B$61:$B$108,$B59,'11.2. ДА за периода'!AJ$61:AJ$108)+SUMIF('11.1.Амортиз.нови активи'!$B$61:$B$108,$B59,'11.1.Амортиз.нови активи'!AJ$61:AJ$108)+('11.1.Амортиз.нови активи'!V$112*SUMIF('11.1.Амортиз.нови активи'!$B$61:$B$108,$B59,'11.1.Амортиз.нови активи'!BD$61:BD$108))</f>
        <v>0</v>
      </c>
      <c r="AK59" s="1226">
        <f>$AG59-SUMIF('11.2. ДА за периода'!$B$61:$B$108,$B59,'11.2. ДА за периода'!$AG$61:$AG$108)+SUMIF('11.2. ДА за периода'!$B$61:$B$108,$B59,'11.2. ДА за периода'!AK$61:AK$108)+SUMIF('11.1.Амортиз.нови активи'!$B$61:$B$108,$B59,'11.1.Амортиз.нови активи'!AK$61:AK$108)+('11.1.Амортиз.нови активи'!W$112*SUMIF('11.1.Амортиз.нови активи'!$B$61:$B$108,$B59,'11.1.Амортиз.нови активи'!BE$61:BE$108))</f>
        <v>0</v>
      </c>
      <c r="AL59" s="1226">
        <f>$AG59-SUMIF('11.2. ДА за периода'!$B$61:$B$108,$B59,'11.2. ДА за периода'!$AG$61:$AG$108)+SUMIF('11.2. ДА за периода'!$B$61:$B$108,$B59,'11.2. ДА за периода'!AL$61:AL$108)+SUMIF('11.1.Амортиз.нови активи'!$B$61:$B$108,$B59,'11.1.Амортиз.нови активи'!AL$61:AL$108)+('11.1.Амортиз.нови активи'!X$112*SUMIF('11.1.Амортиз.нови активи'!$B$61:$B$108,$B59,'11.1.Амортиз.нови активи'!BF$61:BF$108))</f>
        <v>0</v>
      </c>
      <c r="AM59" s="2972">
        <f>$AG59-SUMIF('11.2. ДА за периода'!$B$61:$B$108,$B59,'11.2. ДА за периода'!$AG$61:$AG$108)+SUMIF('11.2. ДА за периода'!$B$61:$B$108,$B59,'11.2. ДА за периода'!AM$61:AM$108)+SUMIF('11.1.Амортиз.нови активи'!$B$61:$B$108,$B59,'11.1.Амортиз.нови активи'!AM$61:AM$108)+('11.1.Амортиз.нови активи'!Y$112*SUMIF('11.1.Амортиз.нови активи'!$B$61:$B$108,$B59,'11.1.Амортиз.нови активи'!BG$61:BG$108))</f>
        <v>0</v>
      </c>
      <c r="AN59" s="2860"/>
      <c r="AO59" s="2898"/>
    </row>
    <row r="60" spans="1:42" ht="13.5" thickBot="1">
      <c r="A60" s="4440" t="s">
        <v>224</v>
      </c>
      <c r="B60" s="2886"/>
      <c r="C60" s="2886"/>
      <c r="D60" s="2849" t="s">
        <v>225</v>
      </c>
      <c r="E60" s="2854">
        <f t="shared" ref="E60:Z60" si="22">SUM(E61:E84)-E63-E69</f>
        <v>3100.6</v>
      </c>
      <c r="F60" s="2851">
        <f t="shared" si="22"/>
        <v>3285.7193655152109</v>
      </c>
      <c r="G60" s="2852">
        <f t="shared" si="22"/>
        <v>3499.1146207887487</v>
      </c>
      <c r="H60" s="2852">
        <f t="shared" si="22"/>
        <v>3722.3034441170275</v>
      </c>
      <c r="I60" s="2852">
        <f t="shared" si="22"/>
        <v>3954.9208237770363</v>
      </c>
      <c r="J60" s="2852">
        <f t="shared" si="22"/>
        <v>4181.2400657650896</v>
      </c>
      <c r="K60" s="2853">
        <f t="shared" si="22"/>
        <v>4432.9172017307728</v>
      </c>
      <c r="L60" s="2854">
        <f t="shared" si="22"/>
        <v>948</v>
      </c>
      <c r="M60" s="2851">
        <f t="shared" si="22"/>
        <v>1021.1979724043174</v>
      </c>
      <c r="N60" s="2852">
        <f t="shared" si="22"/>
        <v>1096.022538222923</v>
      </c>
      <c r="O60" s="2852">
        <f t="shared" si="22"/>
        <v>1179.2033703130519</v>
      </c>
      <c r="P60" s="2852">
        <f t="shared" si="22"/>
        <v>1267.4923434417826</v>
      </c>
      <c r="Q60" s="2852">
        <f t="shared" si="22"/>
        <v>1337.4097523059481</v>
      </c>
      <c r="R60" s="2853">
        <f t="shared" si="22"/>
        <v>1403.5054366705931</v>
      </c>
      <c r="S60" s="2854">
        <f t="shared" si="22"/>
        <v>263</v>
      </c>
      <c r="T60" s="2851">
        <f t="shared" si="22"/>
        <v>277.27982208047115</v>
      </c>
      <c r="U60" s="2852">
        <f t="shared" si="22"/>
        <v>292.49216098832972</v>
      </c>
      <c r="V60" s="2852">
        <f t="shared" si="22"/>
        <v>309.70466556992278</v>
      </c>
      <c r="W60" s="2852">
        <f t="shared" si="22"/>
        <v>326.74047278118218</v>
      </c>
      <c r="X60" s="2852">
        <f t="shared" si="22"/>
        <v>341.39098192896415</v>
      </c>
      <c r="Y60" s="2853">
        <f t="shared" si="22"/>
        <v>356.465321598635</v>
      </c>
      <c r="Z60" s="2854">
        <f t="shared" si="22"/>
        <v>6.55</v>
      </c>
      <c r="AA60" s="2851">
        <f t="shared" ref="AA60:AM60" si="23">SUM(AA61:AA84)-AA63-AA69</f>
        <v>7.3731300000000015</v>
      </c>
      <c r="AB60" s="2852">
        <f t="shared" si="23"/>
        <v>8.2462599999999995</v>
      </c>
      <c r="AC60" s="2852">
        <f t="shared" si="23"/>
        <v>9.2193900000000006</v>
      </c>
      <c r="AD60" s="2852">
        <f t="shared" si="23"/>
        <v>9.44252</v>
      </c>
      <c r="AE60" s="2852">
        <f t="shared" si="23"/>
        <v>9.6656499999999994</v>
      </c>
      <c r="AF60" s="2853">
        <f t="shared" si="23"/>
        <v>9.8887800000000041</v>
      </c>
      <c r="AG60" s="2854">
        <f t="shared" si="23"/>
        <v>0</v>
      </c>
      <c r="AH60" s="2851">
        <f t="shared" si="23"/>
        <v>0</v>
      </c>
      <c r="AI60" s="2852">
        <f t="shared" si="23"/>
        <v>0</v>
      </c>
      <c r="AJ60" s="2852">
        <f t="shared" si="23"/>
        <v>0</v>
      </c>
      <c r="AK60" s="2852">
        <f t="shared" si="23"/>
        <v>0</v>
      </c>
      <c r="AL60" s="2852">
        <f t="shared" si="23"/>
        <v>0</v>
      </c>
      <c r="AM60" s="2853">
        <f t="shared" si="23"/>
        <v>0</v>
      </c>
      <c r="AN60" s="2855"/>
      <c r="AO60" s="2887"/>
      <c r="AP60" s="1423"/>
    </row>
    <row r="61" spans="1:42">
      <c r="A61" s="2856">
        <v>1</v>
      </c>
      <c r="B61" s="2856">
        <v>20101</v>
      </c>
      <c r="C61" s="2905">
        <v>0</v>
      </c>
      <c r="D61" s="2908" t="s">
        <v>562</v>
      </c>
      <c r="E61" s="448">
        <v>0</v>
      </c>
      <c r="F61" s="2959">
        <f t="shared" ref="F61:K62" si="24">E61+F36</f>
        <v>0</v>
      </c>
      <c r="G61" s="2957">
        <f t="shared" si="24"/>
        <v>0</v>
      </c>
      <c r="H61" s="2957">
        <f t="shared" si="24"/>
        <v>0</v>
      </c>
      <c r="I61" s="2957">
        <f t="shared" si="24"/>
        <v>0</v>
      </c>
      <c r="J61" s="2957">
        <f t="shared" si="24"/>
        <v>0</v>
      </c>
      <c r="K61" s="2958">
        <f t="shared" si="24"/>
        <v>0</v>
      </c>
      <c r="L61" s="448">
        <v>0</v>
      </c>
      <c r="M61" s="2959">
        <f t="shared" ref="M61:R62" si="25">L61+M36</f>
        <v>0</v>
      </c>
      <c r="N61" s="2957">
        <f t="shared" si="25"/>
        <v>0</v>
      </c>
      <c r="O61" s="2957">
        <f t="shared" si="25"/>
        <v>0</v>
      </c>
      <c r="P61" s="2957">
        <f t="shared" si="25"/>
        <v>0</v>
      </c>
      <c r="Q61" s="2957">
        <f t="shared" si="25"/>
        <v>0</v>
      </c>
      <c r="R61" s="2958">
        <f t="shared" si="25"/>
        <v>0</v>
      </c>
      <c r="S61" s="448">
        <v>0</v>
      </c>
      <c r="T61" s="2959">
        <f t="shared" ref="T61:Y62" si="26">S61+T36</f>
        <v>0</v>
      </c>
      <c r="U61" s="2957">
        <f t="shared" si="26"/>
        <v>0</v>
      </c>
      <c r="V61" s="2957">
        <f t="shared" si="26"/>
        <v>0</v>
      </c>
      <c r="W61" s="2957">
        <f t="shared" si="26"/>
        <v>0</v>
      </c>
      <c r="X61" s="2957">
        <f t="shared" si="26"/>
        <v>0</v>
      </c>
      <c r="Y61" s="2958">
        <f t="shared" si="26"/>
        <v>0</v>
      </c>
      <c r="Z61" s="448">
        <v>0</v>
      </c>
      <c r="AA61" s="2959">
        <f t="shared" ref="AA61:AF62" si="27">Z61+AA36</f>
        <v>0</v>
      </c>
      <c r="AB61" s="2957">
        <f t="shared" si="27"/>
        <v>0</v>
      </c>
      <c r="AC61" s="2957">
        <f t="shared" si="27"/>
        <v>0</v>
      </c>
      <c r="AD61" s="2957">
        <f t="shared" si="27"/>
        <v>0</v>
      </c>
      <c r="AE61" s="2957">
        <f t="shared" si="27"/>
        <v>0</v>
      </c>
      <c r="AF61" s="2958">
        <f t="shared" si="27"/>
        <v>0</v>
      </c>
      <c r="AG61" s="448"/>
      <c r="AH61" s="2959">
        <f t="shared" ref="AH61:AM62" si="28">AG61+AH36</f>
        <v>0</v>
      </c>
      <c r="AI61" s="2957">
        <f t="shared" si="28"/>
        <v>0</v>
      </c>
      <c r="AJ61" s="2957">
        <f t="shared" si="28"/>
        <v>0</v>
      </c>
      <c r="AK61" s="2957">
        <f t="shared" si="28"/>
        <v>0</v>
      </c>
      <c r="AL61" s="2957">
        <f t="shared" si="28"/>
        <v>0</v>
      </c>
      <c r="AM61" s="2958">
        <f t="shared" si="28"/>
        <v>0</v>
      </c>
      <c r="AN61" s="2860"/>
      <c r="AO61" s="2861"/>
      <c r="AP61" s="1421"/>
    </row>
    <row r="62" spans="1:42">
      <c r="A62" s="2862">
        <v>2</v>
      </c>
      <c r="B62" s="2862">
        <v>20201</v>
      </c>
      <c r="C62" s="2909">
        <v>0.03</v>
      </c>
      <c r="D62" s="2910" t="s">
        <v>430</v>
      </c>
      <c r="E62" s="2970">
        <v>401</v>
      </c>
      <c r="F62" s="1325">
        <f t="shared" si="24"/>
        <v>418.28442473012757</v>
      </c>
      <c r="G62" s="1321">
        <f t="shared" si="24"/>
        <v>435.75942593215854</v>
      </c>
      <c r="H62" s="1321">
        <f t="shared" si="24"/>
        <v>453.34909867422022</v>
      </c>
      <c r="I62" s="1321">
        <f t="shared" si="24"/>
        <v>471.1541929831842</v>
      </c>
      <c r="J62" s="1321">
        <f t="shared" si="24"/>
        <v>489.12146672289498</v>
      </c>
      <c r="K62" s="1326">
        <f t="shared" si="24"/>
        <v>507.28351510589329</v>
      </c>
      <c r="L62" s="2970">
        <v>74</v>
      </c>
      <c r="M62" s="1325">
        <f t="shared" si="25"/>
        <v>79.042835407262018</v>
      </c>
      <c r="N62" s="1321">
        <f t="shared" si="25"/>
        <v>84.126572251566472</v>
      </c>
      <c r="O62" s="1321">
        <f t="shared" si="25"/>
        <v>89.347649510542425</v>
      </c>
      <c r="P62" s="1321">
        <f t="shared" si="25"/>
        <v>94.713188120829813</v>
      </c>
      <c r="Q62" s="1321">
        <f t="shared" si="25"/>
        <v>100.12096126349205</v>
      </c>
      <c r="R62" s="1326">
        <f t="shared" si="25"/>
        <v>105.57956006143333</v>
      </c>
      <c r="S62" s="2970">
        <v>33</v>
      </c>
      <c r="T62" s="1325">
        <f t="shared" si="26"/>
        <v>35.001059862610404</v>
      </c>
      <c r="U62" s="1321">
        <f t="shared" si="26"/>
        <v>37.115641816274994</v>
      </c>
      <c r="V62" s="1321">
        <f t="shared" si="26"/>
        <v>39.353211815237366</v>
      </c>
      <c r="W62" s="1321">
        <f t="shared" si="26"/>
        <v>41.680898895985962</v>
      </c>
      <c r="X62" s="1321">
        <f t="shared" si="26"/>
        <v>44.029172013612957</v>
      </c>
      <c r="Y62" s="1326">
        <f t="shared" si="26"/>
        <v>46.401844832673362</v>
      </c>
      <c r="Z62" s="2970">
        <v>1.3</v>
      </c>
      <c r="AA62" s="1325">
        <f t="shared" si="27"/>
        <v>1.30063</v>
      </c>
      <c r="AB62" s="1321">
        <f t="shared" si="27"/>
        <v>1.3012599999999999</v>
      </c>
      <c r="AC62" s="1321">
        <f t="shared" si="27"/>
        <v>1.3018899999999998</v>
      </c>
      <c r="AD62" s="1321">
        <f t="shared" si="27"/>
        <v>1.3025199999999997</v>
      </c>
      <c r="AE62" s="1321">
        <f t="shared" si="27"/>
        <v>1.3031499999999996</v>
      </c>
      <c r="AF62" s="1326">
        <f t="shared" si="27"/>
        <v>1.3037799999999995</v>
      </c>
      <c r="AG62" s="2970"/>
      <c r="AH62" s="1325">
        <f t="shared" si="28"/>
        <v>0</v>
      </c>
      <c r="AI62" s="1321">
        <f t="shared" si="28"/>
        <v>0</v>
      </c>
      <c r="AJ62" s="1321">
        <f t="shared" si="28"/>
        <v>0</v>
      </c>
      <c r="AK62" s="1321">
        <f t="shared" si="28"/>
        <v>0</v>
      </c>
      <c r="AL62" s="1321">
        <f t="shared" si="28"/>
        <v>0</v>
      </c>
      <c r="AM62" s="1326">
        <f t="shared" si="28"/>
        <v>0</v>
      </c>
      <c r="AN62" s="2860"/>
      <c r="AO62" s="2866"/>
      <c r="AP62" s="1421"/>
    </row>
    <row r="63" spans="1:42" ht="24">
      <c r="A63" s="2862">
        <v>3</v>
      </c>
      <c r="B63" s="2863">
        <v>203</v>
      </c>
      <c r="C63" s="2858"/>
      <c r="D63" s="2894" t="s">
        <v>410</v>
      </c>
      <c r="E63" s="2973">
        <f>SUM(E64:E67)</f>
        <v>1786</v>
      </c>
      <c r="F63" s="2961">
        <f t="shared" ref="F63:Y63" si="29">SUM(F64:F67)</f>
        <v>1889.9025000000001</v>
      </c>
      <c r="G63" s="2962">
        <f t="shared" si="29"/>
        <v>2011.8390710189692</v>
      </c>
      <c r="H63" s="2962">
        <f t="shared" si="29"/>
        <v>2137.4787042756643</v>
      </c>
      <c r="I63" s="2962">
        <f t="shared" si="29"/>
        <v>2267.4638370815946</v>
      </c>
      <c r="J63" s="2962">
        <f t="shared" si="29"/>
        <v>2389.8579596699301</v>
      </c>
      <c r="K63" s="2962">
        <f t="shared" si="29"/>
        <v>2526.9751347763549</v>
      </c>
      <c r="L63" s="2973">
        <f>SUM(L64:L67)</f>
        <v>109</v>
      </c>
      <c r="M63" s="2961">
        <f t="shared" si="29"/>
        <v>126.15</v>
      </c>
      <c r="N63" s="2962">
        <f t="shared" si="29"/>
        <v>143.53552059249435</v>
      </c>
      <c r="O63" s="2962">
        <f t="shared" si="29"/>
        <v>164.50914130542549</v>
      </c>
      <c r="P63" s="2962">
        <f t="shared" si="29"/>
        <v>189.2964710632161</v>
      </c>
      <c r="Q63" s="2962">
        <f t="shared" si="29"/>
        <v>205.26339991645867</v>
      </c>
      <c r="R63" s="2962">
        <f t="shared" si="29"/>
        <v>225.37514019776143</v>
      </c>
      <c r="S63" s="2973">
        <f>SUM(S64:S67)</f>
        <v>97</v>
      </c>
      <c r="T63" s="2961">
        <f t="shared" si="29"/>
        <v>103.80000000000001</v>
      </c>
      <c r="U63" s="2962">
        <f t="shared" si="29"/>
        <v>110.68040838853656</v>
      </c>
      <c r="V63" s="2962">
        <f t="shared" si="29"/>
        <v>117.81465441891008</v>
      </c>
      <c r="W63" s="2962">
        <f t="shared" si="29"/>
        <v>124.15969185518928</v>
      </c>
      <c r="X63" s="2962">
        <f t="shared" si="29"/>
        <v>127.66614041361132</v>
      </c>
      <c r="Y63" s="2963">
        <f t="shared" si="29"/>
        <v>131.30472502588361</v>
      </c>
      <c r="Z63" s="2973">
        <f>SUM(Z64:Z67)</f>
        <v>1.4</v>
      </c>
      <c r="AA63" s="2961">
        <f t="shared" ref="AA63:AF63" si="30">SUM(AA64:AA67)</f>
        <v>1.7999999999999998</v>
      </c>
      <c r="AB63" s="2962">
        <f t="shared" si="30"/>
        <v>2.25</v>
      </c>
      <c r="AC63" s="2962">
        <f t="shared" si="30"/>
        <v>2.8000000000000003</v>
      </c>
      <c r="AD63" s="2962">
        <f t="shared" si="30"/>
        <v>3.4000000000000004</v>
      </c>
      <c r="AE63" s="2962">
        <f t="shared" si="30"/>
        <v>4</v>
      </c>
      <c r="AF63" s="2963">
        <f t="shared" si="30"/>
        <v>4.5999999999999996</v>
      </c>
      <c r="AG63" s="2973">
        <f>SUM(AG64:AG67)</f>
        <v>0</v>
      </c>
      <c r="AH63" s="2961">
        <f t="shared" ref="AH63:AM63" si="31">SUM(AH64:AH67)</f>
        <v>0</v>
      </c>
      <c r="AI63" s="2962">
        <f t="shared" si="31"/>
        <v>0</v>
      </c>
      <c r="AJ63" s="2962">
        <f t="shared" si="31"/>
        <v>0</v>
      </c>
      <c r="AK63" s="2962">
        <f t="shared" si="31"/>
        <v>0</v>
      </c>
      <c r="AL63" s="2962">
        <f t="shared" si="31"/>
        <v>0</v>
      </c>
      <c r="AM63" s="2963">
        <f t="shared" si="31"/>
        <v>0</v>
      </c>
      <c r="AN63" s="2860"/>
      <c r="AO63" s="2896"/>
      <c r="AP63" s="1421"/>
    </row>
    <row r="64" spans="1:42">
      <c r="A64" s="2862"/>
      <c r="B64" s="2863">
        <v>20301</v>
      </c>
      <c r="C64" s="2869">
        <v>0.1</v>
      </c>
      <c r="D64" s="2897" t="s">
        <v>432</v>
      </c>
      <c r="E64" s="448">
        <v>69</v>
      </c>
      <c r="F64" s="1325">
        <f t="shared" ref="F64:K68" si="32">E64+F39</f>
        <v>91.087500000000006</v>
      </c>
      <c r="G64" s="1321">
        <f t="shared" si="32"/>
        <v>113.17500000000001</v>
      </c>
      <c r="H64" s="1321">
        <f t="shared" si="32"/>
        <v>135.26250000000002</v>
      </c>
      <c r="I64" s="1321">
        <f t="shared" si="32"/>
        <v>157.35000000000002</v>
      </c>
      <c r="J64" s="1321">
        <f t="shared" si="32"/>
        <v>179.43750000000003</v>
      </c>
      <c r="K64" s="1326">
        <f t="shared" si="32"/>
        <v>201.52500000000003</v>
      </c>
      <c r="L64" s="2970">
        <v>11</v>
      </c>
      <c r="M64" s="1325">
        <f t="shared" ref="M64:R68" si="33">L64+M39</f>
        <v>14</v>
      </c>
      <c r="N64" s="1321">
        <f t="shared" si="33"/>
        <v>17</v>
      </c>
      <c r="O64" s="1321">
        <f t="shared" si="33"/>
        <v>20</v>
      </c>
      <c r="P64" s="1321">
        <f t="shared" si="33"/>
        <v>23</v>
      </c>
      <c r="Q64" s="1321">
        <f t="shared" si="33"/>
        <v>26</v>
      </c>
      <c r="R64" s="1326">
        <f t="shared" si="33"/>
        <v>29</v>
      </c>
      <c r="S64" s="2970">
        <v>5</v>
      </c>
      <c r="T64" s="1325">
        <f t="shared" ref="T64:Y68" si="34">S64+T39</f>
        <v>6.4</v>
      </c>
      <c r="U64" s="1321">
        <f t="shared" si="34"/>
        <v>7.8000000000000007</v>
      </c>
      <c r="V64" s="1321">
        <f t="shared" si="34"/>
        <v>9.2000000000000011</v>
      </c>
      <c r="W64" s="1321">
        <f t="shared" si="34"/>
        <v>10.600000000000001</v>
      </c>
      <c r="X64" s="1321">
        <f t="shared" si="34"/>
        <v>12.000000000000002</v>
      </c>
      <c r="Y64" s="1326">
        <f t="shared" si="34"/>
        <v>13.400000000000002</v>
      </c>
      <c r="Z64" s="448">
        <v>0</v>
      </c>
      <c r="AA64" s="1325">
        <f t="shared" ref="AA64:AF68" si="35">Z64+AA39</f>
        <v>0</v>
      </c>
      <c r="AB64" s="1321">
        <f t="shared" si="35"/>
        <v>0</v>
      </c>
      <c r="AC64" s="1321">
        <f t="shared" si="35"/>
        <v>0</v>
      </c>
      <c r="AD64" s="1321">
        <f t="shared" si="35"/>
        <v>0</v>
      </c>
      <c r="AE64" s="1321">
        <f t="shared" si="35"/>
        <v>0</v>
      </c>
      <c r="AF64" s="1326">
        <f t="shared" si="35"/>
        <v>0</v>
      </c>
      <c r="AG64" s="2970"/>
      <c r="AH64" s="1325">
        <f t="shared" ref="AH64:AM68" si="36">AG64+AH39</f>
        <v>0</v>
      </c>
      <c r="AI64" s="1321">
        <f t="shared" si="36"/>
        <v>0</v>
      </c>
      <c r="AJ64" s="1321">
        <f t="shared" si="36"/>
        <v>0</v>
      </c>
      <c r="AK64" s="1321">
        <f t="shared" si="36"/>
        <v>0</v>
      </c>
      <c r="AL64" s="1321">
        <f t="shared" si="36"/>
        <v>0</v>
      </c>
      <c r="AM64" s="1326">
        <f t="shared" si="36"/>
        <v>0</v>
      </c>
      <c r="AN64" s="2860"/>
      <c r="AO64" s="2896"/>
      <c r="AP64" s="1421"/>
    </row>
    <row r="65" spans="1:42">
      <c r="A65" s="2862"/>
      <c r="B65" s="2863">
        <v>20302</v>
      </c>
      <c r="C65" s="2869">
        <v>0.1</v>
      </c>
      <c r="D65" s="2897" t="s">
        <v>433</v>
      </c>
      <c r="E65" s="448">
        <v>981</v>
      </c>
      <c r="F65" s="1325">
        <f t="shared" si="32"/>
        <v>1024</v>
      </c>
      <c r="G65" s="1321">
        <f t="shared" si="32"/>
        <v>1067.3</v>
      </c>
      <c r="H65" s="1321">
        <f t="shared" si="32"/>
        <v>1101.2</v>
      </c>
      <c r="I65" s="1321">
        <f t="shared" si="32"/>
        <v>1125.75</v>
      </c>
      <c r="J65" s="1321">
        <f t="shared" si="32"/>
        <v>1141</v>
      </c>
      <c r="K65" s="1326">
        <f t="shared" si="32"/>
        <v>1156.95</v>
      </c>
      <c r="L65" s="2970">
        <v>76</v>
      </c>
      <c r="M65" s="1325">
        <f t="shared" si="33"/>
        <v>88</v>
      </c>
      <c r="N65" s="1321">
        <f t="shared" si="33"/>
        <v>100</v>
      </c>
      <c r="O65" s="1321">
        <f t="shared" si="33"/>
        <v>112</v>
      </c>
      <c r="P65" s="1321">
        <f t="shared" si="33"/>
        <v>124</v>
      </c>
      <c r="Q65" s="1321">
        <f t="shared" si="33"/>
        <v>124</v>
      </c>
      <c r="R65" s="1326">
        <f t="shared" si="33"/>
        <v>124</v>
      </c>
      <c r="S65" s="2970">
        <v>80</v>
      </c>
      <c r="T65" s="1325">
        <f t="shared" si="34"/>
        <v>85.4</v>
      </c>
      <c r="U65" s="1321">
        <f t="shared" si="34"/>
        <v>90.800000000000011</v>
      </c>
      <c r="V65" s="1321">
        <f t="shared" si="34"/>
        <v>96.200000000000017</v>
      </c>
      <c r="W65" s="1321">
        <f t="shared" si="34"/>
        <v>100.60000000000002</v>
      </c>
      <c r="X65" s="1321">
        <f t="shared" si="34"/>
        <v>102.00000000000003</v>
      </c>
      <c r="Y65" s="1326">
        <f t="shared" si="34"/>
        <v>103.40000000000003</v>
      </c>
      <c r="Z65" s="448">
        <v>0</v>
      </c>
      <c r="AA65" s="1325">
        <f t="shared" si="35"/>
        <v>0.4</v>
      </c>
      <c r="AB65" s="1321">
        <f t="shared" si="35"/>
        <v>0.8</v>
      </c>
      <c r="AC65" s="1321">
        <f t="shared" si="35"/>
        <v>1.2000000000000002</v>
      </c>
      <c r="AD65" s="1321">
        <f t="shared" si="35"/>
        <v>1.6</v>
      </c>
      <c r="AE65" s="1321">
        <f t="shared" si="35"/>
        <v>2</v>
      </c>
      <c r="AF65" s="1326">
        <f t="shared" si="35"/>
        <v>2.4</v>
      </c>
      <c r="AG65" s="2970"/>
      <c r="AH65" s="1325">
        <f t="shared" si="36"/>
        <v>0</v>
      </c>
      <c r="AI65" s="1321">
        <f t="shared" si="36"/>
        <v>0</v>
      </c>
      <c r="AJ65" s="1321">
        <f t="shared" si="36"/>
        <v>0</v>
      </c>
      <c r="AK65" s="1321">
        <f t="shared" si="36"/>
        <v>0</v>
      </c>
      <c r="AL65" s="1321">
        <f t="shared" si="36"/>
        <v>0</v>
      </c>
      <c r="AM65" s="1326">
        <f t="shared" si="36"/>
        <v>0</v>
      </c>
      <c r="AN65" s="2860"/>
      <c r="AO65" s="2896"/>
      <c r="AP65" s="1421"/>
    </row>
    <row r="66" spans="1:42">
      <c r="A66" s="2862"/>
      <c r="B66" s="2863">
        <v>20303</v>
      </c>
      <c r="C66" s="2858">
        <v>0.1</v>
      </c>
      <c r="D66" s="2897" t="s">
        <v>411</v>
      </c>
      <c r="E66" s="448">
        <v>26</v>
      </c>
      <c r="F66" s="1325">
        <f t="shared" si="32"/>
        <v>34.799999999999997</v>
      </c>
      <c r="G66" s="1321">
        <f t="shared" si="32"/>
        <v>58.4</v>
      </c>
      <c r="H66" s="1321">
        <f t="shared" si="32"/>
        <v>94</v>
      </c>
      <c r="I66" s="1321">
        <f t="shared" si="32"/>
        <v>141.6</v>
      </c>
      <c r="J66" s="1321">
        <f t="shared" si="32"/>
        <v>201.2</v>
      </c>
      <c r="K66" s="1326">
        <f t="shared" si="32"/>
        <v>272.79999999999995</v>
      </c>
      <c r="L66" s="2970">
        <v>2</v>
      </c>
      <c r="M66" s="1325">
        <f t="shared" si="33"/>
        <v>3</v>
      </c>
      <c r="N66" s="1321">
        <f t="shared" si="33"/>
        <v>4</v>
      </c>
      <c r="O66" s="1321">
        <f t="shared" si="33"/>
        <v>8.125</v>
      </c>
      <c r="P66" s="1321">
        <f t="shared" si="33"/>
        <v>15.375</v>
      </c>
      <c r="Q66" s="1321">
        <f t="shared" si="33"/>
        <v>25.3</v>
      </c>
      <c r="R66" s="1326">
        <f t="shared" si="33"/>
        <v>37.900000000000006</v>
      </c>
      <c r="S66" s="2970">
        <v>0</v>
      </c>
      <c r="T66" s="1325">
        <f t="shared" si="34"/>
        <v>0</v>
      </c>
      <c r="U66" s="1321">
        <f t="shared" si="34"/>
        <v>0</v>
      </c>
      <c r="V66" s="1321">
        <f t="shared" si="34"/>
        <v>0</v>
      </c>
      <c r="W66" s="1321">
        <f t="shared" si="34"/>
        <v>0</v>
      </c>
      <c r="X66" s="1321">
        <f t="shared" si="34"/>
        <v>0</v>
      </c>
      <c r="Y66" s="1326">
        <f t="shared" si="34"/>
        <v>0</v>
      </c>
      <c r="Z66" s="448">
        <v>0</v>
      </c>
      <c r="AA66" s="1325">
        <f t="shared" si="35"/>
        <v>0</v>
      </c>
      <c r="AB66" s="1321">
        <f t="shared" si="35"/>
        <v>0</v>
      </c>
      <c r="AC66" s="1321">
        <f t="shared" si="35"/>
        <v>0</v>
      </c>
      <c r="AD66" s="1321">
        <f t="shared" si="35"/>
        <v>0</v>
      </c>
      <c r="AE66" s="1321">
        <f t="shared" si="35"/>
        <v>0</v>
      </c>
      <c r="AF66" s="1326">
        <f t="shared" si="35"/>
        <v>0</v>
      </c>
      <c r="AG66" s="2970"/>
      <c r="AH66" s="1325">
        <f t="shared" si="36"/>
        <v>0</v>
      </c>
      <c r="AI66" s="1321">
        <f t="shared" si="36"/>
        <v>0</v>
      </c>
      <c r="AJ66" s="1321">
        <f t="shared" si="36"/>
        <v>0</v>
      </c>
      <c r="AK66" s="1321">
        <f t="shared" si="36"/>
        <v>0</v>
      </c>
      <c r="AL66" s="1321">
        <f t="shared" si="36"/>
        <v>0</v>
      </c>
      <c r="AM66" s="1326">
        <f t="shared" si="36"/>
        <v>0</v>
      </c>
      <c r="AN66" s="2860"/>
      <c r="AO66" s="2896"/>
      <c r="AP66" s="1421"/>
    </row>
    <row r="67" spans="1:42">
      <c r="A67" s="2862"/>
      <c r="B67" s="2863">
        <v>20306</v>
      </c>
      <c r="C67" s="2858">
        <v>0.1</v>
      </c>
      <c r="D67" s="2897" t="s">
        <v>414</v>
      </c>
      <c r="E67" s="448">
        <v>710</v>
      </c>
      <c r="F67" s="1325">
        <f t="shared" si="32"/>
        <v>740.01499999999999</v>
      </c>
      <c r="G67" s="1321">
        <f t="shared" si="32"/>
        <v>772.96407101896909</v>
      </c>
      <c r="H67" s="1321">
        <f t="shared" si="32"/>
        <v>807.01620427566445</v>
      </c>
      <c r="I67" s="1321">
        <f t="shared" si="32"/>
        <v>842.7638370815946</v>
      </c>
      <c r="J67" s="1321">
        <f t="shared" si="32"/>
        <v>868.22045966993005</v>
      </c>
      <c r="K67" s="1326">
        <f t="shared" si="32"/>
        <v>895.70013477635507</v>
      </c>
      <c r="L67" s="2970">
        <v>20</v>
      </c>
      <c r="M67" s="1325">
        <f t="shared" si="33"/>
        <v>21.15</v>
      </c>
      <c r="N67" s="1321">
        <f t="shared" si="33"/>
        <v>22.535520592494358</v>
      </c>
      <c r="O67" s="1321">
        <f t="shared" si="33"/>
        <v>24.384141305425501</v>
      </c>
      <c r="P67" s="1321">
        <f t="shared" si="33"/>
        <v>26.921471063216107</v>
      </c>
      <c r="Q67" s="1321">
        <f t="shared" si="33"/>
        <v>29.963399916458663</v>
      </c>
      <c r="R67" s="1326">
        <f t="shared" si="33"/>
        <v>34.475140197761405</v>
      </c>
      <c r="S67" s="2970">
        <v>12</v>
      </c>
      <c r="T67" s="1325">
        <f t="shared" si="34"/>
        <v>12</v>
      </c>
      <c r="U67" s="1321">
        <f t="shared" si="34"/>
        <v>12.080408388536556</v>
      </c>
      <c r="V67" s="1321">
        <f t="shared" si="34"/>
        <v>12.414654418910064</v>
      </c>
      <c r="W67" s="1321">
        <f t="shared" si="34"/>
        <v>12.959691855189266</v>
      </c>
      <c r="X67" s="1321">
        <f t="shared" si="34"/>
        <v>13.666140413611295</v>
      </c>
      <c r="Y67" s="1326">
        <f t="shared" si="34"/>
        <v>14.504725025883584</v>
      </c>
      <c r="Z67" s="448">
        <v>1.4</v>
      </c>
      <c r="AA67" s="1325">
        <f t="shared" si="35"/>
        <v>1.4</v>
      </c>
      <c r="AB67" s="1321">
        <f t="shared" si="35"/>
        <v>1.45</v>
      </c>
      <c r="AC67" s="1321">
        <f t="shared" si="35"/>
        <v>1.6</v>
      </c>
      <c r="AD67" s="1321">
        <f t="shared" si="35"/>
        <v>1.8</v>
      </c>
      <c r="AE67" s="1321">
        <f t="shared" si="35"/>
        <v>2</v>
      </c>
      <c r="AF67" s="1326">
        <f t="shared" si="35"/>
        <v>2.2000000000000002</v>
      </c>
      <c r="AG67" s="2970"/>
      <c r="AH67" s="1325">
        <f t="shared" si="36"/>
        <v>0</v>
      </c>
      <c r="AI67" s="1321">
        <f t="shared" si="36"/>
        <v>0</v>
      </c>
      <c r="AJ67" s="1321">
        <f t="shared" si="36"/>
        <v>0</v>
      </c>
      <c r="AK67" s="1321">
        <f t="shared" si="36"/>
        <v>0</v>
      </c>
      <c r="AL67" s="1321">
        <f t="shared" si="36"/>
        <v>0</v>
      </c>
      <c r="AM67" s="1326">
        <f t="shared" si="36"/>
        <v>0</v>
      </c>
      <c r="AN67" s="2860"/>
      <c r="AO67" s="2898"/>
    </row>
    <row r="68" spans="1:42">
      <c r="A68" s="2862">
        <v>4</v>
      </c>
      <c r="B68" s="2863">
        <v>20403</v>
      </c>
      <c r="C68" s="2869">
        <v>0.04</v>
      </c>
      <c r="D68" s="2899" t="s">
        <v>439</v>
      </c>
      <c r="E68" s="448">
        <v>77</v>
      </c>
      <c r="F68" s="1325">
        <f t="shared" si="32"/>
        <v>78.082239999999999</v>
      </c>
      <c r="G68" s="1321">
        <f t="shared" si="32"/>
        <v>79.164479999999998</v>
      </c>
      <c r="H68" s="1321">
        <f t="shared" si="32"/>
        <v>80.246719999999996</v>
      </c>
      <c r="I68" s="1321">
        <f t="shared" si="32"/>
        <v>81.328959999999995</v>
      </c>
      <c r="J68" s="1321">
        <f t="shared" si="32"/>
        <v>82.411199999999994</v>
      </c>
      <c r="K68" s="1326">
        <f t="shared" si="32"/>
        <v>83.493439999999993</v>
      </c>
      <c r="L68" s="2970">
        <v>10</v>
      </c>
      <c r="M68" s="1325">
        <f t="shared" si="33"/>
        <v>10</v>
      </c>
      <c r="N68" s="1321">
        <f t="shared" si="33"/>
        <v>10</v>
      </c>
      <c r="O68" s="1321">
        <f t="shared" si="33"/>
        <v>10</v>
      </c>
      <c r="P68" s="1321">
        <f t="shared" si="33"/>
        <v>10</v>
      </c>
      <c r="Q68" s="1321">
        <f t="shared" si="33"/>
        <v>10</v>
      </c>
      <c r="R68" s="1326">
        <f t="shared" si="33"/>
        <v>10</v>
      </c>
      <c r="S68" s="2970">
        <v>48</v>
      </c>
      <c r="T68" s="1325">
        <f t="shared" si="34"/>
        <v>48</v>
      </c>
      <c r="U68" s="1321">
        <f t="shared" si="34"/>
        <v>48</v>
      </c>
      <c r="V68" s="1321">
        <f t="shared" si="34"/>
        <v>48</v>
      </c>
      <c r="W68" s="1321">
        <f t="shared" si="34"/>
        <v>48</v>
      </c>
      <c r="X68" s="1321">
        <f t="shared" si="34"/>
        <v>48</v>
      </c>
      <c r="Y68" s="1326">
        <f t="shared" si="34"/>
        <v>48</v>
      </c>
      <c r="Z68" s="448">
        <v>0</v>
      </c>
      <c r="AA68" s="1325">
        <f t="shared" si="35"/>
        <v>0</v>
      </c>
      <c r="AB68" s="1321">
        <f t="shared" si="35"/>
        <v>0</v>
      </c>
      <c r="AC68" s="1321">
        <f t="shared" si="35"/>
        <v>0</v>
      </c>
      <c r="AD68" s="1321">
        <f t="shared" si="35"/>
        <v>0</v>
      </c>
      <c r="AE68" s="1321">
        <f t="shared" si="35"/>
        <v>0</v>
      </c>
      <c r="AF68" s="1326">
        <f t="shared" si="35"/>
        <v>0</v>
      </c>
      <c r="AG68" s="2970"/>
      <c r="AH68" s="1325">
        <f t="shared" si="36"/>
        <v>0</v>
      </c>
      <c r="AI68" s="1321">
        <f t="shared" si="36"/>
        <v>0</v>
      </c>
      <c r="AJ68" s="1321">
        <f t="shared" si="36"/>
        <v>0</v>
      </c>
      <c r="AK68" s="1321">
        <f t="shared" si="36"/>
        <v>0</v>
      </c>
      <c r="AL68" s="1321">
        <f t="shared" si="36"/>
        <v>0</v>
      </c>
      <c r="AM68" s="1326">
        <f t="shared" si="36"/>
        <v>0</v>
      </c>
      <c r="AN68" s="2860"/>
      <c r="AO68" s="2898"/>
    </row>
    <row r="69" spans="1:42">
      <c r="A69" s="2862">
        <v>5</v>
      </c>
      <c r="B69" s="2863">
        <v>205</v>
      </c>
      <c r="C69" s="2858"/>
      <c r="D69" s="2894" t="s">
        <v>217</v>
      </c>
      <c r="E69" s="2964">
        <f>SUM(E70:E73)</f>
        <v>650.59999999999991</v>
      </c>
      <c r="F69" s="2961">
        <f>SUM(F70:F73)</f>
        <v>690.81229303238467</v>
      </c>
      <c r="G69" s="2962">
        <f>SUM(G70:G73)</f>
        <v>740.05743998873538</v>
      </c>
      <c r="H69" s="2962">
        <f t="shared" ref="H69:K69" si="37">SUM(H70:H73)</f>
        <v>794.85570994362195</v>
      </c>
      <c r="I69" s="2962">
        <f t="shared" si="37"/>
        <v>856.35916595096955</v>
      </c>
      <c r="J69" s="2962">
        <f t="shared" si="37"/>
        <v>925.64122136378751</v>
      </c>
      <c r="K69" s="2962">
        <f t="shared" si="37"/>
        <v>1003.5996831779213</v>
      </c>
      <c r="L69" s="2964">
        <f>SUM(L70:L73)</f>
        <v>665</v>
      </c>
      <c r="M69" s="2961">
        <f>SUM(M70:M73)</f>
        <v>711.83443415112856</v>
      </c>
      <c r="N69" s="2962">
        <f>SUM(N70:N73)</f>
        <v>761.49169171991252</v>
      </c>
      <c r="O69" s="2962">
        <f t="shared" ref="O69:R69" si="38">SUM(O70:O73)</f>
        <v>814.3992808206167</v>
      </c>
      <c r="P69" s="2962">
        <f t="shared" si="38"/>
        <v>867.42352168005505</v>
      </c>
      <c r="Q69" s="2962">
        <f t="shared" si="38"/>
        <v>911.27396743910003</v>
      </c>
      <c r="R69" s="2962">
        <f t="shared" si="38"/>
        <v>946.66356553792264</v>
      </c>
      <c r="S69" s="2964">
        <f>SUM(S70:S73)</f>
        <v>55</v>
      </c>
      <c r="T69" s="2961">
        <f>SUM(T70:T73)</f>
        <v>59.12937281648675</v>
      </c>
      <c r="U69" s="2962">
        <f>SUM(U70:U73)</f>
        <v>64.543068291352142</v>
      </c>
      <c r="V69" s="2962">
        <f t="shared" ref="V69:Y69" si="39">SUM(V70:V73)</f>
        <v>70.483309235761482</v>
      </c>
      <c r="W69" s="2962">
        <f t="shared" si="39"/>
        <v>76.491712368975598</v>
      </c>
      <c r="X69" s="2962">
        <f t="shared" si="39"/>
        <v>82.565311197112592</v>
      </c>
      <c r="Y69" s="2963">
        <f t="shared" si="39"/>
        <v>88.713351284156374</v>
      </c>
      <c r="Z69" s="2964">
        <f>SUM(Z70:Z73)</f>
        <v>2.4500000000000002</v>
      </c>
      <c r="AA69" s="2961">
        <f>SUM(AA70:AA73)</f>
        <v>2.8546</v>
      </c>
      <c r="AB69" s="2962">
        <f>SUM(AB70:AB73)</f>
        <v>3.2591999999999999</v>
      </c>
      <c r="AC69" s="2962">
        <f t="shared" ref="AC69:AF69" si="40">SUM(AC70:AC73)</f>
        <v>3.6637999999999997</v>
      </c>
      <c r="AD69" s="2962">
        <f t="shared" si="40"/>
        <v>3.2684000000000002</v>
      </c>
      <c r="AE69" s="2962">
        <f t="shared" si="40"/>
        <v>2.8730000000000002</v>
      </c>
      <c r="AF69" s="2963">
        <f t="shared" si="40"/>
        <v>2.4776000000000002</v>
      </c>
      <c r="AG69" s="2964">
        <f>SUM(AG70:AG73)</f>
        <v>0</v>
      </c>
      <c r="AH69" s="2961">
        <f>SUM(AH70:AH73)</f>
        <v>0</v>
      </c>
      <c r="AI69" s="2962">
        <f>SUM(AI70:AI73)</f>
        <v>0</v>
      </c>
      <c r="AJ69" s="2962">
        <f t="shared" ref="AJ69:AM69" si="41">SUM(AJ70:AJ73)</f>
        <v>0</v>
      </c>
      <c r="AK69" s="2962">
        <f t="shared" si="41"/>
        <v>0</v>
      </c>
      <c r="AL69" s="2962">
        <f t="shared" si="41"/>
        <v>0</v>
      </c>
      <c r="AM69" s="2963">
        <f t="shared" si="41"/>
        <v>0</v>
      </c>
      <c r="AN69" s="2860"/>
      <c r="AO69" s="2898"/>
    </row>
    <row r="70" spans="1:42">
      <c r="A70" s="2873"/>
      <c r="B70" s="2874">
        <v>20501</v>
      </c>
      <c r="C70" s="2858">
        <v>0.08</v>
      </c>
      <c r="D70" s="2900" t="s">
        <v>415</v>
      </c>
      <c r="E70" s="448">
        <v>368.4</v>
      </c>
      <c r="F70" s="1325">
        <f t="shared" ref="F70:K76" si="42">E70+F45</f>
        <v>396.83165456329732</v>
      </c>
      <c r="G70" s="1321">
        <f t="shared" si="42"/>
        <v>431.99820621748307</v>
      </c>
      <c r="H70" s="1321">
        <f t="shared" si="42"/>
        <v>469.50463362219273</v>
      </c>
      <c r="I70" s="1321">
        <f t="shared" si="42"/>
        <v>509.98831354767452</v>
      </c>
      <c r="J70" s="1321">
        <f t="shared" si="42"/>
        <v>552.7964093778287</v>
      </c>
      <c r="K70" s="1326">
        <f t="shared" si="42"/>
        <v>597.97286828410961</v>
      </c>
      <c r="L70" s="2970">
        <v>95</v>
      </c>
      <c r="M70" s="1325">
        <f t="shared" ref="M70:R77" si="43">L70+M45</f>
        <v>102.11572129538763</v>
      </c>
      <c r="N70" s="1321">
        <f t="shared" si="43"/>
        <v>111.67169723481202</v>
      </c>
      <c r="O70" s="1321">
        <f t="shared" si="43"/>
        <v>123.89778285186077</v>
      </c>
      <c r="P70" s="1321">
        <f t="shared" si="43"/>
        <v>138.97503285267828</v>
      </c>
      <c r="Q70" s="1321">
        <f t="shared" si="43"/>
        <v>156.65462596667186</v>
      </c>
      <c r="R70" s="1326">
        <f t="shared" si="43"/>
        <v>174.30127483279105</v>
      </c>
      <c r="S70" s="2970">
        <v>38</v>
      </c>
      <c r="T70" s="1325">
        <f t="shared" ref="T70:Y84" si="44">S70+T45</f>
        <v>42.012624141315015</v>
      </c>
      <c r="U70" s="1321">
        <f t="shared" si="44"/>
        <v>47.090096547704874</v>
      </c>
      <c r="V70" s="1321">
        <f t="shared" si="44"/>
        <v>52.437583525946479</v>
      </c>
      <c r="W70" s="1321">
        <f t="shared" si="44"/>
        <v>57.696653599647185</v>
      </c>
      <c r="X70" s="1321">
        <f t="shared" si="44"/>
        <v>62.848964655499465</v>
      </c>
      <c r="Y70" s="1326">
        <f t="shared" si="44"/>
        <v>67.905856883099332</v>
      </c>
      <c r="Z70" s="448">
        <v>2.4500000000000002</v>
      </c>
      <c r="AA70" s="1325">
        <f t="shared" ref="AA70:AF84" si="45">Z70+AA45</f>
        <v>2.85</v>
      </c>
      <c r="AB70" s="1321">
        <f t="shared" si="45"/>
        <v>3.25</v>
      </c>
      <c r="AC70" s="1321">
        <f t="shared" si="45"/>
        <v>3.65</v>
      </c>
      <c r="AD70" s="1321">
        <f t="shared" si="45"/>
        <v>3.25</v>
      </c>
      <c r="AE70" s="1321">
        <f t="shared" si="45"/>
        <v>2.85</v>
      </c>
      <c r="AF70" s="1326">
        <f t="shared" si="45"/>
        <v>2.4500000000000002</v>
      </c>
      <c r="AG70" s="2970"/>
      <c r="AH70" s="1325">
        <f t="shared" ref="AH70:AM84" si="46">AG70+AH45</f>
        <v>0</v>
      </c>
      <c r="AI70" s="1321">
        <f t="shared" si="46"/>
        <v>0</v>
      </c>
      <c r="AJ70" s="1321">
        <f t="shared" si="46"/>
        <v>0</v>
      </c>
      <c r="AK70" s="1321">
        <f t="shared" si="46"/>
        <v>0</v>
      </c>
      <c r="AL70" s="1321">
        <f t="shared" si="46"/>
        <v>0</v>
      </c>
      <c r="AM70" s="1326">
        <f t="shared" si="46"/>
        <v>0</v>
      </c>
      <c r="AN70" s="2860"/>
      <c r="AO70" s="2898"/>
    </row>
    <row r="71" spans="1:42">
      <c r="A71" s="2873"/>
      <c r="B71" s="2874">
        <v>20502</v>
      </c>
      <c r="C71" s="2858">
        <v>0.1</v>
      </c>
      <c r="D71" s="2900" t="s">
        <v>416</v>
      </c>
      <c r="E71" s="448">
        <v>142.19999999999999</v>
      </c>
      <c r="F71" s="1325">
        <f t="shared" si="42"/>
        <v>148.42323846908732</v>
      </c>
      <c r="G71" s="1321">
        <f t="shared" si="42"/>
        <v>156.20239826176777</v>
      </c>
      <c r="H71" s="1321">
        <f t="shared" si="42"/>
        <v>165.85701684873092</v>
      </c>
      <c r="I71" s="1321">
        <f t="shared" si="42"/>
        <v>177.69258697435015</v>
      </c>
      <c r="J71" s="1321">
        <f t="shared" si="42"/>
        <v>192.50621018505063</v>
      </c>
      <c r="K71" s="1326">
        <f t="shared" si="42"/>
        <v>210.60430285647655</v>
      </c>
      <c r="L71" s="2970">
        <v>24</v>
      </c>
      <c r="M71" s="1325">
        <f t="shared" si="43"/>
        <v>25.015112855740924</v>
      </c>
      <c r="N71" s="1321">
        <f t="shared" si="43"/>
        <v>26.395034188853227</v>
      </c>
      <c r="O71" s="1321">
        <f t="shared" si="43"/>
        <v>28.25359973030162</v>
      </c>
      <c r="P71" s="1321">
        <f t="shared" si="43"/>
        <v>30.258697678322097</v>
      </c>
      <c r="Q71" s="1321">
        <f t="shared" si="43"/>
        <v>32.390612633953673</v>
      </c>
      <c r="R71" s="1326">
        <f t="shared" si="43"/>
        <v>35.990975805289033</v>
      </c>
      <c r="S71" s="2970">
        <v>11</v>
      </c>
      <c r="T71" s="1325">
        <f t="shared" si="44"/>
        <v>11.001648675171737</v>
      </c>
      <c r="U71" s="1321">
        <f t="shared" si="44"/>
        <v>11.182567549378989</v>
      </c>
      <c r="V71" s="1321">
        <f t="shared" si="44"/>
        <v>11.509383420967438</v>
      </c>
      <c r="W71" s="1321">
        <f t="shared" si="44"/>
        <v>11.908715347327737</v>
      </c>
      <c r="X71" s="1321">
        <f t="shared" si="44"/>
        <v>12.403177180995693</v>
      </c>
      <c r="Y71" s="1326">
        <f t="shared" si="44"/>
        <v>12.994721338234426</v>
      </c>
      <c r="Z71" s="448">
        <v>0</v>
      </c>
      <c r="AA71" s="1325">
        <f t="shared" si="45"/>
        <v>0</v>
      </c>
      <c r="AB71" s="1321">
        <f t="shared" si="45"/>
        <v>0</v>
      </c>
      <c r="AC71" s="1321">
        <f t="shared" si="45"/>
        <v>0</v>
      </c>
      <c r="AD71" s="1321">
        <f t="shared" si="45"/>
        <v>0</v>
      </c>
      <c r="AE71" s="1321">
        <f t="shared" si="45"/>
        <v>0</v>
      </c>
      <c r="AF71" s="1326">
        <f t="shared" si="45"/>
        <v>0</v>
      </c>
      <c r="AG71" s="2970"/>
      <c r="AH71" s="1325">
        <f t="shared" si="46"/>
        <v>0</v>
      </c>
      <c r="AI71" s="1321">
        <f t="shared" si="46"/>
        <v>0</v>
      </c>
      <c r="AJ71" s="1321">
        <f t="shared" si="46"/>
        <v>0</v>
      </c>
      <c r="AK71" s="1321">
        <f t="shared" si="46"/>
        <v>0</v>
      </c>
      <c r="AL71" s="1321">
        <f t="shared" si="46"/>
        <v>0</v>
      </c>
      <c r="AM71" s="1326">
        <f t="shared" si="46"/>
        <v>0</v>
      </c>
      <c r="AN71" s="2860"/>
      <c r="AO71" s="2898"/>
    </row>
    <row r="72" spans="1:42">
      <c r="A72" s="2873"/>
      <c r="B72" s="2874">
        <v>20503</v>
      </c>
      <c r="C72" s="2858">
        <v>0.1</v>
      </c>
      <c r="D72" s="2897" t="s">
        <v>417</v>
      </c>
      <c r="E72" s="448">
        <v>116</v>
      </c>
      <c r="F72" s="1325">
        <f t="shared" si="42"/>
        <v>121.5574</v>
      </c>
      <c r="G72" s="1321">
        <f t="shared" si="42"/>
        <v>127.85683550948454</v>
      </c>
      <c r="H72" s="1321">
        <f t="shared" si="42"/>
        <v>135.4940594726983</v>
      </c>
      <c r="I72" s="1321">
        <f t="shared" si="42"/>
        <v>144.67826542894491</v>
      </c>
      <c r="J72" s="1321">
        <f t="shared" si="42"/>
        <v>156.33860180090826</v>
      </c>
      <c r="K72" s="1326">
        <f t="shared" si="42"/>
        <v>171.0225120373351</v>
      </c>
      <c r="L72" s="2970">
        <v>14</v>
      </c>
      <c r="M72" s="1325">
        <f t="shared" si="43"/>
        <v>15.258599999999999</v>
      </c>
      <c r="N72" s="1321">
        <f t="shared" si="43"/>
        <v>16.534960296247178</v>
      </c>
      <c r="O72" s="1321">
        <f t="shared" si="43"/>
        <v>17.912898238454126</v>
      </c>
      <c r="P72" s="1321">
        <f t="shared" si="43"/>
        <v>19.409791149054406</v>
      </c>
      <c r="Q72" s="1321">
        <f t="shared" si="43"/>
        <v>21.003728838474313</v>
      </c>
      <c r="R72" s="1326">
        <f t="shared" si="43"/>
        <v>22.701314899842298</v>
      </c>
      <c r="S72" s="2970">
        <v>6</v>
      </c>
      <c r="T72" s="1325">
        <f t="shared" si="44"/>
        <v>6.1151</v>
      </c>
      <c r="U72" s="1321">
        <f t="shared" si="44"/>
        <v>6.270404194268278</v>
      </c>
      <c r="V72" s="1321">
        <f t="shared" si="44"/>
        <v>6.5363422888475622</v>
      </c>
      <c r="W72" s="1321">
        <f t="shared" si="44"/>
        <v>6.8863434220006789</v>
      </c>
      <c r="X72" s="1321">
        <f t="shared" si="44"/>
        <v>7.3131693606174339</v>
      </c>
      <c r="Y72" s="1326">
        <f t="shared" si="44"/>
        <v>7.8127730628226102</v>
      </c>
      <c r="Z72" s="448">
        <v>0</v>
      </c>
      <c r="AA72" s="1325">
        <f t="shared" si="45"/>
        <v>4.5999999999999999E-3</v>
      </c>
      <c r="AB72" s="1321">
        <f t="shared" si="45"/>
        <v>9.1999999999999998E-3</v>
      </c>
      <c r="AC72" s="1321">
        <f t="shared" si="45"/>
        <v>1.38E-2</v>
      </c>
      <c r="AD72" s="1321">
        <f t="shared" si="45"/>
        <v>1.84E-2</v>
      </c>
      <c r="AE72" s="1321">
        <f t="shared" si="45"/>
        <v>2.3E-2</v>
      </c>
      <c r="AF72" s="1326">
        <f t="shared" si="45"/>
        <v>2.76E-2</v>
      </c>
      <c r="AG72" s="2970"/>
      <c r="AH72" s="1325">
        <f t="shared" si="46"/>
        <v>0</v>
      </c>
      <c r="AI72" s="1321">
        <f t="shared" si="46"/>
        <v>0</v>
      </c>
      <c r="AJ72" s="1321">
        <f t="shared" si="46"/>
        <v>0</v>
      </c>
      <c r="AK72" s="1321">
        <f t="shared" si="46"/>
        <v>0</v>
      </c>
      <c r="AL72" s="1321">
        <f t="shared" si="46"/>
        <v>0</v>
      </c>
      <c r="AM72" s="1326">
        <f t="shared" si="46"/>
        <v>0</v>
      </c>
      <c r="AN72" s="2860"/>
      <c r="AO72" s="2898"/>
    </row>
    <row r="73" spans="1:42">
      <c r="A73" s="2873"/>
      <c r="B73" s="2874">
        <v>20504</v>
      </c>
      <c r="C73" s="2858">
        <v>0.1</v>
      </c>
      <c r="D73" s="2897" t="s">
        <v>563</v>
      </c>
      <c r="E73" s="448">
        <v>24</v>
      </c>
      <c r="F73" s="1325">
        <f t="shared" si="42"/>
        <v>24</v>
      </c>
      <c r="G73" s="1321">
        <f t="shared" si="42"/>
        <v>24</v>
      </c>
      <c r="H73" s="1321">
        <f t="shared" si="42"/>
        <v>24</v>
      </c>
      <c r="I73" s="1321">
        <f t="shared" si="42"/>
        <v>24</v>
      </c>
      <c r="J73" s="1321">
        <f t="shared" si="42"/>
        <v>24</v>
      </c>
      <c r="K73" s="1326">
        <f t="shared" si="42"/>
        <v>24</v>
      </c>
      <c r="L73" s="2970">
        <v>532</v>
      </c>
      <c r="M73" s="1325">
        <f t="shared" si="43"/>
        <v>569.44500000000005</v>
      </c>
      <c r="N73" s="1321">
        <f t="shared" si="43"/>
        <v>606.8900000000001</v>
      </c>
      <c r="O73" s="1321">
        <f t="shared" si="43"/>
        <v>644.33500000000015</v>
      </c>
      <c r="P73" s="1321">
        <f t="shared" si="43"/>
        <v>678.7800000000002</v>
      </c>
      <c r="Q73" s="1321">
        <f t="shared" si="43"/>
        <v>701.22500000000025</v>
      </c>
      <c r="R73" s="1326">
        <f t="shared" si="43"/>
        <v>713.6700000000003</v>
      </c>
      <c r="S73" s="2970">
        <v>0</v>
      </c>
      <c r="T73" s="1325">
        <f t="shared" si="44"/>
        <v>0</v>
      </c>
      <c r="U73" s="1321">
        <f t="shared" si="44"/>
        <v>0</v>
      </c>
      <c r="V73" s="1321">
        <f t="shared" si="44"/>
        <v>0</v>
      </c>
      <c r="W73" s="1321">
        <f t="shared" si="44"/>
        <v>0</v>
      </c>
      <c r="X73" s="1321">
        <f t="shared" si="44"/>
        <v>0</v>
      </c>
      <c r="Y73" s="1326">
        <f t="shared" si="44"/>
        <v>0</v>
      </c>
      <c r="Z73" s="448">
        <v>0</v>
      </c>
      <c r="AA73" s="1325">
        <f t="shared" si="45"/>
        <v>0</v>
      </c>
      <c r="AB73" s="1321">
        <f t="shared" si="45"/>
        <v>0</v>
      </c>
      <c r="AC73" s="1321">
        <f t="shared" si="45"/>
        <v>0</v>
      </c>
      <c r="AD73" s="1321">
        <f t="shared" si="45"/>
        <v>0</v>
      </c>
      <c r="AE73" s="1321">
        <f t="shared" si="45"/>
        <v>0</v>
      </c>
      <c r="AF73" s="1326">
        <f t="shared" si="45"/>
        <v>0</v>
      </c>
      <c r="AG73" s="2970"/>
      <c r="AH73" s="1325">
        <f t="shared" si="46"/>
        <v>0</v>
      </c>
      <c r="AI73" s="1321">
        <f t="shared" si="46"/>
        <v>0</v>
      </c>
      <c r="AJ73" s="1321">
        <f t="shared" si="46"/>
        <v>0</v>
      </c>
      <c r="AK73" s="1321">
        <f t="shared" si="46"/>
        <v>0</v>
      </c>
      <c r="AL73" s="1321">
        <f t="shared" si="46"/>
        <v>0</v>
      </c>
      <c r="AM73" s="1326">
        <f t="shared" si="46"/>
        <v>0</v>
      </c>
      <c r="AN73" s="2860"/>
      <c r="AO73" s="2898"/>
    </row>
    <row r="74" spans="1:42">
      <c r="A74" s="2873">
        <v>6</v>
      </c>
      <c r="B74" s="2874">
        <v>208</v>
      </c>
      <c r="C74" s="2858">
        <v>0.2</v>
      </c>
      <c r="D74" s="2899" t="s">
        <v>418</v>
      </c>
      <c r="E74" s="448">
        <v>91</v>
      </c>
      <c r="F74" s="1325">
        <f t="shared" si="42"/>
        <v>96.968419823356228</v>
      </c>
      <c r="G74" s="1321">
        <f t="shared" si="42"/>
        <v>104.51248980572754</v>
      </c>
      <c r="H74" s="1321">
        <f t="shared" si="42"/>
        <v>112.03984141947208</v>
      </c>
      <c r="I74" s="1321">
        <f t="shared" si="42"/>
        <v>117.89704430444762</v>
      </c>
      <c r="J74" s="1321">
        <f t="shared" si="42"/>
        <v>118.50198792520581</v>
      </c>
      <c r="K74" s="1326">
        <f t="shared" si="42"/>
        <v>119.99654496234031</v>
      </c>
      <c r="L74" s="2970">
        <v>47</v>
      </c>
      <c r="M74" s="1325">
        <f t="shared" si="43"/>
        <v>49.116359175662417</v>
      </c>
      <c r="N74" s="1321">
        <f t="shared" si="43"/>
        <v>49.581486433718297</v>
      </c>
      <c r="O74" s="1321">
        <f t="shared" si="43"/>
        <v>50.864534826891266</v>
      </c>
      <c r="P74" s="1321">
        <f t="shared" si="43"/>
        <v>52.610243783213292</v>
      </c>
      <c r="Q74" s="1321">
        <f t="shared" si="43"/>
        <v>54.536636233725865</v>
      </c>
      <c r="R74" s="1326">
        <f t="shared" si="43"/>
        <v>56.682774170576671</v>
      </c>
      <c r="S74" s="2970">
        <v>24</v>
      </c>
      <c r="T74" s="1325">
        <f t="shared" si="44"/>
        <v>25.023221000981355</v>
      </c>
      <c r="U74" s="1321">
        <f t="shared" si="44"/>
        <v>25.022023760554173</v>
      </c>
      <c r="V74" s="1321">
        <f t="shared" si="44"/>
        <v>25.619623753636656</v>
      </c>
      <c r="W74" s="1321">
        <f t="shared" si="44"/>
        <v>26.324711912339097</v>
      </c>
      <c r="X74" s="1321">
        <f t="shared" si="44"/>
        <v>27.101375841068332</v>
      </c>
      <c r="Y74" s="1326">
        <f t="shared" si="44"/>
        <v>27.96868086708303</v>
      </c>
      <c r="Z74" s="448">
        <v>1.4</v>
      </c>
      <c r="AA74" s="1325">
        <f t="shared" si="45"/>
        <v>1.4005999999999998</v>
      </c>
      <c r="AB74" s="1321">
        <f t="shared" si="45"/>
        <v>1.4011999999999998</v>
      </c>
      <c r="AC74" s="1321">
        <f t="shared" si="45"/>
        <v>1.4017999999999997</v>
      </c>
      <c r="AD74" s="1321">
        <f t="shared" si="45"/>
        <v>1.4023999999999996</v>
      </c>
      <c r="AE74" s="1321">
        <f t="shared" si="45"/>
        <v>1.4029999999999996</v>
      </c>
      <c r="AF74" s="1326">
        <f t="shared" si="45"/>
        <v>1.4035999999999995</v>
      </c>
      <c r="AG74" s="2970"/>
      <c r="AH74" s="1325">
        <f t="shared" si="46"/>
        <v>0</v>
      </c>
      <c r="AI74" s="1321">
        <f t="shared" si="46"/>
        <v>0</v>
      </c>
      <c r="AJ74" s="1321">
        <f t="shared" si="46"/>
        <v>0</v>
      </c>
      <c r="AK74" s="1321">
        <f t="shared" si="46"/>
        <v>0</v>
      </c>
      <c r="AL74" s="1321">
        <f t="shared" si="46"/>
        <v>0</v>
      </c>
      <c r="AM74" s="1326">
        <f t="shared" si="46"/>
        <v>0</v>
      </c>
      <c r="AN74" s="2860"/>
      <c r="AO74" s="2898"/>
    </row>
    <row r="75" spans="1:42">
      <c r="A75" s="2873">
        <v>7</v>
      </c>
      <c r="B75" s="2877">
        <v>20601</v>
      </c>
      <c r="C75" s="2869">
        <v>0.1</v>
      </c>
      <c r="D75" s="2899" t="s">
        <v>570</v>
      </c>
      <c r="E75" s="448">
        <v>26</v>
      </c>
      <c r="F75" s="1325">
        <f>E75+F50</f>
        <v>30.96147693817468</v>
      </c>
      <c r="G75" s="1321">
        <f t="shared" si="42"/>
        <v>36.60581427827784</v>
      </c>
      <c r="H75" s="1321">
        <f t="shared" si="42"/>
        <v>42.439992773275414</v>
      </c>
      <c r="I75" s="1321">
        <f t="shared" si="42"/>
        <v>48.815876300449489</v>
      </c>
      <c r="J75" s="1321">
        <f t="shared" si="42"/>
        <v>55.990372255076636</v>
      </c>
      <c r="K75" s="1326">
        <f t="shared" si="42"/>
        <v>63.578248330785854</v>
      </c>
      <c r="L75" s="2970">
        <v>4</v>
      </c>
      <c r="M75" s="1325">
        <f t="shared" si="43"/>
        <v>4.085725711481845</v>
      </c>
      <c r="N75" s="1321">
        <f t="shared" si="43"/>
        <v>4.3099485258300421</v>
      </c>
      <c r="O75" s="1321">
        <f t="shared" si="43"/>
        <v>4.9223589227958069</v>
      </c>
      <c r="P75" s="1321">
        <f t="shared" si="43"/>
        <v>5.9191159196669192</v>
      </c>
      <c r="Q75" s="1321">
        <f t="shared" si="43"/>
        <v>7.177206254138305</v>
      </c>
      <c r="R75" s="1326">
        <f t="shared" si="43"/>
        <v>8.5158962796754949</v>
      </c>
      <c r="S75" s="2970">
        <v>2</v>
      </c>
      <c r="T75" s="1325">
        <f t="shared" si="44"/>
        <v>2.0222973503434738</v>
      </c>
      <c r="U75" s="1321">
        <f t="shared" si="44"/>
        <v>2.4232371958921175</v>
      </c>
      <c r="V75" s="1321">
        <f t="shared" si="44"/>
        <v>3.1461483039287765</v>
      </c>
      <c r="W75" s="1321">
        <f t="shared" si="44"/>
        <v>4.093007779883588</v>
      </c>
      <c r="X75" s="1321">
        <f t="shared" si="44"/>
        <v>5.2299214907850544</v>
      </c>
      <c r="Y75" s="1326">
        <f t="shared" si="44"/>
        <v>6.3728553895386471</v>
      </c>
      <c r="Z75" s="448">
        <v>0</v>
      </c>
      <c r="AA75" s="1325">
        <f t="shared" si="45"/>
        <v>1.2000000000000001E-3</v>
      </c>
      <c r="AB75" s="1321">
        <f t="shared" si="45"/>
        <v>2.4000000000000002E-3</v>
      </c>
      <c r="AC75" s="1321">
        <f t="shared" si="45"/>
        <v>3.6000000000000003E-3</v>
      </c>
      <c r="AD75" s="1321">
        <f t="shared" si="45"/>
        <v>4.8000000000000004E-3</v>
      </c>
      <c r="AE75" s="1321">
        <f t="shared" si="45"/>
        <v>6.0000000000000001E-3</v>
      </c>
      <c r="AF75" s="1326">
        <f t="shared" si="45"/>
        <v>7.1999999999999998E-3</v>
      </c>
      <c r="AG75" s="2970"/>
      <c r="AH75" s="1325">
        <f t="shared" si="46"/>
        <v>0</v>
      </c>
      <c r="AI75" s="1321">
        <f t="shared" si="46"/>
        <v>0</v>
      </c>
      <c r="AJ75" s="1321">
        <f t="shared" si="46"/>
        <v>0</v>
      </c>
      <c r="AK75" s="1321">
        <f t="shared" si="46"/>
        <v>0</v>
      </c>
      <c r="AL75" s="1321">
        <f t="shared" si="46"/>
        <v>0</v>
      </c>
      <c r="AM75" s="1326">
        <f t="shared" si="46"/>
        <v>0</v>
      </c>
      <c r="AN75" s="2860"/>
      <c r="AO75" s="2898"/>
    </row>
    <row r="76" spans="1:42">
      <c r="A76" s="2878">
        <v>8</v>
      </c>
      <c r="B76" s="2877">
        <v>20602</v>
      </c>
      <c r="C76" s="2869">
        <v>0.1</v>
      </c>
      <c r="D76" s="2899" t="s">
        <v>440</v>
      </c>
      <c r="E76" s="448">
        <v>3</v>
      </c>
      <c r="F76" s="1325">
        <f>E76+F51</f>
        <v>5.4437999999999995</v>
      </c>
      <c r="G76" s="1321">
        <f t="shared" si="42"/>
        <v>7.8875999999999991</v>
      </c>
      <c r="H76" s="1321">
        <f t="shared" si="42"/>
        <v>10.331399999999999</v>
      </c>
      <c r="I76" s="1321">
        <f t="shared" si="42"/>
        <v>12.775199999999998</v>
      </c>
      <c r="J76" s="1321">
        <f t="shared" si="42"/>
        <v>15.218999999999998</v>
      </c>
      <c r="K76" s="1326">
        <f t="shared" si="42"/>
        <v>17.662799999999997</v>
      </c>
      <c r="L76" s="2970">
        <v>1</v>
      </c>
      <c r="M76" s="1325">
        <f t="shared" si="43"/>
        <v>2.0773999999999999</v>
      </c>
      <c r="N76" s="1321">
        <f t="shared" si="43"/>
        <v>3.1547999999999998</v>
      </c>
      <c r="O76" s="1321">
        <f t="shared" si="43"/>
        <v>4.2321999999999997</v>
      </c>
      <c r="P76" s="1321">
        <f t="shared" si="43"/>
        <v>5.3095999999999997</v>
      </c>
      <c r="Q76" s="1321">
        <f t="shared" si="43"/>
        <v>5.3869999999999996</v>
      </c>
      <c r="R76" s="1326">
        <f t="shared" si="43"/>
        <v>5.4643999999999995</v>
      </c>
      <c r="S76" s="2970">
        <v>1</v>
      </c>
      <c r="T76" s="1325">
        <f t="shared" si="44"/>
        <v>1.0342</v>
      </c>
      <c r="U76" s="1321">
        <f>T76+U51</f>
        <v>1.0684</v>
      </c>
      <c r="V76" s="1321">
        <f t="shared" si="44"/>
        <v>1.1026</v>
      </c>
      <c r="W76" s="1321">
        <f t="shared" si="44"/>
        <v>1.1368</v>
      </c>
      <c r="X76" s="1321">
        <f t="shared" si="44"/>
        <v>1.171</v>
      </c>
      <c r="Y76" s="1326">
        <f t="shared" si="44"/>
        <v>1.2052</v>
      </c>
      <c r="Z76" s="448">
        <v>0</v>
      </c>
      <c r="AA76" s="1325">
        <f t="shared" si="45"/>
        <v>2.0000000000000001E-4</v>
      </c>
      <c r="AB76" s="1321">
        <f>AA76+AB51</f>
        <v>4.0000000000000002E-4</v>
      </c>
      <c r="AC76" s="1321">
        <f t="shared" si="45"/>
        <v>6.0000000000000006E-4</v>
      </c>
      <c r="AD76" s="1321">
        <f t="shared" si="45"/>
        <v>8.0000000000000004E-4</v>
      </c>
      <c r="AE76" s="1321">
        <f t="shared" si="45"/>
        <v>1E-3</v>
      </c>
      <c r="AF76" s="1326">
        <f t="shared" si="45"/>
        <v>1.2000000000000001E-3</v>
      </c>
      <c r="AG76" s="2970"/>
      <c r="AH76" s="1325">
        <f t="shared" si="46"/>
        <v>0</v>
      </c>
      <c r="AI76" s="1321">
        <f>AH76+AI51</f>
        <v>0</v>
      </c>
      <c r="AJ76" s="1321">
        <f t="shared" si="46"/>
        <v>0</v>
      </c>
      <c r="AK76" s="1321">
        <f t="shared" si="46"/>
        <v>0</v>
      </c>
      <c r="AL76" s="1321">
        <f t="shared" si="46"/>
        <v>0</v>
      </c>
      <c r="AM76" s="1326">
        <f t="shared" si="46"/>
        <v>0</v>
      </c>
      <c r="AN76" s="2860"/>
      <c r="AO76" s="2898"/>
    </row>
    <row r="77" spans="1:42">
      <c r="A77" s="2878">
        <v>9</v>
      </c>
      <c r="B77" s="2874">
        <v>20603</v>
      </c>
      <c r="C77" s="2869">
        <v>0.5</v>
      </c>
      <c r="D77" s="2899" t="s">
        <v>1023</v>
      </c>
      <c r="E77" s="448">
        <v>1</v>
      </c>
      <c r="F77" s="1325">
        <f t="shared" ref="F77:K84" si="47">E77+F52</f>
        <v>2.65</v>
      </c>
      <c r="G77" s="1321">
        <f t="shared" si="47"/>
        <v>2.8</v>
      </c>
      <c r="H77" s="1321">
        <f t="shared" si="47"/>
        <v>2.9499999999999997</v>
      </c>
      <c r="I77" s="1321">
        <f t="shared" si="47"/>
        <v>3.0999999999999996</v>
      </c>
      <c r="J77" s="1321">
        <f t="shared" si="47"/>
        <v>3.2499999999999996</v>
      </c>
      <c r="K77" s="1326">
        <f t="shared" si="47"/>
        <v>3.3999999999999995</v>
      </c>
      <c r="L77" s="2970">
        <v>0</v>
      </c>
      <c r="M77" s="1325">
        <f>L77+M52</f>
        <v>0.18049999999999999</v>
      </c>
      <c r="N77" s="1321">
        <f t="shared" si="43"/>
        <v>0.36099999999999999</v>
      </c>
      <c r="O77" s="1321">
        <f t="shared" si="43"/>
        <v>0.54149999999999998</v>
      </c>
      <c r="P77" s="1321">
        <f t="shared" si="43"/>
        <v>0.72199999999999998</v>
      </c>
      <c r="Q77" s="1321">
        <f t="shared" si="43"/>
        <v>0.90249999999999997</v>
      </c>
      <c r="R77" s="1326">
        <f t="shared" si="43"/>
        <v>1.083</v>
      </c>
      <c r="S77" s="2970">
        <v>0</v>
      </c>
      <c r="T77" s="1325">
        <f t="shared" si="44"/>
        <v>8.1000000000000003E-2</v>
      </c>
      <c r="U77" s="1321">
        <f t="shared" si="44"/>
        <v>0.16200000000000001</v>
      </c>
      <c r="V77" s="1321">
        <f t="shared" si="44"/>
        <v>0.24299999999999999</v>
      </c>
      <c r="W77" s="1321">
        <f t="shared" si="44"/>
        <v>0.32400000000000001</v>
      </c>
      <c r="X77" s="1321">
        <f t="shared" si="44"/>
        <v>0.40500000000000003</v>
      </c>
      <c r="Y77" s="1326">
        <f t="shared" si="44"/>
        <v>0.48600000000000004</v>
      </c>
      <c r="Z77" s="448">
        <v>0</v>
      </c>
      <c r="AA77" s="1325">
        <f t="shared" si="45"/>
        <v>2.4999999999999996E-3</v>
      </c>
      <c r="AB77" s="1321">
        <f t="shared" si="45"/>
        <v>4.9999999999999992E-3</v>
      </c>
      <c r="AC77" s="1321">
        <f t="shared" si="45"/>
        <v>7.4999999999999989E-3</v>
      </c>
      <c r="AD77" s="1321">
        <f t="shared" si="45"/>
        <v>9.9999999999999985E-3</v>
      </c>
      <c r="AE77" s="1321">
        <f t="shared" si="45"/>
        <v>1.2499999999999997E-2</v>
      </c>
      <c r="AF77" s="1326">
        <f t="shared" si="45"/>
        <v>1.4999999999999996E-2</v>
      </c>
      <c r="AG77" s="2970"/>
      <c r="AH77" s="1325">
        <f t="shared" si="46"/>
        <v>0</v>
      </c>
      <c r="AI77" s="1321">
        <f t="shared" si="46"/>
        <v>0</v>
      </c>
      <c r="AJ77" s="1321">
        <f t="shared" si="46"/>
        <v>0</v>
      </c>
      <c r="AK77" s="1321">
        <f t="shared" si="46"/>
        <v>0</v>
      </c>
      <c r="AL77" s="1321">
        <f t="shared" si="46"/>
        <v>0</v>
      </c>
      <c r="AM77" s="1326">
        <f t="shared" si="46"/>
        <v>0</v>
      </c>
      <c r="AN77" s="2860"/>
      <c r="AO77" s="2898"/>
    </row>
    <row r="78" spans="1:42">
      <c r="A78" s="2878">
        <v>10</v>
      </c>
      <c r="B78" s="2874">
        <v>209</v>
      </c>
      <c r="C78" s="2858">
        <v>0.1</v>
      </c>
      <c r="D78" s="2899" t="s">
        <v>218</v>
      </c>
      <c r="E78" s="448">
        <v>1</v>
      </c>
      <c r="F78" s="1325">
        <f t="shared" si="47"/>
        <v>2</v>
      </c>
      <c r="G78" s="1321">
        <f t="shared" si="47"/>
        <v>3</v>
      </c>
      <c r="H78" s="1321">
        <f t="shared" si="47"/>
        <v>4</v>
      </c>
      <c r="I78" s="1321">
        <f t="shared" si="47"/>
        <v>5</v>
      </c>
      <c r="J78" s="1321">
        <f t="shared" si="47"/>
        <v>5</v>
      </c>
      <c r="K78" s="1326">
        <f t="shared" si="47"/>
        <v>5</v>
      </c>
      <c r="L78" s="2970">
        <v>0</v>
      </c>
      <c r="M78" s="1325">
        <f t="shared" ref="M78:R84" si="48">L78+M53</f>
        <v>0</v>
      </c>
      <c r="N78" s="1321">
        <f t="shared" si="48"/>
        <v>0</v>
      </c>
      <c r="O78" s="1321">
        <f t="shared" si="48"/>
        <v>0</v>
      </c>
      <c r="P78" s="1321">
        <f t="shared" si="48"/>
        <v>0</v>
      </c>
      <c r="Q78" s="1321">
        <f t="shared" si="48"/>
        <v>0</v>
      </c>
      <c r="R78" s="1326">
        <f t="shared" si="48"/>
        <v>0</v>
      </c>
      <c r="S78" s="2970">
        <v>0</v>
      </c>
      <c r="T78" s="1325">
        <f t="shared" si="44"/>
        <v>0</v>
      </c>
      <c r="U78" s="1321">
        <f t="shared" si="44"/>
        <v>0</v>
      </c>
      <c r="V78" s="1321">
        <f t="shared" si="44"/>
        <v>0</v>
      </c>
      <c r="W78" s="1321">
        <f t="shared" si="44"/>
        <v>0</v>
      </c>
      <c r="X78" s="1321">
        <f t="shared" si="44"/>
        <v>0</v>
      </c>
      <c r="Y78" s="1326">
        <f t="shared" si="44"/>
        <v>0</v>
      </c>
      <c r="Z78" s="448">
        <v>0</v>
      </c>
      <c r="AA78" s="1325">
        <f t="shared" si="45"/>
        <v>0</v>
      </c>
      <c r="AB78" s="1321">
        <f t="shared" si="45"/>
        <v>0</v>
      </c>
      <c r="AC78" s="1321">
        <f t="shared" si="45"/>
        <v>0</v>
      </c>
      <c r="AD78" s="1321">
        <f t="shared" si="45"/>
        <v>0</v>
      </c>
      <c r="AE78" s="1321">
        <f t="shared" si="45"/>
        <v>0</v>
      </c>
      <c r="AF78" s="1326">
        <f t="shared" si="45"/>
        <v>0</v>
      </c>
      <c r="AG78" s="2970"/>
      <c r="AH78" s="1325">
        <f t="shared" si="46"/>
        <v>0</v>
      </c>
      <c r="AI78" s="1321">
        <f t="shared" si="46"/>
        <v>0</v>
      </c>
      <c r="AJ78" s="1321">
        <f t="shared" si="46"/>
        <v>0</v>
      </c>
      <c r="AK78" s="1321">
        <f t="shared" si="46"/>
        <v>0</v>
      </c>
      <c r="AL78" s="1321">
        <f t="shared" si="46"/>
        <v>0</v>
      </c>
      <c r="AM78" s="1326">
        <f t="shared" si="46"/>
        <v>0</v>
      </c>
      <c r="AN78" s="2860"/>
      <c r="AO78" s="2898"/>
    </row>
    <row r="79" spans="1:42" ht="24">
      <c r="A79" s="2878">
        <v>11</v>
      </c>
      <c r="B79" s="2874">
        <v>207</v>
      </c>
      <c r="C79" s="2858" t="s">
        <v>318</v>
      </c>
      <c r="D79" s="2899" t="s">
        <v>419</v>
      </c>
      <c r="E79" s="448">
        <v>0</v>
      </c>
      <c r="F79" s="1325">
        <f t="shared" si="47"/>
        <v>0</v>
      </c>
      <c r="G79" s="1321">
        <f t="shared" si="47"/>
        <v>0</v>
      </c>
      <c r="H79" s="1321">
        <f t="shared" si="47"/>
        <v>0</v>
      </c>
      <c r="I79" s="1321">
        <f t="shared" si="47"/>
        <v>0</v>
      </c>
      <c r="J79" s="1321">
        <f t="shared" si="47"/>
        <v>0</v>
      </c>
      <c r="K79" s="1326">
        <f t="shared" si="47"/>
        <v>0</v>
      </c>
      <c r="L79" s="2970">
        <v>0</v>
      </c>
      <c r="M79" s="1325">
        <f t="shared" si="48"/>
        <v>0</v>
      </c>
      <c r="N79" s="1321">
        <f t="shared" si="48"/>
        <v>0</v>
      </c>
      <c r="O79" s="1321">
        <f t="shared" si="48"/>
        <v>0</v>
      </c>
      <c r="P79" s="1321">
        <f t="shared" si="48"/>
        <v>0</v>
      </c>
      <c r="Q79" s="1321">
        <f t="shared" si="48"/>
        <v>0</v>
      </c>
      <c r="R79" s="1326">
        <f t="shared" si="48"/>
        <v>0</v>
      </c>
      <c r="S79" s="2970">
        <v>0</v>
      </c>
      <c r="T79" s="1325">
        <f t="shared" si="44"/>
        <v>0</v>
      </c>
      <c r="U79" s="1321">
        <f t="shared" si="44"/>
        <v>0</v>
      </c>
      <c r="V79" s="1321">
        <f t="shared" si="44"/>
        <v>0</v>
      </c>
      <c r="W79" s="1321">
        <f t="shared" si="44"/>
        <v>0</v>
      </c>
      <c r="X79" s="1321">
        <f t="shared" si="44"/>
        <v>0</v>
      </c>
      <c r="Y79" s="1326">
        <f t="shared" si="44"/>
        <v>0</v>
      </c>
      <c r="Z79" s="448">
        <v>0</v>
      </c>
      <c r="AA79" s="1325">
        <f t="shared" si="45"/>
        <v>0</v>
      </c>
      <c r="AB79" s="1321">
        <f t="shared" si="45"/>
        <v>0</v>
      </c>
      <c r="AC79" s="1321">
        <f t="shared" si="45"/>
        <v>0</v>
      </c>
      <c r="AD79" s="1321">
        <f t="shared" si="45"/>
        <v>0</v>
      </c>
      <c r="AE79" s="1321">
        <f t="shared" si="45"/>
        <v>0</v>
      </c>
      <c r="AF79" s="1326">
        <f t="shared" si="45"/>
        <v>0</v>
      </c>
      <c r="AG79" s="448"/>
      <c r="AH79" s="1325">
        <f t="shared" si="46"/>
        <v>0</v>
      </c>
      <c r="AI79" s="1321">
        <f t="shared" si="46"/>
        <v>0</v>
      </c>
      <c r="AJ79" s="1321">
        <f t="shared" si="46"/>
        <v>0</v>
      </c>
      <c r="AK79" s="1321">
        <f t="shared" si="46"/>
        <v>0</v>
      </c>
      <c r="AL79" s="1321">
        <f t="shared" si="46"/>
        <v>0</v>
      </c>
      <c r="AM79" s="1326">
        <f t="shared" si="46"/>
        <v>0</v>
      </c>
      <c r="AN79" s="2860"/>
      <c r="AO79" s="2898"/>
    </row>
    <row r="80" spans="1:42">
      <c r="A80" s="2878">
        <v>12</v>
      </c>
      <c r="B80" s="2874">
        <v>212</v>
      </c>
      <c r="C80" s="2869">
        <v>0.2</v>
      </c>
      <c r="D80" s="2901" t="s">
        <v>219</v>
      </c>
      <c r="E80" s="448">
        <v>39</v>
      </c>
      <c r="F80" s="1325">
        <f t="shared" si="47"/>
        <v>41.614210991167809</v>
      </c>
      <c r="G80" s="1321">
        <f t="shared" si="47"/>
        <v>44.488299764879166</v>
      </c>
      <c r="H80" s="1321">
        <f t="shared" si="47"/>
        <v>47.611977030771072</v>
      </c>
      <c r="I80" s="1321">
        <f t="shared" si="47"/>
        <v>50.026547156390293</v>
      </c>
      <c r="J80" s="1321">
        <f t="shared" si="47"/>
        <v>52.246857828192944</v>
      </c>
      <c r="K80" s="1326">
        <f t="shared" si="47"/>
        <v>54.927835377475944</v>
      </c>
      <c r="L80" s="2970">
        <v>38</v>
      </c>
      <c r="M80" s="1325">
        <f t="shared" si="48"/>
        <v>38.710717958783121</v>
      </c>
      <c r="N80" s="1321">
        <f t="shared" si="48"/>
        <v>39.461518699401068</v>
      </c>
      <c r="O80" s="1321">
        <f t="shared" si="48"/>
        <v>40.386704926780475</v>
      </c>
      <c r="P80" s="1321">
        <f t="shared" si="48"/>
        <v>41.498202874800953</v>
      </c>
      <c r="Q80" s="1321">
        <f t="shared" si="48"/>
        <v>42.748081199033216</v>
      </c>
      <c r="R80" s="1326">
        <f t="shared" si="48"/>
        <v>44.141100423224167</v>
      </c>
      <c r="S80" s="2970">
        <v>3</v>
      </c>
      <c r="T80" s="1325">
        <f>S80+T55</f>
        <v>3.1886710500490678</v>
      </c>
      <c r="U80" s="1321">
        <f t="shared" si="44"/>
        <v>3.4773815357197635</v>
      </c>
      <c r="V80" s="1321">
        <f t="shared" si="44"/>
        <v>3.9421180424484512</v>
      </c>
      <c r="W80" s="1321">
        <f t="shared" si="44"/>
        <v>4.5296499688087497</v>
      </c>
      <c r="X80" s="1321">
        <f t="shared" si="44"/>
        <v>5.2230609727738351</v>
      </c>
      <c r="Y80" s="1326">
        <f t="shared" si="44"/>
        <v>6.0126641992998806</v>
      </c>
      <c r="Z80" s="448">
        <v>0</v>
      </c>
      <c r="AA80" s="1325">
        <f>Z80+AA55</f>
        <v>1.34E-2</v>
      </c>
      <c r="AB80" s="1321">
        <f t="shared" si="45"/>
        <v>2.6800000000000001E-2</v>
      </c>
      <c r="AC80" s="1321">
        <f t="shared" si="45"/>
        <v>4.02E-2</v>
      </c>
      <c r="AD80" s="1321">
        <f t="shared" si="45"/>
        <v>5.3600000000000002E-2</v>
      </c>
      <c r="AE80" s="1321">
        <f t="shared" si="45"/>
        <v>6.7000000000000004E-2</v>
      </c>
      <c r="AF80" s="1326">
        <f t="shared" si="45"/>
        <v>8.0399999999999999E-2</v>
      </c>
      <c r="AG80" s="448"/>
      <c r="AH80" s="1325">
        <f>AG80+AH55</f>
        <v>0</v>
      </c>
      <c r="AI80" s="1321">
        <f t="shared" si="46"/>
        <v>0</v>
      </c>
      <c r="AJ80" s="1321">
        <f t="shared" si="46"/>
        <v>0</v>
      </c>
      <c r="AK80" s="1321">
        <f t="shared" si="46"/>
        <v>0</v>
      </c>
      <c r="AL80" s="1321">
        <f t="shared" si="46"/>
        <v>0</v>
      </c>
      <c r="AM80" s="1326">
        <f t="shared" si="46"/>
        <v>0</v>
      </c>
      <c r="AN80" s="2860"/>
      <c r="AO80" s="2898"/>
    </row>
    <row r="81" spans="1:42">
      <c r="A81" s="2878">
        <v>13</v>
      </c>
      <c r="B81" s="2873">
        <v>213</v>
      </c>
      <c r="C81" s="2880">
        <v>0.2</v>
      </c>
      <c r="D81" s="2902" t="s">
        <v>220</v>
      </c>
      <c r="E81" s="448">
        <v>0</v>
      </c>
      <c r="F81" s="1325">
        <f t="shared" si="47"/>
        <v>0</v>
      </c>
      <c r="G81" s="1321">
        <f t="shared" si="47"/>
        <v>0</v>
      </c>
      <c r="H81" s="1321">
        <f t="shared" si="47"/>
        <v>0</v>
      </c>
      <c r="I81" s="1321">
        <f t="shared" si="47"/>
        <v>0</v>
      </c>
      <c r="J81" s="1321">
        <f t="shared" si="47"/>
        <v>0</v>
      </c>
      <c r="K81" s="1326">
        <f t="shared" si="47"/>
        <v>0</v>
      </c>
      <c r="L81" s="448">
        <v>0</v>
      </c>
      <c r="M81" s="1325">
        <f t="shared" si="48"/>
        <v>0</v>
      </c>
      <c r="N81" s="1321">
        <f t="shared" si="48"/>
        <v>0</v>
      </c>
      <c r="O81" s="1321">
        <f t="shared" si="48"/>
        <v>0</v>
      </c>
      <c r="P81" s="1321">
        <f t="shared" si="48"/>
        <v>0</v>
      </c>
      <c r="Q81" s="1321">
        <f t="shared" si="48"/>
        <v>0</v>
      </c>
      <c r="R81" s="1326">
        <f t="shared" si="48"/>
        <v>0</v>
      </c>
      <c r="S81" s="448">
        <v>0</v>
      </c>
      <c r="T81" s="1325">
        <f>S81+T56</f>
        <v>0</v>
      </c>
      <c r="U81" s="1321">
        <f t="shared" si="44"/>
        <v>0</v>
      </c>
      <c r="V81" s="1321">
        <f t="shared" si="44"/>
        <v>0</v>
      </c>
      <c r="W81" s="1321">
        <f t="shared" si="44"/>
        <v>0</v>
      </c>
      <c r="X81" s="1321">
        <f t="shared" si="44"/>
        <v>0</v>
      </c>
      <c r="Y81" s="1326">
        <f t="shared" si="44"/>
        <v>0</v>
      </c>
      <c r="Z81" s="448">
        <v>0</v>
      </c>
      <c r="AA81" s="1325">
        <f>Z81+AA56</f>
        <v>0</v>
      </c>
      <c r="AB81" s="1321">
        <f t="shared" si="45"/>
        <v>0</v>
      </c>
      <c r="AC81" s="1321">
        <f t="shared" si="45"/>
        <v>0</v>
      </c>
      <c r="AD81" s="1321">
        <f t="shared" si="45"/>
        <v>0</v>
      </c>
      <c r="AE81" s="1321">
        <f t="shared" si="45"/>
        <v>0</v>
      </c>
      <c r="AF81" s="1326">
        <f t="shared" si="45"/>
        <v>0</v>
      </c>
      <c r="AG81" s="448"/>
      <c r="AH81" s="1325">
        <f>AG81+AH56</f>
        <v>0</v>
      </c>
      <c r="AI81" s="1321">
        <f t="shared" si="46"/>
        <v>0</v>
      </c>
      <c r="AJ81" s="1321">
        <f t="shared" si="46"/>
        <v>0</v>
      </c>
      <c r="AK81" s="1321">
        <f t="shared" si="46"/>
        <v>0</v>
      </c>
      <c r="AL81" s="1321">
        <f t="shared" si="46"/>
        <v>0</v>
      </c>
      <c r="AM81" s="1326">
        <f t="shared" si="46"/>
        <v>0</v>
      </c>
      <c r="AN81" s="2860"/>
      <c r="AO81" s="2868"/>
      <c r="AP81" s="1421"/>
    </row>
    <row r="82" spans="1:42">
      <c r="A82" s="2878">
        <v>14</v>
      </c>
      <c r="B82" s="2954"/>
      <c r="C82" s="2954"/>
      <c r="D82" s="2903" t="s">
        <v>634</v>
      </c>
      <c r="E82" s="448">
        <v>0</v>
      </c>
      <c r="F82" s="1325">
        <f t="shared" si="47"/>
        <v>0</v>
      </c>
      <c r="G82" s="1321">
        <f t="shared" si="47"/>
        <v>0</v>
      </c>
      <c r="H82" s="1321">
        <f t="shared" si="47"/>
        <v>0</v>
      </c>
      <c r="I82" s="1321">
        <f t="shared" si="47"/>
        <v>0</v>
      </c>
      <c r="J82" s="1321">
        <f t="shared" si="47"/>
        <v>0</v>
      </c>
      <c r="K82" s="1326">
        <f t="shared" si="47"/>
        <v>0</v>
      </c>
      <c r="L82" s="448">
        <v>0</v>
      </c>
      <c r="M82" s="1325">
        <f t="shared" si="48"/>
        <v>0</v>
      </c>
      <c r="N82" s="1321">
        <f t="shared" si="48"/>
        <v>0</v>
      </c>
      <c r="O82" s="1321">
        <f t="shared" si="48"/>
        <v>0</v>
      </c>
      <c r="P82" s="1321">
        <f t="shared" si="48"/>
        <v>0</v>
      </c>
      <c r="Q82" s="1321">
        <f t="shared" si="48"/>
        <v>0</v>
      </c>
      <c r="R82" s="1326">
        <f t="shared" si="48"/>
        <v>0</v>
      </c>
      <c r="S82" s="448">
        <v>0</v>
      </c>
      <c r="T82" s="1325">
        <f>S82+T57</f>
        <v>0</v>
      </c>
      <c r="U82" s="1321">
        <f t="shared" si="44"/>
        <v>0</v>
      </c>
      <c r="V82" s="1321">
        <f t="shared" si="44"/>
        <v>0</v>
      </c>
      <c r="W82" s="1321">
        <f t="shared" si="44"/>
        <v>0</v>
      </c>
      <c r="X82" s="1321">
        <f t="shared" si="44"/>
        <v>0</v>
      </c>
      <c r="Y82" s="1326">
        <f t="shared" si="44"/>
        <v>0</v>
      </c>
      <c r="Z82" s="448">
        <v>0</v>
      </c>
      <c r="AA82" s="1325">
        <f>Z82+AA57</f>
        <v>0</v>
      </c>
      <c r="AB82" s="1321">
        <f t="shared" si="45"/>
        <v>0</v>
      </c>
      <c r="AC82" s="1321">
        <f t="shared" si="45"/>
        <v>0</v>
      </c>
      <c r="AD82" s="1321">
        <f t="shared" si="45"/>
        <v>0</v>
      </c>
      <c r="AE82" s="1321">
        <f t="shared" si="45"/>
        <v>0</v>
      </c>
      <c r="AF82" s="1326">
        <f t="shared" si="45"/>
        <v>0</v>
      </c>
      <c r="AG82" s="448"/>
      <c r="AH82" s="1325">
        <f>AG82+AH57</f>
        <v>0</v>
      </c>
      <c r="AI82" s="1321">
        <f t="shared" si="46"/>
        <v>0</v>
      </c>
      <c r="AJ82" s="1321">
        <f t="shared" si="46"/>
        <v>0</v>
      </c>
      <c r="AK82" s="1321">
        <f t="shared" si="46"/>
        <v>0</v>
      </c>
      <c r="AL82" s="1321">
        <f t="shared" si="46"/>
        <v>0</v>
      </c>
      <c r="AM82" s="1326">
        <f t="shared" si="46"/>
        <v>0</v>
      </c>
      <c r="AN82" s="2860"/>
      <c r="AO82" s="2898"/>
    </row>
    <row r="83" spans="1:42" ht="24">
      <c r="A83" s="2878">
        <v>15</v>
      </c>
      <c r="B83" s="2873">
        <v>207</v>
      </c>
      <c r="C83" s="2905" t="s">
        <v>318</v>
      </c>
      <c r="D83" s="2902" t="s">
        <v>420</v>
      </c>
      <c r="E83" s="448">
        <v>0</v>
      </c>
      <c r="F83" s="1325">
        <f t="shared" si="47"/>
        <v>0</v>
      </c>
      <c r="G83" s="1321">
        <f t="shared" si="47"/>
        <v>0</v>
      </c>
      <c r="H83" s="1321">
        <f t="shared" si="47"/>
        <v>0</v>
      </c>
      <c r="I83" s="1321">
        <f t="shared" si="47"/>
        <v>0</v>
      </c>
      <c r="J83" s="1321">
        <f t="shared" si="47"/>
        <v>0</v>
      </c>
      <c r="K83" s="1326">
        <f t="shared" si="47"/>
        <v>0</v>
      </c>
      <c r="L83" s="448">
        <v>0</v>
      </c>
      <c r="M83" s="1325">
        <f t="shared" si="48"/>
        <v>0</v>
      </c>
      <c r="N83" s="1321">
        <f t="shared" si="48"/>
        <v>0</v>
      </c>
      <c r="O83" s="1321">
        <f t="shared" si="48"/>
        <v>0</v>
      </c>
      <c r="P83" s="1321">
        <f t="shared" si="48"/>
        <v>0</v>
      </c>
      <c r="Q83" s="1321">
        <f t="shared" si="48"/>
        <v>0</v>
      </c>
      <c r="R83" s="1326">
        <f t="shared" si="48"/>
        <v>0</v>
      </c>
      <c r="S83" s="448">
        <v>0</v>
      </c>
      <c r="T83" s="1325">
        <f>S83+T58</f>
        <v>0</v>
      </c>
      <c r="U83" s="1321">
        <f t="shared" si="44"/>
        <v>0</v>
      </c>
      <c r="V83" s="1321">
        <f t="shared" si="44"/>
        <v>0</v>
      </c>
      <c r="W83" s="1321">
        <f t="shared" si="44"/>
        <v>0</v>
      </c>
      <c r="X83" s="1321">
        <f t="shared" si="44"/>
        <v>0</v>
      </c>
      <c r="Y83" s="1326">
        <f t="shared" si="44"/>
        <v>0</v>
      </c>
      <c r="Z83" s="448">
        <v>0</v>
      </c>
      <c r="AA83" s="1325">
        <f>Z83+AA58</f>
        <v>0</v>
      </c>
      <c r="AB83" s="1321">
        <f t="shared" si="45"/>
        <v>0</v>
      </c>
      <c r="AC83" s="1321">
        <f t="shared" si="45"/>
        <v>0</v>
      </c>
      <c r="AD83" s="1321">
        <f t="shared" si="45"/>
        <v>0</v>
      </c>
      <c r="AE83" s="1321">
        <f t="shared" si="45"/>
        <v>0</v>
      </c>
      <c r="AF83" s="1326">
        <f t="shared" si="45"/>
        <v>0</v>
      </c>
      <c r="AG83" s="448"/>
      <c r="AH83" s="1325">
        <f>AG83+AH58</f>
        <v>0</v>
      </c>
      <c r="AI83" s="1321">
        <f t="shared" si="46"/>
        <v>0</v>
      </c>
      <c r="AJ83" s="1321">
        <f t="shared" si="46"/>
        <v>0</v>
      </c>
      <c r="AK83" s="1321">
        <f t="shared" si="46"/>
        <v>0</v>
      </c>
      <c r="AL83" s="1321">
        <f t="shared" si="46"/>
        <v>0</v>
      </c>
      <c r="AM83" s="1326">
        <f t="shared" si="46"/>
        <v>0</v>
      </c>
      <c r="AN83" s="2860"/>
      <c r="AO83" s="2898"/>
    </row>
    <row r="84" spans="1:42" ht="13.5" thickBot="1">
      <c r="A84" s="2878">
        <v>16</v>
      </c>
      <c r="B84" s="2883">
        <v>219</v>
      </c>
      <c r="C84" s="2911">
        <v>0.1</v>
      </c>
      <c r="D84" s="2907" t="s">
        <v>221</v>
      </c>
      <c r="E84" s="449">
        <v>25</v>
      </c>
      <c r="F84" s="1325">
        <f t="shared" si="47"/>
        <v>29</v>
      </c>
      <c r="G84" s="1321">
        <f t="shared" si="47"/>
        <v>33</v>
      </c>
      <c r="H84" s="1321">
        <f t="shared" si="47"/>
        <v>37</v>
      </c>
      <c r="I84" s="1321">
        <f t="shared" si="47"/>
        <v>41</v>
      </c>
      <c r="J84" s="1321">
        <f t="shared" si="47"/>
        <v>44</v>
      </c>
      <c r="K84" s="1326">
        <f t="shared" si="47"/>
        <v>47</v>
      </c>
      <c r="L84" s="449">
        <v>0</v>
      </c>
      <c r="M84" s="1325">
        <f t="shared" si="48"/>
        <v>0</v>
      </c>
      <c r="N84" s="1321">
        <f t="shared" si="48"/>
        <v>0</v>
      </c>
      <c r="O84" s="1321">
        <f t="shared" si="48"/>
        <v>0</v>
      </c>
      <c r="P84" s="1321">
        <f t="shared" si="48"/>
        <v>0</v>
      </c>
      <c r="Q84" s="1321">
        <f t="shared" si="48"/>
        <v>0</v>
      </c>
      <c r="R84" s="1326">
        <f t="shared" si="48"/>
        <v>0</v>
      </c>
      <c r="S84" s="449">
        <v>0</v>
      </c>
      <c r="T84" s="1325">
        <f>S84+T59</f>
        <v>0</v>
      </c>
      <c r="U84" s="1321">
        <f t="shared" si="44"/>
        <v>0</v>
      </c>
      <c r="V84" s="1321">
        <f t="shared" si="44"/>
        <v>0</v>
      </c>
      <c r="W84" s="1321">
        <f t="shared" si="44"/>
        <v>0</v>
      </c>
      <c r="X84" s="1321">
        <f t="shared" si="44"/>
        <v>0</v>
      </c>
      <c r="Y84" s="1326">
        <f t="shared" si="44"/>
        <v>0</v>
      </c>
      <c r="Z84" s="448">
        <v>0</v>
      </c>
      <c r="AA84" s="1325">
        <f>Z84+AA59</f>
        <v>0</v>
      </c>
      <c r="AB84" s="1321">
        <f t="shared" si="45"/>
        <v>0</v>
      </c>
      <c r="AC84" s="1321">
        <f t="shared" si="45"/>
        <v>0</v>
      </c>
      <c r="AD84" s="1321">
        <f t="shared" si="45"/>
        <v>0</v>
      </c>
      <c r="AE84" s="1321">
        <f t="shared" si="45"/>
        <v>0</v>
      </c>
      <c r="AF84" s="1326">
        <f t="shared" si="45"/>
        <v>0</v>
      </c>
      <c r="AG84" s="449"/>
      <c r="AH84" s="1325">
        <f>AG84+AH59</f>
        <v>0</v>
      </c>
      <c r="AI84" s="1321">
        <f t="shared" si="46"/>
        <v>0</v>
      </c>
      <c r="AJ84" s="1321">
        <f t="shared" si="46"/>
        <v>0</v>
      </c>
      <c r="AK84" s="1321">
        <f t="shared" si="46"/>
        <v>0</v>
      </c>
      <c r="AL84" s="1321">
        <f t="shared" si="46"/>
        <v>0</v>
      </c>
      <c r="AM84" s="1326">
        <f t="shared" si="46"/>
        <v>0</v>
      </c>
      <c r="AN84" s="2860"/>
      <c r="AO84" s="2898"/>
    </row>
    <row r="85" spans="1:42" ht="13.5" thickBot="1">
      <c r="A85" s="4440" t="s">
        <v>226</v>
      </c>
      <c r="B85" s="2886"/>
      <c r="C85" s="2886"/>
      <c r="D85" s="2849" t="s">
        <v>227</v>
      </c>
      <c r="E85" s="2854">
        <f t="shared" ref="E85:AM85" si="49">SUM(E86:E109)-E88-E94</f>
        <v>1046.3999999999999</v>
      </c>
      <c r="F85" s="2851">
        <f t="shared" si="49"/>
        <v>1302.4511438681675</v>
      </c>
      <c r="G85" s="2852">
        <f t="shared" si="49"/>
        <v>1302.3892219279642</v>
      </c>
      <c r="H85" s="2852">
        <f t="shared" si="49"/>
        <v>1302.8670652663525</v>
      </c>
      <c r="I85" s="2852">
        <f t="shared" si="49"/>
        <v>1303.0830189396756</v>
      </c>
      <c r="J85" s="2852">
        <f t="shared" si="49"/>
        <v>1303.0971102849564</v>
      </c>
      <c r="K85" s="2853">
        <f t="shared" si="49"/>
        <v>1303.5866409859395</v>
      </c>
      <c r="L85" s="2854">
        <f t="shared" si="49"/>
        <v>466</v>
      </c>
      <c r="M85" s="2851">
        <f t="shared" si="49"/>
        <v>408.83366298442184</v>
      </c>
      <c r="N85" s="2852">
        <f t="shared" si="49"/>
        <v>408.34243049915057</v>
      </c>
      <c r="O85" s="2852">
        <f t="shared" si="49"/>
        <v>408.3282650756878</v>
      </c>
      <c r="P85" s="2852">
        <f t="shared" si="49"/>
        <v>407.87262528029112</v>
      </c>
      <c r="Q85" s="2852">
        <f t="shared" si="49"/>
        <v>407.78854974945847</v>
      </c>
      <c r="R85" s="2853">
        <f t="shared" si="49"/>
        <v>407.35953205147962</v>
      </c>
      <c r="S85" s="2854">
        <f t="shared" si="49"/>
        <v>114.52</v>
      </c>
      <c r="T85" s="2851">
        <f t="shared" si="49"/>
        <v>101.03803314741096</v>
      </c>
      <c r="U85" s="2852">
        <f t="shared" si="49"/>
        <v>101.15902757288566</v>
      </c>
      <c r="V85" s="2852">
        <f t="shared" si="49"/>
        <v>101.01318965795923</v>
      </c>
      <c r="W85" s="2852">
        <f t="shared" si="49"/>
        <v>101.31071578003309</v>
      </c>
      <c r="X85" s="2852">
        <f t="shared" si="49"/>
        <v>101.49353996558463</v>
      </c>
      <c r="Y85" s="2853">
        <f t="shared" si="49"/>
        <v>101.58586696258045</v>
      </c>
      <c r="Z85" s="2854">
        <f t="shared" si="49"/>
        <v>5.1499999999999986</v>
      </c>
      <c r="AA85" s="2851">
        <f t="shared" si="49"/>
        <v>4.3268699999999995</v>
      </c>
      <c r="AB85" s="2852">
        <f t="shared" si="49"/>
        <v>4.4537400000000016</v>
      </c>
      <c r="AC85" s="2852">
        <f t="shared" si="49"/>
        <v>4.4806100000000004</v>
      </c>
      <c r="AD85" s="2852">
        <f t="shared" si="49"/>
        <v>4.257480000000001</v>
      </c>
      <c r="AE85" s="2852">
        <f t="shared" si="49"/>
        <v>4.0343499999999999</v>
      </c>
      <c r="AF85" s="2853">
        <f t="shared" si="49"/>
        <v>3.8112200000000023</v>
      </c>
      <c r="AG85" s="2854">
        <f t="shared" si="49"/>
        <v>0</v>
      </c>
      <c r="AH85" s="2851">
        <f t="shared" si="49"/>
        <v>0</v>
      </c>
      <c r="AI85" s="2852">
        <f t="shared" si="49"/>
        <v>0</v>
      </c>
      <c r="AJ85" s="2852">
        <f t="shared" si="49"/>
        <v>0</v>
      </c>
      <c r="AK85" s="2852">
        <f t="shared" si="49"/>
        <v>0</v>
      </c>
      <c r="AL85" s="2852">
        <f t="shared" si="49"/>
        <v>0</v>
      </c>
      <c r="AM85" s="2853">
        <f t="shared" si="49"/>
        <v>0</v>
      </c>
      <c r="AN85" s="2855"/>
      <c r="AO85" s="2912">
        <f>-(K85+R85+Y85+K171+R171+Y171+K258+R258+Y258)+((K10+R10+Y10+K111+R111+Y111+K192+R192+Y192)-(K60+R60+Y60+K151+R151+Y151+K236+R236+Y236))</f>
        <v>0</v>
      </c>
      <c r="AP85" s="1423"/>
    </row>
    <row r="86" spans="1:42">
      <c r="A86" s="2856">
        <v>1</v>
      </c>
      <c r="B86" s="2856">
        <v>20101</v>
      </c>
      <c r="C86" s="2880">
        <v>0</v>
      </c>
      <c r="D86" s="2908" t="s">
        <v>562</v>
      </c>
      <c r="E86" s="2975">
        <f>E11-E61</f>
        <v>54</v>
      </c>
      <c r="F86" s="2956">
        <f t="shared" ref="F86:AM87" si="50">F11-F61</f>
        <v>54</v>
      </c>
      <c r="G86" s="2957">
        <f t="shared" si="50"/>
        <v>54</v>
      </c>
      <c r="H86" s="2957">
        <f t="shared" si="50"/>
        <v>54</v>
      </c>
      <c r="I86" s="2957">
        <f t="shared" si="50"/>
        <v>54</v>
      </c>
      <c r="J86" s="2957">
        <f t="shared" si="50"/>
        <v>54</v>
      </c>
      <c r="K86" s="2976">
        <f t="shared" si="50"/>
        <v>54</v>
      </c>
      <c r="L86" s="2975">
        <f t="shared" si="50"/>
        <v>0</v>
      </c>
      <c r="M86" s="2956">
        <f t="shared" si="50"/>
        <v>0</v>
      </c>
      <c r="N86" s="2957">
        <f t="shared" si="50"/>
        <v>0</v>
      </c>
      <c r="O86" s="2957">
        <f t="shared" si="50"/>
        <v>0</v>
      </c>
      <c r="P86" s="2957">
        <f t="shared" si="50"/>
        <v>0</v>
      </c>
      <c r="Q86" s="2957">
        <f t="shared" si="50"/>
        <v>0</v>
      </c>
      <c r="R86" s="2976">
        <f t="shared" si="50"/>
        <v>0</v>
      </c>
      <c r="S86" s="2975">
        <f t="shared" si="50"/>
        <v>0</v>
      </c>
      <c r="T86" s="2959">
        <f t="shared" si="50"/>
        <v>0</v>
      </c>
      <c r="U86" s="2957">
        <f t="shared" si="50"/>
        <v>0</v>
      </c>
      <c r="V86" s="2957">
        <f t="shared" si="50"/>
        <v>0</v>
      </c>
      <c r="W86" s="2957">
        <f t="shared" si="50"/>
        <v>0</v>
      </c>
      <c r="X86" s="2957">
        <f t="shared" si="50"/>
        <v>0</v>
      </c>
      <c r="Y86" s="2958">
        <f t="shared" si="50"/>
        <v>0</v>
      </c>
      <c r="Z86" s="2975">
        <f t="shared" si="50"/>
        <v>0</v>
      </c>
      <c r="AA86" s="2959">
        <f t="shared" si="50"/>
        <v>0</v>
      </c>
      <c r="AB86" s="2957">
        <f t="shared" si="50"/>
        <v>0</v>
      </c>
      <c r="AC86" s="2957">
        <f t="shared" si="50"/>
        <v>0</v>
      </c>
      <c r="AD86" s="2957">
        <f t="shared" si="50"/>
        <v>0</v>
      </c>
      <c r="AE86" s="2957">
        <f t="shared" si="50"/>
        <v>0</v>
      </c>
      <c r="AF86" s="2958">
        <f t="shared" si="50"/>
        <v>0</v>
      </c>
      <c r="AG86" s="2975">
        <f t="shared" si="50"/>
        <v>0</v>
      </c>
      <c r="AH86" s="2959">
        <f t="shared" si="50"/>
        <v>0</v>
      </c>
      <c r="AI86" s="2957">
        <f t="shared" si="50"/>
        <v>0</v>
      </c>
      <c r="AJ86" s="2957">
        <f t="shared" si="50"/>
        <v>0</v>
      </c>
      <c r="AK86" s="2957">
        <f t="shared" si="50"/>
        <v>0</v>
      </c>
      <c r="AL86" s="2957">
        <f t="shared" si="50"/>
        <v>0</v>
      </c>
      <c r="AM86" s="2958">
        <f t="shared" si="50"/>
        <v>0</v>
      </c>
      <c r="AN86" s="2860"/>
      <c r="AO86" s="2861"/>
      <c r="AP86" s="1421"/>
    </row>
    <row r="87" spans="1:42">
      <c r="A87" s="2862">
        <v>2</v>
      </c>
      <c r="B87" s="2862">
        <v>20201</v>
      </c>
      <c r="C87" s="2909">
        <v>0.03</v>
      </c>
      <c r="D87" s="2910" t="s">
        <v>430</v>
      </c>
      <c r="E87" s="1207">
        <f t="shared" ref="E87" si="51">E12-E62</f>
        <v>270</v>
      </c>
      <c r="F87" s="996">
        <f t="shared" si="50"/>
        <v>266.04265301786171</v>
      </c>
      <c r="G87" s="1321">
        <f t="shared" si="50"/>
        <v>251.23431848249737</v>
      </c>
      <c r="H87" s="1321">
        <f t="shared" si="50"/>
        <v>239.31131240710232</v>
      </c>
      <c r="I87" s="1321">
        <f t="shared" si="50"/>
        <v>225.8395514314717</v>
      </c>
      <c r="J87" s="1321">
        <f t="shared" si="50"/>
        <v>208.53894435842756</v>
      </c>
      <c r="K87" s="2977">
        <f t="shared" si="50"/>
        <v>195.71022930876262</v>
      </c>
      <c r="L87" s="1207">
        <f t="shared" si="50"/>
        <v>93</v>
      </c>
      <c r="M87" s="996">
        <f t="shared" si="50"/>
        <v>89.533572099440406</v>
      </c>
      <c r="N87" s="1321">
        <f t="shared" si="50"/>
        <v>87.116501921802609</v>
      </c>
      <c r="O87" s="1321">
        <f t="shared" si="50"/>
        <v>87.562091329493313</v>
      </c>
      <c r="P87" s="1321">
        <f t="shared" si="50"/>
        <v>86.529886052539268</v>
      </c>
      <c r="Q87" s="1321">
        <f t="shared" si="50"/>
        <v>81.788779576543689</v>
      </c>
      <c r="R87" s="2977">
        <f t="shared" si="50"/>
        <v>81.663514111935754</v>
      </c>
      <c r="S87" s="1207">
        <f t="shared" si="50"/>
        <v>41</v>
      </c>
      <c r="T87" s="1325">
        <f t="shared" si="50"/>
        <v>39.095454882697908</v>
      </c>
      <c r="U87" s="1321">
        <f t="shared" si="50"/>
        <v>39.647539595699989</v>
      </c>
      <c r="V87" s="1321">
        <f t="shared" si="50"/>
        <v>43.076636263404289</v>
      </c>
      <c r="W87" s="1321">
        <f t="shared" si="50"/>
        <v>45.082282515989021</v>
      </c>
      <c r="X87" s="1321">
        <f t="shared" si="50"/>
        <v>43.400676065028698</v>
      </c>
      <c r="Y87" s="1326">
        <f t="shared" si="50"/>
        <v>46.361336579301621</v>
      </c>
      <c r="Z87" s="1207">
        <f t="shared" si="50"/>
        <v>1.7</v>
      </c>
      <c r="AA87" s="1325">
        <f t="shared" si="50"/>
        <v>1.69937</v>
      </c>
      <c r="AB87" s="1321">
        <f t="shared" si="50"/>
        <v>1.6987400000000001</v>
      </c>
      <c r="AC87" s="1321">
        <f t="shared" si="50"/>
        <v>1.6981100000000002</v>
      </c>
      <c r="AD87" s="1321">
        <f t="shared" si="50"/>
        <v>1.6974800000000003</v>
      </c>
      <c r="AE87" s="1321">
        <f t="shared" si="50"/>
        <v>1.6968500000000004</v>
      </c>
      <c r="AF87" s="1326">
        <f t="shared" si="50"/>
        <v>1.6962200000000005</v>
      </c>
      <c r="AG87" s="1207">
        <f t="shared" si="50"/>
        <v>0</v>
      </c>
      <c r="AH87" s="1325">
        <f t="shared" si="50"/>
        <v>0</v>
      </c>
      <c r="AI87" s="1321">
        <f t="shared" si="50"/>
        <v>0</v>
      </c>
      <c r="AJ87" s="1321">
        <f t="shared" si="50"/>
        <v>0</v>
      </c>
      <c r="AK87" s="1321">
        <f t="shared" si="50"/>
        <v>0</v>
      </c>
      <c r="AL87" s="1321">
        <f t="shared" si="50"/>
        <v>0</v>
      </c>
      <c r="AM87" s="1326">
        <f t="shared" si="50"/>
        <v>0</v>
      </c>
      <c r="AN87" s="2860"/>
      <c r="AO87" s="2913"/>
    </row>
    <row r="88" spans="1:42" ht="24">
      <c r="A88" s="2862">
        <v>3</v>
      </c>
      <c r="B88" s="2863">
        <v>203</v>
      </c>
      <c r="C88" s="2869"/>
      <c r="D88" s="2894" t="s">
        <v>410</v>
      </c>
      <c r="E88" s="2960">
        <f t="shared" ref="E88" si="52">SUM(E89:E92)</f>
        <v>364</v>
      </c>
      <c r="F88" s="2978">
        <f t="shared" ref="F88:AM88" si="53">SUM(F89:F92)</f>
        <v>489.09749999999997</v>
      </c>
      <c r="G88" s="2979">
        <f t="shared" si="53"/>
        <v>495.82759564769759</v>
      </c>
      <c r="H88" s="2979">
        <f t="shared" si="53"/>
        <v>513.18796239100209</v>
      </c>
      <c r="I88" s="2979">
        <f t="shared" si="53"/>
        <v>524.20282958507198</v>
      </c>
      <c r="J88" s="2979">
        <f t="shared" si="53"/>
        <v>543.6420403300699</v>
      </c>
      <c r="K88" s="2980">
        <f t="shared" si="53"/>
        <v>553.02486522364484</v>
      </c>
      <c r="L88" s="2960">
        <f t="shared" si="53"/>
        <v>85</v>
      </c>
      <c r="M88" s="2978">
        <f t="shared" si="53"/>
        <v>70.849999999999994</v>
      </c>
      <c r="N88" s="2979">
        <f t="shared" si="53"/>
        <v>57.131146074172307</v>
      </c>
      <c r="O88" s="2979">
        <f t="shared" si="53"/>
        <v>105.65752536124117</v>
      </c>
      <c r="P88" s="2979">
        <f t="shared" si="53"/>
        <v>88.370195603450568</v>
      </c>
      <c r="Q88" s="2979">
        <f t="shared" si="53"/>
        <v>130.73660008354136</v>
      </c>
      <c r="R88" s="2980">
        <f t="shared" si="53"/>
        <v>137.62485980223857</v>
      </c>
      <c r="S88" s="2960">
        <f t="shared" si="53"/>
        <v>33</v>
      </c>
      <c r="T88" s="2974">
        <f t="shared" si="53"/>
        <v>26.199999999999996</v>
      </c>
      <c r="U88" s="2962">
        <f t="shared" si="53"/>
        <v>21.986258278130098</v>
      </c>
      <c r="V88" s="2962">
        <f t="shared" si="53"/>
        <v>18.252012247756582</v>
      </c>
      <c r="W88" s="2962">
        <f t="shared" si="53"/>
        <v>14.906974811477376</v>
      </c>
      <c r="X88" s="2962">
        <f t="shared" si="53"/>
        <v>14.733859586388673</v>
      </c>
      <c r="Y88" s="2963">
        <f t="shared" si="53"/>
        <v>14.095274974116379</v>
      </c>
      <c r="Z88" s="2960">
        <f t="shared" si="53"/>
        <v>2.9</v>
      </c>
      <c r="AA88" s="2974">
        <f t="shared" si="53"/>
        <v>2.5</v>
      </c>
      <c r="AB88" s="2962">
        <f t="shared" si="53"/>
        <v>3.05</v>
      </c>
      <c r="AC88" s="2962">
        <f t="shared" si="53"/>
        <v>3.4999999999999996</v>
      </c>
      <c r="AD88" s="2962">
        <f t="shared" si="53"/>
        <v>2.8999999999999995</v>
      </c>
      <c r="AE88" s="2962">
        <f t="shared" si="53"/>
        <v>2.2999999999999998</v>
      </c>
      <c r="AF88" s="2963">
        <f t="shared" si="53"/>
        <v>1.6999999999999997</v>
      </c>
      <c r="AG88" s="2960">
        <f t="shared" si="53"/>
        <v>0</v>
      </c>
      <c r="AH88" s="2974">
        <f t="shared" si="53"/>
        <v>0</v>
      </c>
      <c r="AI88" s="2962">
        <f t="shared" si="53"/>
        <v>0</v>
      </c>
      <c r="AJ88" s="2962">
        <f t="shared" si="53"/>
        <v>0</v>
      </c>
      <c r="AK88" s="2962">
        <f t="shared" si="53"/>
        <v>0</v>
      </c>
      <c r="AL88" s="2962">
        <f t="shared" si="53"/>
        <v>0</v>
      </c>
      <c r="AM88" s="2963">
        <f t="shared" si="53"/>
        <v>0</v>
      </c>
      <c r="AN88" s="2860"/>
      <c r="AO88" s="2898"/>
    </row>
    <row r="89" spans="1:42">
      <c r="A89" s="2862"/>
      <c r="B89" s="2863">
        <v>20301</v>
      </c>
      <c r="C89" s="2869">
        <v>0.1</v>
      </c>
      <c r="D89" s="2897" t="s">
        <v>432</v>
      </c>
      <c r="E89" s="1207">
        <f t="shared" ref="E89:AM93" si="54">E14-E64</f>
        <v>143</v>
      </c>
      <c r="F89" s="996">
        <f t="shared" si="54"/>
        <v>120.91249999999999</v>
      </c>
      <c r="G89" s="1321">
        <f t="shared" si="54"/>
        <v>98.824999999999989</v>
      </c>
      <c r="H89" s="1321">
        <f t="shared" si="54"/>
        <v>76.737499999999983</v>
      </c>
      <c r="I89" s="1321">
        <f t="shared" si="54"/>
        <v>54.649999999999977</v>
      </c>
      <c r="J89" s="1321">
        <f t="shared" si="54"/>
        <v>32.562499999999972</v>
      </c>
      <c r="K89" s="2977">
        <f t="shared" si="54"/>
        <v>10.474999999999966</v>
      </c>
      <c r="L89" s="1207">
        <f t="shared" si="54"/>
        <v>22</v>
      </c>
      <c r="M89" s="996">
        <f t="shared" si="54"/>
        <v>19</v>
      </c>
      <c r="N89" s="1321">
        <f t="shared" si="54"/>
        <v>16</v>
      </c>
      <c r="O89" s="1321">
        <f t="shared" si="54"/>
        <v>13</v>
      </c>
      <c r="P89" s="1321">
        <f t="shared" si="54"/>
        <v>10</v>
      </c>
      <c r="Q89" s="1321">
        <f t="shared" si="54"/>
        <v>7</v>
      </c>
      <c r="R89" s="2977">
        <f t="shared" si="54"/>
        <v>4</v>
      </c>
      <c r="S89" s="1207">
        <f t="shared" si="54"/>
        <v>10</v>
      </c>
      <c r="T89" s="1325">
        <f t="shared" si="54"/>
        <v>8.6</v>
      </c>
      <c r="U89" s="1321">
        <f t="shared" si="54"/>
        <v>7.1999999999999993</v>
      </c>
      <c r="V89" s="1321">
        <f t="shared" si="54"/>
        <v>5.7999999999999989</v>
      </c>
      <c r="W89" s="1321">
        <f t="shared" si="54"/>
        <v>4.3999999999999986</v>
      </c>
      <c r="X89" s="1321">
        <f t="shared" si="54"/>
        <v>2.9999999999999982</v>
      </c>
      <c r="Y89" s="1326">
        <f t="shared" si="54"/>
        <v>1.5999999999999979</v>
      </c>
      <c r="Z89" s="1207">
        <f t="shared" si="54"/>
        <v>1</v>
      </c>
      <c r="AA89" s="1325">
        <f t="shared" si="54"/>
        <v>1</v>
      </c>
      <c r="AB89" s="1321">
        <f t="shared" si="54"/>
        <v>1</v>
      </c>
      <c r="AC89" s="1321">
        <f t="shared" si="54"/>
        <v>1</v>
      </c>
      <c r="AD89" s="1321">
        <f t="shared" si="54"/>
        <v>1</v>
      </c>
      <c r="AE89" s="1321">
        <f t="shared" si="54"/>
        <v>1</v>
      </c>
      <c r="AF89" s="1326">
        <f t="shared" si="54"/>
        <v>1</v>
      </c>
      <c r="AG89" s="1207">
        <f t="shared" si="54"/>
        <v>0</v>
      </c>
      <c r="AH89" s="1325">
        <f t="shared" si="54"/>
        <v>0</v>
      </c>
      <c r="AI89" s="1321">
        <f t="shared" si="54"/>
        <v>0</v>
      </c>
      <c r="AJ89" s="1321">
        <f t="shared" si="54"/>
        <v>0</v>
      </c>
      <c r="AK89" s="1321">
        <f t="shared" si="54"/>
        <v>0</v>
      </c>
      <c r="AL89" s="1321">
        <f t="shared" si="54"/>
        <v>0</v>
      </c>
      <c r="AM89" s="1326">
        <f t="shared" si="54"/>
        <v>0</v>
      </c>
      <c r="AN89" s="2860"/>
      <c r="AO89" s="2898"/>
    </row>
    <row r="90" spans="1:42">
      <c r="A90" s="2862"/>
      <c r="B90" s="2863">
        <v>20302</v>
      </c>
      <c r="C90" s="2869">
        <v>0.1</v>
      </c>
      <c r="D90" s="2897" t="s">
        <v>433</v>
      </c>
      <c r="E90" s="1207">
        <f t="shared" si="54"/>
        <v>143</v>
      </c>
      <c r="F90" s="996">
        <f t="shared" si="54"/>
        <v>100</v>
      </c>
      <c r="G90" s="1321">
        <f t="shared" si="54"/>
        <v>62.700000000000045</v>
      </c>
      <c r="H90" s="1321">
        <f t="shared" si="54"/>
        <v>34.799999999999955</v>
      </c>
      <c r="I90" s="1321">
        <f t="shared" si="54"/>
        <v>17.25</v>
      </c>
      <c r="J90" s="1321">
        <f t="shared" si="54"/>
        <v>9</v>
      </c>
      <c r="K90" s="2977">
        <f t="shared" si="54"/>
        <v>4.9999999999954525E-2</v>
      </c>
      <c r="L90" s="1207">
        <f t="shared" si="54"/>
        <v>52</v>
      </c>
      <c r="M90" s="996">
        <f t="shared" si="54"/>
        <v>40</v>
      </c>
      <c r="N90" s="1321">
        <f t="shared" si="54"/>
        <v>28</v>
      </c>
      <c r="O90" s="1321">
        <f t="shared" si="54"/>
        <v>16</v>
      </c>
      <c r="P90" s="1321">
        <f t="shared" si="54"/>
        <v>4</v>
      </c>
      <c r="Q90" s="1321">
        <f t="shared" si="54"/>
        <v>4</v>
      </c>
      <c r="R90" s="2977">
        <f t="shared" si="54"/>
        <v>4</v>
      </c>
      <c r="S90" s="1207">
        <f t="shared" si="54"/>
        <v>23</v>
      </c>
      <c r="T90" s="1325">
        <f t="shared" si="54"/>
        <v>17.599999999999994</v>
      </c>
      <c r="U90" s="1321">
        <f t="shared" si="54"/>
        <v>12.199999999999989</v>
      </c>
      <c r="V90" s="1321">
        <f t="shared" si="54"/>
        <v>6.7999999999999829</v>
      </c>
      <c r="W90" s="1321">
        <f t="shared" si="54"/>
        <v>2.3999999999999773</v>
      </c>
      <c r="X90" s="1321">
        <f t="shared" si="54"/>
        <v>0.99999999999997158</v>
      </c>
      <c r="Y90" s="1326">
        <f t="shared" si="54"/>
        <v>-0.40000000000003411</v>
      </c>
      <c r="Z90" s="1207">
        <f t="shared" si="54"/>
        <v>2.2999999999999998</v>
      </c>
      <c r="AA90" s="1325">
        <f t="shared" si="54"/>
        <v>1.9</v>
      </c>
      <c r="AB90" s="1321">
        <f t="shared" si="54"/>
        <v>1.4999999999999998</v>
      </c>
      <c r="AC90" s="1321">
        <f t="shared" si="54"/>
        <v>1.0999999999999996</v>
      </c>
      <c r="AD90" s="1321">
        <f t="shared" si="54"/>
        <v>0.69999999999999973</v>
      </c>
      <c r="AE90" s="1321">
        <f t="shared" si="54"/>
        <v>0.29999999999999982</v>
      </c>
      <c r="AF90" s="1326">
        <f t="shared" si="54"/>
        <v>-0.10000000000000009</v>
      </c>
      <c r="AG90" s="1207">
        <f t="shared" si="54"/>
        <v>0</v>
      </c>
      <c r="AH90" s="1325">
        <f t="shared" si="54"/>
        <v>0</v>
      </c>
      <c r="AI90" s="1321">
        <f t="shared" si="54"/>
        <v>0</v>
      </c>
      <c r="AJ90" s="1321">
        <f t="shared" si="54"/>
        <v>0</v>
      </c>
      <c r="AK90" s="1321">
        <f t="shared" si="54"/>
        <v>0</v>
      </c>
      <c r="AL90" s="1321">
        <f t="shared" si="54"/>
        <v>0</v>
      </c>
      <c r="AM90" s="1326">
        <f t="shared" si="54"/>
        <v>0</v>
      </c>
      <c r="AN90" s="2860"/>
      <c r="AO90" s="2898"/>
    </row>
    <row r="91" spans="1:42" ht="18.75" customHeight="1">
      <c r="A91" s="2862"/>
      <c r="B91" s="2863">
        <v>20303</v>
      </c>
      <c r="C91" s="2869">
        <v>0.1</v>
      </c>
      <c r="D91" s="2897" t="s">
        <v>411</v>
      </c>
      <c r="E91" s="1207">
        <f t="shared" si="54"/>
        <v>0</v>
      </c>
      <c r="F91" s="996">
        <f t="shared" si="54"/>
        <v>167.2</v>
      </c>
      <c r="G91" s="1321">
        <f t="shared" si="54"/>
        <v>263.60000000000002</v>
      </c>
      <c r="H91" s="1321">
        <f t="shared" si="54"/>
        <v>348</v>
      </c>
      <c r="I91" s="1321">
        <f t="shared" si="54"/>
        <v>420.4</v>
      </c>
      <c r="J91" s="1321">
        <f t="shared" si="54"/>
        <v>480.8</v>
      </c>
      <c r="K91" s="2977">
        <f t="shared" si="54"/>
        <v>529.20000000000005</v>
      </c>
      <c r="L91" s="1207">
        <f t="shared" si="54"/>
        <v>6</v>
      </c>
      <c r="M91" s="996">
        <f t="shared" si="54"/>
        <v>5</v>
      </c>
      <c r="N91" s="1321">
        <f t="shared" si="54"/>
        <v>4</v>
      </c>
      <c r="O91" s="1321">
        <f t="shared" si="54"/>
        <v>62.375</v>
      </c>
      <c r="P91" s="1321">
        <f t="shared" si="54"/>
        <v>55.125</v>
      </c>
      <c r="Q91" s="1321">
        <f t="shared" si="54"/>
        <v>98.7</v>
      </c>
      <c r="R91" s="2977">
        <f t="shared" si="54"/>
        <v>86.1</v>
      </c>
      <c r="S91" s="1207">
        <f t="shared" si="54"/>
        <v>0</v>
      </c>
      <c r="T91" s="1325">
        <f t="shared" si="54"/>
        <v>0</v>
      </c>
      <c r="U91" s="1321">
        <f t="shared" si="54"/>
        <v>0</v>
      </c>
      <c r="V91" s="1321">
        <f t="shared" si="54"/>
        <v>0</v>
      </c>
      <c r="W91" s="1321">
        <f t="shared" si="54"/>
        <v>0</v>
      </c>
      <c r="X91" s="1321">
        <f t="shared" si="54"/>
        <v>0</v>
      </c>
      <c r="Y91" s="1326">
        <f t="shared" si="54"/>
        <v>0</v>
      </c>
      <c r="Z91" s="1207">
        <f t="shared" si="54"/>
        <v>0</v>
      </c>
      <c r="AA91" s="1325">
        <f t="shared" si="54"/>
        <v>0</v>
      </c>
      <c r="AB91" s="1321">
        <f t="shared" si="54"/>
        <v>0</v>
      </c>
      <c r="AC91" s="1321">
        <f t="shared" si="54"/>
        <v>0</v>
      </c>
      <c r="AD91" s="1321">
        <f t="shared" si="54"/>
        <v>0</v>
      </c>
      <c r="AE91" s="1321">
        <f t="shared" si="54"/>
        <v>0</v>
      </c>
      <c r="AF91" s="1326">
        <f t="shared" si="54"/>
        <v>0</v>
      </c>
      <c r="AG91" s="1207">
        <f t="shared" si="54"/>
        <v>0</v>
      </c>
      <c r="AH91" s="1325">
        <f t="shared" si="54"/>
        <v>0</v>
      </c>
      <c r="AI91" s="1321">
        <f t="shared" si="54"/>
        <v>0</v>
      </c>
      <c r="AJ91" s="1321">
        <f t="shared" si="54"/>
        <v>0</v>
      </c>
      <c r="AK91" s="1321">
        <f t="shared" si="54"/>
        <v>0</v>
      </c>
      <c r="AL91" s="1321">
        <f t="shared" si="54"/>
        <v>0</v>
      </c>
      <c r="AM91" s="1326">
        <f t="shared" si="54"/>
        <v>0</v>
      </c>
      <c r="AN91" s="2860"/>
      <c r="AO91" s="2898"/>
    </row>
    <row r="92" spans="1:42">
      <c r="A92" s="2862"/>
      <c r="B92" s="2863">
        <v>20306</v>
      </c>
      <c r="C92" s="2869">
        <v>0.1</v>
      </c>
      <c r="D92" s="2897" t="s">
        <v>414</v>
      </c>
      <c r="E92" s="1207">
        <f t="shared" si="54"/>
        <v>78</v>
      </c>
      <c r="F92" s="996">
        <f t="shared" si="54"/>
        <v>100.98500000000001</v>
      </c>
      <c r="G92" s="1321">
        <f t="shared" si="54"/>
        <v>70.702595647697535</v>
      </c>
      <c r="H92" s="1321">
        <f t="shared" si="54"/>
        <v>53.650462391002179</v>
      </c>
      <c r="I92" s="1321">
        <f t="shared" si="54"/>
        <v>31.902829585072027</v>
      </c>
      <c r="J92" s="1321">
        <f t="shared" si="54"/>
        <v>21.279540330069949</v>
      </c>
      <c r="K92" s="2977">
        <f t="shared" si="54"/>
        <v>13.299865223644929</v>
      </c>
      <c r="L92" s="1207">
        <f t="shared" si="54"/>
        <v>5</v>
      </c>
      <c r="M92" s="996">
        <f t="shared" si="54"/>
        <v>6.8500000000000014</v>
      </c>
      <c r="N92" s="1321">
        <f t="shared" si="54"/>
        <v>9.1311460741723103</v>
      </c>
      <c r="O92" s="1321">
        <f t="shared" si="54"/>
        <v>14.28252536124117</v>
      </c>
      <c r="P92" s="1321">
        <f t="shared" si="54"/>
        <v>19.245195603450565</v>
      </c>
      <c r="Q92" s="1321">
        <f t="shared" si="54"/>
        <v>21.036600083541344</v>
      </c>
      <c r="R92" s="2977">
        <f t="shared" si="54"/>
        <v>43.524859802238595</v>
      </c>
      <c r="S92" s="1207">
        <f t="shared" si="54"/>
        <v>0</v>
      </c>
      <c r="T92" s="1325">
        <f t="shared" si="54"/>
        <v>0</v>
      </c>
      <c r="U92" s="1321">
        <f t="shared" si="54"/>
        <v>2.58625827813011</v>
      </c>
      <c r="V92" s="1321">
        <f t="shared" si="54"/>
        <v>5.6520122477566019</v>
      </c>
      <c r="W92" s="1321">
        <f t="shared" si="54"/>
        <v>8.1069748114774001</v>
      </c>
      <c r="X92" s="1321">
        <f t="shared" si="54"/>
        <v>10.733859586388704</v>
      </c>
      <c r="Y92" s="1326">
        <f t="shared" si="54"/>
        <v>12.895274974116415</v>
      </c>
      <c r="Z92" s="1207">
        <f t="shared" si="54"/>
        <v>-0.39999999999999991</v>
      </c>
      <c r="AA92" s="1325">
        <f t="shared" si="54"/>
        <v>-0.39999999999999991</v>
      </c>
      <c r="AB92" s="1321">
        <f t="shared" si="54"/>
        <v>0.55000000000000004</v>
      </c>
      <c r="AC92" s="1321">
        <f t="shared" si="54"/>
        <v>1.4</v>
      </c>
      <c r="AD92" s="1321">
        <f t="shared" si="54"/>
        <v>1.2</v>
      </c>
      <c r="AE92" s="1321">
        <f t="shared" si="54"/>
        <v>1</v>
      </c>
      <c r="AF92" s="1326">
        <f t="shared" si="54"/>
        <v>0.79999999999999982</v>
      </c>
      <c r="AG92" s="1207">
        <f t="shared" si="54"/>
        <v>0</v>
      </c>
      <c r="AH92" s="1325">
        <f t="shared" si="54"/>
        <v>0</v>
      </c>
      <c r="AI92" s="1321">
        <f t="shared" si="54"/>
        <v>0</v>
      </c>
      <c r="AJ92" s="1321">
        <f t="shared" si="54"/>
        <v>0</v>
      </c>
      <c r="AK92" s="1321">
        <f t="shared" si="54"/>
        <v>0</v>
      </c>
      <c r="AL92" s="1321">
        <f t="shared" si="54"/>
        <v>0</v>
      </c>
      <c r="AM92" s="1326">
        <f t="shared" si="54"/>
        <v>0</v>
      </c>
      <c r="AN92" s="2860"/>
      <c r="AO92" s="2898"/>
    </row>
    <row r="93" spans="1:42">
      <c r="A93" s="2862">
        <v>4</v>
      </c>
      <c r="B93" s="2863">
        <v>20403</v>
      </c>
      <c r="C93" s="2869">
        <v>0.04</v>
      </c>
      <c r="D93" s="2899" t="s">
        <v>439</v>
      </c>
      <c r="E93" s="1207">
        <f t="shared" si="54"/>
        <v>9</v>
      </c>
      <c r="F93" s="996">
        <f t="shared" si="54"/>
        <v>7.9177600000000012</v>
      </c>
      <c r="G93" s="1321">
        <f t="shared" si="54"/>
        <v>6.8355200000000025</v>
      </c>
      <c r="H93" s="1321">
        <f t="shared" si="54"/>
        <v>5.7532800000000037</v>
      </c>
      <c r="I93" s="1321">
        <f t="shared" si="54"/>
        <v>4.671040000000005</v>
      </c>
      <c r="J93" s="1321">
        <f t="shared" si="54"/>
        <v>3.5888000000000062</v>
      </c>
      <c r="K93" s="2977">
        <f t="shared" si="54"/>
        <v>2.5065600000000074</v>
      </c>
      <c r="L93" s="1207">
        <f t="shared" si="54"/>
        <v>1</v>
      </c>
      <c r="M93" s="996">
        <f t="shared" si="54"/>
        <v>1</v>
      </c>
      <c r="N93" s="1321">
        <f t="shared" si="54"/>
        <v>1</v>
      </c>
      <c r="O93" s="1321">
        <f t="shared" si="54"/>
        <v>1</v>
      </c>
      <c r="P93" s="1321">
        <f t="shared" si="54"/>
        <v>1</v>
      </c>
      <c r="Q93" s="1321">
        <f t="shared" si="54"/>
        <v>1</v>
      </c>
      <c r="R93" s="2977">
        <f t="shared" si="54"/>
        <v>1</v>
      </c>
      <c r="S93" s="1207">
        <f t="shared" si="54"/>
        <v>0.39999999999999858</v>
      </c>
      <c r="T93" s="1325">
        <f t="shared" si="54"/>
        <v>0.39999999999999858</v>
      </c>
      <c r="U93" s="1321">
        <f t="shared" si="54"/>
        <v>0.39999999999999858</v>
      </c>
      <c r="V93" s="1321">
        <f t="shared" si="54"/>
        <v>0.39999999999999858</v>
      </c>
      <c r="W93" s="1321">
        <f t="shared" si="54"/>
        <v>0.39999999999999858</v>
      </c>
      <c r="X93" s="1321">
        <f t="shared" si="54"/>
        <v>0.39999999999999858</v>
      </c>
      <c r="Y93" s="1326">
        <f t="shared" si="54"/>
        <v>0.39999999999999858</v>
      </c>
      <c r="Z93" s="1207">
        <f t="shared" si="54"/>
        <v>0</v>
      </c>
      <c r="AA93" s="1325">
        <f t="shared" si="54"/>
        <v>0</v>
      </c>
      <c r="AB93" s="1321">
        <f t="shared" si="54"/>
        <v>0</v>
      </c>
      <c r="AC93" s="1321">
        <f t="shared" si="54"/>
        <v>0</v>
      </c>
      <c r="AD93" s="1321">
        <f t="shared" si="54"/>
        <v>0</v>
      </c>
      <c r="AE93" s="1321">
        <f t="shared" si="54"/>
        <v>0</v>
      </c>
      <c r="AF93" s="1326">
        <f t="shared" si="54"/>
        <v>0</v>
      </c>
      <c r="AG93" s="1207">
        <f t="shared" si="54"/>
        <v>0</v>
      </c>
      <c r="AH93" s="1325">
        <f t="shared" si="54"/>
        <v>0</v>
      </c>
      <c r="AI93" s="1321">
        <f t="shared" si="54"/>
        <v>0</v>
      </c>
      <c r="AJ93" s="1321">
        <f t="shared" si="54"/>
        <v>0</v>
      </c>
      <c r="AK93" s="1321">
        <f t="shared" si="54"/>
        <v>0</v>
      </c>
      <c r="AL93" s="1321">
        <f t="shared" si="54"/>
        <v>0</v>
      </c>
      <c r="AM93" s="1326">
        <f t="shared" si="54"/>
        <v>0</v>
      </c>
      <c r="AN93" s="2860"/>
      <c r="AO93" s="2898"/>
    </row>
    <row r="94" spans="1:42">
      <c r="A94" s="2862">
        <v>5</v>
      </c>
      <c r="B94" s="2863">
        <v>205</v>
      </c>
      <c r="C94" s="2869"/>
      <c r="D94" s="2894" t="s">
        <v>217</v>
      </c>
      <c r="E94" s="2973">
        <f>SUM(E95:E98)</f>
        <v>208.40000000000003</v>
      </c>
      <c r="F94" s="2961">
        <f>SUM(F95:F98)</f>
        <v>335.93462385769578</v>
      </c>
      <c r="G94" s="2962">
        <f>SUM(G95:G98)</f>
        <v>361.35614356801182</v>
      </c>
      <c r="H94" s="2962">
        <f t="shared" ref="H94:K94" si="55">SUM(H95:H98)</f>
        <v>376.22454027979188</v>
      </c>
      <c r="I94" s="2962">
        <f t="shared" si="55"/>
        <v>394.8877509391109</v>
      </c>
      <c r="J94" s="2962">
        <f t="shared" si="55"/>
        <v>402.93902885962621</v>
      </c>
      <c r="K94" s="2981">
        <f t="shared" si="55"/>
        <v>422.14723371215928</v>
      </c>
      <c r="L94" s="2973">
        <f>SUM(L95:L98)</f>
        <v>253</v>
      </c>
      <c r="M94" s="2961">
        <f>SUM(M95:M98)</f>
        <v>213.94250954860331</v>
      </c>
      <c r="N94" s="2962">
        <f>SUM(N95:N98)</f>
        <v>224.95191864648604</v>
      </c>
      <c r="O94" s="2962">
        <f t="shared" ref="O94:R94" si="56">SUM(O95:O98)</f>
        <v>174.71099621244858</v>
      </c>
      <c r="P94" s="2962">
        <f t="shared" si="56"/>
        <v>190.35342201967694</v>
      </c>
      <c r="Q94" s="2962">
        <f t="shared" si="56"/>
        <v>150.83630959396515</v>
      </c>
      <c r="R94" s="2981">
        <f t="shared" si="56"/>
        <v>145.61337816180924</v>
      </c>
      <c r="S94" s="2973">
        <f>SUM(S95:S98)</f>
        <v>32.299999999999997</v>
      </c>
      <c r="T94" s="2974">
        <f>SUM(T95:T98)</f>
        <v>28.646766593700917</v>
      </c>
      <c r="U94" s="2962">
        <f>SUM(U95:U98)</f>
        <v>25.899737785502193</v>
      </c>
      <c r="V94" s="2962">
        <f t="shared" ref="V94:Y94" si="57">SUM(V95:V98)</f>
        <v>22.626163507759522</v>
      </c>
      <c r="W94" s="2962">
        <f t="shared" si="57"/>
        <v>19.284427041212069</v>
      </c>
      <c r="X94" s="2962">
        <f t="shared" si="57"/>
        <v>17.544161546408411</v>
      </c>
      <c r="Y94" s="2963">
        <f t="shared" si="57"/>
        <v>15.062788126031302</v>
      </c>
      <c r="Z94" s="2973">
        <f>SUM(Z95:Z98)</f>
        <v>0.94999999999999973</v>
      </c>
      <c r="AA94" s="2974">
        <f>SUM(AA95:AA98)</f>
        <v>0.54539999999999977</v>
      </c>
      <c r="AB94" s="2962">
        <f>SUM(AB95:AB98)</f>
        <v>0.14079999999999993</v>
      </c>
      <c r="AC94" s="2962">
        <f t="shared" ref="AC94:AF94" si="58">SUM(AC95:AC98)</f>
        <v>-0.26379999999999998</v>
      </c>
      <c r="AD94" s="2962">
        <f t="shared" si="58"/>
        <v>0.13159999999999991</v>
      </c>
      <c r="AE94" s="2962">
        <f t="shared" si="58"/>
        <v>0.5269999999999998</v>
      </c>
      <c r="AF94" s="2963">
        <f t="shared" si="58"/>
        <v>0.92239999999999978</v>
      </c>
      <c r="AG94" s="2973">
        <f>SUM(AG95:AG98)</f>
        <v>0</v>
      </c>
      <c r="AH94" s="2974">
        <f>SUM(AH95:AH98)</f>
        <v>0</v>
      </c>
      <c r="AI94" s="2962">
        <f>SUM(AI95:AI98)</f>
        <v>0</v>
      </c>
      <c r="AJ94" s="2962">
        <f t="shared" ref="AJ94:AM94" si="59">SUM(AJ95:AJ98)</f>
        <v>0</v>
      </c>
      <c r="AK94" s="2962">
        <f t="shared" si="59"/>
        <v>0</v>
      </c>
      <c r="AL94" s="2962">
        <f t="shared" si="59"/>
        <v>0</v>
      </c>
      <c r="AM94" s="2963">
        <f t="shared" si="59"/>
        <v>0</v>
      </c>
      <c r="AN94" s="2860"/>
      <c r="AO94" s="2898"/>
    </row>
    <row r="95" spans="1:42">
      <c r="A95" s="2873"/>
      <c r="B95" s="2874">
        <v>20501</v>
      </c>
      <c r="C95" s="2869">
        <v>0.08</v>
      </c>
      <c r="D95" s="2900" t="s">
        <v>415</v>
      </c>
      <c r="E95" s="1207">
        <f t="shared" ref="E95:AM102" si="60">E20-E70</f>
        <v>158.60000000000002</v>
      </c>
      <c r="F95" s="996">
        <f t="shared" si="60"/>
        <v>286.69595937772146</v>
      </c>
      <c r="G95" s="1321">
        <f t="shared" si="60"/>
        <v>291.52940772353571</v>
      </c>
      <c r="H95" s="1321">
        <f t="shared" si="60"/>
        <v>294.02298031882606</v>
      </c>
      <c r="I95" s="1321">
        <f t="shared" si="60"/>
        <v>291.03930039334426</v>
      </c>
      <c r="J95" s="1321">
        <f t="shared" si="60"/>
        <v>265.23120456319009</v>
      </c>
      <c r="K95" s="2977">
        <f t="shared" si="60"/>
        <v>259.05474565690918</v>
      </c>
      <c r="L95" s="1207">
        <f t="shared" si="60"/>
        <v>64</v>
      </c>
      <c r="M95" s="996">
        <f t="shared" si="60"/>
        <v>63.925565567883154</v>
      </c>
      <c r="N95" s="1321">
        <f t="shared" si="60"/>
        <v>106.36958962845877</v>
      </c>
      <c r="O95" s="1321">
        <f t="shared" si="60"/>
        <v>94.143504011410016</v>
      </c>
      <c r="P95" s="1321">
        <f t="shared" si="60"/>
        <v>145.0662540105925</v>
      </c>
      <c r="Q95" s="1321">
        <f t="shared" si="60"/>
        <v>127.38666089659893</v>
      </c>
      <c r="R95" s="2977">
        <f t="shared" si="60"/>
        <v>109.74001203047973</v>
      </c>
      <c r="S95" s="1207">
        <f t="shared" si="60"/>
        <v>29.299999999999997</v>
      </c>
      <c r="T95" s="1325">
        <f t="shared" si="60"/>
        <v>25.718475054395441</v>
      </c>
      <c r="U95" s="1321">
        <f t="shared" si="60"/>
        <v>20.641002648005582</v>
      </c>
      <c r="V95" s="1321">
        <f t="shared" si="60"/>
        <v>15.293515669763977</v>
      </c>
      <c r="W95" s="1321">
        <f t="shared" si="60"/>
        <v>10.034445596063271</v>
      </c>
      <c r="X95" s="1321">
        <f t="shared" si="60"/>
        <v>4.8821345402109912</v>
      </c>
      <c r="Y95" s="1326">
        <f t="shared" si="60"/>
        <v>-0.17475768738887609</v>
      </c>
      <c r="Z95" s="1207">
        <f t="shared" si="60"/>
        <v>0.94999999999999973</v>
      </c>
      <c r="AA95" s="1325">
        <f t="shared" si="60"/>
        <v>0.54999999999999982</v>
      </c>
      <c r="AB95" s="1321">
        <f t="shared" si="60"/>
        <v>0.14999999999999991</v>
      </c>
      <c r="AC95" s="1321">
        <f t="shared" si="60"/>
        <v>-0.25</v>
      </c>
      <c r="AD95" s="1321">
        <f t="shared" si="60"/>
        <v>0.14999999999999991</v>
      </c>
      <c r="AE95" s="1321">
        <f t="shared" si="60"/>
        <v>0.54999999999999982</v>
      </c>
      <c r="AF95" s="1326">
        <f t="shared" si="60"/>
        <v>0.94999999999999973</v>
      </c>
      <c r="AG95" s="1207">
        <f t="shared" si="60"/>
        <v>0</v>
      </c>
      <c r="AH95" s="1325">
        <f t="shared" si="60"/>
        <v>0</v>
      </c>
      <c r="AI95" s="1321">
        <f t="shared" si="60"/>
        <v>0</v>
      </c>
      <c r="AJ95" s="1321">
        <f t="shared" si="60"/>
        <v>0</v>
      </c>
      <c r="AK95" s="1321">
        <f t="shared" si="60"/>
        <v>0</v>
      </c>
      <c r="AL95" s="1321">
        <f t="shared" si="60"/>
        <v>0</v>
      </c>
      <c r="AM95" s="1326">
        <f t="shared" si="60"/>
        <v>0</v>
      </c>
      <c r="AN95" s="2860"/>
      <c r="AO95" s="2898"/>
    </row>
    <row r="96" spans="1:42">
      <c r="A96" s="2873"/>
      <c r="B96" s="2874">
        <v>20502</v>
      </c>
      <c r="C96" s="2869">
        <v>0.1</v>
      </c>
      <c r="D96" s="2900" t="s">
        <v>416</v>
      </c>
      <c r="E96" s="1207">
        <f t="shared" si="60"/>
        <v>21.800000000000011</v>
      </c>
      <c r="F96" s="996">
        <f t="shared" si="60"/>
        <v>26.796064479974348</v>
      </c>
      <c r="G96" s="1321">
        <f t="shared" si="60"/>
        <v>40.350238020627245</v>
      </c>
      <c r="H96" s="1321">
        <f t="shared" si="60"/>
        <v>48.028952766997435</v>
      </c>
      <c r="I96" s="1321">
        <f t="shared" si="60"/>
        <v>61.52671597471155</v>
      </c>
      <c r="J96" s="1321">
        <f t="shared" si="60"/>
        <v>77.379759430677723</v>
      </c>
      <c r="K96" s="2977">
        <f t="shared" si="60"/>
        <v>89.781666759251806</v>
      </c>
      <c r="L96" s="1207">
        <f t="shared" si="60"/>
        <v>1</v>
      </c>
      <c r="M96" s="996">
        <f t="shared" si="60"/>
        <v>0.7205439807202012</v>
      </c>
      <c r="N96" s="1321">
        <f t="shared" si="60"/>
        <v>6.6739559809412334</v>
      </c>
      <c r="O96" s="1321">
        <f t="shared" si="60"/>
        <v>6.1487237728261768</v>
      </c>
      <c r="P96" s="1321">
        <f t="shared" si="60"/>
        <v>5.4769591581390351</v>
      </c>
      <c r="Q96" s="1321">
        <f t="shared" si="60"/>
        <v>6.0117108691741237</v>
      </c>
      <c r="R96" s="2977">
        <f t="shared" si="60"/>
        <v>30.911347697838771</v>
      </c>
      <c r="S96" s="1207">
        <f t="shared" si="60"/>
        <v>0</v>
      </c>
      <c r="T96" s="1325">
        <f t="shared" si="60"/>
        <v>4.339153930547468E-2</v>
      </c>
      <c r="U96" s="1321">
        <f t="shared" si="60"/>
        <v>1.1958059984315561</v>
      </c>
      <c r="V96" s="1321">
        <f t="shared" si="60"/>
        <v>2.2023234601764408</v>
      </c>
      <c r="W96" s="1321">
        <f t="shared" si="60"/>
        <v>3.1363248671494759</v>
      </c>
      <c r="X96" s="1321">
        <f t="shared" si="60"/>
        <v>5.3085297001481866</v>
      </c>
      <c r="Y96" s="1326">
        <f t="shared" si="60"/>
        <v>6.7169855429094536</v>
      </c>
      <c r="Z96" s="1207">
        <f t="shared" si="60"/>
        <v>0</v>
      </c>
      <c r="AA96" s="1325">
        <f t="shared" si="60"/>
        <v>0</v>
      </c>
      <c r="AB96" s="1321">
        <f t="shared" si="60"/>
        <v>0</v>
      </c>
      <c r="AC96" s="1321">
        <f t="shared" si="60"/>
        <v>0</v>
      </c>
      <c r="AD96" s="1321">
        <f t="shared" si="60"/>
        <v>0</v>
      </c>
      <c r="AE96" s="1321">
        <f t="shared" si="60"/>
        <v>0</v>
      </c>
      <c r="AF96" s="1326">
        <f t="shared" si="60"/>
        <v>0</v>
      </c>
      <c r="AG96" s="1207">
        <f t="shared" si="60"/>
        <v>0</v>
      </c>
      <c r="AH96" s="1325">
        <f t="shared" si="60"/>
        <v>0</v>
      </c>
      <c r="AI96" s="1321">
        <f t="shared" si="60"/>
        <v>0</v>
      </c>
      <c r="AJ96" s="1321">
        <f t="shared" si="60"/>
        <v>0</v>
      </c>
      <c r="AK96" s="1321">
        <f t="shared" si="60"/>
        <v>0</v>
      </c>
      <c r="AL96" s="1321">
        <f t="shared" si="60"/>
        <v>0</v>
      </c>
      <c r="AM96" s="1326">
        <f t="shared" si="60"/>
        <v>0</v>
      </c>
      <c r="AN96" s="2860"/>
      <c r="AO96" s="2898"/>
    </row>
    <row r="97" spans="1:42">
      <c r="A97" s="2873"/>
      <c r="B97" s="2874">
        <v>20503</v>
      </c>
      <c r="C97" s="2869">
        <v>0.1</v>
      </c>
      <c r="D97" s="2897" t="s">
        <v>417</v>
      </c>
      <c r="E97" s="1207">
        <f t="shared" si="60"/>
        <v>27</v>
      </c>
      <c r="F97" s="996">
        <f t="shared" si="60"/>
        <v>21.442599999999999</v>
      </c>
      <c r="G97" s="1321">
        <f t="shared" si="60"/>
        <v>28.476497823848803</v>
      </c>
      <c r="H97" s="1321">
        <f t="shared" si="60"/>
        <v>33.172607193968389</v>
      </c>
      <c r="I97" s="1321">
        <f t="shared" si="60"/>
        <v>41.321734571055117</v>
      </c>
      <c r="J97" s="1321">
        <f t="shared" si="60"/>
        <v>59.328064865758421</v>
      </c>
      <c r="K97" s="2977">
        <f t="shared" si="60"/>
        <v>72.310821295998238</v>
      </c>
      <c r="L97" s="1207">
        <f t="shared" si="60"/>
        <v>6</v>
      </c>
      <c r="M97" s="996">
        <f t="shared" si="60"/>
        <v>4.7414000000000005</v>
      </c>
      <c r="N97" s="1321">
        <f t="shared" si="60"/>
        <v>4.7983730370861544</v>
      </c>
      <c r="O97" s="1321">
        <f t="shared" si="60"/>
        <v>4.7537684282125383</v>
      </c>
      <c r="P97" s="1321">
        <f t="shared" si="60"/>
        <v>4.5902088509455901</v>
      </c>
      <c r="Q97" s="1321">
        <f t="shared" si="60"/>
        <v>4.6629378281923515</v>
      </c>
      <c r="R97" s="2977">
        <f t="shared" si="60"/>
        <v>4.6320184334910337</v>
      </c>
      <c r="S97" s="1207">
        <f t="shared" si="60"/>
        <v>3</v>
      </c>
      <c r="T97" s="1325">
        <f t="shared" si="60"/>
        <v>2.8849</v>
      </c>
      <c r="U97" s="1321">
        <f t="shared" si="60"/>
        <v>4.0629291390650559</v>
      </c>
      <c r="V97" s="1321">
        <f t="shared" si="60"/>
        <v>5.1303243778191057</v>
      </c>
      <c r="W97" s="1321">
        <f t="shared" si="60"/>
        <v>6.1136565779993228</v>
      </c>
      <c r="X97" s="1321">
        <f t="shared" si="60"/>
        <v>7.3534973060492339</v>
      </c>
      <c r="Y97" s="1326">
        <f t="shared" si="60"/>
        <v>8.5205602705107246</v>
      </c>
      <c r="Z97" s="1207">
        <f t="shared" si="60"/>
        <v>0</v>
      </c>
      <c r="AA97" s="1325">
        <f t="shared" si="60"/>
        <v>-4.5999999999999999E-3</v>
      </c>
      <c r="AB97" s="1321">
        <f t="shared" si="60"/>
        <v>-9.1999999999999998E-3</v>
      </c>
      <c r="AC97" s="1321">
        <f t="shared" si="60"/>
        <v>-1.38E-2</v>
      </c>
      <c r="AD97" s="1321">
        <f t="shared" si="60"/>
        <v>-1.84E-2</v>
      </c>
      <c r="AE97" s="1321">
        <f t="shared" si="60"/>
        <v>-2.3E-2</v>
      </c>
      <c r="AF97" s="1326">
        <f t="shared" si="60"/>
        <v>-2.76E-2</v>
      </c>
      <c r="AG97" s="1207">
        <f t="shared" si="60"/>
        <v>0</v>
      </c>
      <c r="AH97" s="1325">
        <f t="shared" si="60"/>
        <v>0</v>
      </c>
      <c r="AI97" s="1321">
        <f t="shared" si="60"/>
        <v>0</v>
      </c>
      <c r="AJ97" s="1321">
        <f t="shared" si="60"/>
        <v>0</v>
      </c>
      <c r="AK97" s="1321">
        <f t="shared" si="60"/>
        <v>0</v>
      </c>
      <c r="AL97" s="1321">
        <f t="shared" si="60"/>
        <v>0</v>
      </c>
      <c r="AM97" s="1326">
        <f t="shared" si="60"/>
        <v>0</v>
      </c>
      <c r="AN97" s="2860"/>
      <c r="AO97" s="2898"/>
    </row>
    <row r="98" spans="1:42">
      <c r="A98" s="2873"/>
      <c r="B98" s="2874">
        <v>20504</v>
      </c>
      <c r="C98" s="2869">
        <v>0.1</v>
      </c>
      <c r="D98" s="2897" t="s">
        <v>563</v>
      </c>
      <c r="E98" s="1207">
        <f t="shared" si="60"/>
        <v>1</v>
      </c>
      <c r="F98" s="996">
        <f t="shared" si="60"/>
        <v>1</v>
      </c>
      <c r="G98" s="1321">
        <f t="shared" si="60"/>
        <v>1</v>
      </c>
      <c r="H98" s="1321">
        <f t="shared" si="60"/>
        <v>1</v>
      </c>
      <c r="I98" s="1321">
        <f t="shared" si="60"/>
        <v>1</v>
      </c>
      <c r="J98" s="1321">
        <f t="shared" si="60"/>
        <v>1</v>
      </c>
      <c r="K98" s="2977">
        <f t="shared" si="60"/>
        <v>1</v>
      </c>
      <c r="L98" s="1207">
        <f t="shared" si="60"/>
        <v>182</v>
      </c>
      <c r="M98" s="996">
        <f t="shared" si="60"/>
        <v>144.55499999999995</v>
      </c>
      <c r="N98" s="1321">
        <f t="shared" si="60"/>
        <v>107.1099999999999</v>
      </c>
      <c r="O98" s="1321">
        <f t="shared" si="60"/>
        <v>69.66499999999985</v>
      </c>
      <c r="P98" s="1321">
        <f t="shared" si="60"/>
        <v>35.2199999999998</v>
      </c>
      <c r="Q98" s="1321">
        <f t="shared" si="60"/>
        <v>12.77499999999975</v>
      </c>
      <c r="R98" s="2977">
        <f t="shared" si="60"/>
        <v>0.32999999999969987</v>
      </c>
      <c r="S98" s="1207">
        <f t="shared" si="60"/>
        <v>0</v>
      </c>
      <c r="T98" s="1325">
        <f t="shared" si="60"/>
        <v>0</v>
      </c>
      <c r="U98" s="1321">
        <f t="shared" si="60"/>
        <v>0</v>
      </c>
      <c r="V98" s="1321">
        <f t="shared" si="60"/>
        <v>0</v>
      </c>
      <c r="W98" s="1321">
        <f t="shared" si="60"/>
        <v>0</v>
      </c>
      <c r="X98" s="1321">
        <f t="shared" si="60"/>
        <v>0</v>
      </c>
      <c r="Y98" s="1326">
        <f t="shared" si="60"/>
        <v>0</v>
      </c>
      <c r="Z98" s="1207">
        <f t="shared" si="60"/>
        <v>0</v>
      </c>
      <c r="AA98" s="1325">
        <f t="shared" si="60"/>
        <v>0</v>
      </c>
      <c r="AB98" s="1321">
        <f t="shared" si="60"/>
        <v>0</v>
      </c>
      <c r="AC98" s="1321">
        <f t="shared" si="60"/>
        <v>0</v>
      </c>
      <c r="AD98" s="1321">
        <f t="shared" si="60"/>
        <v>0</v>
      </c>
      <c r="AE98" s="1321">
        <f t="shared" si="60"/>
        <v>0</v>
      </c>
      <c r="AF98" s="1326">
        <f t="shared" si="60"/>
        <v>0</v>
      </c>
      <c r="AG98" s="1207">
        <f t="shared" si="60"/>
        <v>0</v>
      </c>
      <c r="AH98" s="1325">
        <f t="shared" si="60"/>
        <v>0</v>
      </c>
      <c r="AI98" s="1321">
        <f t="shared" si="60"/>
        <v>0</v>
      </c>
      <c r="AJ98" s="1321">
        <f t="shared" si="60"/>
        <v>0</v>
      </c>
      <c r="AK98" s="1321">
        <f t="shared" si="60"/>
        <v>0</v>
      </c>
      <c r="AL98" s="1321">
        <f t="shared" si="60"/>
        <v>0</v>
      </c>
      <c r="AM98" s="1326">
        <f t="shared" si="60"/>
        <v>0</v>
      </c>
      <c r="AN98" s="2860"/>
      <c r="AO98" s="2898"/>
    </row>
    <row r="99" spans="1:42">
      <c r="A99" s="2873">
        <v>6</v>
      </c>
      <c r="B99" s="2874">
        <v>208</v>
      </c>
      <c r="C99" s="2869">
        <v>0.2</v>
      </c>
      <c r="D99" s="2899" t="s">
        <v>418</v>
      </c>
      <c r="E99" s="1207">
        <f t="shared" si="60"/>
        <v>5</v>
      </c>
      <c r="F99" s="996">
        <f t="shared" si="60"/>
        <v>16.801017173962805</v>
      </c>
      <c r="G99" s="1321">
        <f t="shared" si="60"/>
        <v>12.256947191591493</v>
      </c>
      <c r="H99" s="1321">
        <f t="shared" si="60"/>
        <v>6.3962622445136219</v>
      </c>
      <c r="I99" s="1321">
        <f t="shared" si="60"/>
        <v>1.872392692871415</v>
      </c>
      <c r="J99" s="1321">
        <f t="shared" si="60"/>
        <v>3.267449072113223</v>
      </c>
      <c r="K99" s="2977">
        <f t="shared" si="60"/>
        <v>3.7728920349787245</v>
      </c>
      <c r="L99" s="1207">
        <f t="shared" si="60"/>
        <v>2</v>
      </c>
      <c r="M99" s="996">
        <f t="shared" si="60"/>
        <v>1.9855174999407978</v>
      </c>
      <c r="N99" s="1321">
        <f t="shared" si="60"/>
        <v>4.5203902418849182</v>
      </c>
      <c r="O99" s="1321">
        <f t="shared" si="60"/>
        <v>4.9040085153786137</v>
      </c>
      <c r="P99" s="1321">
        <f t="shared" si="60"/>
        <v>4.4916328923899229</v>
      </c>
      <c r="Q99" s="1321">
        <f t="shared" si="60"/>
        <v>4.56524044187735</v>
      </c>
      <c r="R99" s="2977">
        <f t="shared" si="60"/>
        <v>4.4191025050265438</v>
      </c>
      <c r="S99" s="1207">
        <f t="shared" si="60"/>
        <v>0.82000000000000028</v>
      </c>
      <c r="T99" s="1325">
        <f t="shared" si="60"/>
        <v>-7.4534673903606574E-2</v>
      </c>
      <c r="U99" s="1321">
        <f t="shared" si="60"/>
        <v>2.926662566523575</v>
      </c>
      <c r="V99" s="1321">
        <f t="shared" si="60"/>
        <v>3.9957292401077602</v>
      </c>
      <c r="W99" s="1321">
        <f t="shared" si="60"/>
        <v>4.623974414738651</v>
      </c>
      <c r="X99" s="1321">
        <f t="shared" si="60"/>
        <v>5.8473104860094196</v>
      </c>
      <c r="Y99" s="1326">
        <f t="shared" si="60"/>
        <v>6.9800054599947217</v>
      </c>
      <c r="Z99" s="1207">
        <f t="shared" si="60"/>
        <v>-0.39999999999999991</v>
      </c>
      <c r="AA99" s="1325">
        <f t="shared" si="60"/>
        <v>-0.40059999999999985</v>
      </c>
      <c r="AB99" s="1321">
        <f t="shared" si="60"/>
        <v>-0.40119999999999978</v>
      </c>
      <c r="AC99" s="1321">
        <f t="shared" si="60"/>
        <v>-0.40179999999999971</v>
      </c>
      <c r="AD99" s="1321">
        <f t="shared" si="60"/>
        <v>-0.40239999999999965</v>
      </c>
      <c r="AE99" s="1321">
        <f t="shared" si="60"/>
        <v>-0.40299999999999958</v>
      </c>
      <c r="AF99" s="1326">
        <f t="shared" si="60"/>
        <v>-0.40359999999999951</v>
      </c>
      <c r="AG99" s="1207">
        <f t="shared" si="60"/>
        <v>0</v>
      </c>
      <c r="AH99" s="1325">
        <f t="shared" si="60"/>
        <v>0</v>
      </c>
      <c r="AI99" s="1321">
        <f t="shared" si="60"/>
        <v>0</v>
      </c>
      <c r="AJ99" s="1321">
        <f t="shared" si="60"/>
        <v>0</v>
      </c>
      <c r="AK99" s="1321">
        <f t="shared" si="60"/>
        <v>0</v>
      </c>
      <c r="AL99" s="1321">
        <f t="shared" si="60"/>
        <v>0</v>
      </c>
      <c r="AM99" s="1326">
        <f t="shared" si="60"/>
        <v>0</v>
      </c>
      <c r="AN99" s="2860"/>
      <c r="AO99" s="2898"/>
    </row>
    <row r="100" spans="1:42">
      <c r="A100" s="2873">
        <v>7</v>
      </c>
      <c r="B100" s="2877">
        <v>20601</v>
      </c>
      <c r="C100" s="2869">
        <v>0.1</v>
      </c>
      <c r="D100" s="2899" t="s">
        <v>570</v>
      </c>
      <c r="E100" s="1207">
        <f t="shared" si="60"/>
        <v>33</v>
      </c>
      <c r="F100" s="996">
        <f t="shared" si="60"/>
        <v>40.477128959948644</v>
      </c>
      <c r="G100" s="1321">
        <f>G25-G75</f>
        <v>38.166124953178816</v>
      </c>
      <c r="H100" s="1321">
        <f t="shared" si="60"/>
        <v>34.998613124847914</v>
      </c>
      <c r="I100" s="1321">
        <f t="shared" si="60"/>
        <v>33.622729597673839</v>
      </c>
      <c r="J100" s="1321">
        <f t="shared" si="60"/>
        <v>29.78156697638002</v>
      </c>
      <c r="K100" s="2977">
        <f t="shared" si="60"/>
        <v>22.193690900670802</v>
      </c>
      <c r="L100" s="1207">
        <f t="shared" si="60"/>
        <v>2</v>
      </c>
      <c r="M100" s="996">
        <f t="shared" si="60"/>
        <v>3.3855879614404065</v>
      </c>
      <c r="N100" s="1321">
        <f t="shared" si="60"/>
        <v>6.4946984804255434</v>
      </c>
      <c r="O100" s="1321">
        <f t="shared" si="60"/>
        <v>8.5489547501264447</v>
      </c>
      <c r="P100" s="1321">
        <f t="shared" si="60"/>
        <v>12.552197753255331</v>
      </c>
      <c r="Q100" s="1321">
        <f t="shared" si="60"/>
        <v>14.627440752117277</v>
      </c>
      <c r="R100" s="2977">
        <f t="shared" si="60"/>
        <v>13.288750726580087</v>
      </c>
      <c r="S100" s="1207">
        <f t="shared" si="60"/>
        <v>3</v>
      </c>
      <c r="T100" s="1325">
        <f t="shared" si="60"/>
        <v>3.0677830786109497</v>
      </c>
      <c r="U100" s="1321">
        <f t="shared" si="60"/>
        <v>6.0001765663956395</v>
      </c>
      <c r="V100" s="1321">
        <f t="shared" si="60"/>
        <v>7.9439321250256461</v>
      </c>
      <c r="W100" s="1321">
        <f t="shared" si="60"/>
        <v>11.997072649070834</v>
      </c>
      <c r="X100" s="1321">
        <f t="shared" si="60"/>
        <v>14.1934922715027</v>
      </c>
      <c r="Y100" s="1326">
        <f t="shared" si="60"/>
        <v>13.050558372749109</v>
      </c>
      <c r="Z100" s="1207">
        <f t="shared" si="60"/>
        <v>0</v>
      </c>
      <c r="AA100" s="1325">
        <f t="shared" si="60"/>
        <v>-1.2000000000000001E-3</v>
      </c>
      <c r="AB100" s="1321">
        <f t="shared" si="60"/>
        <v>-2.4000000000000002E-3</v>
      </c>
      <c r="AC100" s="1321">
        <f t="shared" si="60"/>
        <v>-3.6000000000000003E-3</v>
      </c>
      <c r="AD100" s="1321">
        <f t="shared" si="60"/>
        <v>-4.8000000000000004E-3</v>
      </c>
      <c r="AE100" s="1321">
        <f t="shared" si="60"/>
        <v>-6.0000000000000001E-3</v>
      </c>
      <c r="AF100" s="1326">
        <f t="shared" si="60"/>
        <v>-7.1999999999999998E-3</v>
      </c>
      <c r="AG100" s="1207">
        <f t="shared" si="60"/>
        <v>0</v>
      </c>
      <c r="AH100" s="1325">
        <f t="shared" si="60"/>
        <v>0</v>
      </c>
      <c r="AI100" s="1321">
        <f t="shared" si="60"/>
        <v>0</v>
      </c>
      <c r="AJ100" s="1321">
        <f t="shared" si="60"/>
        <v>0</v>
      </c>
      <c r="AK100" s="1321">
        <f t="shared" si="60"/>
        <v>0</v>
      </c>
      <c r="AL100" s="1321">
        <f t="shared" si="60"/>
        <v>0</v>
      </c>
      <c r="AM100" s="1326">
        <f t="shared" si="60"/>
        <v>0</v>
      </c>
      <c r="AN100" s="2860"/>
      <c r="AO100" s="2898"/>
    </row>
    <row r="101" spans="1:42">
      <c r="A101" s="2878">
        <v>8</v>
      </c>
      <c r="B101" s="2877">
        <v>20602</v>
      </c>
      <c r="C101" s="2869">
        <v>0.1</v>
      </c>
      <c r="D101" s="2899" t="s">
        <v>440</v>
      </c>
      <c r="E101" s="1207">
        <f>E26-E76</f>
        <v>21</v>
      </c>
      <c r="F101" s="996">
        <f>F26-F76</f>
        <v>18.5562</v>
      </c>
      <c r="G101" s="1321">
        <f t="shared" ref="G101:L101" si="61">G26-G76</f>
        <v>16.112400000000001</v>
      </c>
      <c r="H101" s="1321">
        <f t="shared" si="61"/>
        <v>13.668600000000001</v>
      </c>
      <c r="I101" s="1321">
        <f t="shared" si="61"/>
        <v>11.224800000000002</v>
      </c>
      <c r="J101" s="1321">
        <f t="shared" si="61"/>
        <v>8.7810000000000024</v>
      </c>
      <c r="K101" s="2977">
        <f t="shared" si="61"/>
        <v>6.3372000000000028</v>
      </c>
      <c r="L101" s="1207">
        <f t="shared" si="61"/>
        <v>5</v>
      </c>
      <c r="M101" s="996">
        <f t="shared" si="60"/>
        <v>3.9226000000000001</v>
      </c>
      <c r="N101" s="1321">
        <f t="shared" si="60"/>
        <v>2.8452000000000002</v>
      </c>
      <c r="O101" s="1321">
        <f t="shared" si="60"/>
        <v>1.7678000000000003</v>
      </c>
      <c r="P101" s="1321">
        <f t="shared" si="60"/>
        <v>0.69040000000000035</v>
      </c>
      <c r="Q101" s="1321">
        <f t="shared" si="60"/>
        <v>0.61300000000000043</v>
      </c>
      <c r="R101" s="2977">
        <f t="shared" si="60"/>
        <v>0.53560000000000052</v>
      </c>
      <c r="S101" s="1207">
        <f t="shared" si="60"/>
        <v>3</v>
      </c>
      <c r="T101" s="1325">
        <f t="shared" si="60"/>
        <v>2.9657999999999998</v>
      </c>
      <c r="U101" s="1321">
        <f t="shared" si="60"/>
        <v>2.9316</v>
      </c>
      <c r="V101" s="1321">
        <f t="shared" si="60"/>
        <v>2.8974000000000002</v>
      </c>
      <c r="W101" s="1321">
        <f t="shared" si="60"/>
        <v>2.8632</v>
      </c>
      <c r="X101" s="1321">
        <f t="shared" si="60"/>
        <v>2.8289999999999997</v>
      </c>
      <c r="Y101" s="1326">
        <f t="shared" si="60"/>
        <v>2.7948</v>
      </c>
      <c r="Z101" s="1207">
        <f t="shared" si="60"/>
        <v>0</v>
      </c>
      <c r="AA101" s="1325">
        <f t="shared" si="60"/>
        <v>-2.0000000000000001E-4</v>
      </c>
      <c r="AB101" s="1321">
        <f t="shared" si="60"/>
        <v>-4.0000000000000002E-4</v>
      </c>
      <c r="AC101" s="1321">
        <f t="shared" si="60"/>
        <v>-6.0000000000000006E-4</v>
      </c>
      <c r="AD101" s="1321">
        <f t="shared" si="60"/>
        <v>-8.0000000000000004E-4</v>
      </c>
      <c r="AE101" s="1321">
        <f t="shared" si="60"/>
        <v>-1E-3</v>
      </c>
      <c r="AF101" s="1326">
        <f t="shared" si="60"/>
        <v>-1.2000000000000001E-3</v>
      </c>
      <c r="AG101" s="1207">
        <f t="shared" si="60"/>
        <v>0</v>
      </c>
      <c r="AH101" s="1325">
        <f t="shared" si="60"/>
        <v>0</v>
      </c>
      <c r="AI101" s="1321">
        <f t="shared" si="60"/>
        <v>0</v>
      </c>
      <c r="AJ101" s="1321">
        <f t="shared" si="60"/>
        <v>0</v>
      </c>
      <c r="AK101" s="1321">
        <f t="shared" si="60"/>
        <v>0</v>
      </c>
      <c r="AL101" s="1321">
        <f t="shared" si="60"/>
        <v>0</v>
      </c>
      <c r="AM101" s="1326">
        <f t="shared" si="60"/>
        <v>0</v>
      </c>
      <c r="AN101" s="2860"/>
      <c r="AO101" s="2898"/>
    </row>
    <row r="102" spans="1:42">
      <c r="A102" s="2878">
        <v>9</v>
      </c>
      <c r="B102" s="2874">
        <v>20603</v>
      </c>
      <c r="C102" s="2869">
        <v>0.5</v>
      </c>
      <c r="D102" s="2899" t="s">
        <v>1023</v>
      </c>
      <c r="E102" s="1207">
        <f t="shared" ref="E102:T109" si="62">E27-E77</f>
        <v>3</v>
      </c>
      <c r="F102" s="996">
        <f t="shared" si="62"/>
        <v>1.35</v>
      </c>
      <c r="G102" s="1321">
        <f t="shared" si="62"/>
        <v>1.2000000000000002</v>
      </c>
      <c r="H102" s="1321">
        <f t="shared" si="62"/>
        <v>1.0500000000000003</v>
      </c>
      <c r="I102" s="1321">
        <f t="shared" si="62"/>
        <v>0.90000000000000036</v>
      </c>
      <c r="J102" s="1321">
        <f t="shared" si="62"/>
        <v>0.75000000000000044</v>
      </c>
      <c r="K102" s="2977">
        <f t="shared" si="62"/>
        <v>0.60000000000000053</v>
      </c>
      <c r="L102" s="1207">
        <f>L27-L77</f>
        <v>1</v>
      </c>
      <c r="M102" s="996">
        <f>M27-M77</f>
        <v>0.81950000000000001</v>
      </c>
      <c r="N102" s="1321">
        <f t="shared" si="60"/>
        <v>0.63900000000000001</v>
      </c>
      <c r="O102" s="1321">
        <f t="shared" si="60"/>
        <v>0.45850000000000002</v>
      </c>
      <c r="P102" s="1321">
        <f t="shared" si="60"/>
        <v>0.27800000000000002</v>
      </c>
      <c r="Q102" s="1321">
        <f t="shared" si="60"/>
        <v>9.7500000000000031E-2</v>
      </c>
      <c r="R102" s="2977">
        <f t="shared" si="60"/>
        <v>-8.2999999999999963E-2</v>
      </c>
      <c r="S102" s="1207">
        <f>S27-S77</f>
        <v>0</v>
      </c>
      <c r="T102" s="1325">
        <f t="shared" si="60"/>
        <v>-8.1000000000000003E-2</v>
      </c>
      <c r="U102" s="1321">
        <f t="shared" si="60"/>
        <v>-0.16200000000000001</v>
      </c>
      <c r="V102" s="1321">
        <f t="shared" si="60"/>
        <v>-0.24299999999999999</v>
      </c>
      <c r="W102" s="1321">
        <f t="shared" si="60"/>
        <v>-0.32400000000000001</v>
      </c>
      <c r="X102" s="1321">
        <f t="shared" si="60"/>
        <v>-0.40500000000000003</v>
      </c>
      <c r="Y102" s="1326">
        <f t="shared" si="60"/>
        <v>-0.48600000000000004</v>
      </c>
      <c r="Z102" s="1207">
        <f>Z27-Z77</f>
        <v>0</v>
      </c>
      <c r="AA102" s="1325">
        <f t="shared" si="60"/>
        <v>-2.4999999999999996E-3</v>
      </c>
      <c r="AB102" s="1321">
        <f t="shared" si="60"/>
        <v>-4.9999999999999992E-3</v>
      </c>
      <c r="AC102" s="1321">
        <f t="shared" si="60"/>
        <v>-7.4999999999999989E-3</v>
      </c>
      <c r="AD102" s="1321">
        <f t="shared" si="60"/>
        <v>-9.9999999999999985E-3</v>
      </c>
      <c r="AE102" s="1321">
        <f t="shared" si="60"/>
        <v>-1.2499999999999997E-2</v>
      </c>
      <c r="AF102" s="1326">
        <f t="shared" si="60"/>
        <v>-1.4999999999999996E-2</v>
      </c>
      <c r="AG102" s="1207">
        <f>AG27-AG77</f>
        <v>0</v>
      </c>
      <c r="AH102" s="1325">
        <f t="shared" si="60"/>
        <v>0</v>
      </c>
      <c r="AI102" s="1321">
        <f t="shared" si="60"/>
        <v>0</v>
      </c>
      <c r="AJ102" s="1321">
        <f t="shared" ref="AJ102:AM102" si="63">AJ27-AJ77</f>
        <v>0</v>
      </c>
      <c r="AK102" s="1321">
        <f t="shared" si="63"/>
        <v>0</v>
      </c>
      <c r="AL102" s="1321">
        <f t="shared" si="63"/>
        <v>0</v>
      </c>
      <c r="AM102" s="1326">
        <f t="shared" si="63"/>
        <v>0</v>
      </c>
      <c r="AN102" s="2860"/>
      <c r="AO102" s="2898"/>
    </row>
    <row r="103" spans="1:42">
      <c r="A103" s="2878">
        <v>10</v>
      </c>
      <c r="B103" s="2874">
        <v>209</v>
      </c>
      <c r="C103" s="2869">
        <v>0.1</v>
      </c>
      <c r="D103" s="2899" t="s">
        <v>218</v>
      </c>
      <c r="E103" s="1207">
        <f t="shared" si="62"/>
        <v>4</v>
      </c>
      <c r="F103" s="996">
        <f t="shared" si="62"/>
        <v>3</v>
      </c>
      <c r="G103" s="1321">
        <f>G28-G78</f>
        <v>2</v>
      </c>
      <c r="H103" s="1321">
        <f t="shared" si="62"/>
        <v>1</v>
      </c>
      <c r="I103" s="1321">
        <f t="shared" si="62"/>
        <v>0</v>
      </c>
      <c r="J103" s="1321">
        <f t="shared" si="62"/>
        <v>0</v>
      </c>
      <c r="K103" s="2977">
        <f t="shared" si="62"/>
        <v>0</v>
      </c>
      <c r="L103" s="1207">
        <f t="shared" si="62"/>
        <v>0</v>
      </c>
      <c r="M103" s="996">
        <f t="shared" si="62"/>
        <v>0</v>
      </c>
      <c r="N103" s="1321">
        <f t="shared" si="62"/>
        <v>0</v>
      </c>
      <c r="O103" s="1321">
        <f t="shared" si="62"/>
        <v>0</v>
      </c>
      <c r="P103" s="1321">
        <f t="shared" si="62"/>
        <v>0</v>
      </c>
      <c r="Q103" s="1321">
        <f t="shared" si="62"/>
        <v>0</v>
      </c>
      <c r="R103" s="2977">
        <f t="shared" si="62"/>
        <v>0</v>
      </c>
      <c r="S103" s="1207">
        <f t="shared" si="62"/>
        <v>0</v>
      </c>
      <c r="T103" s="1325">
        <f t="shared" si="62"/>
        <v>0</v>
      </c>
      <c r="U103" s="1321">
        <f t="shared" ref="U103:AM109" si="64">U28-U78</f>
        <v>0</v>
      </c>
      <c r="V103" s="1321">
        <f t="shared" si="64"/>
        <v>0</v>
      </c>
      <c r="W103" s="1321">
        <f t="shared" si="64"/>
        <v>0</v>
      </c>
      <c r="X103" s="1321">
        <f t="shared" si="64"/>
        <v>0</v>
      </c>
      <c r="Y103" s="1326">
        <f t="shared" si="64"/>
        <v>0</v>
      </c>
      <c r="Z103" s="1207">
        <f t="shared" si="64"/>
        <v>0</v>
      </c>
      <c r="AA103" s="1325">
        <f t="shared" si="64"/>
        <v>0</v>
      </c>
      <c r="AB103" s="1321">
        <f t="shared" si="64"/>
        <v>0</v>
      </c>
      <c r="AC103" s="1321">
        <f t="shared" si="64"/>
        <v>0</v>
      </c>
      <c r="AD103" s="1321">
        <f t="shared" si="64"/>
        <v>0</v>
      </c>
      <c r="AE103" s="1321">
        <f t="shared" si="64"/>
        <v>0</v>
      </c>
      <c r="AF103" s="1326">
        <f t="shared" si="64"/>
        <v>0</v>
      </c>
      <c r="AG103" s="1207">
        <f t="shared" si="64"/>
        <v>0</v>
      </c>
      <c r="AH103" s="1325">
        <f t="shared" si="64"/>
        <v>0</v>
      </c>
      <c r="AI103" s="1321">
        <f t="shared" si="64"/>
        <v>0</v>
      </c>
      <c r="AJ103" s="1321">
        <f t="shared" si="64"/>
        <v>0</v>
      </c>
      <c r="AK103" s="1321">
        <f t="shared" si="64"/>
        <v>0</v>
      </c>
      <c r="AL103" s="1321">
        <f t="shared" si="64"/>
        <v>0</v>
      </c>
      <c r="AM103" s="1326">
        <f t="shared" si="64"/>
        <v>0</v>
      </c>
      <c r="AN103" s="2860"/>
      <c r="AO103" s="2898"/>
    </row>
    <row r="104" spans="1:42" ht="24">
      <c r="A104" s="2878">
        <v>11</v>
      </c>
      <c r="B104" s="2874">
        <v>207</v>
      </c>
      <c r="C104" s="2869" t="s">
        <v>318</v>
      </c>
      <c r="D104" s="2899" t="s">
        <v>419</v>
      </c>
      <c r="E104" s="1207">
        <f t="shared" si="62"/>
        <v>42</v>
      </c>
      <c r="F104" s="996">
        <f t="shared" si="62"/>
        <v>42</v>
      </c>
      <c r="G104" s="1321">
        <f t="shared" si="62"/>
        <v>42</v>
      </c>
      <c r="H104" s="1321">
        <f t="shared" si="62"/>
        <v>42</v>
      </c>
      <c r="I104" s="1321">
        <f t="shared" si="62"/>
        <v>42</v>
      </c>
      <c r="J104" s="1321">
        <f t="shared" si="62"/>
        <v>42</v>
      </c>
      <c r="K104" s="2977">
        <f t="shared" si="62"/>
        <v>42</v>
      </c>
      <c r="L104" s="1207">
        <f t="shared" si="62"/>
        <v>19</v>
      </c>
      <c r="M104" s="996">
        <f t="shared" si="62"/>
        <v>19</v>
      </c>
      <c r="N104" s="1321">
        <f t="shared" si="62"/>
        <v>19</v>
      </c>
      <c r="O104" s="1321">
        <f t="shared" si="62"/>
        <v>19</v>
      </c>
      <c r="P104" s="1321">
        <f t="shared" si="62"/>
        <v>19</v>
      </c>
      <c r="Q104" s="1321">
        <f t="shared" si="62"/>
        <v>19</v>
      </c>
      <c r="R104" s="2977">
        <f t="shared" si="62"/>
        <v>19</v>
      </c>
      <c r="S104" s="1207">
        <f t="shared" si="62"/>
        <v>0</v>
      </c>
      <c r="T104" s="1325">
        <f t="shared" si="62"/>
        <v>0</v>
      </c>
      <c r="U104" s="1321">
        <f t="shared" si="64"/>
        <v>0</v>
      </c>
      <c r="V104" s="1321">
        <f t="shared" si="64"/>
        <v>0</v>
      </c>
      <c r="W104" s="1321">
        <f t="shared" si="64"/>
        <v>0</v>
      </c>
      <c r="X104" s="1321">
        <f t="shared" si="64"/>
        <v>0</v>
      </c>
      <c r="Y104" s="1326">
        <f t="shared" si="64"/>
        <v>0</v>
      </c>
      <c r="Z104" s="1207">
        <f t="shared" si="64"/>
        <v>0</v>
      </c>
      <c r="AA104" s="1325">
        <f t="shared" si="64"/>
        <v>0</v>
      </c>
      <c r="AB104" s="1321">
        <f t="shared" si="64"/>
        <v>0</v>
      </c>
      <c r="AC104" s="1321">
        <f t="shared" si="64"/>
        <v>0</v>
      </c>
      <c r="AD104" s="1321">
        <f t="shared" si="64"/>
        <v>0</v>
      </c>
      <c r="AE104" s="1321">
        <f t="shared" si="64"/>
        <v>0</v>
      </c>
      <c r="AF104" s="1326">
        <f t="shared" si="64"/>
        <v>0</v>
      </c>
      <c r="AG104" s="1207">
        <f t="shared" si="64"/>
        <v>0</v>
      </c>
      <c r="AH104" s="1325">
        <f t="shared" si="64"/>
        <v>0</v>
      </c>
      <c r="AI104" s="1321">
        <f t="shared" si="64"/>
        <v>0</v>
      </c>
      <c r="AJ104" s="1321">
        <f t="shared" si="64"/>
        <v>0</v>
      </c>
      <c r="AK104" s="1321">
        <f t="shared" si="64"/>
        <v>0</v>
      </c>
      <c r="AL104" s="1321">
        <f t="shared" si="64"/>
        <v>0</v>
      </c>
      <c r="AM104" s="1326">
        <f t="shared" si="64"/>
        <v>0</v>
      </c>
      <c r="AN104" s="2860"/>
      <c r="AO104" s="2868"/>
      <c r="AP104" s="1421"/>
    </row>
    <row r="105" spans="1:42">
      <c r="A105" s="2878">
        <v>12</v>
      </c>
      <c r="B105" s="2874">
        <v>212</v>
      </c>
      <c r="C105" s="2869">
        <v>0.2</v>
      </c>
      <c r="D105" s="2901" t="s">
        <v>219</v>
      </c>
      <c r="E105" s="1207">
        <f t="shared" si="62"/>
        <v>10</v>
      </c>
      <c r="F105" s="996">
        <f t="shared" si="62"/>
        <v>8.2742608586981419</v>
      </c>
      <c r="G105" s="1321">
        <f t="shared" si="62"/>
        <v>6.4001720849867851</v>
      </c>
      <c r="H105" s="1321">
        <f t="shared" si="62"/>
        <v>4.2764948190948786</v>
      </c>
      <c r="I105" s="1321">
        <f t="shared" si="62"/>
        <v>2.8619246934756575</v>
      </c>
      <c r="J105" s="1321">
        <f t="shared" si="62"/>
        <v>1.8082806883396714</v>
      </c>
      <c r="K105" s="2977">
        <f t="shared" si="62"/>
        <v>0.29396980572333575</v>
      </c>
      <c r="L105" s="1207">
        <f t="shared" si="62"/>
        <v>5</v>
      </c>
      <c r="M105" s="996">
        <f t="shared" si="62"/>
        <v>4.3943758749970385</v>
      </c>
      <c r="N105" s="1321">
        <f t="shared" si="62"/>
        <v>4.6435751343790912</v>
      </c>
      <c r="O105" s="1321">
        <f t="shared" si="62"/>
        <v>4.7183889069996852</v>
      </c>
      <c r="P105" s="1321">
        <f t="shared" si="62"/>
        <v>4.6068909589792071</v>
      </c>
      <c r="Q105" s="1321">
        <f t="shared" si="62"/>
        <v>4.5236793014136083</v>
      </c>
      <c r="R105" s="2977">
        <f t="shared" si="62"/>
        <v>4.2973267438893217</v>
      </c>
      <c r="S105" s="1207">
        <f t="shared" si="62"/>
        <v>1</v>
      </c>
      <c r="T105" s="1325">
        <f t="shared" si="62"/>
        <v>0.81776326630481977</v>
      </c>
      <c r="U105" s="1321">
        <f t="shared" si="64"/>
        <v>1.5290527806341241</v>
      </c>
      <c r="V105" s="1321">
        <f t="shared" si="64"/>
        <v>2.0643162739054364</v>
      </c>
      <c r="W105" s="1321">
        <f t="shared" si="64"/>
        <v>2.4767843475451379</v>
      </c>
      <c r="X105" s="1321">
        <f t="shared" si="64"/>
        <v>2.9500400102467186</v>
      </c>
      <c r="Y105" s="1326">
        <f t="shared" si="64"/>
        <v>3.3271034503873391</v>
      </c>
      <c r="Z105" s="1207">
        <f t="shared" si="64"/>
        <v>0</v>
      </c>
      <c r="AA105" s="1325">
        <f t="shared" si="64"/>
        <v>-1.34E-2</v>
      </c>
      <c r="AB105" s="1321">
        <f t="shared" si="64"/>
        <v>-2.6800000000000001E-2</v>
      </c>
      <c r="AC105" s="1321">
        <f t="shared" si="64"/>
        <v>-4.02E-2</v>
      </c>
      <c r="AD105" s="1321">
        <f t="shared" si="64"/>
        <v>-5.3600000000000002E-2</v>
      </c>
      <c r="AE105" s="1321">
        <f t="shared" si="64"/>
        <v>-6.7000000000000004E-2</v>
      </c>
      <c r="AF105" s="1326">
        <f t="shared" si="64"/>
        <v>-8.0399999999999999E-2</v>
      </c>
      <c r="AG105" s="1207">
        <f t="shared" si="64"/>
        <v>0</v>
      </c>
      <c r="AH105" s="1325">
        <f t="shared" si="64"/>
        <v>0</v>
      </c>
      <c r="AI105" s="1321">
        <f t="shared" si="64"/>
        <v>0</v>
      </c>
      <c r="AJ105" s="1321">
        <f t="shared" si="64"/>
        <v>0</v>
      </c>
      <c r="AK105" s="1321">
        <f t="shared" si="64"/>
        <v>0</v>
      </c>
      <c r="AL105" s="1321">
        <f t="shared" si="64"/>
        <v>0</v>
      </c>
      <c r="AM105" s="1326">
        <f t="shared" si="64"/>
        <v>0</v>
      </c>
      <c r="AN105" s="2860"/>
      <c r="AO105" s="2898"/>
    </row>
    <row r="106" spans="1:42">
      <c r="A106" s="2878">
        <v>13</v>
      </c>
      <c r="B106" s="2873">
        <v>213</v>
      </c>
      <c r="C106" s="2880">
        <v>0.2</v>
      </c>
      <c r="D106" s="2902" t="s">
        <v>220</v>
      </c>
      <c r="E106" s="1207">
        <f t="shared" si="62"/>
        <v>0</v>
      </c>
      <c r="F106" s="996">
        <f t="shared" si="62"/>
        <v>0</v>
      </c>
      <c r="G106" s="1321">
        <f t="shared" si="62"/>
        <v>0</v>
      </c>
      <c r="H106" s="1321">
        <f t="shared" si="62"/>
        <v>0</v>
      </c>
      <c r="I106" s="1321">
        <f t="shared" si="62"/>
        <v>0</v>
      </c>
      <c r="J106" s="1321">
        <f t="shared" si="62"/>
        <v>0</v>
      </c>
      <c r="K106" s="2977">
        <f t="shared" si="62"/>
        <v>0</v>
      </c>
      <c r="L106" s="1207">
        <f t="shared" si="62"/>
        <v>0</v>
      </c>
      <c r="M106" s="996">
        <f t="shared" si="62"/>
        <v>0</v>
      </c>
      <c r="N106" s="1321">
        <f t="shared" si="62"/>
        <v>0</v>
      </c>
      <c r="O106" s="1321">
        <f t="shared" si="62"/>
        <v>0</v>
      </c>
      <c r="P106" s="1321">
        <f t="shared" si="62"/>
        <v>0</v>
      </c>
      <c r="Q106" s="1321">
        <f t="shared" si="62"/>
        <v>0</v>
      </c>
      <c r="R106" s="2977">
        <f t="shared" si="62"/>
        <v>0</v>
      </c>
      <c r="S106" s="1207">
        <f t="shared" si="62"/>
        <v>0</v>
      </c>
      <c r="T106" s="1325">
        <f t="shared" si="62"/>
        <v>0</v>
      </c>
      <c r="U106" s="1321">
        <f t="shared" si="64"/>
        <v>0</v>
      </c>
      <c r="V106" s="1321">
        <f t="shared" si="64"/>
        <v>0</v>
      </c>
      <c r="W106" s="1321">
        <f t="shared" si="64"/>
        <v>0</v>
      </c>
      <c r="X106" s="1321">
        <f t="shared" si="64"/>
        <v>0</v>
      </c>
      <c r="Y106" s="1326">
        <f t="shared" si="64"/>
        <v>0</v>
      </c>
      <c r="Z106" s="1207">
        <f t="shared" si="64"/>
        <v>0</v>
      </c>
      <c r="AA106" s="1325">
        <f t="shared" si="64"/>
        <v>0</v>
      </c>
      <c r="AB106" s="1321">
        <f t="shared" si="64"/>
        <v>0</v>
      </c>
      <c r="AC106" s="1321">
        <f t="shared" si="64"/>
        <v>0</v>
      </c>
      <c r="AD106" s="1321">
        <f t="shared" si="64"/>
        <v>0</v>
      </c>
      <c r="AE106" s="1321">
        <f t="shared" si="64"/>
        <v>0</v>
      </c>
      <c r="AF106" s="1326">
        <f t="shared" si="64"/>
        <v>0</v>
      </c>
      <c r="AG106" s="1207">
        <f t="shared" si="64"/>
        <v>0</v>
      </c>
      <c r="AH106" s="1325">
        <f t="shared" si="64"/>
        <v>0</v>
      </c>
      <c r="AI106" s="1321">
        <f t="shared" si="64"/>
        <v>0</v>
      </c>
      <c r="AJ106" s="1321">
        <f t="shared" si="64"/>
        <v>0</v>
      </c>
      <c r="AK106" s="1321">
        <f t="shared" si="64"/>
        <v>0</v>
      </c>
      <c r="AL106" s="1321">
        <f t="shared" si="64"/>
        <v>0</v>
      </c>
      <c r="AM106" s="1326">
        <f t="shared" si="64"/>
        <v>0</v>
      </c>
      <c r="AN106" s="2860"/>
      <c r="AO106" s="2898"/>
    </row>
    <row r="107" spans="1:42">
      <c r="A107" s="2878">
        <v>14</v>
      </c>
      <c r="B107" s="2954"/>
      <c r="C107" s="2954"/>
      <c r="D107" s="2903" t="s">
        <v>634</v>
      </c>
      <c r="E107" s="1207">
        <f t="shared" si="62"/>
        <v>0</v>
      </c>
      <c r="F107" s="996">
        <f t="shared" si="62"/>
        <v>0</v>
      </c>
      <c r="G107" s="1321">
        <f t="shared" si="62"/>
        <v>0</v>
      </c>
      <c r="H107" s="1321">
        <f t="shared" si="62"/>
        <v>0</v>
      </c>
      <c r="I107" s="1321">
        <f t="shared" si="62"/>
        <v>0</v>
      </c>
      <c r="J107" s="1321">
        <f t="shared" si="62"/>
        <v>0</v>
      </c>
      <c r="K107" s="2977">
        <f t="shared" si="62"/>
        <v>0</v>
      </c>
      <c r="L107" s="1207">
        <f t="shared" si="62"/>
        <v>0</v>
      </c>
      <c r="M107" s="996">
        <f t="shared" si="62"/>
        <v>0</v>
      </c>
      <c r="N107" s="1321">
        <f t="shared" si="62"/>
        <v>0</v>
      </c>
      <c r="O107" s="1321">
        <f t="shared" si="62"/>
        <v>0</v>
      </c>
      <c r="P107" s="1321">
        <f t="shared" si="62"/>
        <v>0</v>
      </c>
      <c r="Q107" s="1321">
        <f t="shared" si="62"/>
        <v>0</v>
      </c>
      <c r="R107" s="2977">
        <f t="shared" si="62"/>
        <v>0</v>
      </c>
      <c r="S107" s="1207">
        <f t="shared" si="62"/>
        <v>0</v>
      </c>
      <c r="T107" s="1325">
        <f t="shared" si="62"/>
        <v>0</v>
      </c>
      <c r="U107" s="1321">
        <f t="shared" si="64"/>
        <v>0</v>
      </c>
      <c r="V107" s="1321">
        <f t="shared" si="64"/>
        <v>0</v>
      </c>
      <c r="W107" s="1321">
        <f t="shared" si="64"/>
        <v>0</v>
      </c>
      <c r="X107" s="1321">
        <f t="shared" si="64"/>
        <v>0</v>
      </c>
      <c r="Y107" s="1326">
        <f t="shared" si="64"/>
        <v>0</v>
      </c>
      <c r="Z107" s="1207">
        <f t="shared" si="64"/>
        <v>0</v>
      </c>
      <c r="AA107" s="1325">
        <f t="shared" si="64"/>
        <v>0</v>
      </c>
      <c r="AB107" s="1321">
        <f t="shared" si="64"/>
        <v>0</v>
      </c>
      <c r="AC107" s="1321">
        <f t="shared" si="64"/>
        <v>0</v>
      </c>
      <c r="AD107" s="1321">
        <f t="shared" si="64"/>
        <v>0</v>
      </c>
      <c r="AE107" s="1321">
        <f t="shared" si="64"/>
        <v>0</v>
      </c>
      <c r="AF107" s="1326">
        <f t="shared" si="64"/>
        <v>0</v>
      </c>
      <c r="AG107" s="1207">
        <f t="shared" si="64"/>
        <v>0</v>
      </c>
      <c r="AH107" s="1325">
        <f t="shared" si="64"/>
        <v>0</v>
      </c>
      <c r="AI107" s="1321">
        <f t="shared" si="64"/>
        <v>0</v>
      </c>
      <c r="AJ107" s="1321">
        <f t="shared" si="64"/>
        <v>0</v>
      </c>
      <c r="AK107" s="1321">
        <f t="shared" si="64"/>
        <v>0</v>
      </c>
      <c r="AL107" s="1321">
        <f t="shared" si="64"/>
        <v>0</v>
      </c>
      <c r="AM107" s="1326">
        <f t="shared" si="64"/>
        <v>0</v>
      </c>
      <c r="AN107" s="2860"/>
      <c r="AO107" s="2898"/>
    </row>
    <row r="108" spans="1:42" ht="24">
      <c r="A108" s="2878">
        <v>15</v>
      </c>
      <c r="B108" s="2873">
        <v>207</v>
      </c>
      <c r="C108" s="2873" t="s">
        <v>318</v>
      </c>
      <c r="D108" s="2902" t="s">
        <v>420</v>
      </c>
      <c r="E108" s="1207">
        <f t="shared" si="62"/>
        <v>0</v>
      </c>
      <c r="F108" s="996">
        <f t="shared" si="62"/>
        <v>0</v>
      </c>
      <c r="G108" s="1321">
        <f t="shared" si="62"/>
        <v>0</v>
      </c>
      <c r="H108" s="1321">
        <f t="shared" si="62"/>
        <v>0</v>
      </c>
      <c r="I108" s="1321">
        <f t="shared" si="62"/>
        <v>0</v>
      </c>
      <c r="J108" s="1321">
        <f t="shared" si="62"/>
        <v>0</v>
      </c>
      <c r="K108" s="2977">
        <f t="shared" si="62"/>
        <v>0</v>
      </c>
      <c r="L108" s="1207">
        <f t="shared" si="62"/>
        <v>0</v>
      </c>
      <c r="M108" s="996">
        <f t="shared" si="62"/>
        <v>0</v>
      </c>
      <c r="N108" s="1321">
        <f t="shared" si="62"/>
        <v>0</v>
      </c>
      <c r="O108" s="1321">
        <f t="shared" si="62"/>
        <v>0</v>
      </c>
      <c r="P108" s="1321">
        <f t="shared" si="62"/>
        <v>0</v>
      </c>
      <c r="Q108" s="1321">
        <f t="shared" si="62"/>
        <v>0</v>
      </c>
      <c r="R108" s="2977">
        <f t="shared" si="62"/>
        <v>0</v>
      </c>
      <c r="S108" s="1207">
        <f t="shared" si="62"/>
        <v>0</v>
      </c>
      <c r="T108" s="1325">
        <f t="shared" si="62"/>
        <v>0</v>
      </c>
      <c r="U108" s="1321">
        <f t="shared" si="64"/>
        <v>0</v>
      </c>
      <c r="V108" s="1321">
        <f t="shared" si="64"/>
        <v>0</v>
      </c>
      <c r="W108" s="1321">
        <f t="shared" si="64"/>
        <v>0</v>
      </c>
      <c r="X108" s="1321">
        <f t="shared" si="64"/>
        <v>0</v>
      </c>
      <c r="Y108" s="1326">
        <f t="shared" si="64"/>
        <v>0</v>
      </c>
      <c r="Z108" s="1207">
        <f t="shared" si="64"/>
        <v>0</v>
      </c>
      <c r="AA108" s="1325">
        <f t="shared" si="64"/>
        <v>0</v>
      </c>
      <c r="AB108" s="1321">
        <f t="shared" si="64"/>
        <v>0</v>
      </c>
      <c r="AC108" s="1321">
        <f t="shared" si="64"/>
        <v>0</v>
      </c>
      <c r="AD108" s="1321">
        <f t="shared" si="64"/>
        <v>0</v>
      </c>
      <c r="AE108" s="1321">
        <f t="shared" si="64"/>
        <v>0</v>
      </c>
      <c r="AF108" s="1326">
        <f t="shared" si="64"/>
        <v>0</v>
      </c>
      <c r="AG108" s="1207">
        <f t="shared" si="64"/>
        <v>0</v>
      </c>
      <c r="AH108" s="1325">
        <f t="shared" si="64"/>
        <v>0</v>
      </c>
      <c r="AI108" s="1321">
        <f t="shared" si="64"/>
        <v>0</v>
      </c>
      <c r="AJ108" s="1321">
        <f t="shared" si="64"/>
        <v>0</v>
      </c>
      <c r="AK108" s="1321">
        <f t="shared" si="64"/>
        <v>0</v>
      </c>
      <c r="AL108" s="1321">
        <f t="shared" si="64"/>
        <v>0</v>
      </c>
      <c r="AM108" s="1326">
        <f t="shared" si="64"/>
        <v>0</v>
      </c>
      <c r="AN108" s="2860"/>
      <c r="AO108" s="2898"/>
    </row>
    <row r="109" spans="1:42" ht="13.5" thickBot="1">
      <c r="A109" s="2878">
        <v>16</v>
      </c>
      <c r="B109" s="2883">
        <v>219</v>
      </c>
      <c r="C109" s="2884">
        <v>0.1</v>
      </c>
      <c r="D109" s="2907" t="s">
        <v>221</v>
      </c>
      <c r="E109" s="2982">
        <f t="shared" si="62"/>
        <v>23</v>
      </c>
      <c r="F109" s="996">
        <f t="shared" si="62"/>
        <v>19</v>
      </c>
      <c r="G109" s="1321">
        <f t="shared" si="62"/>
        <v>15</v>
      </c>
      <c r="H109" s="1321">
        <f t="shared" si="62"/>
        <v>11</v>
      </c>
      <c r="I109" s="1321">
        <f t="shared" si="62"/>
        <v>7</v>
      </c>
      <c r="J109" s="1321">
        <f t="shared" si="62"/>
        <v>4</v>
      </c>
      <c r="K109" s="2977">
        <f t="shared" si="62"/>
        <v>1</v>
      </c>
      <c r="L109" s="2982">
        <f t="shared" si="62"/>
        <v>0</v>
      </c>
      <c r="M109" s="996">
        <f t="shared" si="62"/>
        <v>0</v>
      </c>
      <c r="N109" s="1321">
        <f t="shared" si="62"/>
        <v>0</v>
      </c>
      <c r="O109" s="1321">
        <f t="shared" si="62"/>
        <v>0</v>
      </c>
      <c r="P109" s="1321">
        <f t="shared" si="62"/>
        <v>0</v>
      </c>
      <c r="Q109" s="1321">
        <f t="shared" si="62"/>
        <v>0</v>
      </c>
      <c r="R109" s="2977">
        <f t="shared" si="62"/>
        <v>0</v>
      </c>
      <c r="S109" s="2982">
        <f t="shared" si="62"/>
        <v>0</v>
      </c>
      <c r="T109" s="1325">
        <f t="shared" si="62"/>
        <v>0</v>
      </c>
      <c r="U109" s="1321">
        <f t="shared" si="64"/>
        <v>0</v>
      </c>
      <c r="V109" s="1321">
        <f t="shared" si="64"/>
        <v>0</v>
      </c>
      <c r="W109" s="1321">
        <f t="shared" si="64"/>
        <v>0</v>
      </c>
      <c r="X109" s="1321">
        <f t="shared" si="64"/>
        <v>0</v>
      </c>
      <c r="Y109" s="1326">
        <f t="shared" si="64"/>
        <v>0</v>
      </c>
      <c r="Z109" s="2982">
        <f t="shared" si="64"/>
        <v>0</v>
      </c>
      <c r="AA109" s="1325">
        <f t="shared" si="64"/>
        <v>0</v>
      </c>
      <c r="AB109" s="1321">
        <f t="shared" si="64"/>
        <v>0</v>
      </c>
      <c r="AC109" s="1321">
        <f t="shared" si="64"/>
        <v>0</v>
      </c>
      <c r="AD109" s="1321">
        <f t="shared" si="64"/>
        <v>0</v>
      </c>
      <c r="AE109" s="1321">
        <f t="shared" si="64"/>
        <v>0</v>
      </c>
      <c r="AF109" s="1326">
        <f t="shared" si="64"/>
        <v>0</v>
      </c>
      <c r="AG109" s="2982">
        <f t="shared" si="64"/>
        <v>0</v>
      </c>
      <c r="AH109" s="1325">
        <f t="shared" si="64"/>
        <v>0</v>
      </c>
      <c r="AI109" s="1321">
        <f t="shared" si="64"/>
        <v>0</v>
      </c>
      <c r="AJ109" s="1321">
        <f t="shared" si="64"/>
        <v>0</v>
      </c>
      <c r="AK109" s="1321">
        <f t="shared" si="64"/>
        <v>0</v>
      </c>
      <c r="AL109" s="1321">
        <f t="shared" si="64"/>
        <v>0</v>
      </c>
      <c r="AM109" s="1326">
        <f t="shared" si="64"/>
        <v>0</v>
      </c>
      <c r="AN109" s="2914"/>
      <c r="AO109" s="2896"/>
      <c r="AP109" s="1421"/>
    </row>
    <row r="110" spans="1:42" ht="24.75" thickBot="1">
      <c r="A110" s="2915" t="s">
        <v>421</v>
      </c>
      <c r="B110" s="2915"/>
      <c r="C110" s="2915"/>
      <c r="D110" s="2916" t="s">
        <v>650</v>
      </c>
      <c r="E110" s="2983"/>
      <c r="F110" s="2984"/>
      <c r="G110" s="2842"/>
      <c r="H110" s="2842"/>
      <c r="I110" s="2842"/>
      <c r="J110" s="2842"/>
      <c r="K110" s="2985"/>
      <c r="L110" s="2983"/>
      <c r="M110" s="2984"/>
      <c r="N110" s="2842"/>
      <c r="O110" s="2842"/>
      <c r="P110" s="2842"/>
      <c r="Q110" s="2842"/>
      <c r="R110" s="2985"/>
      <c r="S110" s="2983"/>
      <c r="T110" s="2984"/>
      <c r="U110" s="2842"/>
      <c r="V110" s="2842"/>
      <c r="W110" s="2842"/>
      <c r="X110" s="2842"/>
      <c r="Y110" s="2985"/>
      <c r="Z110" s="2983"/>
      <c r="AA110" s="2984"/>
      <c r="AB110" s="2842"/>
      <c r="AC110" s="2842"/>
      <c r="AD110" s="2842"/>
      <c r="AE110" s="2842"/>
      <c r="AF110" s="2985"/>
      <c r="AG110" s="2983"/>
      <c r="AH110" s="2984"/>
      <c r="AI110" s="2842"/>
      <c r="AJ110" s="2842"/>
      <c r="AK110" s="2842"/>
      <c r="AL110" s="2842"/>
      <c r="AM110" s="2985"/>
      <c r="AN110" s="2917"/>
      <c r="AO110" s="2896"/>
      <c r="AP110" s="1424"/>
    </row>
    <row r="111" spans="1:42" s="1422" customFormat="1" ht="11.25" customHeight="1" thickBot="1">
      <c r="A111" s="2848" t="s">
        <v>210</v>
      </c>
      <c r="B111" s="2849"/>
      <c r="C111" s="2849"/>
      <c r="D111" s="2849" t="s">
        <v>339</v>
      </c>
      <c r="E111" s="1343">
        <f t="shared" ref="E111:AM111" si="65">SUM(E112:E130)</f>
        <v>2028</v>
      </c>
      <c r="F111" s="2986">
        <f t="shared" si="65"/>
        <v>2583.2506702412866</v>
      </c>
      <c r="G111" s="1237">
        <f t="shared" si="65"/>
        <v>4152.3573369079531</v>
      </c>
      <c r="H111" s="1237">
        <f t="shared" si="65"/>
        <v>6248.1220035746201</v>
      </c>
      <c r="I111" s="1238">
        <f t="shared" si="65"/>
        <v>6646.288670241287</v>
      </c>
      <c r="J111" s="1237">
        <f t="shared" si="65"/>
        <v>6894.9553369079531</v>
      </c>
      <c r="K111" s="1237">
        <f t="shared" si="65"/>
        <v>7143.6220035746201</v>
      </c>
      <c r="L111" s="1343">
        <f t="shared" si="65"/>
        <v>151</v>
      </c>
      <c r="M111" s="2986">
        <f t="shared" si="65"/>
        <v>252.83109919571046</v>
      </c>
      <c r="N111" s="1237">
        <f t="shared" si="65"/>
        <v>790.04676586237713</v>
      </c>
      <c r="O111" s="1237">
        <f t="shared" si="65"/>
        <v>3654.6484325290444</v>
      </c>
      <c r="P111" s="1238">
        <f t="shared" si="65"/>
        <v>3711.9150991957108</v>
      </c>
      <c r="Q111" s="1237">
        <f t="shared" si="65"/>
        <v>3763.4817658623779</v>
      </c>
      <c r="R111" s="1237">
        <f t="shared" si="65"/>
        <v>3816.4484325290446</v>
      </c>
      <c r="S111" s="1343">
        <f t="shared" si="65"/>
        <v>42</v>
      </c>
      <c r="T111" s="2986">
        <f t="shared" si="65"/>
        <v>48.41823056300268</v>
      </c>
      <c r="U111" s="1237">
        <f t="shared" si="65"/>
        <v>1161.0188972296692</v>
      </c>
      <c r="V111" s="1237">
        <f t="shared" si="65"/>
        <v>2287.4105638963356</v>
      </c>
      <c r="W111" s="1238">
        <f t="shared" si="65"/>
        <v>2362.0772305630026</v>
      </c>
      <c r="X111" s="1237">
        <f t="shared" si="65"/>
        <v>2385.7438972296691</v>
      </c>
      <c r="Y111" s="2987">
        <f t="shared" si="65"/>
        <v>2409.4105638963356</v>
      </c>
      <c r="Z111" s="1343">
        <f t="shared" si="65"/>
        <v>0</v>
      </c>
      <c r="AA111" s="2986">
        <f t="shared" si="65"/>
        <v>0</v>
      </c>
      <c r="AB111" s="1237">
        <f t="shared" si="65"/>
        <v>0</v>
      </c>
      <c r="AC111" s="1237">
        <f t="shared" si="65"/>
        <v>0</v>
      </c>
      <c r="AD111" s="1238">
        <f t="shared" si="65"/>
        <v>0</v>
      </c>
      <c r="AE111" s="1237">
        <f t="shared" si="65"/>
        <v>0</v>
      </c>
      <c r="AF111" s="2987">
        <f t="shared" si="65"/>
        <v>0</v>
      </c>
      <c r="AG111" s="1343">
        <f t="shared" si="65"/>
        <v>0</v>
      </c>
      <c r="AH111" s="2986">
        <f t="shared" si="65"/>
        <v>0</v>
      </c>
      <c r="AI111" s="1237">
        <f t="shared" si="65"/>
        <v>0</v>
      </c>
      <c r="AJ111" s="1237">
        <f t="shared" si="65"/>
        <v>0</v>
      </c>
      <c r="AK111" s="1238">
        <f t="shared" si="65"/>
        <v>0</v>
      </c>
      <c r="AL111" s="1237">
        <f t="shared" si="65"/>
        <v>0</v>
      </c>
      <c r="AM111" s="2987">
        <f t="shared" si="65"/>
        <v>0</v>
      </c>
      <c r="AN111" s="2855"/>
      <c r="AO111" s="2898"/>
      <c r="AP111" s="1426"/>
    </row>
    <row r="112" spans="1:42" s="1422" customFormat="1">
      <c r="A112" s="2862">
        <v>1</v>
      </c>
      <c r="B112" s="2856">
        <v>20102</v>
      </c>
      <c r="C112" s="2880">
        <v>0</v>
      </c>
      <c r="D112" s="2910" t="s">
        <v>564</v>
      </c>
      <c r="E112" s="448">
        <v>0</v>
      </c>
      <c r="F112" s="2968">
        <f>E112+SUMIF('11.1.Амортиз.нови активи'!$B$12:$B$59,$B112,'11.1.Амортиз.нови активи'!F$12:F$59)+('9.Инвестиционна програма'!G$130*SUMIF('11.1.Амортиз.нови активи'!$B$12:$B$59,$B112,'11.1.Амортиз.нови активи'!AO$12:AO$59))</f>
        <v>0</v>
      </c>
      <c r="G112" s="1230">
        <f>F112+SUMIF('11.1.Амортиз.нови активи'!$B$12:$B$59,$B112,'11.1.Амортиз.нови активи'!G$12:G$59)+('9.Инвестиционна програма'!H$130*SUMIF('11.1.Амортиз.нови активи'!$B$12:$B$59,$B112,'11.1.Амортиз.нови активи'!AP$12:AP$59))</f>
        <v>0</v>
      </c>
      <c r="H112" s="1235">
        <f>G112+SUMIF('11.1.Амортиз.нови активи'!$B$12:$B$59,$B112,'11.1.Амортиз.нови активи'!H$12:H$59)+('9.Инвестиционна програма'!I$130*SUMIF('11.1.Амортиз.нови активи'!$B$12:$B$59,$B112,'11.1.Амортиз.нови активи'!AQ$12:AQ$59))</f>
        <v>0</v>
      </c>
      <c r="I112" s="1235">
        <f>H112+SUMIF('11.1.Амортиз.нови активи'!$B$12:$B$59,$B112,'11.1.Амортиз.нови активи'!I$12:I$59)+('9.Инвестиционна програма'!J$130*SUMIF('11.1.Амортиз.нови активи'!$B$12:$B$59,$B112,'11.1.Амортиз.нови активи'!AR$12:AR$59))</f>
        <v>0</v>
      </c>
      <c r="J112" s="1235">
        <f>I112+SUMIF('11.1.Амортиз.нови активи'!$B$12:$B$59,$B112,'11.1.Амортиз.нови активи'!J$12:J$59)+('9.Инвестиционна програма'!K$130*SUMIF('11.1.Амортиз.нови активи'!$B$12:$B$59,$B112,'11.1.Амортиз.нови активи'!AS$12:AS$59))</f>
        <v>0</v>
      </c>
      <c r="K112" s="2969">
        <f>J112+SUMIF('11.1.Амортиз.нови активи'!$B$12:$B$59,$B112,'11.1.Амортиз.нови активи'!K$12:K$59)+('9.Инвестиционна програма'!L$130*SUMIF('11.1.Амортиз.нови активи'!$B$12:$B$59,$B112,'11.1.Амортиз.нови активи'!AT$12:AT$59))</f>
        <v>0</v>
      </c>
      <c r="L112" s="448">
        <v>0</v>
      </c>
      <c r="M112" s="2968">
        <f>L112+SUMIF('11.1.Амортиз.нови активи'!$B$12:$B$59,$B112,'11.1.Амортиз.нови активи'!M$12:M$59)+('9.Инвестиционна програма'!G$131*SUMIF('11.1.Амортиз.нови активи'!$B$12:$B$59,$B112,'11.1.Амортиз.нови активи'!AO$12:AO$59))</f>
        <v>0</v>
      </c>
      <c r="N112" s="1235">
        <f>M112+SUMIF('11.1.Амортиз.нови активи'!$B$12:$B$59,$B112,'11.1.Амортиз.нови активи'!N$12:N$59)+('9.Инвестиционна програма'!H$131*SUMIF('11.1.Амортиз.нови активи'!$B$12:$B$59,$B112,'11.1.Амортиз.нови активи'!AP$12:AP$59))</f>
        <v>0</v>
      </c>
      <c r="O112" s="1235">
        <f>N112+SUMIF('11.1.Амортиз.нови активи'!$B$12:$B$59,$B112,'11.1.Амортиз.нови активи'!O$12:O$59)+('9.Инвестиционна програма'!I$131*SUMIF('11.1.Амортиз.нови активи'!$B$12:$B$59,$B112,'11.1.Амортиз.нови активи'!AQ$12:AQ$59))</f>
        <v>0</v>
      </c>
      <c r="P112" s="1235">
        <f>O112+SUMIF('11.1.Амортиз.нови активи'!$B$12:$B$59,$B112,'11.1.Амортиз.нови активи'!P$12:P$59)+('9.Инвестиционна програма'!J$131*SUMIF('11.1.Амортиз.нови активи'!$B$12:$B$59,$B112,'11.1.Амортиз.нови активи'!AR$12:AR$59))</f>
        <v>0</v>
      </c>
      <c r="Q112" s="1235">
        <f>P112+SUMIF('11.1.Амортиз.нови активи'!$B$12:$B$59,$B112,'11.1.Амортиз.нови активи'!Q$12:Q$59)+('9.Инвестиционна програма'!K$131*SUMIF('11.1.Амортиз.нови активи'!$B$12:$B$59,$B112,'11.1.Амортиз.нови активи'!AS$12:AS$59))</f>
        <v>0</v>
      </c>
      <c r="R112" s="2969">
        <f>Q112+SUMIF('11.1.Амортиз.нови активи'!$B$12:$B$59,$B112,'11.1.Амортиз.нови активи'!R$12:R$59)+('9.Инвестиционна програма'!L$131*SUMIF('11.1.Амортиз.нови активи'!$B$12:$B$59,$B112,'11.1.Амортиз.нови активи'!AT$12:AT$59))</f>
        <v>0</v>
      </c>
      <c r="S112" s="448">
        <v>0</v>
      </c>
      <c r="T112" s="2968">
        <f>S112+SUMIF('11.1.Амортиз.нови активи'!$B$12:$B$59,$B112,'11.1.Амортиз.нови активи'!T$12:T$59)+('9.Инвестиционна програма'!G$132*SUMIF('11.1.Амортиз.нови активи'!$B$12:$B$59,$B112,'11.1.Амортиз.нови активи'!AO$12:AO$59))</f>
        <v>0</v>
      </c>
      <c r="U112" s="1235">
        <f>T112+SUMIF('11.1.Амортиз.нови активи'!$B$12:$B$59,$B112,'11.1.Амортиз.нови активи'!U$12:U$59)+('9.Инвестиционна програма'!H$132*SUMIF('11.1.Амортиз.нови активи'!$B$12:$B$59,$B112,'11.1.Амортиз.нови активи'!AP$12:AP$59))</f>
        <v>0</v>
      </c>
      <c r="V112" s="1235">
        <f>U112+SUMIF('11.1.Амортиз.нови активи'!$B$12:$B$59,$B112,'11.1.Амортиз.нови активи'!V$12:V$59)+('9.Инвестиционна програма'!I$132*SUMIF('11.1.Амортиз.нови активи'!$B$12:$B$59,$B112,'11.1.Амортиз.нови активи'!AQ$12:AQ$59))</f>
        <v>0</v>
      </c>
      <c r="W112" s="1235">
        <f>V112+SUMIF('11.1.Амортиз.нови активи'!$B$12:$B$59,$B112,'11.1.Амортиз.нови активи'!W$12:W$59)+('9.Инвестиционна програма'!J$132*SUMIF('11.1.Амортиз.нови активи'!$B$12:$B$59,$B112,'11.1.Амортиз.нови активи'!AR$12:AR$59))</f>
        <v>0</v>
      </c>
      <c r="X112" s="1235">
        <f>W112+SUMIF('11.1.Амортиз.нови активи'!$B$12:$B$59,$B112,'11.1.Амортиз.нови активи'!X$12:X$59)+('9.Инвестиционна програма'!K$132*SUMIF('11.1.Амортиз.нови активи'!$B$12:$B$59,$B112,'11.1.Амортиз.нови активи'!AS$12:AS$59))</f>
        <v>0</v>
      </c>
      <c r="Y112" s="2969">
        <f>X112+SUMIF('11.1.Амортиз.нови активи'!$B$12:$B$59,$B112,'11.1.Амортиз.нови активи'!Y$12:Y$59)+('9.Инвестиционна програма'!L$132*SUMIF('11.1.Амортиз.нови активи'!$B$12:$B$59,$B112,'11.1.Амортиз.нови активи'!AT$12:AT$59))</f>
        <v>0</v>
      </c>
      <c r="Z112" s="448">
        <v>0</v>
      </c>
      <c r="AA112" s="2968">
        <f>Z112+SUMIF('11.1.Амортиз.нови активи'!$B$12:$B$59,$B112,'11.1.Амортиз.нови активи'!AA$12:AA$59)</f>
        <v>0</v>
      </c>
      <c r="AB112" s="1235">
        <f>AA112+SUMIF('11.1.Амортиз.нови активи'!$B$12:$B$59,$B112,'11.1.Амортиз.нови активи'!AB$12:AB$59)</f>
        <v>0</v>
      </c>
      <c r="AC112" s="1235">
        <f>AB112+SUMIF('11.1.Амортиз.нови активи'!$B$12:$B$59,$B112,'11.1.Амортиз.нови активи'!AC$12:AC$59)</f>
        <v>0</v>
      </c>
      <c r="AD112" s="1235">
        <f>AC112+SUMIF('11.1.Амортиз.нови активи'!$B$12:$B$59,$B112,'11.1.Амортиз.нови активи'!AD$12:AD$59)</f>
        <v>0</v>
      </c>
      <c r="AE112" s="1235">
        <f>AD112+SUMIF('11.1.Амортиз.нови активи'!$B$12:$B$59,$B112,'11.1.Амортиз.нови активи'!AE$12:AE$59)</f>
        <v>0</v>
      </c>
      <c r="AF112" s="2969">
        <f>AE112+SUMIF('11.1.Амортиз.нови активи'!$B$12:$B$59,$B112,'11.1.Амортиз.нови активи'!AF$12:AF$59)</f>
        <v>0</v>
      </c>
      <c r="AG112" s="448"/>
      <c r="AH112" s="2968">
        <f>AG112+SUMIF('11.1.Амортиз.нови активи'!$B$12:$B$59,$B112,'11.1.Амортиз.нови активи'!AH$12:AH$59)</f>
        <v>0</v>
      </c>
      <c r="AI112" s="1235">
        <f>AH112+SUMIF('11.1.Амортиз.нови активи'!$B$12:$B$59,$B112,'11.1.Амортиз.нови активи'!AI$12:AI$59)</f>
        <v>0</v>
      </c>
      <c r="AJ112" s="1235">
        <f>AI112+SUMIF('11.1.Амортиз.нови активи'!$B$12:$B$59,$B112,'11.1.Амортиз.нови активи'!AJ$12:AJ$59)</f>
        <v>0</v>
      </c>
      <c r="AK112" s="1235">
        <f>AJ112+SUMIF('11.1.Амортиз.нови активи'!$B$12:$B$59,$B112,'11.1.Амортиз.нови активи'!AK$12:AK$59)</f>
        <v>0</v>
      </c>
      <c r="AL112" s="1235">
        <f>AK112+SUMIF('11.1.Амортиз.нови активи'!$B$12:$B$59,$B112,'11.1.Амортиз.нови активи'!AL$12:AL$59)</f>
        <v>0</v>
      </c>
      <c r="AM112" s="2969">
        <f>AL112+SUMIF('11.1.Амортиз.нови активи'!$B$12:$B$59,$B112,'11.1.Амортиз.нови активи'!AM$12:AM$59)</f>
        <v>0</v>
      </c>
      <c r="AN112" s="2860"/>
      <c r="AO112" s="2898"/>
      <c r="AP112" s="1426"/>
    </row>
    <row r="113" spans="1:42" s="1422" customFormat="1">
      <c r="A113" s="2862">
        <v>2</v>
      </c>
      <c r="B113" s="2863">
        <v>20202</v>
      </c>
      <c r="C113" s="2864">
        <v>0.03</v>
      </c>
      <c r="D113" s="2918" t="s">
        <v>431</v>
      </c>
      <c r="E113" s="448">
        <v>21</v>
      </c>
      <c r="F113" s="2971">
        <f>E113+SUMIF('11.1.Амортиз.нови активи'!$B$12:$B$59,$B113,'11.1.Амортиз.нови активи'!F$12:F$59)+('9.Инвестиционна програма'!G$130*SUMIF('11.1.Амортиз.нови активи'!$B$12:$B$59,$B113,'11.1.Амортиз.нови активи'!AO$12:AO$59))</f>
        <v>21</v>
      </c>
      <c r="G113" s="1226">
        <f>F113+SUMIF('11.1.Амортиз.нови активи'!$B$12:$B$59,$B113,'11.1.Амортиз.нови активи'!G$12:G$59)+('9.Инвестиционна програма'!H$130*SUMIF('11.1.Амортиз.нови активи'!$B$12:$B$59,$B113,'11.1.Амортиз.нови активи'!AP$12:AP$59))</f>
        <v>21</v>
      </c>
      <c r="H113" s="1226">
        <f>G113+SUMIF('11.1.Амортиз.нови активи'!$B$12:$B$59,$B113,'11.1.Амортиз.нови активи'!H$12:H$59)+('9.Инвестиционна програма'!I$130*SUMIF('11.1.Амортиз.нови активи'!$B$12:$B$59,$B113,'11.1.Амортиз.нови активи'!AQ$12:AQ$59))</f>
        <v>21</v>
      </c>
      <c r="I113" s="1226">
        <f>H113+SUMIF('11.1.Амортиз.нови активи'!$B$12:$B$59,$B113,'11.1.Амортиз.нови активи'!I$12:I$59)+('9.Инвестиционна програма'!J$130*SUMIF('11.1.Амортиз.нови активи'!$B$12:$B$59,$B113,'11.1.Амортиз.нови активи'!AR$12:AR$59))</f>
        <v>21</v>
      </c>
      <c r="J113" s="1226">
        <f>I113+SUMIF('11.1.Амортиз.нови активи'!$B$12:$B$59,$B113,'11.1.Амортиз.нови активи'!J$12:J$59)+('9.Инвестиционна програма'!K$130*SUMIF('11.1.Амортиз.нови активи'!$B$12:$B$59,$B113,'11.1.Амортиз.нови активи'!AS$12:AS$59))</f>
        <v>21</v>
      </c>
      <c r="K113" s="2972">
        <f>J113+SUMIF('11.1.Амортиз.нови активи'!$B$12:$B$59,$B113,'11.1.Амортиз.нови активи'!K$12:K$59)+('9.Инвестиционна програма'!L$130*SUMIF('11.1.Амортиз.нови активи'!$B$12:$B$59,$B113,'11.1.Амортиз.нови активи'!AT$12:AT$59))</f>
        <v>21</v>
      </c>
      <c r="L113" s="448">
        <v>0</v>
      </c>
      <c r="M113" s="2971">
        <f>L113+SUMIF('11.1.Амортиз.нови активи'!$B$12:$B$59,$B113,'11.1.Амортиз.нови активи'!M$12:M$59)+('9.Инвестиционна програма'!G$131*SUMIF('11.1.Амортиз.нови активи'!$B$12:$B$59,$B113,'11.1.Амортиз.нови активи'!AO$12:AO$59))</f>
        <v>0</v>
      </c>
      <c r="N113" s="1226">
        <f>M113+SUMIF('11.1.Амортиз.нови активи'!$B$12:$B$59,$B113,'11.1.Амортиз.нови активи'!N$12:N$59)+('9.Инвестиционна програма'!H$131*SUMIF('11.1.Амортиз.нови активи'!$B$12:$B$59,$B113,'11.1.Амортиз.нови активи'!AP$12:AP$59))</f>
        <v>0</v>
      </c>
      <c r="O113" s="1226">
        <f>N113+SUMIF('11.1.Амортиз.нови активи'!$B$12:$B$59,$B113,'11.1.Амортиз.нови активи'!O$12:O$59)+('9.Инвестиционна програма'!I$131*SUMIF('11.1.Амортиз.нови активи'!$B$12:$B$59,$B113,'11.1.Амортиз.нови активи'!AQ$12:AQ$59))</f>
        <v>0</v>
      </c>
      <c r="P113" s="1226">
        <f>O113+SUMIF('11.1.Амортиз.нови активи'!$B$12:$B$59,$B113,'11.1.Амортиз.нови активи'!P$12:P$59)+('9.Инвестиционна програма'!J$131*SUMIF('11.1.Амортиз.нови активи'!$B$12:$B$59,$B113,'11.1.Амортиз.нови активи'!AR$12:AR$59))</f>
        <v>0</v>
      </c>
      <c r="Q113" s="1226">
        <f>P113+SUMIF('11.1.Амортиз.нови активи'!$B$12:$B$59,$B113,'11.1.Амортиз.нови активи'!Q$12:Q$59)+('9.Инвестиционна програма'!K$131*SUMIF('11.1.Амортиз.нови активи'!$B$12:$B$59,$B113,'11.1.Амортиз.нови активи'!AS$12:AS$59))</f>
        <v>0</v>
      </c>
      <c r="R113" s="2972">
        <f>Q113+SUMIF('11.1.Амортиз.нови активи'!$B$12:$B$59,$B113,'11.1.Амортиз.нови активи'!R$12:R$59)+('9.Инвестиционна програма'!L$131*SUMIF('11.1.Амортиз.нови активи'!$B$12:$B$59,$B113,'11.1.Амортиз.нови активи'!AT$12:AT$59))</f>
        <v>0</v>
      </c>
      <c r="S113" s="448">
        <v>3</v>
      </c>
      <c r="T113" s="2971">
        <f>S113+SUMIF('11.1.Амортиз.нови активи'!$B$12:$B$59,$B113,'11.1.Амортиз.нови активи'!T$12:T$59)+('9.Инвестиционна програма'!G$132*SUMIF('11.1.Амортиз.нови активи'!$B$12:$B$59,$B113,'11.1.Амортиз.нови активи'!AO$12:AO$59))</f>
        <v>3</v>
      </c>
      <c r="U113" s="1226">
        <f>T113+SUMIF('11.1.Амортиз.нови активи'!$B$12:$B$59,$B113,'11.1.Амортиз.нови активи'!U$12:U$59)+('9.Инвестиционна програма'!H$132*SUMIF('11.1.Амортиз.нови активи'!$B$12:$B$59,$B113,'11.1.Амортиз.нови активи'!AP$12:AP$59))</f>
        <v>3</v>
      </c>
      <c r="V113" s="1226">
        <f>U113+SUMIF('11.1.Амортиз.нови активи'!$B$12:$B$59,$B113,'11.1.Амортиз.нови активи'!V$12:V$59)+('9.Инвестиционна програма'!I$132*SUMIF('11.1.Амортиз.нови активи'!$B$12:$B$59,$B113,'11.1.Амортиз.нови активи'!AQ$12:AQ$59))</f>
        <v>3</v>
      </c>
      <c r="W113" s="1226">
        <f>V113+SUMIF('11.1.Амортиз.нови активи'!$B$12:$B$59,$B113,'11.1.Амортиз.нови активи'!W$12:W$59)+('9.Инвестиционна програма'!J$132*SUMIF('11.1.Амортиз.нови активи'!$B$12:$B$59,$B113,'11.1.Амортиз.нови активи'!AR$12:AR$59))</f>
        <v>3</v>
      </c>
      <c r="X113" s="1226">
        <f>W113+SUMIF('11.1.Амортиз.нови активи'!$B$12:$B$59,$B113,'11.1.Амортиз.нови активи'!X$12:X$59)+('9.Инвестиционна програма'!K$132*SUMIF('11.1.Амортиз.нови активи'!$B$12:$B$59,$B113,'11.1.Амортиз.нови активи'!AS$12:AS$59))</f>
        <v>3</v>
      </c>
      <c r="Y113" s="2972">
        <f>X113+SUMIF('11.1.Амортиз.нови активи'!$B$12:$B$59,$B113,'11.1.Амортиз.нови активи'!Y$12:Y$59)+('9.Инвестиционна програма'!L$132*SUMIF('11.1.Амортиз.нови активи'!$B$12:$B$59,$B113,'11.1.Амортиз.нови активи'!AT$12:AT$59))</f>
        <v>3</v>
      </c>
      <c r="Z113" s="448">
        <v>0</v>
      </c>
      <c r="AA113" s="2971">
        <f>Z113+SUMIF('11.1.Амортиз.нови активи'!$B$12:$B$59,$B113,'11.1.Амортиз.нови активи'!AA$12:AA$59)</f>
        <v>0</v>
      </c>
      <c r="AB113" s="1226">
        <f>AA113+SUMIF('11.1.Амортиз.нови активи'!$B$12:$B$59,$B113,'11.1.Амортиз.нови активи'!AB$12:AB$59)</f>
        <v>0</v>
      </c>
      <c r="AC113" s="1226">
        <f>AB113+SUMIF('11.1.Амортиз.нови активи'!$B$12:$B$59,$B113,'11.1.Амортиз.нови активи'!AC$12:AC$59)</f>
        <v>0</v>
      </c>
      <c r="AD113" s="1226">
        <f>AC113+SUMIF('11.1.Амортиз.нови активи'!$B$12:$B$59,$B113,'11.1.Амортиз.нови активи'!AD$12:AD$59)</f>
        <v>0</v>
      </c>
      <c r="AE113" s="1226">
        <f>AD113+SUMIF('11.1.Амортиз.нови активи'!$B$12:$B$59,$B113,'11.1.Амортиз.нови активи'!AE$12:AE$59)</f>
        <v>0</v>
      </c>
      <c r="AF113" s="2972">
        <f>AE113+SUMIF('11.1.Амортиз.нови активи'!$B$12:$B$59,$B113,'11.1.Амортиз.нови активи'!AF$12:AF$59)</f>
        <v>0</v>
      </c>
      <c r="AG113" s="448"/>
      <c r="AH113" s="2971">
        <f>AG113+SUMIF('11.1.Амортиз.нови активи'!$B$12:$B$59,$B113,'11.1.Амортиз.нови активи'!AH$12:AH$59)</f>
        <v>0</v>
      </c>
      <c r="AI113" s="1226">
        <f>AH113+SUMIF('11.1.Амортиз.нови активи'!$B$12:$B$59,$B113,'11.1.Амортиз.нови активи'!AI$12:AI$59)</f>
        <v>0</v>
      </c>
      <c r="AJ113" s="1226">
        <f>AI113+SUMIF('11.1.Амортиз.нови активи'!$B$12:$B$59,$B113,'11.1.Амортиз.нови активи'!AJ$12:AJ$59)</f>
        <v>0</v>
      </c>
      <c r="AK113" s="1226">
        <f>AJ113+SUMIF('11.1.Амортиз.нови активи'!$B$12:$B$59,$B113,'11.1.Амортиз.нови активи'!AK$12:AK$59)</f>
        <v>0</v>
      </c>
      <c r="AL113" s="1226">
        <f>AK113+SUMIF('11.1.Амортиз.нови активи'!$B$12:$B$59,$B113,'11.1.Амортиз.нови активи'!AL$12:AL$59)</f>
        <v>0</v>
      </c>
      <c r="AM113" s="2972">
        <f>AL113+SUMIF('11.1.Амортиз.нови активи'!$B$12:$B$59,$B113,'11.1.Амортиз.нови активи'!AM$12:AM$59)</f>
        <v>0</v>
      </c>
      <c r="AN113" s="2860"/>
      <c r="AO113" s="2898"/>
      <c r="AP113" s="1426"/>
    </row>
    <row r="114" spans="1:42" s="1422" customFormat="1">
      <c r="A114" s="2862">
        <v>3</v>
      </c>
      <c r="B114" s="2863">
        <v>2030401</v>
      </c>
      <c r="C114" s="2869">
        <v>0.1</v>
      </c>
      <c r="D114" s="2899" t="s">
        <v>1039</v>
      </c>
      <c r="E114" s="448">
        <v>110</v>
      </c>
      <c r="F114" s="2971">
        <f>E114+SUMIF('11.1.Амортиз.нови активи'!$B$12:$B$59,$B114,'11.1.Амортиз.нови активи'!F$12:F$59)+('9.Инвестиционна програма'!G$130*SUMIF('11.1.Амортиз.нови активи'!$B$12:$B$59,$B114,'11.1.Амортиз.нови активи'!AO$12:AO$59))</f>
        <v>110</v>
      </c>
      <c r="G114" s="1226">
        <f>F114+SUMIF('11.1.Амортиз.нови активи'!$B$12:$B$59,$B114,'11.1.Амортиз.нови активи'!G$12:G$59)+('9.Инвестиционна програма'!H$130*SUMIF('11.1.Амортиз.нови активи'!$B$12:$B$59,$B114,'11.1.Амортиз.нови активи'!AP$12:AP$59))</f>
        <v>110</v>
      </c>
      <c r="H114" s="1226">
        <f>G114+SUMIF('11.1.Амортиз.нови активи'!$B$12:$B$59,$B114,'11.1.Амортиз.нови активи'!H$12:H$59)+('9.Инвестиционна програма'!I$130*SUMIF('11.1.Амортиз.нови активи'!$B$12:$B$59,$B114,'11.1.Амортиз.нови активи'!AQ$12:AQ$59))</f>
        <v>110</v>
      </c>
      <c r="I114" s="1226">
        <f>H114+SUMIF('11.1.Амортиз.нови активи'!$B$12:$B$59,$B114,'11.1.Амортиз.нови активи'!I$12:I$59)+('9.Инвестиционна програма'!J$130*SUMIF('11.1.Амортиз.нови активи'!$B$12:$B$59,$B114,'11.1.Амортиз.нови активи'!AR$12:AR$59))</f>
        <v>110</v>
      </c>
      <c r="J114" s="1226">
        <f>I114+SUMIF('11.1.Амортиз.нови активи'!$B$12:$B$59,$B114,'11.1.Амортиз.нови активи'!J$12:J$59)+('9.Инвестиционна програма'!K$130*SUMIF('11.1.Амортиз.нови активи'!$B$12:$B$59,$B114,'11.1.Амортиз.нови активи'!AS$12:AS$59))</f>
        <v>110</v>
      </c>
      <c r="K114" s="2972">
        <f>J114+SUMIF('11.1.Амортиз.нови активи'!$B$12:$B$59,$B114,'11.1.Амортиз.нови активи'!K$12:K$59)+('9.Инвестиционна програма'!L$130*SUMIF('11.1.Амортиз.нови активи'!$B$12:$B$59,$B114,'11.1.Амортиз.нови активи'!AT$12:AT$59))</f>
        <v>110</v>
      </c>
      <c r="L114" s="448">
        <v>0</v>
      </c>
      <c r="M114" s="2971">
        <f>L114+SUMIF('11.1.Амортиз.нови активи'!$B$12:$B$59,$B114,'11.1.Амортиз.нови активи'!M$12:M$59)+('9.Инвестиционна програма'!G$131*SUMIF('11.1.Амортиз.нови активи'!$B$12:$B$59,$B114,'11.1.Амортиз.нови активи'!AO$12:AO$59))</f>
        <v>0</v>
      </c>
      <c r="N114" s="1226">
        <f>M114+SUMIF('11.1.Амортиз.нови активи'!$B$12:$B$59,$B114,'11.1.Амортиз.нови активи'!N$12:N$59)+('9.Инвестиционна програма'!H$131*SUMIF('11.1.Амортиз.нови активи'!$B$12:$B$59,$B114,'11.1.Амортиз.нови активи'!AP$12:AP$59))</f>
        <v>0</v>
      </c>
      <c r="O114" s="1226">
        <f>N114+SUMIF('11.1.Амортиз.нови активи'!$B$12:$B$59,$B114,'11.1.Амортиз.нови активи'!O$12:O$59)+('9.Инвестиционна програма'!I$131*SUMIF('11.1.Амортиз.нови активи'!$B$12:$B$59,$B114,'11.1.Амортиз.нови активи'!AQ$12:AQ$59))</f>
        <v>0</v>
      </c>
      <c r="P114" s="1226">
        <f>O114+SUMIF('11.1.Амортиз.нови активи'!$B$12:$B$59,$B114,'11.1.Амортиз.нови активи'!P$12:P$59)+('9.Инвестиционна програма'!J$131*SUMIF('11.1.Амортиз.нови активи'!$B$12:$B$59,$B114,'11.1.Амортиз.нови активи'!AR$12:AR$59))</f>
        <v>0</v>
      </c>
      <c r="Q114" s="1226">
        <f>P114+SUMIF('11.1.Амортиз.нови активи'!$B$12:$B$59,$B114,'11.1.Амортиз.нови активи'!Q$12:Q$59)+('9.Инвестиционна програма'!K$131*SUMIF('11.1.Амортиз.нови активи'!$B$12:$B$59,$B114,'11.1.Амортиз.нови активи'!AS$12:AS$59))</f>
        <v>0</v>
      </c>
      <c r="R114" s="2972">
        <f>Q114+SUMIF('11.1.Амортиз.нови активи'!$B$12:$B$59,$B114,'11.1.Амортиз.нови активи'!R$12:R$59)+('9.Инвестиционна програма'!L$131*SUMIF('11.1.Амортиз.нови активи'!$B$12:$B$59,$B114,'11.1.Амортиз.нови активи'!AT$12:AT$59))</f>
        <v>0</v>
      </c>
      <c r="S114" s="448">
        <v>13</v>
      </c>
      <c r="T114" s="2971">
        <f>S114+SUMIF('11.1.Амортиз.нови активи'!$B$12:$B$59,$B114,'11.1.Амортиз.нови активи'!T$12:T$59)+('9.Инвестиционна програма'!G$132*SUMIF('11.1.Амортиз.нови активи'!$B$12:$B$59,$B114,'11.1.Амортиз.нови активи'!AO$12:AO$59))</f>
        <v>13</v>
      </c>
      <c r="U114" s="1226">
        <f>T114+SUMIF('11.1.Амортиз.нови активи'!$B$12:$B$59,$B114,'11.1.Амортиз.нови активи'!U$12:U$59)+('9.Инвестиционна програма'!H$132*SUMIF('11.1.Амортиз.нови активи'!$B$12:$B$59,$B114,'11.1.Амортиз.нови активи'!AP$12:AP$59))</f>
        <v>13</v>
      </c>
      <c r="V114" s="1226">
        <f>U114+SUMIF('11.1.Амортиз.нови активи'!$B$12:$B$59,$B114,'11.1.Амортиз.нови активи'!V$12:V$59)+('9.Инвестиционна програма'!I$132*SUMIF('11.1.Амортиз.нови активи'!$B$12:$B$59,$B114,'11.1.Амортиз.нови активи'!AQ$12:AQ$59))</f>
        <v>13</v>
      </c>
      <c r="W114" s="1226">
        <f>V114+SUMIF('11.1.Амортиз.нови активи'!$B$12:$B$59,$B114,'11.1.Амортиз.нови активи'!W$12:W$59)+('9.Инвестиционна програма'!J$132*SUMIF('11.1.Амортиз.нови активи'!$B$12:$B$59,$B114,'11.1.Амортиз.нови активи'!AR$12:AR$59))</f>
        <v>13</v>
      </c>
      <c r="X114" s="1226">
        <f>W114+SUMIF('11.1.Амортиз.нови активи'!$B$12:$B$59,$B114,'11.1.Амортиз.нови активи'!X$12:X$59)+('9.Инвестиционна програма'!K$132*SUMIF('11.1.Амортиз.нови активи'!$B$12:$B$59,$B114,'11.1.Амортиз.нови активи'!AS$12:AS$59))</f>
        <v>13</v>
      </c>
      <c r="Y114" s="2972">
        <f>X114+SUMIF('11.1.Амортиз.нови активи'!$B$12:$B$59,$B114,'11.1.Амортиз.нови активи'!Y$12:Y$59)+('9.Инвестиционна програма'!L$132*SUMIF('11.1.Амортиз.нови активи'!$B$12:$B$59,$B114,'11.1.Амортиз.нови активи'!AT$12:AT$59))</f>
        <v>13</v>
      </c>
      <c r="Z114" s="448">
        <v>0</v>
      </c>
      <c r="AA114" s="2971">
        <f>Z114+SUMIF('11.1.Амортиз.нови активи'!$B$12:$B$59,$B114,'11.1.Амортиз.нови активи'!AA$12:AA$59)</f>
        <v>0</v>
      </c>
      <c r="AB114" s="1226">
        <f>AA114+SUMIF('11.1.Амортиз.нови активи'!$B$12:$B$59,$B114,'11.1.Амортиз.нови активи'!AB$12:AB$59)</f>
        <v>0</v>
      </c>
      <c r="AC114" s="1226">
        <f>AB114+SUMIF('11.1.Амортиз.нови активи'!$B$12:$B$59,$B114,'11.1.Амортиз.нови активи'!AC$12:AC$59)</f>
        <v>0</v>
      </c>
      <c r="AD114" s="1226">
        <f>AC114+SUMIF('11.1.Амортиз.нови активи'!$B$12:$B$59,$B114,'11.1.Амортиз.нови активи'!AD$12:AD$59)</f>
        <v>0</v>
      </c>
      <c r="AE114" s="1226">
        <f>AD114+SUMIF('11.1.Амортиз.нови активи'!$B$12:$B$59,$B114,'11.1.Амортиз.нови активи'!AE$12:AE$59)</f>
        <v>0</v>
      </c>
      <c r="AF114" s="2972">
        <f>AE114+SUMIF('11.1.Амортиз.нови активи'!$B$12:$B$59,$B114,'11.1.Амортиз.нови активи'!AF$12:AF$59)</f>
        <v>0</v>
      </c>
      <c r="AG114" s="448"/>
      <c r="AH114" s="2971">
        <f>AG114+SUMIF('11.1.Амортиз.нови активи'!$B$12:$B$59,$B114,'11.1.Амортиз.нови активи'!AH$12:AH$59)</f>
        <v>0</v>
      </c>
      <c r="AI114" s="1226">
        <f>AH114+SUMIF('11.1.Амортиз.нови активи'!$B$12:$B$59,$B114,'11.1.Амортиз.нови активи'!AI$12:AI$59)</f>
        <v>0</v>
      </c>
      <c r="AJ114" s="1226">
        <f>AI114+SUMIF('11.1.Амортиз.нови активи'!$B$12:$B$59,$B114,'11.1.Амортиз.нови активи'!AJ$12:AJ$59)</f>
        <v>0</v>
      </c>
      <c r="AK114" s="1226">
        <f>AJ114+SUMIF('11.1.Амортиз.нови активи'!$B$12:$B$59,$B114,'11.1.Амортиз.нови активи'!AK$12:AK$59)</f>
        <v>0</v>
      </c>
      <c r="AL114" s="1226">
        <f>AK114+SUMIF('11.1.Амортиз.нови активи'!$B$12:$B$59,$B114,'11.1.Амортиз.нови активи'!AL$12:AL$59)</f>
        <v>0</v>
      </c>
      <c r="AM114" s="2972">
        <f>AL114+SUMIF('11.1.Амортиз.нови активи'!$B$12:$B$59,$B114,'11.1.Амортиз.нови активи'!AM$12:AM$59)</f>
        <v>0</v>
      </c>
      <c r="AN114" s="2860"/>
      <c r="AO114" s="2898"/>
      <c r="AP114" s="1426"/>
    </row>
    <row r="115" spans="1:42" s="1422" customFormat="1">
      <c r="A115" s="2862">
        <v>4</v>
      </c>
      <c r="B115" s="2863">
        <v>2030402</v>
      </c>
      <c r="C115" s="2869">
        <v>0.1</v>
      </c>
      <c r="D115" s="2899" t="s">
        <v>434</v>
      </c>
      <c r="E115" s="448">
        <v>2</v>
      </c>
      <c r="F115" s="2971">
        <f>E115+SUMIF('11.1.Амортиз.нови активи'!$B$12:$B$59,$B115,'11.1.Амортиз.нови активи'!F$12:F$59)+('9.Инвестиционна програма'!G$130*SUMIF('11.1.Амортиз.нови активи'!$B$12:$B$59,$B115,'11.1.Амортиз.нови активи'!AO$12:AO$59))</f>
        <v>2</v>
      </c>
      <c r="G115" s="1226">
        <f>F115+SUMIF('11.1.Амортиз.нови активи'!$B$12:$B$59,$B115,'11.1.Амортиз.нови активи'!G$12:G$59)+('9.Инвестиционна програма'!H$130*SUMIF('11.1.Амортиз.нови активи'!$B$12:$B$59,$B115,'11.1.Амортиз.нови активи'!AP$12:AP$59))</f>
        <v>2</v>
      </c>
      <c r="H115" s="1226">
        <f>G115+SUMIF('11.1.Амортиз.нови активи'!$B$12:$B$59,$B115,'11.1.Амортиз.нови активи'!H$12:H$59)+('9.Инвестиционна програма'!I$130*SUMIF('11.1.Амортиз.нови активи'!$B$12:$B$59,$B115,'11.1.Амортиз.нови активи'!AQ$12:AQ$59))</f>
        <v>2</v>
      </c>
      <c r="I115" s="1226">
        <f>H115+SUMIF('11.1.Амортиз.нови активи'!$B$12:$B$59,$B115,'11.1.Амортиз.нови активи'!I$12:I$59)+('9.Инвестиционна програма'!J$130*SUMIF('11.1.Амортиз.нови активи'!$B$12:$B$59,$B115,'11.1.Амортиз.нови активи'!AR$12:AR$59))</f>
        <v>2</v>
      </c>
      <c r="J115" s="1226">
        <f>I115+SUMIF('11.1.Амортиз.нови активи'!$B$12:$B$59,$B115,'11.1.Амортиз.нови активи'!J$12:J$59)+('9.Инвестиционна програма'!K$130*SUMIF('11.1.Амортиз.нови активи'!$B$12:$B$59,$B115,'11.1.Амортиз.нови активи'!AS$12:AS$59))</f>
        <v>2</v>
      </c>
      <c r="K115" s="2972">
        <f>J115+SUMIF('11.1.Амортиз.нови активи'!$B$12:$B$59,$B115,'11.1.Амортиз.нови активи'!K$12:K$59)+('9.Инвестиционна програма'!L$130*SUMIF('11.1.Амортиз.нови активи'!$B$12:$B$59,$B115,'11.1.Амортиз.нови активи'!AT$12:AT$59))</f>
        <v>2</v>
      </c>
      <c r="L115" s="448">
        <v>0</v>
      </c>
      <c r="M115" s="2971">
        <f>L115+SUMIF('11.1.Амортиз.нови активи'!$B$12:$B$59,$B115,'11.1.Амортиз.нови активи'!M$12:M$59)+('9.Инвестиционна програма'!G$131*SUMIF('11.1.Амортиз.нови активи'!$B$12:$B$59,$B115,'11.1.Амортиз.нови активи'!AO$12:AO$59))</f>
        <v>0</v>
      </c>
      <c r="N115" s="1226">
        <f>M115+SUMIF('11.1.Амортиз.нови активи'!$B$12:$B$59,$B115,'11.1.Амортиз.нови активи'!N$12:N$59)+('9.Инвестиционна програма'!H$131*SUMIF('11.1.Амортиз.нови активи'!$B$12:$B$59,$B115,'11.1.Амортиз.нови активи'!AP$12:AP$59))</f>
        <v>0</v>
      </c>
      <c r="O115" s="1226">
        <f>N115+SUMIF('11.1.Амортиз.нови активи'!$B$12:$B$59,$B115,'11.1.Амортиз.нови активи'!O$12:O$59)+('9.Инвестиционна програма'!I$131*SUMIF('11.1.Амортиз.нови активи'!$B$12:$B$59,$B115,'11.1.Амортиз.нови активи'!AQ$12:AQ$59))</f>
        <v>0</v>
      </c>
      <c r="P115" s="1226">
        <f>O115+SUMIF('11.1.Амортиз.нови активи'!$B$12:$B$59,$B115,'11.1.Амортиз.нови активи'!P$12:P$59)+('9.Инвестиционна програма'!J$131*SUMIF('11.1.Амортиз.нови активи'!$B$12:$B$59,$B115,'11.1.Амортиз.нови активи'!AR$12:AR$59))</f>
        <v>0</v>
      </c>
      <c r="Q115" s="1226">
        <f>P115+SUMIF('11.1.Амортиз.нови активи'!$B$12:$B$59,$B115,'11.1.Амортиз.нови активи'!Q$12:Q$59)+('9.Инвестиционна програма'!K$131*SUMIF('11.1.Амортиз.нови активи'!$B$12:$B$59,$B115,'11.1.Амортиз.нови активи'!AS$12:AS$59))</f>
        <v>0</v>
      </c>
      <c r="R115" s="2972">
        <f>Q115+SUMIF('11.1.Амортиз.нови активи'!$B$12:$B$59,$B115,'11.1.Амортиз.нови активи'!R$12:R$59)+('9.Инвестиционна програма'!L$131*SUMIF('11.1.Амортиз.нови активи'!$B$12:$B$59,$B115,'11.1.Амортиз.нови активи'!AT$12:AT$59))</f>
        <v>0</v>
      </c>
      <c r="S115" s="448">
        <v>0</v>
      </c>
      <c r="T115" s="2971">
        <f>S115+SUMIF('11.1.Амортиз.нови активи'!$B$12:$B$59,$B115,'11.1.Амортиз.нови активи'!T$12:T$59)+('9.Инвестиционна програма'!G$132*SUMIF('11.1.Амортиз.нови активи'!$B$12:$B$59,$B115,'11.1.Амортиз.нови активи'!AO$12:AO$59))</f>
        <v>0</v>
      </c>
      <c r="U115" s="1226">
        <f>T115+SUMIF('11.1.Амортиз.нови активи'!$B$12:$B$59,$B115,'11.1.Амортиз.нови активи'!U$12:U$59)+('9.Инвестиционна програма'!H$132*SUMIF('11.1.Амортиз.нови активи'!$B$12:$B$59,$B115,'11.1.Амортиз.нови активи'!AP$12:AP$59))</f>
        <v>0</v>
      </c>
      <c r="V115" s="1226">
        <f>U115+SUMIF('11.1.Амортиз.нови активи'!$B$12:$B$59,$B115,'11.1.Амортиз.нови активи'!V$12:V$59)+('9.Инвестиционна програма'!I$132*SUMIF('11.1.Амортиз.нови активи'!$B$12:$B$59,$B115,'11.1.Амортиз.нови активи'!AQ$12:AQ$59))</f>
        <v>0</v>
      </c>
      <c r="W115" s="1226">
        <f>V115+SUMIF('11.1.Амортиз.нови активи'!$B$12:$B$59,$B115,'11.1.Амортиз.нови активи'!W$12:W$59)+('9.Инвестиционна програма'!J$132*SUMIF('11.1.Амортиз.нови активи'!$B$12:$B$59,$B115,'11.1.Амортиз.нови активи'!AR$12:AR$59))</f>
        <v>0</v>
      </c>
      <c r="X115" s="1226">
        <f>W115+SUMIF('11.1.Амортиз.нови активи'!$B$12:$B$59,$B115,'11.1.Амортиз.нови активи'!X$12:X$59)+('9.Инвестиционна програма'!K$132*SUMIF('11.1.Амортиз.нови активи'!$B$12:$B$59,$B115,'11.1.Амортиз.нови активи'!AS$12:AS$59))</f>
        <v>0</v>
      </c>
      <c r="Y115" s="2972">
        <f>X115+SUMIF('11.1.Амортиз.нови активи'!$B$12:$B$59,$B115,'11.1.Амортиз.нови активи'!Y$12:Y$59)+('9.Инвестиционна програма'!L$132*SUMIF('11.1.Амортиз.нови активи'!$B$12:$B$59,$B115,'11.1.Амортиз.нови активи'!AT$12:AT$59))</f>
        <v>0</v>
      </c>
      <c r="Z115" s="448">
        <v>0</v>
      </c>
      <c r="AA115" s="2971">
        <f>Z115+SUMIF('11.1.Амортиз.нови активи'!$B$12:$B$59,$B115,'11.1.Амортиз.нови активи'!AA$12:AA$59)</f>
        <v>0</v>
      </c>
      <c r="AB115" s="1226">
        <f>AA115+SUMIF('11.1.Амортиз.нови активи'!$B$12:$B$59,$B115,'11.1.Амортиз.нови активи'!AB$12:AB$59)</f>
        <v>0</v>
      </c>
      <c r="AC115" s="1226">
        <f>AB115+SUMIF('11.1.Амортиз.нови активи'!$B$12:$B$59,$B115,'11.1.Амортиз.нови активи'!AC$12:AC$59)</f>
        <v>0</v>
      </c>
      <c r="AD115" s="1226">
        <f>AC115+SUMIF('11.1.Амортиз.нови активи'!$B$12:$B$59,$B115,'11.1.Амортиз.нови активи'!AD$12:AD$59)</f>
        <v>0</v>
      </c>
      <c r="AE115" s="1226">
        <f>AD115+SUMIF('11.1.Амортиз.нови активи'!$B$12:$B$59,$B115,'11.1.Амортиз.нови активи'!AE$12:AE$59)</f>
        <v>0</v>
      </c>
      <c r="AF115" s="2972">
        <f>AE115+SUMIF('11.1.Амортиз.нови активи'!$B$12:$B$59,$B115,'11.1.Амортиз.нови активи'!AF$12:AF$59)</f>
        <v>0</v>
      </c>
      <c r="AG115" s="448"/>
      <c r="AH115" s="2971">
        <f>AG115+SUMIF('11.1.Амортиз.нови активи'!$B$12:$B$59,$B115,'11.1.Амортиз.нови активи'!AH$12:AH$59)</f>
        <v>0</v>
      </c>
      <c r="AI115" s="1226">
        <f>AH115+SUMIF('11.1.Амортиз.нови активи'!$B$12:$B$59,$B115,'11.1.Амортиз.нови активи'!AI$12:AI$59)</f>
        <v>0</v>
      </c>
      <c r="AJ115" s="1226">
        <f>AI115+SUMIF('11.1.Амортиз.нови активи'!$B$12:$B$59,$B115,'11.1.Амортиз.нови активи'!AJ$12:AJ$59)</f>
        <v>0</v>
      </c>
      <c r="AK115" s="1226">
        <f>AJ115+SUMIF('11.1.Амортиз.нови активи'!$B$12:$B$59,$B115,'11.1.Амортиз.нови активи'!AK$12:AK$59)</f>
        <v>0</v>
      </c>
      <c r="AL115" s="1226">
        <f>AK115+SUMIF('11.1.Амортиз.нови активи'!$B$12:$B$59,$B115,'11.1.Амортиз.нови активи'!AL$12:AL$59)</f>
        <v>0</v>
      </c>
      <c r="AM115" s="2972">
        <f>AL115+SUMIF('11.1.Амортиз.нови активи'!$B$12:$B$59,$B115,'11.1.Амортиз.нови активи'!AM$12:AM$59)</f>
        <v>0</v>
      </c>
      <c r="AN115" s="2860"/>
      <c r="AO115" s="2898"/>
      <c r="AP115" s="1426"/>
    </row>
    <row r="116" spans="1:42" s="1422" customFormat="1">
      <c r="A116" s="2862">
        <v>5</v>
      </c>
      <c r="B116" s="2863">
        <v>2030501</v>
      </c>
      <c r="C116" s="2869">
        <v>0.1</v>
      </c>
      <c r="D116" s="2899" t="s">
        <v>1009</v>
      </c>
      <c r="E116" s="448">
        <v>239</v>
      </c>
      <c r="F116" s="2971">
        <f>E116+SUMIF('11.1.Амортиз.нови активи'!$B$12:$B$59,$B116,'11.1.Амортиз.нови активи'!F$12:F$59)+('9.Инвестиционна програма'!G$130*SUMIF('11.1.Амортиз.нови активи'!$B$12:$B$59,$B116,'11.1.Амортиз.нови активи'!AO$12:AO$59))</f>
        <v>305.75067024128685</v>
      </c>
      <c r="G116" s="1226">
        <f>F116+SUMIF('11.1.Амортиз.нови активи'!$B$12:$B$59,$B116,'11.1.Амортиз.нови активи'!G$12:G$59)+('9.Инвестиционна програма'!H$130*SUMIF('11.1.Амортиз.нови активи'!$B$12:$B$59,$B116,'11.1.Амортиз.нови активи'!AP$12:AP$59))</f>
        <v>336.75067024128685</v>
      </c>
      <c r="H116" s="1226">
        <f>G116+SUMIF('11.1.Амортиз.нови активи'!$B$12:$B$59,$B116,'11.1.Амортиз.нови активи'!H$12:H$59)+('9.Инвестиционна програма'!I$130*SUMIF('11.1.Амортиз.нови активи'!$B$12:$B$59,$B116,'11.1.Амортиз.нови активи'!AQ$12:AQ$59))</f>
        <v>369.08400357462017</v>
      </c>
      <c r="I116" s="1226">
        <f>H116+SUMIF('11.1.Амортиз.нови активи'!$B$12:$B$59,$B116,'11.1.Амортиз.нови активи'!I$12:I$59)+('9.Инвестиционна програма'!J$130*SUMIF('11.1.Амортиз.нови активи'!$B$12:$B$59,$B116,'11.1.Амортиз.нови активи'!AR$12:AR$59))</f>
        <v>401.41733690795348</v>
      </c>
      <c r="J116" s="1226">
        <f>I116+SUMIF('11.1.Амортиз.нови активи'!$B$12:$B$59,$B116,'11.1.Амортиз.нови активи'!J$12:J$59)+('9.Инвестиционна програма'!K$130*SUMIF('11.1.Амортиз.нови активи'!$B$12:$B$59,$B116,'11.1.Амортиз.нови активи'!AS$12:AS$59))</f>
        <v>433.7506702412868</v>
      </c>
      <c r="K116" s="2972">
        <f>J116+SUMIF('11.1.Амортиз.нови активи'!$B$12:$B$59,$B116,'11.1.Амортиз.нови активи'!K$12:K$59)+('9.Инвестиционна програма'!L$130*SUMIF('11.1.Амортиз.нови активи'!$B$12:$B$59,$B116,'11.1.Амортиз.нови активи'!AT$12:AT$59))</f>
        <v>466.08400357462011</v>
      </c>
      <c r="L116" s="448">
        <v>0</v>
      </c>
      <c r="M116" s="2971">
        <f>L116+SUMIF('11.1.Амортиз.нови активи'!$B$12:$B$59,$B116,'11.1.Амортиз.нови активи'!M$12:M$59)+('9.Инвестиционна програма'!G$131*SUMIF('11.1.Амортиз.нови активи'!$B$12:$B$59,$B116,'11.1.Амортиз.нови активи'!AO$12:AO$59))</f>
        <v>6.8310991957104559</v>
      </c>
      <c r="N116" s="1226">
        <f>M116+SUMIF('11.1.Амортиз.нови активи'!$B$12:$B$59,$B116,'11.1.Амортиз.нови активи'!N$12:N$59)+('9.Инвестиционна програма'!H$131*SUMIF('11.1.Амортиз.нови активи'!$B$12:$B$59,$B116,'11.1.Амортиз.нови активи'!AP$12:AP$59))</f>
        <v>27.831099195710458</v>
      </c>
      <c r="O116" s="1226">
        <f>N116+SUMIF('11.1.Амортиз.нови активи'!$B$12:$B$59,$B116,'11.1.Амортиз.нови активи'!O$12:O$59)+('9.Инвестиционна програма'!I$131*SUMIF('11.1.Амортиз.нови активи'!$B$12:$B$59,$B116,'11.1.Амортиз.нови активи'!AQ$12:AQ$59))</f>
        <v>50.164432529043793</v>
      </c>
      <c r="P116" s="1226">
        <f>O116+SUMIF('11.1.Амортиз.нови активи'!$B$12:$B$59,$B116,'11.1.Амортиз.нови активи'!P$12:P$59)+('9.Инвестиционна програма'!J$131*SUMIF('11.1.Амортиз.нови активи'!$B$12:$B$59,$B116,'11.1.Амортиз.нови активи'!AR$12:AR$59))</f>
        <v>72.497765862377122</v>
      </c>
      <c r="Q116" s="1226">
        <f>P116+SUMIF('11.1.Амортиз.нови активи'!$B$12:$B$59,$B116,'11.1.Амортиз.нови активи'!Q$12:Q$59)+('9.Инвестиционна програма'!K$131*SUMIF('11.1.Амортиз.нови активи'!$B$12:$B$59,$B116,'11.1.Амортиз.нови активи'!AS$12:AS$59))</f>
        <v>94.831099195710451</v>
      </c>
      <c r="R116" s="2972">
        <f>Q116+SUMIF('11.1.Амортиз.нови активи'!$B$12:$B$59,$B116,'11.1.Амортиз.нови активи'!R$12:R$59)+('9.Инвестиционна програма'!L$131*SUMIF('11.1.Амортиз.нови активи'!$B$12:$B$59,$B116,'11.1.Амортиз.нови активи'!AT$12:AT$59))</f>
        <v>117.16443252904378</v>
      </c>
      <c r="S116" s="448">
        <v>0</v>
      </c>
      <c r="T116" s="2971">
        <f>S116+SUMIF('11.1.Амортиз.нови активи'!$B$12:$B$59,$B116,'11.1.Амортиз.нови активи'!T$12:T$59)+('9.Инвестиционна програма'!G$132*SUMIF('11.1.Амортиз.нови активи'!$B$12:$B$59,$B116,'11.1.Амортиз.нови активи'!AO$12:AO$59))</f>
        <v>0.41823056300268097</v>
      </c>
      <c r="U116" s="1226">
        <f>T116+SUMIF('11.1.Амортиз.нови активи'!$B$12:$B$59,$B116,'11.1.Амортиз.нови активи'!U$12:U$59)+('9.Инвестиционна програма'!H$132*SUMIF('11.1.Амортиз.нови активи'!$B$12:$B$59,$B116,'11.1.Амортиз.нови активи'!AP$12:AP$59))</f>
        <v>21.41823056300268</v>
      </c>
      <c r="V116" s="1226">
        <f>U116+SUMIF('11.1.Амортиз.нови активи'!$B$12:$B$59,$B116,'11.1.Амортиз.нови активи'!V$12:V$59)+('9.Инвестиционна програма'!I$132*SUMIF('11.1.Амортиз.нови активи'!$B$12:$B$59,$B116,'11.1.Амортиз.нови активи'!AQ$12:AQ$59))</f>
        <v>43.751563896336009</v>
      </c>
      <c r="W116" s="1226">
        <f>V116+SUMIF('11.1.Амортиз.нови активи'!$B$12:$B$59,$B116,'11.1.Амортиз.нови активи'!W$12:W$59)+('9.Инвестиционна програма'!J$132*SUMIF('11.1.Амортиз.нови активи'!$B$12:$B$59,$B116,'11.1.Амортиз.нови активи'!AR$12:AR$59))</f>
        <v>66.084897229669338</v>
      </c>
      <c r="X116" s="1226">
        <f>W116+SUMIF('11.1.Амортиз.нови активи'!$B$12:$B$59,$B116,'11.1.Амортиз.нови активи'!X$12:X$59)+('9.Инвестиционна програма'!K$132*SUMIF('11.1.Амортиз.нови активи'!$B$12:$B$59,$B116,'11.1.Амортиз.нови активи'!AS$12:AS$59))</f>
        <v>88.418230563002666</v>
      </c>
      <c r="Y116" s="2972">
        <f>X116+SUMIF('11.1.Амортиз.нови активи'!$B$12:$B$59,$B116,'11.1.Амортиз.нови активи'!Y$12:Y$59)+('9.Инвестиционна програма'!L$132*SUMIF('11.1.Амортиз.нови активи'!$B$12:$B$59,$B116,'11.1.Амортиз.нови активи'!AT$12:AT$59))</f>
        <v>110.75156389633599</v>
      </c>
      <c r="Z116" s="448">
        <v>0</v>
      </c>
      <c r="AA116" s="2971">
        <f>Z116+SUMIF('11.1.Амортиз.нови активи'!$B$12:$B$59,$B116,'11.1.Амортиз.нови активи'!AA$12:AA$59)</f>
        <v>0</v>
      </c>
      <c r="AB116" s="1226">
        <f>AA116+SUMIF('11.1.Амортиз.нови активи'!$B$12:$B$59,$B116,'11.1.Амортиз.нови активи'!AB$12:AB$59)</f>
        <v>0</v>
      </c>
      <c r="AC116" s="1226">
        <f>AB116+SUMIF('11.1.Амортиз.нови активи'!$B$12:$B$59,$B116,'11.1.Амортиз.нови активи'!AC$12:AC$59)</f>
        <v>0</v>
      </c>
      <c r="AD116" s="1226">
        <f>AC116+SUMIF('11.1.Амортиз.нови активи'!$B$12:$B$59,$B116,'11.1.Амортиз.нови активи'!AD$12:AD$59)</f>
        <v>0</v>
      </c>
      <c r="AE116" s="1226">
        <f>AD116+SUMIF('11.1.Амортиз.нови активи'!$B$12:$B$59,$B116,'11.1.Амортиз.нови активи'!AE$12:AE$59)</f>
        <v>0</v>
      </c>
      <c r="AF116" s="2972">
        <f>AE116+SUMIF('11.1.Амортиз.нови активи'!$B$12:$B$59,$B116,'11.1.Амортиз.нови активи'!AF$12:AF$59)</f>
        <v>0</v>
      </c>
      <c r="AG116" s="448"/>
      <c r="AH116" s="2971">
        <f>AG116+SUMIF('11.1.Амортиз.нови активи'!$B$12:$B$59,$B116,'11.1.Амортиз.нови активи'!AH$12:AH$59)</f>
        <v>0</v>
      </c>
      <c r="AI116" s="1226">
        <f>AH116+SUMIF('11.1.Амортиз.нови активи'!$B$12:$B$59,$B116,'11.1.Амортиз.нови активи'!AI$12:AI$59)</f>
        <v>0</v>
      </c>
      <c r="AJ116" s="1226">
        <f>AI116+SUMIF('11.1.Амортиз.нови активи'!$B$12:$B$59,$B116,'11.1.Амортиз.нови активи'!AJ$12:AJ$59)</f>
        <v>0</v>
      </c>
      <c r="AK116" s="1226">
        <f>AJ116+SUMIF('11.1.Амортиз.нови активи'!$B$12:$B$59,$B116,'11.1.Амортиз.нови активи'!AK$12:AK$59)</f>
        <v>0</v>
      </c>
      <c r="AL116" s="1226">
        <f>AK116+SUMIF('11.1.Амортиз.нови активи'!$B$12:$B$59,$B116,'11.1.Амортиз.нови активи'!AL$12:AL$59)</f>
        <v>0</v>
      </c>
      <c r="AM116" s="2972">
        <f>AL116+SUMIF('11.1.Амортиз.нови активи'!$B$12:$B$59,$B116,'11.1.Амортиз.нови активи'!AM$12:AM$59)</f>
        <v>0</v>
      </c>
      <c r="AN116" s="2871"/>
      <c r="AO116" s="2898"/>
      <c r="AP116" s="1426"/>
    </row>
    <row r="117" spans="1:42" s="1422" customFormat="1" ht="24">
      <c r="A117" s="2862">
        <v>6</v>
      </c>
      <c r="B117" s="2863">
        <v>2030502</v>
      </c>
      <c r="C117" s="2869">
        <v>0.1</v>
      </c>
      <c r="D117" s="2899" t="s">
        <v>702</v>
      </c>
      <c r="E117" s="448">
        <v>217</v>
      </c>
      <c r="F117" s="2971">
        <f>E117+SUMIF('11.1.Амортиз.нови активи'!$B$12:$B$59,$B117,'11.1.Амортиз.нови активи'!F$12:F$59)+('9.Инвестиционна програма'!G$130*SUMIF('11.1.Амортиз.нови активи'!$B$12:$B$59,$B117,'11.1.Амортиз.нови активи'!AO$12:AO$59))</f>
        <v>282</v>
      </c>
      <c r="G117" s="1226">
        <f>F117+SUMIF('11.1.Амортиз.нови активи'!$B$12:$B$59,$B117,'11.1.Амортиз.нови активи'!G$12:G$59)+('9.Инвестиционна програма'!H$130*SUMIF('11.1.Амортиз.нови активи'!$B$12:$B$59,$B117,'11.1.Амортиз.нови активи'!AP$12:AP$59))</f>
        <v>325</v>
      </c>
      <c r="H117" s="1226">
        <f>G117+SUMIF('11.1.Амортиз.нови активи'!$B$12:$B$59,$B117,'11.1.Амортиз.нови активи'!H$12:H$59)+('9.Инвестиционна програма'!I$130*SUMIF('11.1.Амортиз.нови активи'!$B$12:$B$59,$B117,'11.1.Амортиз.нови активи'!AQ$12:AQ$59))</f>
        <v>368</v>
      </c>
      <c r="I117" s="1226">
        <f>H117+SUMIF('11.1.Амортиз.нови активи'!$B$12:$B$59,$B117,'11.1.Амортиз.нови активи'!I$12:I$59)+('9.Инвестиционна програма'!J$130*SUMIF('11.1.Амортиз.нови активи'!$B$12:$B$59,$B117,'11.1.Амортиз.нови активи'!AR$12:AR$59))</f>
        <v>411</v>
      </c>
      <c r="J117" s="1226">
        <f>I117+SUMIF('11.1.Амортиз.нови активи'!$B$12:$B$59,$B117,'11.1.Амортиз.нови активи'!J$12:J$59)+('9.Инвестиционна програма'!K$130*SUMIF('11.1.Амортиз.нови активи'!$B$12:$B$59,$B117,'11.1.Амортиз.нови активи'!AS$12:AS$59))</f>
        <v>454</v>
      </c>
      <c r="K117" s="2972">
        <f>J117+SUMIF('11.1.Амортиз.нови активи'!$B$12:$B$59,$B117,'11.1.Амортиз.нови активи'!K$12:K$59)+('9.Инвестиционна програма'!L$130*SUMIF('11.1.Амортиз.нови активи'!$B$12:$B$59,$B117,'11.1.Амортиз.нови активи'!AT$12:AT$59))</f>
        <v>497</v>
      </c>
      <c r="L117" s="448">
        <v>0</v>
      </c>
      <c r="M117" s="2971">
        <f>L117+SUMIF('11.1.Амортиз.нови активи'!$B$12:$B$59,$B117,'11.1.Амортиз.нови активи'!M$12:M$59)+('9.Инвестиционна програма'!G$131*SUMIF('11.1.Амортиз.нови активи'!$B$12:$B$59,$B117,'11.1.Амортиз.нови активи'!AO$12:AO$59))</f>
        <v>0</v>
      </c>
      <c r="N117" s="1226">
        <f>M117+SUMIF('11.1.Амортиз.нови активи'!$B$12:$B$59,$B117,'11.1.Амортиз.нови активи'!N$12:N$59)+('9.Инвестиционна програма'!H$131*SUMIF('11.1.Амортиз.нови активи'!$B$12:$B$59,$B117,'11.1.Амортиз.нови активи'!AP$12:AP$59))</f>
        <v>0</v>
      </c>
      <c r="O117" s="1226">
        <f>N117+SUMIF('11.1.Амортиз.нови активи'!$B$12:$B$59,$B117,'11.1.Амортиз.нови активи'!O$12:O$59)+('9.Инвестиционна програма'!I$131*SUMIF('11.1.Амортиз.нови активи'!$B$12:$B$59,$B117,'11.1.Амортиз.нови активи'!AQ$12:AQ$59))</f>
        <v>0</v>
      </c>
      <c r="P117" s="1226">
        <f>O117+SUMIF('11.1.Амортиз.нови активи'!$B$12:$B$59,$B117,'11.1.Амортиз.нови активи'!P$12:P$59)+('9.Инвестиционна програма'!J$131*SUMIF('11.1.Амортиз.нови активи'!$B$12:$B$59,$B117,'11.1.Амортиз.нови активи'!AR$12:AR$59))</f>
        <v>0</v>
      </c>
      <c r="Q117" s="1226">
        <f>P117+SUMIF('11.1.Амортиз.нови активи'!$B$12:$B$59,$B117,'11.1.Амортиз.нови активи'!Q$12:Q$59)+('9.Инвестиционна програма'!K$131*SUMIF('11.1.Амортиз.нови активи'!$B$12:$B$59,$B117,'11.1.Амортиз.нови активи'!AS$12:AS$59))</f>
        <v>0</v>
      </c>
      <c r="R117" s="2972">
        <f>Q117+SUMIF('11.1.Амортиз.нови активи'!$B$12:$B$59,$B117,'11.1.Амортиз.нови активи'!R$12:R$59)+('9.Инвестиционна програма'!L$131*SUMIF('11.1.Амортиз.нови активи'!$B$12:$B$59,$B117,'11.1.Амортиз.нови активи'!AT$12:AT$59))</f>
        <v>0</v>
      </c>
      <c r="S117" s="448">
        <v>0</v>
      </c>
      <c r="T117" s="2971">
        <f>S117+SUMIF('11.1.Амортиз.нови активи'!$B$12:$B$59,$B117,'11.1.Амортиз.нови активи'!T$12:T$59)+('9.Инвестиционна програма'!G$132*SUMIF('11.1.Амортиз.нови активи'!$B$12:$B$59,$B117,'11.1.Амортиз.нови активи'!AO$12:AO$59))</f>
        <v>0</v>
      </c>
      <c r="U117" s="1226">
        <f>T117+SUMIF('11.1.Амортиз.нови активи'!$B$12:$B$59,$B117,'11.1.Амортиз.нови активи'!U$12:U$59)+('9.Инвестиционна програма'!H$132*SUMIF('11.1.Амортиз.нови активи'!$B$12:$B$59,$B117,'11.1.Амортиз.нови активи'!AP$12:AP$59))</f>
        <v>0</v>
      </c>
      <c r="V117" s="1226">
        <f>U117+SUMIF('11.1.Амортиз.нови активи'!$B$12:$B$59,$B117,'11.1.Амортиз.нови активи'!V$12:V$59)+('9.Инвестиционна програма'!I$132*SUMIF('11.1.Амортиз.нови активи'!$B$12:$B$59,$B117,'11.1.Амортиз.нови активи'!AQ$12:AQ$59))</f>
        <v>0</v>
      </c>
      <c r="W117" s="1226">
        <f>V117+SUMIF('11.1.Амортиз.нови активи'!$B$12:$B$59,$B117,'11.1.Амортиз.нови активи'!W$12:W$59)+('9.Инвестиционна програма'!J$132*SUMIF('11.1.Амортиз.нови активи'!$B$12:$B$59,$B117,'11.1.Амортиз.нови активи'!AR$12:AR$59))</f>
        <v>0</v>
      </c>
      <c r="X117" s="1226">
        <f>W117+SUMIF('11.1.Амортиз.нови активи'!$B$12:$B$59,$B117,'11.1.Амортиз.нови активи'!X$12:X$59)+('9.Инвестиционна програма'!K$132*SUMIF('11.1.Амортиз.нови активи'!$B$12:$B$59,$B117,'11.1.Амортиз.нови активи'!AS$12:AS$59))</f>
        <v>0</v>
      </c>
      <c r="Y117" s="2972">
        <f>X117+SUMIF('11.1.Амортиз.нови активи'!$B$12:$B$59,$B117,'11.1.Амортиз.нови активи'!Y$12:Y$59)+('9.Инвестиционна програма'!L$132*SUMIF('11.1.Амортиз.нови активи'!$B$12:$B$59,$B117,'11.1.Амортиз.нови активи'!AT$12:AT$59))</f>
        <v>0</v>
      </c>
      <c r="Z117" s="448">
        <v>0</v>
      </c>
      <c r="AA117" s="2971">
        <f>Z117+SUMIF('11.1.Амортиз.нови активи'!$B$12:$B$59,$B117,'11.1.Амортиз.нови активи'!AA$12:AA$59)</f>
        <v>0</v>
      </c>
      <c r="AB117" s="1226">
        <f>AA117+SUMIF('11.1.Амортиз.нови активи'!$B$12:$B$59,$B117,'11.1.Амортиз.нови активи'!AB$12:AB$59)</f>
        <v>0</v>
      </c>
      <c r="AC117" s="1226">
        <f>AB117+SUMIF('11.1.Амортиз.нови активи'!$B$12:$B$59,$B117,'11.1.Амортиз.нови активи'!AC$12:AC$59)</f>
        <v>0</v>
      </c>
      <c r="AD117" s="1226">
        <f>AC117+SUMIF('11.1.Амортиз.нови активи'!$B$12:$B$59,$B117,'11.1.Амортиз.нови активи'!AD$12:AD$59)</f>
        <v>0</v>
      </c>
      <c r="AE117" s="1226">
        <f>AD117+SUMIF('11.1.Амортиз.нови активи'!$B$12:$B$59,$B117,'11.1.Амортиз.нови активи'!AE$12:AE$59)</f>
        <v>0</v>
      </c>
      <c r="AF117" s="2972">
        <f>AE117+SUMIF('11.1.Амортиз.нови активи'!$B$12:$B$59,$B117,'11.1.Амортиз.нови активи'!AF$12:AF$59)</f>
        <v>0</v>
      </c>
      <c r="AG117" s="448"/>
      <c r="AH117" s="2971">
        <f>AG117+SUMIF('11.1.Амортиз.нови активи'!$B$12:$B$59,$B117,'11.1.Амортиз.нови активи'!AH$12:AH$59)</f>
        <v>0</v>
      </c>
      <c r="AI117" s="1226">
        <f>AH117+SUMIF('11.1.Амортиз.нови активи'!$B$12:$B$59,$B117,'11.1.Амортиз.нови активи'!AI$12:AI$59)</f>
        <v>0</v>
      </c>
      <c r="AJ117" s="1226">
        <f>AI117+SUMIF('11.1.Амортиз.нови активи'!$B$12:$B$59,$B117,'11.1.Амортиз.нови активи'!AJ$12:AJ$59)</f>
        <v>0</v>
      </c>
      <c r="AK117" s="1226">
        <f>AJ117+SUMIF('11.1.Амортиз.нови активи'!$B$12:$B$59,$B117,'11.1.Амортиз.нови активи'!AK$12:AK$59)</f>
        <v>0</v>
      </c>
      <c r="AL117" s="1226">
        <f>AK117+SUMIF('11.1.Амортиз.нови активи'!$B$12:$B$59,$B117,'11.1.Амортиз.нови активи'!AL$12:AL$59)</f>
        <v>0</v>
      </c>
      <c r="AM117" s="2972">
        <f>AL117+SUMIF('11.1.Амортиз.нови активи'!$B$12:$B$59,$B117,'11.1.Амортиз.нови активи'!AM$12:AM$59)</f>
        <v>0</v>
      </c>
      <c r="AN117" s="2860"/>
      <c r="AO117" s="2898"/>
      <c r="AP117" s="1426"/>
    </row>
    <row r="118" spans="1:42" s="1422" customFormat="1">
      <c r="A118" s="2862">
        <v>7</v>
      </c>
      <c r="B118" s="2863">
        <v>2030503</v>
      </c>
      <c r="C118" s="2869">
        <v>0.1</v>
      </c>
      <c r="D118" s="2899" t="s">
        <v>720</v>
      </c>
      <c r="E118" s="448">
        <v>40</v>
      </c>
      <c r="F118" s="2971">
        <f>E118+SUMIF('11.1.Амортиз.нови активи'!$B$12:$B$59,$B118,'11.1.Амортиз.нови активи'!F$12:F$59)+('9.Инвестиционна програма'!G$130*SUMIF('11.1.Амортиз.нови активи'!$B$12:$B$59,$B118,'11.1.Амортиз.нови активи'!AO$12:AO$59))</f>
        <v>52</v>
      </c>
      <c r="G118" s="1226">
        <f>F118+SUMIF('11.1.Амортиз.нови активи'!$B$12:$B$59,$B118,'11.1.Амортиз.нови активи'!G$12:G$59)+('9.Инвестиционна програма'!H$130*SUMIF('11.1.Амортиз.нови активи'!$B$12:$B$59,$B118,'11.1.Амортиз.нови активи'!AP$12:AP$59))</f>
        <v>52</v>
      </c>
      <c r="H118" s="1226">
        <f>G118+SUMIF('11.1.Амортиз.нови активи'!$B$12:$B$59,$B118,'11.1.Амортиз.нови активи'!H$12:H$59)+('9.Инвестиционна програма'!I$130*SUMIF('11.1.Амортиз.нови активи'!$B$12:$B$59,$B118,'11.1.Амортиз.нови активи'!AQ$12:AQ$59))</f>
        <v>57</v>
      </c>
      <c r="I118" s="1226">
        <f>H118+SUMIF('11.1.Амортиз.нови активи'!$B$12:$B$59,$B118,'11.1.Амортиз.нови активи'!I$12:I$59)+('9.Инвестиционна програма'!J$130*SUMIF('11.1.Амортиз.нови активи'!$B$12:$B$59,$B118,'11.1.Амортиз.нови активи'!AR$12:AR$59))</f>
        <v>62</v>
      </c>
      <c r="J118" s="1226">
        <f>I118+SUMIF('11.1.Амортиз.нови активи'!$B$12:$B$59,$B118,'11.1.Амортиз.нови активи'!J$12:J$59)+('9.Инвестиционна програма'!K$130*SUMIF('11.1.Амортиз.нови активи'!$B$12:$B$59,$B118,'11.1.Амортиз.нови активи'!AS$12:AS$59))</f>
        <v>67</v>
      </c>
      <c r="K118" s="2972">
        <f>J118+SUMIF('11.1.Амортиз.нови активи'!$B$12:$B$59,$B118,'11.1.Амортиз.нови активи'!K$12:K$59)+('9.Инвестиционна програма'!L$130*SUMIF('11.1.Амортиз.нови активи'!$B$12:$B$59,$B118,'11.1.Амортиз.нови активи'!AT$12:AT$59))</f>
        <v>72</v>
      </c>
      <c r="L118" s="448">
        <v>0</v>
      </c>
      <c r="M118" s="2971">
        <f>L118+SUMIF('11.1.Амортиз.нови активи'!$B$12:$B$59,$B118,'11.1.Амортиз.нови активи'!M$12:M$59)+('9.Инвестиционна програма'!G$131*SUMIF('11.1.Амортиз.нови активи'!$B$12:$B$59,$B118,'11.1.Амортиз.нови активи'!AO$12:AO$59))</f>
        <v>0</v>
      </c>
      <c r="N118" s="1226">
        <f>M118+SUMIF('11.1.Амортиз.нови активи'!$B$12:$B$59,$B118,'11.1.Амортиз.нови активи'!N$12:N$59)+('9.Инвестиционна програма'!H$131*SUMIF('11.1.Амортиз.нови активи'!$B$12:$B$59,$B118,'11.1.Амортиз.нови активи'!AP$12:AP$59))</f>
        <v>0</v>
      </c>
      <c r="O118" s="1226">
        <f>N118+SUMIF('11.1.Амортиз.нови активи'!$B$12:$B$59,$B118,'11.1.Амортиз.нови активи'!O$12:O$59)+('9.Инвестиционна програма'!I$131*SUMIF('11.1.Амортиз.нови активи'!$B$12:$B$59,$B118,'11.1.Амортиз.нови активи'!AQ$12:AQ$59))</f>
        <v>10</v>
      </c>
      <c r="P118" s="1226">
        <f>O118+SUMIF('11.1.Амортиз.нови активи'!$B$12:$B$59,$B118,'11.1.Амортиз.нови активи'!P$12:P$59)+('9.Инвестиционна програма'!J$131*SUMIF('11.1.Амортиз.нови активи'!$B$12:$B$59,$B118,'11.1.Амортиз.нови активи'!AR$12:AR$59))</f>
        <v>16</v>
      </c>
      <c r="Q118" s="1226">
        <f>P118+SUMIF('11.1.Амортиз.нови активи'!$B$12:$B$59,$B118,'11.1.Амортиз.нови активи'!Q$12:Q$59)+('9.Инвестиционна програма'!K$131*SUMIF('11.1.Амортиз.нови активи'!$B$12:$B$59,$B118,'11.1.Амортиз.нови активи'!AS$12:AS$59))</f>
        <v>16</v>
      </c>
      <c r="R118" s="2972">
        <f>Q118+SUMIF('11.1.Амортиз.нови активи'!$B$12:$B$59,$B118,'11.1.Амортиз.нови активи'!R$12:R$59)+('9.Инвестиционна програма'!L$131*SUMIF('11.1.Амортиз.нови активи'!$B$12:$B$59,$B118,'11.1.Амортиз.нови активи'!AT$12:AT$59))</f>
        <v>16</v>
      </c>
      <c r="S118" s="448">
        <v>0</v>
      </c>
      <c r="T118" s="2971">
        <f>S118+SUMIF('11.1.Амортиз.нови активи'!$B$12:$B$59,$B118,'11.1.Амортиз.нови активи'!T$12:T$59)+('9.Инвестиционна програма'!G$132*SUMIF('11.1.Амортиз.нови активи'!$B$12:$B$59,$B118,'11.1.Амортиз.нови активи'!AO$12:AO$59))</f>
        <v>0</v>
      </c>
      <c r="U118" s="1226">
        <f>T118+SUMIF('11.1.Амортиз.нови активи'!$B$12:$B$59,$B118,'11.1.Амортиз.нови активи'!U$12:U$59)+('9.Инвестиционна програма'!H$132*SUMIF('11.1.Амортиз.нови активи'!$B$12:$B$59,$B118,'11.1.Амортиз.нови активи'!AP$12:AP$59))</f>
        <v>0</v>
      </c>
      <c r="V118" s="1226">
        <f>U118+SUMIF('11.1.Амортиз.нови активи'!$B$12:$B$59,$B118,'11.1.Амортиз.нови активи'!V$12:V$59)+('9.Инвестиционна програма'!I$132*SUMIF('11.1.Амортиз.нови активи'!$B$12:$B$59,$B118,'11.1.Амортиз.нови активи'!AQ$12:AQ$59))</f>
        <v>0</v>
      </c>
      <c r="W118" s="1226">
        <f>V118+SUMIF('11.1.Амортиз.нови активи'!$B$12:$B$59,$B118,'11.1.Амортиз.нови активи'!W$12:W$59)+('9.Инвестиционна програма'!J$132*SUMIF('11.1.Амортиз.нови активи'!$B$12:$B$59,$B118,'11.1.Амортиз.нови активи'!AR$12:AR$59))</f>
        <v>0</v>
      </c>
      <c r="X118" s="1226">
        <f>W118+SUMIF('11.1.Амортиз.нови активи'!$B$12:$B$59,$B118,'11.1.Амортиз.нови активи'!X$12:X$59)+('9.Инвестиционна програма'!K$132*SUMIF('11.1.Амортиз.нови активи'!$B$12:$B$59,$B118,'11.1.Амортиз.нови активи'!AS$12:AS$59))</f>
        <v>0</v>
      </c>
      <c r="Y118" s="2972">
        <f>X118+SUMIF('11.1.Амортиз.нови активи'!$B$12:$B$59,$B118,'11.1.Амортиз.нови активи'!Y$12:Y$59)+('9.Инвестиционна програма'!L$132*SUMIF('11.1.Амортиз.нови активи'!$B$12:$B$59,$B118,'11.1.Амортиз.нови активи'!AT$12:AT$59))</f>
        <v>0</v>
      </c>
      <c r="Z118" s="448">
        <v>0</v>
      </c>
      <c r="AA118" s="2971">
        <f>Z118+SUMIF('11.1.Амортиз.нови активи'!$B$12:$B$59,$B118,'11.1.Амортиз.нови активи'!AA$12:AA$59)</f>
        <v>0</v>
      </c>
      <c r="AB118" s="1226">
        <f>AA118+SUMIF('11.1.Амортиз.нови активи'!$B$12:$B$59,$B118,'11.1.Амортиз.нови активи'!AB$12:AB$59)</f>
        <v>0</v>
      </c>
      <c r="AC118" s="1226">
        <f>AB118+SUMIF('11.1.Амортиз.нови активи'!$B$12:$B$59,$B118,'11.1.Амортиз.нови активи'!AC$12:AC$59)</f>
        <v>0</v>
      </c>
      <c r="AD118" s="1226">
        <f>AC118+SUMIF('11.1.Амортиз.нови активи'!$B$12:$B$59,$B118,'11.1.Амортиз.нови активи'!AD$12:AD$59)</f>
        <v>0</v>
      </c>
      <c r="AE118" s="1226">
        <f>AD118+SUMIF('11.1.Амортиз.нови активи'!$B$12:$B$59,$B118,'11.1.Амортиз.нови активи'!AE$12:AE$59)</f>
        <v>0</v>
      </c>
      <c r="AF118" s="2972">
        <f>AE118+SUMIF('11.1.Амортиз.нови активи'!$B$12:$B$59,$B118,'11.1.Амортиз.нови активи'!AF$12:AF$59)</f>
        <v>0</v>
      </c>
      <c r="AG118" s="448"/>
      <c r="AH118" s="2971">
        <f>AG118+SUMIF('11.1.Амортиз.нови активи'!$B$12:$B$59,$B118,'11.1.Амортиз.нови активи'!AH$12:AH$59)</f>
        <v>0</v>
      </c>
      <c r="AI118" s="1226">
        <f>AH118+SUMIF('11.1.Амортиз.нови активи'!$B$12:$B$59,$B118,'11.1.Амортиз.нови активи'!AI$12:AI$59)</f>
        <v>0</v>
      </c>
      <c r="AJ118" s="1226">
        <f>AI118+SUMIF('11.1.Амортиз.нови активи'!$B$12:$B$59,$B118,'11.1.Амортиз.нови активи'!AJ$12:AJ$59)</f>
        <v>0</v>
      </c>
      <c r="AK118" s="1226">
        <f>AJ118+SUMIF('11.1.Амортиз.нови активи'!$B$12:$B$59,$B118,'11.1.Амортиз.нови активи'!AK$12:AK$59)</f>
        <v>0</v>
      </c>
      <c r="AL118" s="1226">
        <f>AK118+SUMIF('11.1.Амортиз.нови активи'!$B$12:$B$59,$B118,'11.1.Амортиз.нови активи'!AL$12:AL$59)</f>
        <v>0</v>
      </c>
      <c r="AM118" s="2972">
        <f>AL118+SUMIF('11.1.Амортиз.нови активи'!$B$12:$B$59,$B118,'11.1.Амортиз.нови активи'!AM$12:AM$59)</f>
        <v>0</v>
      </c>
      <c r="AN118" s="2860"/>
      <c r="AO118" s="2898"/>
      <c r="AP118" s="1426"/>
    </row>
    <row r="119" spans="1:42" s="1422" customFormat="1">
      <c r="A119" s="2862">
        <v>8</v>
      </c>
      <c r="B119" s="2863">
        <v>2040101</v>
      </c>
      <c r="C119" s="2919">
        <v>0.1</v>
      </c>
      <c r="D119" s="2893" t="s">
        <v>1024</v>
      </c>
      <c r="E119" s="448">
        <v>23</v>
      </c>
      <c r="F119" s="2971">
        <f>E119+SUMIF('11.1.Амортиз.нови активи'!$B$12:$B$59,$B119,'11.1.Амортиз.нови активи'!F$12:F$59)+('9.Инвестиционна програма'!G$130*SUMIF('11.1.Амортиз.нови активи'!$B$12:$B$59,$B119,'11.1.Амортиз.нови активи'!AO$12:AO$59))</f>
        <v>23</v>
      </c>
      <c r="G119" s="1226">
        <f>F119+SUMIF('11.1.Амортиз.нови активи'!$B$12:$B$59,$B119,'11.1.Амортиз.нови активи'!G$12:G$59)+('9.Инвестиционна програма'!H$130*SUMIF('11.1.Амортиз.нови активи'!$B$12:$B$59,$B119,'11.1.Амортиз.нови активи'!AP$12:AP$59))</f>
        <v>23</v>
      </c>
      <c r="H119" s="1226">
        <f>G119+SUMIF('11.1.Амортиз.нови активи'!$B$12:$B$59,$B119,'11.1.Амортиз.нови активи'!H$12:H$59)+('9.Инвестиционна програма'!I$130*SUMIF('11.1.Амортиз.нови активи'!$B$12:$B$59,$B119,'11.1.Амортиз.нови активи'!AQ$12:AQ$59))</f>
        <v>23</v>
      </c>
      <c r="I119" s="1226">
        <f>H119+SUMIF('11.1.Амортиз.нови активи'!$B$12:$B$59,$B119,'11.1.Амортиз.нови активи'!I$12:I$59)+('9.Инвестиционна програма'!J$130*SUMIF('11.1.Амортиз.нови активи'!$B$12:$B$59,$B119,'11.1.Амортиз.нови активи'!AR$12:AR$59))</f>
        <v>23</v>
      </c>
      <c r="J119" s="1226">
        <f>I119+SUMIF('11.1.Амортиз.нови активи'!$B$12:$B$59,$B119,'11.1.Амортиз.нови активи'!J$12:J$59)+('9.Инвестиционна програма'!K$130*SUMIF('11.1.Амортиз.нови активи'!$B$12:$B$59,$B119,'11.1.Амортиз.нови активи'!AS$12:AS$59))</f>
        <v>23</v>
      </c>
      <c r="K119" s="2972">
        <f>J119+SUMIF('11.1.Амортиз.нови активи'!$B$12:$B$59,$B119,'11.1.Амортиз.нови активи'!K$12:K$59)+('9.Инвестиционна програма'!L$130*SUMIF('11.1.Амортиз.нови активи'!$B$12:$B$59,$B119,'11.1.Амортиз.нови активи'!AT$12:AT$59))</f>
        <v>23</v>
      </c>
      <c r="L119" s="448">
        <v>0</v>
      </c>
      <c r="M119" s="2971">
        <f>L119+SUMIF('11.1.Амортиз.нови активи'!$B$12:$B$59,$B119,'11.1.Амортиз.нови активи'!M$12:M$59)+('9.Инвестиционна програма'!G$131*SUMIF('11.1.Амортиз.нови активи'!$B$12:$B$59,$B119,'11.1.Амортиз.нови активи'!AO$12:AO$59))</f>
        <v>0</v>
      </c>
      <c r="N119" s="1226">
        <f>M119+SUMIF('11.1.Амортиз.нови активи'!$B$12:$B$59,$B119,'11.1.Амортиз.нови активи'!N$12:N$59)+('9.Инвестиционна програма'!H$131*SUMIF('11.1.Амортиз.нови активи'!$B$12:$B$59,$B119,'11.1.Амортиз.нови активи'!AP$12:AP$59))</f>
        <v>0</v>
      </c>
      <c r="O119" s="1226">
        <f>N119+SUMIF('11.1.Амортиз.нови активи'!$B$12:$B$59,$B119,'11.1.Амортиз.нови активи'!O$12:O$59)+('9.Инвестиционна програма'!I$131*SUMIF('11.1.Амортиз.нови активи'!$B$12:$B$59,$B119,'11.1.Амортиз.нови активи'!AQ$12:AQ$59))</f>
        <v>0</v>
      </c>
      <c r="P119" s="1226">
        <f>O119+SUMIF('11.1.Амортиз.нови активи'!$B$12:$B$59,$B119,'11.1.Амортиз.нови активи'!P$12:P$59)+('9.Инвестиционна програма'!J$131*SUMIF('11.1.Амортиз.нови активи'!$B$12:$B$59,$B119,'11.1.Амортиз.нови активи'!AR$12:AR$59))</f>
        <v>0</v>
      </c>
      <c r="Q119" s="1226">
        <f>P119+SUMIF('11.1.Амортиз.нови активи'!$B$12:$B$59,$B119,'11.1.Амортиз.нови активи'!Q$12:Q$59)+('9.Инвестиционна програма'!K$131*SUMIF('11.1.Амортиз.нови активи'!$B$12:$B$59,$B119,'11.1.Амортиз.нови активи'!AS$12:AS$59))</f>
        <v>0</v>
      </c>
      <c r="R119" s="2972">
        <f>Q119+SUMIF('11.1.Амортиз.нови активи'!$B$12:$B$59,$B119,'11.1.Амортиз.нови активи'!R$12:R$59)+('9.Инвестиционна програма'!L$131*SUMIF('11.1.Амортиз.нови активи'!$B$12:$B$59,$B119,'11.1.Амортиз.нови активи'!AT$12:AT$59))</f>
        <v>0</v>
      </c>
      <c r="S119" s="448">
        <v>2</v>
      </c>
      <c r="T119" s="2971">
        <f>S119+SUMIF('11.1.Амортиз.нови активи'!$B$12:$B$59,$B119,'11.1.Амортиз.нови активи'!T$12:T$59)+('9.Инвестиционна програма'!G$132*SUMIF('11.1.Амортиз.нови активи'!$B$12:$B$59,$B119,'11.1.Амортиз.нови активи'!AO$12:AO$59))</f>
        <v>2</v>
      </c>
      <c r="U119" s="1226">
        <f>T119+SUMIF('11.1.Амортиз.нови активи'!$B$12:$B$59,$B119,'11.1.Амортиз.нови активи'!U$12:U$59)+('9.Инвестиционна програма'!H$132*SUMIF('11.1.Амортиз.нови активи'!$B$12:$B$59,$B119,'11.1.Амортиз.нови активи'!AP$12:AP$59))</f>
        <v>2</v>
      </c>
      <c r="V119" s="1226">
        <f>U119+SUMIF('11.1.Амортиз.нови активи'!$B$12:$B$59,$B119,'11.1.Амортиз.нови активи'!V$12:V$59)+('9.Инвестиционна програма'!I$132*SUMIF('11.1.Амортиз.нови активи'!$B$12:$B$59,$B119,'11.1.Амортиз.нови активи'!AQ$12:AQ$59))</f>
        <v>2</v>
      </c>
      <c r="W119" s="1226">
        <f>V119+SUMIF('11.1.Амортиз.нови активи'!$B$12:$B$59,$B119,'11.1.Амортиз.нови активи'!W$12:W$59)+('9.Инвестиционна програма'!J$132*SUMIF('11.1.Амортиз.нови активи'!$B$12:$B$59,$B119,'11.1.Амортиз.нови активи'!AR$12:AR$59))</f>
        <v>2</v>
      </c>
      <c r="X119" s="1226">
        <f>W119+SUMIF('11.1.Амортиз.нови активи'!$B$12:$B$59,$B119,'11.1.Амортиз.нови активи'!X$12:X$59)+('9.Инвестиционна програма'!K$132*SUMIF('11.1.Амортиз.нови активи'!$B$12:$B$59,$B119,'11.1.Амортиз.нови активи'!AS$12:AS$59))</f>
        <v>2</v>
      </c>
      <c r="Y119" s="2972">
        <f>X119+SUMIF('11.1.Амортиз.нови активи'!$B$12:$B$59,$B119,'11.1.Амортиз.нови активи'!Y$12:Y$59)+('9.Инвестиционна програма'!L$132*SUMIF('11.1.Амортиз.нови активи'!$B$12:$B$59,$B119,'11.1.Амортиз.нови активи'!AT$12:AT$59))</f>
        <v>2</v>
      </c>
      <c r="Z119" s="448">
        <v>0</v>
      </c>
      <c r="AA119" s="2971">
        <f>Z119+SUMIF('11.1.Амортиз.нови активи'!$B$12:$B$59,$B119,'11.1.Амортиз.нови активи'!AA$12:AA$59)</f>
        <v>0</v>
      </c>
      <c r="AB119" s="1226">
        <f>AA119+SUMIF('11.1.Амортиз.нови активи'!$B$12:$B$59,$B119,'11.1.Амортиз.нови активи'!AB$12:AB$59)</f>
        <v>0</v>
      </c>
      <c r="AC119" s="1226">
        <f>AB119+SUMIF('11.1.Амортиз.нови активи'!$B$12:$B$59,$B119,'11.1.Амортиз.нови активи'!AC$12:AC$59)</f>
        <v>0</v>
      </c>
      <c r="AD119" s="1226">
        <f>AC119+SUMIF('11.1.Амортиз.нови активи'!$B$12:$B$59,$B119,'11.1.Амортиз.нови активи'!AD$12:AD$59)</f>
        <v>0</v>
      </c>
      <c r="AE119" s="1226">
        <f>AD119+SUMIF('11.1.Амортиз.нови активи'!$B$12:$B$59,$B119,'11.1.Амортиз.нови активи'!AE$12:AE$59)</f>
        <v>0</v>
      </c>
      <c r="AF119" s="2972">
        <f>AE119+SUMIF('11.1.Амортиз.нови активи'!$B$12:$B$59,$B119,'11.1.Амортиз.нови активи'!AF$12:AF$59)</f>
        <v>0</v>
      </c>
      <c r="AG119" s="448"/>
      <c r="AH119" s="2971">
        <f>AG119+SUMIF('11.1.Амортиз.нови активи'!$B$12:$B$59,$B119,'11.1.Амортиз.нови активи'!AH$12:AH$59)</f>
        <v>0</v>
      </c>
      <c r="AI119" s="1226">
        <f>AH119+SUMIF('11.1.Амортиз.нови активи'!$B$12:$B$59,$B119,'11.1.Амортиз.нови активи'!AI$12:AI$59)</f>
        <v>0</v>
      </c>
      <c r="AJ119" s="1226">
        <f>AI119+SUMIF('11.1.Амортиз.нови активи'!$B$12:$B$59,$B119,'11.1.Амортиз.нови активи'!AJ$12:AJ$59)</f>
        <v>0</v>
      </c>
      <c r="AK119" s="1226">
        <f>AJ119+SUMIF('11.1.Амортиз.нови активи'!$B$12:$B$59,$B119,'11.1.Амортиз.нови активи'!AK$12:AK$59)</f>
        <v>0</v>
      </c>
      <c r="AL119" s="1226">
        <f>AK119+SUMIF('11.1.Амортиз.нови активи'!$B$12:$B$59,$B119,'11.1.Амортиз.нови активи'!AL$12:AL$59)</f>
        <v>0</v>
      </c>
      <c r="AM119" s="2972">
        <f>AL119+SUMIF('11.1.Амортиз.нови активи'!$B$12:$B$59,$B119,'11.1.Амортиз.нови активи'!AM$12:AM$59)</f>
        <v>0</v>
      </c>
      <c r="AN119" s="2860"/>
      <c r="AO119" s="2898"/>
      <c r="AP119" s="1426"/>
    </row>
    <row r="120" spans="1:42" s="1422" customFormat="1">
      <c r="A120" s="2920">
        <v>9</v>
      </c>
      <c r="B120" s="2863">
        <v>2040102</v>
      </c>
      <c r="C120" s="2919">
        <v>0.04</v>
      </c>
      <c r="D120" s="2893" t="s">
        <v>437</v>
      </c>
      <c r="E120" s="448">
        <v>0</v>
      </c>
      <c r="F120" s="2971">
        <f>E120+SUMIF('11.1.Амортиз.нови активи'!$B$12:$B$59,$B120,'11.1.Амортиз.нови активи'!F$12:F$59)+('9.Инвестиционна програма'!G$130*SUMIF('11.1.Амортиз.нови активи'!$B$12:$B$59,$B120,'11.1.Амортиз.нови активи'!AO$12:AO$59))</f>
        <v>0</v>
      </c>
      <c r="G120" s="1226">
        <f>F120+SUMIF('11.1.Амортиз.нови активи'!$B$12:$B$59,$B120,'11.1.Амортиз.нови активи'!G$12:G$59)+('9.Инвестиционна програма'!H$130*SUMIF('11.1.Амортиз.нови активи'!$B$12:$B$59,$B120,'11.1.Амортиз.нови активи'!AP$12:AP$59))</f>
        <v>0</v>
      </c>
      <c r="H120" s="1226">
        <f>G120+SUMIF('11.1.Амортиз.нови активи'!$B$12:$B$59,$B120,'11.1.Амортиз.нови активи'!H$12:H$59)+('9.Инвестиционна програма'!I$130*SUMIF('11.1.Амортиз.нови активи'!$B$12:$B$59,$B120,'11.1.Амортиз.нови активи'!AQ$12:AQ$59))</f>
        <v>0</v>
      </c>
      <c r="I120" s="1226">
        <f>H120+SUMIF('11.1.Амортиз.нови активи'!$B$12:$B$59,$B120,'11.1.Амортиз.нови активи'!I$12:I$59)+('9.Инвестиционна програма'!J$130*SUMIF('11.1.Амортиз.нови активи'!$B$12:$B$59,$B120,'11.1.Амортиз.нови активи'!AR$12:AR$59))</f>
        <v>0</v>
      </c>
      <c r="J120" s="1226">
        <f>I120+SUMIF('11.1.Амортиз.нови активи'!$B$12:$B$59,$B120,'11.1.Амортиз.нови активи'!J$12:J$59)+('9.Инвестиционна програма'!K$130*SUMIF('11.1.Амортиз.нови активи'!$B$12:$B$59,$B120,'11.1.Амортиз.нови активи'!AS$12:AS$59))</f>
        <v>0</v>
      </c>
      <c r="K120" s="2972">
        <f>J120+SUMIF('11.1.Амортиз.нови активи'!$B$12:$B$59,$B120,'11.1.Амортиз.нови активи'!K$12:K$59)+('9.Инвестиционна програма'!L$130*SUMIF('11.1.Амортиз.нови активи'!$B$12:$B$59,$B120,'11.1.Амортиз.нови активи'!AT$12:AT$59))</f>
        <v>0</v>
      </c>
      <c r="L120" s="448">
        <v>0</v>
      </c>
      <c r="M120" s="2971">
        <f>L120+SUMIF('11.1.Амортиз.нови активи'!$B$12:$B$59,$B120,'11.1.Амортиз.нови активи'!M$12:M$59)+('9.Инвестиционна програма'!G$131*SUMIF('11.1.Амортиз.нови активи'!$B$12:$B$59,$B120,'11.1.Амортиз.нови активи'!AO$12:AO$59))</f>
        <v>0</v>
      </c>
      <c r="N120" s="1226">
        <f>M120+SUMIF('11.1.Амортиз.нови активи'!$B$12:$B$59,$B120,'11.1.Амортиз.нови активи'!N$12:N$59)+('9.Инвестиционна програма'!H$131*SUMIF('11.1.Амортиз.нови активи'!$B$12:$B$59,$B120,'11.1.Амортиз.нови активи'!AP$12:AP$59))</f>
        <v>0</v>
      </c>
      <c r="O120" s="1226">
        <f>N120+SUMIF('11.1.Амортиз.нови активи'!$B$12:$B$59,$B120,'11.1.Амортиз.нови активи'!O$12:O$59)+('9.Инвестиционна програма'!I$131*SUMIF('11.1.Амортиз.нови активи'!$B$12:$B$59,$B120,'11.1.Амортиз.нови активи'!AQ$12:AQ$59))</f>
        <v>0</v>
      </c>
      <c r="P120" s="1226">
        <f>O120+SUMIF('11.1.Амортиз.нови активи'!$B$12:$B$59,$B120,'11.1.Амортиз.нови активи'!P$12:P$59)+('9.Инвестиционна програма'!J$131*SUMIF('11.1.Амортиз.нови активи'!$B$12:$B$59,$B120,'11.1.Амортиз.нови активи'!AR$12:AR$59))</f>
        <v>0</v>
      </c>
      <c r="Q120" s="1226">
        <f>P120+SUMIF('11.1.Амортиз.нови активи'!$B$12:$B$59,$B120,'11.1.Амортиз.нови активи'!Q$12:Q$59)+('9.Инвестиционна програма'!K$131*SUMIF('11.1.Амортиз.нови активи'!$B$12:$B$59,$B120,'11.1.Амортиз.нови активи'!AS$12:AS$59))</f>
        <v>0</v>
      </c>
      <c r="R120" s="2972">
        <f>Q120+SUMIF('11.1.Амортиз.нови активи'!$B$12:$B$59,$B120,'11.1.Амортиз.нови активи'!R$12:R$59)+('9.Инвестиционна програма'!L$131*SUMIF('11.1.Амортиз.нови активи'!$B$12:$B$59,$B120,'11.1.Амортиз.нови активи'!AT$12:AT$59))</f>
        <v>0</v>
      </c>
      <c r="S120" s="448">
        <v>0</v>
      </c>
      <c r="T120" s="2971">
        <f>S120+SUMIF('11.1.Амортиз.нови активи'!$B$12:$B$59,$B120,'11.1.Амортиз.нови активи'!T$12:T$59)+('9.Инвестиционна програма'!G$132*SUMIF('11.1.Амортиз.нови активи'!$B$12:$B$59,$B120,'11.1.Амортиз.нови активи'!AO$12:AO$59))</f>
        <v>0</v>
      </c>
      <c r="U120" s="1226">
        <f>T120+SUMIF('11.1.Амортиз.нови активи'!$B$12:$B$59,$B120,'11.1.Амортиз.нови активи'!U$12:U$59)+('9.Инвестиционна програма'!H$132*SUMIF('11.1.Амортиз.нови активи'!$B$12:$B$59,$B120,'11.1.Амортиз.нови активи'!AP$12:AP$59))</f>
        <v>0</v>
      </c>
      <c r="V120" s="1226">
        <f>U120+SUMIF('11.1.Амортиз.нови активи'!$B$12:$B$59,$B120,'11.1.Амортиз.нови активи'!V$12:V$59)+('9.Инвестиционна програма'!I$132*SUMIF('11.1.Амортиз.нови активи'!$B$12:$B$59,$B120,'11.1.Амортиз.нови активи'!AQ$12:AQ$59))</f>
        <v>0</v>
      </c>
      <c r="W120" s="1226">
        <f>V120+SUMIF('11.1.Амортиз.нови активи'!$B$12:$B$59,$B120,'11.1.Амортиз.нови активи'!W$12:W$59)+('9.Инвестиционна програма'!J$132*SUMIF('11.1.Амортиз.нови активи'!$B$12:$B$59,$B120,'11.1.Амортиз.нови активи'!AR$12:AR$59))</f>
        <v>0</v>
      </c>
      <c r="X120" s="1226">
        <f>W120+SUMIF('11.1.Амортиз.нови активи'!$B$12:$B$59,$B120,'11.1.Амортиз.нови активи'!X$12:X$59)+('9.Инвестиционна програма'!K$132*SUMIF('11.1.Амортиз.нови активи'!$B$12:$B$59,$B120,'11.1.Амортиз.нови активи'!AS$12:AS$59))</f>
        <v>0</v>
      </c>
      <c r="Y120" s="2972">
        <f>X120+SUMIF('11.1.Амортиз.нови активи'!$B$12:$B$59,$B120,'11.1.Амортиз.нови активи'!Y$12:Y$59)+('9.Инвестиционна програма'!L$132*SUMIF('11.1.Амортиз.нови активи'!$B$12:$B$59,$B120,'11.1.Амортиз.нови активи'!AT$12:AT$59))</f>
        <v>0</v>
      </c>
      <c r="Z120" s="448">
        <v>0</v>
      </c>
      <c r="AA120" s="2971">
        <f>Z120+SUMIF('11.1.Амортиз.нови активи'!$B$12:$B$59,$B120,'11.1.Амортиз.нови активи'!AA$12:AA$59)</f>
        <v>0</v>
      </c>
      <c r="AB120" s="1226">
        <f>AA120+SUMIF('11.1.Амортиз.нови активи'!$B$12:$B$59,$B120,'11.1.Амортиз.нови активи'!AB$12:AB$59)</f>
        <v>0</v>
      </c>
      <c r="AC120" s="1226">
        <f>AB120+SUMIF('11.1.Амортиз.нови активи'!$B$12:$B$59,$B120,'11.1.Амортиз.нови активи'!AC$12:AC$59)</f>
        <v>0</v>
      </c>
      <c r="AD120" s="1226">
        <f>AC120+SUMIF('11.1.Амортиз.нови активи'!$B$12:$B$59,$B120,'11.1.Амортиз.нови активи'!AD$12:AD$59)</f>
        <v>0</v>
      </c>
      <c r="AE120" s="1226">
        <f>AD120+SUMIF('11.1.Амортиз.нови активи'!$B$12:$B$59,$B120,'11.1.Амортиз.нови активи'!AE$12:AE$59)</f>
        <v>0</v>
      </c>
      <c r="AF120" s="2972">
        <f>AE120+SUMIF('11.1.Амортиз.нови активи'!$B$12:$B$59,$B120,'11.1.Амортиз.нови активи'!AF$12:AF$59)</f>
        <v>0</v>
      </c>
      <c r="AG120" s="448"/>
      <c r="AH120" s="2971">
        <f>AG120+SUMIF('11.1.Амортиз.нови активи'!$B$12:$B$59,$B120,'11.1.Амортиз.нови активи'!AH$12:AH$59)</f>
        <v>0</v>
      </c>
      <c r="AI120" s="1226">
        <f>AH120+SUMIF('11.1.Амортиз.нови активи'!$B$12:$B$59,$B120,'11.1.Амортиз.нови активи'!AI$12:AI$59)</f>
        <v>0</v>
      </c>
      <c r="AJ120" s="1226">
        <f>AI120+SUMIF('11.1.Амортиз.нови активи'!$B$12:$B$59,$B120,'11.1.Амортиз.нови активи'!AJ$12:AJ$59)</f>
        <v>0</v>
      </c>
      <c r="AK120" s="1226">
        <f>AJ120+SUMIF('11.1.Амортиз.нови активи'!$B$12:$B$59,$B120,'11.1.Амортиз.нови активи'!AK$12:AK$59)</f>
        <v>0</v>
      </c>
      <c r="AL120" s="1226">
        <f>AK120+SUMIF('11.1.Амортиз.нови активи'!$B$12:$B$59,$B120,'11.1.Амортиз.нови активи'!AL$12:AL$59)</f>
        <v>0</v>
      </c>
      <c r="AM120" s="2972">
        <f>AL120+SUMIF('11.1.Амортиз.нови активи'!$B$12:$B$59,$B120,'11.1.Амортиз.нови активи'!AM$12:AM$59)</f>
        <v>0</v>
      </c>
      <c r="AN120" s="2860"/>
      <c r="AO120" s="2898"/>
      <c r="AP120" s="1426"/>
    </row>
    <row r="121" spans="1:42" s="1422" customFormat="1">
      <c r="A121" s="2920">
        <v>10</v>
      </c>
      <c r="B121" s="2863">
        <v>2040201</v>
      </c>
      <c r="C121" s="2864">
        <v>0.02</v>
      </c>
      <c r="D121" s="2894" t="s">
        <v>746</v>
      </c>
      <c r="E121" s="448">
        <v>0</v>
      </c>
      <c r="F121" s="2971">
        <f>E121+SUMIF('11.1.Амортиз.нови активи'!$B$12:$B$59,$B121,'11.1.Амортиз.нови активи'!F$12:F$59)+('9.Инвестиционна програма'!G$130*SUMIF('11.1.Амортиз.нови активи'!$B$12:$B$59,$B121,'11.1.Амортиз.нови активи'!AO$12:AO$59))</f>
        <v>6.3</v>
      </c>
      <c r="G121" s="1226">
        <f>F121+SUMIF('11.1.Амортиз.нови активи'!$B$12:$B$59,$B121,'11.1.Амортиз.нови активи'!G$12:G$59)+('9.Инвестиционна програма'!H$130*SUMIF('11.1.Амортиз.нови активи'!$B$12:$B$59,$B121,'11.1.Амортиз.нови активи'!AP$12:AP$59))</f>
        <v>6.3</v>
      </c>
      <c r="H121" s="1226">
        <f>G121+SUMIF('11.1.Амортиз.нови активи'!$B$12:$B$59,$B121,'11.1.Амортиз.нови активи'!H$12:H$59)+('9.Инвестиционна програма'!I$130*SUMIF('11.1.Амортиз.нови активи'!$B$12:$B$59,$B121,'11.1.Амортиз.нови активи'!AQ$12:AQ$59))</f>
        <v>6.3</v>
      </c>
      <c r="I121" s="1226">
        <f>H121+SUMIF('11.1.Амортиз.нови активи'!$B$12:$B$59,$B121,'11.1.Амортиз.нови активи'!I$12:I$59)+('9.Инвестиционна програма'!J$130*SUMIF('11.1.Амортиз.нови активи'!$B$12:$B$59,$B121,'11.1.Амортиз.нови активи'!AR$12:AR$59))</f>
        <v>6.3</v>
      </c>
      <c r="J121" s="1226">
        <f>I121+SUMIF('11.1.Амортиз.нови активи'!$B$12:$B$59,$B121,'11.1.Амортиз.нови активи'!J$12:J$59)+('9.Инвестиционна програма'!K$130*SUMIF('11.1.Амортиз.нови активи'!$B$12:$B$59,$B121,'11.1.Амортиз.нови активи'!AS$12:AS$59))</f>
        <v>6.3</v>
      </c>
      <c r="K121" s="2972">
        <f>J121+SUMIF('11.1.Амортиз.нови активи'!$B$12:$B$59,$B121,'11.1.Амортиз.нови активи'!K$12:K$59)+('9.Инвестиционна програма'!L$130*SUMIF('11.1.Амортиз.нови активи'!$B$12:$B$59,$B121,'11.1.Амортиз.нови активи'!AT$12:AT$59))</f>
        <v>6.3</v>
      </c>
      <c r="L121" s="448">
        <v>0</v>
      </c>
      <c r="M121" s="2971">
        <f>L121+SUMIF('11.1.Амортиз.нови активи'!$B$12:$B$59,$B121,'11.1.Амортиз.нови активи'!M$12:M$59)+('9.Инвестиционна програма'!G$131*SUMIF('11.1.Амортиз.нови активи'!$B$12:$B$59,$B121,'11.1.Амортиз.нови активи'!AO$12:AO$59))</f>
        <v>0</v>
      </c>
      <c r="N121" s="1226">
        <f>M121+SUMIF('11.1.Амортиз.нови активи'!$B$12:$B$59,$B121,'11.1.Амортиз.нови активи'!N$12:N$59)+('9.Инвестиционна програма'!H$131*SUMIF('11.1.Амортиз.нови активи'!$B$12:$B$59,$B121,'11.1.Амортиз.нови активи'!AP$12:AP$59))</f>
        <v>0</v>
      </c>
      <c r="O121" s="1226">
        <f>N121+SUMIF('11.1.Амортиз.нови активи'!$B$12:$B$59,$B121,'11.1.Амортиз.нови активи'!O$12:O$59)+('9.Инвестиционна програма'!I$131*SUMIF('11.1.Амортиз.нови активи'!$B$12:$B$59,$B121,'11.1.Амортиз.нови активи'!AQ$12:AQ$59))</f>
        <v>0</v>
      </c>
      <c r="P121" s="1226">
        <f>O121+SUMIF('11.1.Амортиз.нови активи'!$B$12:$B$59,$B121,'11.1.Амортиз.нови активи'!P$12:P$59)+('9.Инвестиционна програма'!J$131*SUMIF('11.1.Амортиз.нови активи'!$B$12:$B$59,$B121,'11.1.Амортиз.нови активи'!AR$12:AR$59))</f>
        <v>0</v>
      </c>
      <c r="Q121" s="1226">
        <f>P121+SUMIF('11.1.Амортиз.нови активи'!$B$12:$B$59,$B121,'11.1.Амортиз.нови активи'!Q$12:Q$59)+('9.Инвестиционна програма'!K$131*SUMIF('11.1.Амортиз.нови активи'!$B$12:$B$59,$B121,'11.1.Амортиз.нови активи'!AS$12:AS$59))</f>
        <v>0</v>
      </c>
      <c r="R121" s="2972">
        <f>Q121+SUMIF('11.1.Амортиз.нови активи'!$B$12:$B$59,$B121,'11.1.Амортиз.нови активи'!R$12:R$59)+('9.Инвестиционна програма'!L$131*SUMIF('11.1.Амортиз.нови активи'!$B$12:$B$59,$B121,'11.1.Амортиз.нови активи'!AT$12:AT$59))</f>
        <v>0</v>
      </c>
      <c r="S121" s="448">
        <v>0</v>
      </c>
      <c r="T121" s="2971">
        <f>S121+SUMIF('11.1.Амортиз.нови активи'!$B$12:$B$59,$B121,'11.1.Амортиз.нови активи'!T$12:T$59)+('9.Инвестиционна програма'!G$132*SUMIF('11.1.Амортиз.нови активи'!$B$12:$B$59,$B121,'11.1.Амортиз.нови активи'!AO$12:AO$59))</f>
        <v>0</v>
      </c>
      <c r="U121" s="1226">
        <f>T121+SUMIF('11.1.Амортиз.нови активи'!$B$12:$B$59,$B121,'11.1.Амортиз.нови активи'!U$12:U$59)+('9.Инвестиционна програма'!H$132*SUMIF('11.1.Амортиз.нови активи'!$B$12:$B$59,$B121,'11.1.Амортиз.нови активи'!AP$12:AP$59))</f>
        <v>0</v>
      </c>
      <c r="V121" s="1226">
        <f>U121+SUMIF('11.1.Амортиз.нови активи'!$B$12:$B$59,$B121,'11.1.Амортиз.нови активи'!V$12:V$59)+('9.Инвестиционна програма'!I$132*SUMIF('11.1.Амортиз.нови активи'!$B$12:$B$59,$B121,'11.1.Амортиз.нови активи'!AQ$12:AQ$59))</f>
        <v>0</v>
      </c>
      <c r="W121" s="1226">
        <f>V121+SUMIF('11.1.Амортиз.нови активи'!$B$12:$B$59,$B121,'11.1.Амортиз.нови активи'!W$12:W$59)+('9.Инвестиционна програма'!J$132*SUMIF('11.1.Амортиз.нови активи'!$B$12:$B$59,$B121,'11.1.Амортиз.нови активи'!AR$12:AR$59))</f>
        <v>0</v>
      </c>
      <c r="X121" s="1226">
        <f>W121+SUMIF('11.1.Амортиз.нови активи'!$B$12:$B$59,$B121,'11.1.Амортиз.нови активи'!X$12:X$59)+('9.Инвестиционна програма'!K$132*SUMIF('11.1.Амортиз.нови активи'!$B$12:$B$59,$B121,'11.1.Амортиз.нови активи'!AS$12:AS$59))</f>
        <v>0</v>
      </c>
      <c r="Y121" s="2972">
        <f>X121+SUMIF('11.1.Амортиз.нови активи'!$B$12:$B$59,$B121,'11.1.Амортиз.нови активи'!Y$12:Y$59)+('9.Инвестиционна програма'!L$132*SUMIF('11.1.Амортиз.нови активи'!$B$12:$B$59,$B121,'11.1.Амортиз.нови активи'!AT$12:AT$59))</f>
        <v>0</v>
      </c>
      <c r="Z121" s="448">
        <v>0</v>
      </c>
      <c r="AA121" s="2971">
        <f>Z121+SUMIF('11.1.Амортиз.нови активи'!$B$12:$B$59,$B121,'11.1.Амортиз.нови активи'!AA$12:AA$59)</f>
        <v>0</v>
      </c>
      <c r="AB121" s="1226">
        <f>AA121+SUMIF('11.1.Амортиз.нови активи'!$B$12:$B$59,$B121,'11.1.Амортиз.нови активи'!AB$12:AB$59)</f>
        <v>0</v>
      </c>
      <c r="AC121" s="1226">
        <f>AB121+SUMIF('11.1.Амортиз.нови активи'!$B$12:$B$59,$B121,'11.1.Амортиз.нови активи'!AC$12:AC$59)</f>
        <v>0</v>
      </c>
      <c r="AD121" s="1226">
        <f>AC121+SUMIF('11.1.Амортиз.нови активи'!$B$12:$B$59,$B121,'11.1.Амортиз.нови активи'!AD$12:AD$59)</f>
        <v>0</v>
      </c>
      <c r="AE121" s="1226">
        <f>AD121+SUMIF('11.1.Амортиз.нови активи'!$B$12:$B$59,$B121,'11.1.Амортиз.нови активи'!AE$12:AE$59)</f>
        <v>0</v>
      </c>
      <c r="AF121" s="2972">
        <f>AE121+SUMIF('11.1.Амортиз.нови активи'!$B$12:$B$59,$B121,'11.1.Амортиз.нови активи'!AF$12:AF$59)</f>
        <v>0</v>
      </c>
      <c r="AG121" s="448"/>
      <c r="AH121" s="2971">
        <f>AG121+SUMIF('11.1.Амортиз.нови активи'!$B$12:$B$59,$B121,'11.1.Амортиз.нови активи'!AH$12:AH$59)</f>
        <v>0</v>
      </c>
      <c r="AI121" s="1226">
        <f>AH121+SUMIF('11.1.Амортиз.нови активи'!$B$12:$B$59,$B121,'11.1.Амортиз.нови активи'!AI$12:AI$59)</f>
        <v>0</v>
      </c>
      <c r="AJ121" s="1226">
        <f>AI121+SUMIF('11.1.Амортиз.нови активи'!$B$12:$B$59,$B121,'11.1.Амортиз.нови активи'!AJ$12:AJ$59)</f>
        <v>0</v>
      </c>
      <c r="AK121" s="1226">
        <f>AJ121+SUMIF('11.1.Амортиз.нови активи'!$B$12:$B$59,$B121,'11.1.Амортиз.нови активи'!AK$12:AK$59)</f>
        <v>0</v>
      </c>
      <c r="AL121" s="1226">
        <f>AK121+SUMIF('11.1.Амортиз.нови активи'!$B$12:$B$59,$B121,'11.1.Амортиз.нови активи'!AL$12:AL$59)</f>
        <v>0</v>
      </c>
      <c r="AM121" s="2972">
        <f>AL121+SUMIF('11.1.Амортиз.нови активи'!$B$12:$B$59,$B121,'11.1.Амортиз.нови активи'!AM$12:AM$59)</f>
        <v>0</v>
      </c>
      <c r="AN121" s="2860"/>
      <c r="AO121" s="2898"/>
      <c r="AP121" s="1426"/>
    </row>
    <row r="122" spans="1:42" s="1422" customFormat="1">
      <c r="A122" s="2920">
        <v>11</v>
      </c>
      <c r="B122" s="2863">
        <v>2040202</v>
      </c>
      <c r="C122" s="2864">
        <v>0.02</v>
      </c>
      <c r="D122" s="2894" t="s">
        <v>747</v>
      </c>
      <c r="E122" s="448">
        <v>8</v>
      </c>
      <c r="F122" s="2971">
        <f>E122+SUMIF('11.1.Амортиз.нови активи'!$B$12:$B$59,$B122,'11.1.Амортиз.нови активи'!F$12:F$59)+('9.Инвестиционна програма'!G$130*SUMIF('11.1.Амортиз.нови активи'!$B$12:$B$59,$B122,'11.1.Амортиз.нови активи'!AO$12:AO$59))</f>
        <v>9.1999999999999993</v>
      </c>
      <c r="G122" s="1226">
        <f>F122+SUMIF('11.1.Амортиз.нови активи'!$B$12:$B$59,$B122,'11.1.Амортиз.нови активи'!G$12:G$59)+('9.Инвестиционна програма'!H$130*SUMIF('11.1.Амортиз.нови активи'!$B$12:$B$59,$B122,'11.1.Амортиз.нови активи'!AP$12:AP$59))</f>
        <v>10.199999999999999</v>
      </c>
      <c r="H122" s="1226">
        <f>G122+SUMIF('11.1.Амортиз.нови активи'!$B$12:$B$59,$B122,'11.1.Амортиз.нови активи'!H$12:H$59)+('9.Инвестиционна програма'!I$130*SUMIF('11.1.Амортиз.нови активи'!$B$12:$B$59,$B122,'11.1.Амортиз.нови активи'!AQ$12:AQ$59))</f>
        <v>11.2</v>
      </c>
      <c r="I122" s="1226">
        <f>H122+SUMIF('11.1.Амортиз.нови активи'!$B$12:$B$59,$B122,'11.1.Амортиз.нови активи'!I$12:I$59)+('9.Инвестиционна програма'!J$130*SUMIF('11.1.Амортиз.нови активи'!$B$12:$B$59,$B122,'11.1.Амортиз.нови активи'!AR$12:AR$59))</f>
        <v>12.2</v>
      </c>
      <c r="J122" s="1226">
        <f>I122+SUMIF('11.1.Амортиз.нови активи'!$B$12:$B$59,$B122,'11.1.Амортиз.нови активи'!J$12:J$59)+('9.Инвестиционна програма'!K$130*SUMIF('11.1.Амортиз.нови активи'!$B$12:$B$59,$B122,'11.1.Амортиз.нови активи'!AS$12:AS$59))</f>
        <v>13.2</v>
      </c>
      <c r="K122" s="2972">
        <f>J122+SUMIF('11.1.Амортиз.нови активи'!$B$12:$B$59,$B122,'11.1.Амортиз.нови активи'!K$12:K$59)+('9.Инвестиционна програма'!L$130*SUMIF('11.1.Амортиз.нови активи'!$B$12:$B$59,$B122,'11.1.Амортиз.нови активи'!AT$12:AT$59))</f>
        <v>14.2</v>
      </c>
      <c r="L122" s="448">
        <v>0</v>
      </c>
      <c r="M122" s="2971">
        <f>L122+SUMIF('11.1.Амортиз.нови активи'!$B$12:$B$59,$B122,'11.1.Амортиз.нови активи'!M$12:M$59)+('9.Инвестиционна програма'!G$131*SUMIF('11.1.Амортиз.нови активи'!$B$12:$B$59,$B122,'11.1.Амортиз.нови активи'!AO$12:AO$59))</f>
        <v>0</v>
      </c>
      <c r="N122" s="1226">
        <f>M122+SUMIF('11.1.Амортиз.нови активи'!$B$12:$B$59,$B122,'11.1.Амортиз.нови активи'!N$12:N$59)+('9.Инвестиционна програма'!H$131*SUMIF('11.1.Амортиз.нови активи'!$B$12:$B$59,$B122,'11.1.Амортиз.нови активи'!AP$12:AP$59))</f>
        <v>0</v>
      </c>
      <c r="O122" s="1226">
        <f>N122+SUMIF('11.1.Амортиз.нови активи'!$B$12:$B$59,$B122,'11.1.Амортиз.нови активи'!O$12:O$59)+('9.Инвестиционна програма'!I$131*SUMIF('11.1.Амортиз.нови активи'!$B$12:$B$59,$B122,'11.1.Амортиз.нови активи'!AQ$12:AQ$59))</f>
        <v>0</v>
      </c>
      <c r="P122" s="1226">
        <f>O122+SUMIF('11.1.Амортиз.нови активи'!$B$12:$B$59,$B122,'11.1.Амортиз.нови активи'!P$12:P$59)+('9.Инвестиционна програма'!J$131*SUMIF('11.1.Амортиз.нови активи'!$B$12:$B$59,$B122,'11.1.Амортиз.нови активи'!AR$12:AR$59))</f>
        <v>0</v>
      </c>
      <c r="Q122" s="1226">
        <f>P122+SUMIF('11.1.Амортиз.нови активи'!$B$12:$B$59,$B122,'11.1.Амортиз.нови активи'!Q$12:Q$59)+('9.Инвестиционна програма'!K$131*SUMIF('11.1.Амортиз.нови активи'!$B$12:$B$59,$B122,'11.1.Амортиз.нови активи'!AS$12:AS$59))</f>
        <v>0</v>
      </c>
      <c r="R122" s="2972">
        <f>Q122+SUMIF('11.1.Амортиз.нови активи'!$B$12:$B$59,$B122,'11.1.Амортиз.нови активи'!R$12:R$59)+('9.Инвестиционна програма'!L$131*SUMIF('11.1.Амортиз.нови активи'!$B$12:$B$59,$B122,'11.1.Амортиз.нови активи'!AT$12:AT$59))</f>
        <v>0</v>
      </c>
      <c r="S122" s="448">
        <v>0</v>
      </c>
      <c r="T122" s="2971">
        <f>S122+SUMIF('11.1.Амортиз.нови активи'!$B$12:$B$59,$B122,'11.1.Амортиз.нови активи'!T$12:T$59)+('9.Инвестиционна програма'!G$132*SUMIF('11.1.Амортиз.нови активи'!$B$12:$B$59,$B122,'11.1.Амортиз.нови активи'!AO$12:AO$59))</f>
        <v>0</v>
      </c>
      <c r="U122" s="1226">
        <f>T122+SUMIF('11.1.Амортиз.нови активи'!$B$12:$B$59,$B122,'11.1.Амортиз.нови активи'!U$12:U$59)+('9.Инвестиционна програма'!H$132*SUMIF('11.1.Амортиз.нови активи'!$B$12:$B$59,$B122,'11.1.Амортиз.нови активи'!AP$12:AP$59))</f>
        <v>0</v>
      </c>
      <c r="V122" s="1226">
        <f>U122+SUMIF('11.1.Амортиз.нови активи'!$B$12:$B$59,$B122,'11.1.Амортиз.нови активи'!V$12:V$59)+('9.Инвестиционна програма'!I$132*SUMIF('11.1.Амортиз.нови активи'!$B$12:$B$59,$B122,'11.1.Амортиз.нови активи'!AQ$12:AQ$59))</f>
        <v>0</v>
      </c>
      <c r="W122" s="1226">
        <f>V122+SUMIF('11.1.Амортиз.нови активи'!$B$12:$B$59,$B122,'11.1.Амортиз.нови активи'!W$12:W$59)+('9.Инвестиционна програма'!J$132*SUMIF('11.1.Амортиз.нови активи'!$B$12:$B$59,$B122,'11.1.Амортиз.нови активи'!AR$12:AR$59))</f>
        <v>0</v>
      </c>
      <c r="X122" s="1226">
        <f>W122+SUMIF('11.1.Амортиз.нови активи'!$B$12:$B$59,$B122,'11.1.Амортиз.нови активи'!X$12:X$59)+('9.Инвестиционна програма'!K$132*SUMIF('11.1.Амортиз.нови активи'!$B$12:$B$59,$B122,'11.1.Амортиз.нови активи'!AS$12:AS$59))</f>
        <v>0</v>
      </c>
      <c r="Y122" s="2972">
        <f>X122+SUMIF('11.1.Амортиз.нови активи'!$B$12:$B$59,$B122,'11.1.Амортиз.нови активи'!Y$12:Y$59)+('9.Инвестиционна програма'!L$132*SUMIF('11.1.Амортиз.нови активи'!$B$12:$B$59,$B122,'11.1.Амортиз.нови активи'!AT$12:AT$59))</f>
        <v>0</v>
      </c>
      <c r="Z122" s="448">
        <v>0</v>
      </c>
      <c r="AA122" s="2971">
        <f>Z122+SUMIF('11.1.Амортиз.нови активи'!$B$12:$B$59,$B122,'11.1.Амортиз.нови активи'!AA$12:AA$59)</f>
        <v>0</v>
      </c>
      <c r="AB122" s="1226">
        <f>AA122+SUMIF('11.1.Амортиз.нови активи'!$B$12:$B$59,$B122,'11.1.Амортиз.нови активи'!AB$12:AB$59)</f>
        <v>0</v>
      </c>
      <c r="AC122" s="1226">
        <f>AB122+SUMIF('11.1.Амортиз.нови активи'!$B$12:$B$59,$B122,'11.1.Амортиз.нови активи'!AC$12:AC$59)</f>
        <v>0</v>
      </c>
      <c r="AD122" s="1226">
        <f>AC122+SUMIF('11.1.Амортиз.нови активи'!$B$12:$B$59,$B122,'11.1.Амортиз.нови активи'!AD$12:AD$59)</f>
        <v>0</v>
      </c>
      <c r="AE122" s="1226">
        <f>AD122+SUMIF('11.1.Амортиз.нови активи'!$B$12:$B$59,$B122,'11.1.Амортиз.нови активи'!AE$12:AE$59)</f>
        <v>0</v>
      </c>
      <c r="AF122" s="2972">
        <f>AE122+SUMIF('11.1.Амортиз.нови активи'!$B$12:$B$59,$B122,'11.1.Амортиз.нови активи'!AF$12:AF$59)</f>
        <v>0</v>
      </c>
      <c r="AG122" s="448"/>
      <c r="AH122" s="2971">
        <f>AG122+SUMIF('11.1.Амортиз.нови активи'!$B$12:$B$59,$B122,'11.1.Амортиз.нови активи'!AH$12:AH$59)</f>
        <v>0</v>
      </c>
      <c r="AI122" s="1226">
        <f>AH122+SUMIF('11.1.Амортиз.нови активи'!$B$12:$B$59,$B122,'11.1.Амортиз.нови активи'!AI$12:AI$59)</f>
        <v>0</v>
      </c>
      <c r="AJ122" s="1226">
        <f>AI122+SUMIF('11.1.Амортиз.нови активи'!$B$12:$B$59,$B122,'11.1.Амортиз.нови активи'!AJ$12:AJ$59)</f>
        <v>0</v>
      </c>
      <c r="AK122" s="1226">
        <f>AJ122+SUMIF('11.1.Амортиз.нови активи'!$B$12:$B$59,$B122,'11.1.Амортиз.нови активи'!AK$12:AK$59)</f>
        <v>0</v>
      </c>
      <c r="AL122" s="1226">
        <f>AK122+SUMIF('11.1.Амортиз.нови активи'!$B$12:$B$59,$B122,'11.1.Амортиз.нови активи'!AL$12:AL$59)</f>
        <v>0</v>
      </c>
      <c r="AM122" s="2972">
        <f>AL122+SUMIF('11.1.Амортиз.нови активи'!$B$12:$B$59,$B122,'11.1.Амортиз.нови активи'!AM$12:AM$59)</f>
        <v>0</v>
      </c>
      <c r="AN122" s="2860"/>
      <c r="AO122" s="2898"/>
      <c r="AP122" s="1426"/>
    </row>
    <row r="123" spans="1:42" s="1422" customFormat="1">
      <c r="A123" s="2920">
        <v>12</v>
      </c>
      <c r="B123" s="2863">
        <v>2040203</v>
      </c>
      <c r="C123" s="2864">
        <v>0.02</v>
      </c>
      <c r="D123" s="2894" t="s">
        <v>423</v>
      </c>
      <c r="E123" s="448">
        <v>4</v>
      </c>
      <c r="F123" s="2971">
        <f>E123+SUMIF('11.1.Амортиз.нови активи'!$B$12:$B$59,$B123,'11.1.Амортиз.нови активи'!F$12:F$59)+('9.Инвестиционна програма'!G$130*SUMIF('11.1.Амортиз.нови активи'!$B$12:$B$59,$B123,'11.1.Амортиз.нови активи'!AO$12:AO$59))</f>
        <v>4</v>
      </c>
      <c r="G123" s="1226">
        <f>F123+SUMIF('11.1.Амортиз.нови активи'!$B$12:$B$59,$B123,'11.1.Амортиз.нови активи'!G$12:G$59)+('9.Инвестиционна програма'!H$130*SUMIF('11.1.Амортиз.нови активи'!$B$12:$B$59,$B123,'11.1.Амортиз.нови активи'!AP$12:AP$59))</f>
        <v>4</v>
      </c>
      <c r="H123" s="1226">
        <f>G123+SUMIF('11.1.Амортиз.нови активи'!$B$12:$B$59,$B123,'11.1.Амортиз.нови активи'!H$12:H$59)+('9.Инвестиционна програма'!I$130*SUMIF('11.1.Амортиз.нови активи'!$B$12:$B$59,$B123,'11.1.Амортиз.нови активи'!AQ$12:AQ$59))</f>
        <v>4</v>
      </c>
      <c r="I123" s="1226">
        <f>H123+SUMIF('11.1.Амортиз.нови активи'!$B$12:$B$59,$B123,'11.1.Амортиз.нови активи'!I$12:I$59)+('9.Инвестиционна програма'!J$130*SUMIF('11.1.Амортиз.нови активи'!$B$12:$B$59,$B123,'11.1.Амортиз.нови активи'!AR$12:AR$59))</f>
        <v>4</v>
      </c>
      <c r="J123" s="1226">
        <f>I123+SUMIF('11.1.Амортиз.нови активи'!$B$12:$B$59,$B123,'11.1.Амортиз.нови активи'!J$12:J$59)+('9.Инвестиционна програма'!K$130*SUMIF('11.1.Амортиз.нови активи'!$B$12:$B$59,$B123,'11.1.Амортиз.нови активи'!AS$12:AS$59))</f>
        <v>4</v>
      </c>
      <c r="K123" s="2972">
        <f>J123+SUMIF('11.1.Амортиз.нови активи'!$B$12:$B$59,$B123,'11.1.Амортиз.нови активи'!K$12:K$59)+('9.Инвестиционна програма'!L$130*SUMIF('11.1.Амортиз.нови активи'!$B$12:$B$59,$B123,'11.1.Амортиз.нови активи'!AT$12:AT$59))</f>
        <v>4</v>
      </c>
      <c r="L123" s="448">
        <v>0</v>
      </c>
      <c r="M123" s="2971">
        <f>L123+SUMIF('11.1.Амортиз.нови активи'!$B$12:$B$59,$B123,'11.1.Амортиз.нови активи'!M$12:M$59)+('9.Инвестиционна програма'!G$131*SUMIF('11.1.Амортиз.нови активи'!$B$12:$B$59,$B123,'11.1.Амортиз.нови активи'!AO$12:AO$59))</f>
        <v>0</v>
      </c>
      <c r="N123" s="1226">
        <f>M123+SUMIF('11.1.Амортиз.нови активи'!$B$12:$B$59,$B123,'11.1.Амортиз.нови активи'!N$12:N$59)+('9.Инвестиционна програма'!H$131*SUMIF('11.1.Амортиз.нови активи'!$B$12:$B$59,$B123,'11.1.Амортиз.нови активи'!AP$12:AP$59))</f>
        <v>0</v>
      </c>
      <c r="O123" s="1226">
        <f>N123+SUMIF('11.1.Амортиз.нови активи'!$B$12:$B$59,$B123,'11.1.Амортиз.нови активи'!O$12:O$59)+('9.Инвестиционна програма'!I$131*SUMIF('11.1.Амортиз.нови активи'!$B$12:$B$59,$B123,'11.1.Амортиз.нови активи'!AQ$12:AQ$59))</f>
        <v>0</v>
      </c>
      <c r="P123" s="1226">
        <f>O123+SUMIF('11.1.Амортиз.нови активи'!$B$12:$B$59,$B123,'11.1.Амортиз.нови активи'!P$12:P$59)+('9.Инвестиционна програма'!J$131*SUMIF('11.1.Амортиз.нови активи'!$B$12:$B$59,$B123,'11.1.Амортиз.нови активи'!AR$12:AR$59))</f>
        <v>0</v>
      </c>
      <c r="Q123" s="1226">
        <f>P123+SUMIF('11.1.Амортиз.нови активи'!$B$12:$B$59,$B123,'11.1.Амортиз.нови активи'!Q$12:Q$59)+('9.Инвестиционна програма'!K$131*SUMIF('11.1.Амортиз.нови активи'!$B$12:$B$59,$B123,'11.1.Амортиз.нови активи'!AS$12:AS$59))</f>
        <v>0</v>
      </c>
      <c r="R123" s="2972">
        <f>Q123+SUMIF('11.1.Амортиз.нови активи'!$B$12:$B$59,$B123,'11.1.Амортиз.нови активи'!R$12:R$59)+('9.Инвестиционна програма'!L$131*SUMIF('11.1.Амортиз.нови активи'!$B$12:$B$59,$B123,'11.1.Амортиз.нови активи'!AT$12:AT$59))</f>
        <v>0</v>
      </c>
      <c r="S123" s="448">
        <v>0</v>
      </c>
      <c r="T123" s="2971">
        <f>S123+SUMIF('11.1.Амортиз.нови активи'!$B$12:$B$59,$B123,'11.1.Амортиз.нови активи'!T$12:T$59)+('9.Инвестиционна програма'!G$132*SUMIF('11.1.Амортиз.нови активи'!$B$12:$B$59,$B123,'11.1.Амортиз.нови активи'!AO$12:AO$59))</f>
        <v>0</v>
      </c>
      <c r="U123" s="1226">
        <f>T123+SUMIF('11.1.Амортиз.нови активи'!$B$12:$B$59,$B123,'11.1.Амортиз.нови активи'!U$12:U$59)+('9.Инвестиционна програма'!H$132*SUMIF('11.1.Амортиз.нови активи'!$B$12:$B$59,$B123,'11.1.Амортиз.нови активи'!AP$12:AP$59))</f>
        <v>0</v>
      </c>
      <c r="V123" s="1226">
        <f>U123+SUMIF('11.1.Амортиз.нови активи'!$B$12:$B$59,$B123,'11.1.Амортиз.нови активи'!V$12:V$59)+('9.Инвестиционна програма'!I$132*SUMIF('11.1.Амортиз.нови активи'!$B$12:$B$59,$B123,'11.1.Амортиз.нови активи'!AQ$12:AQ$59))</f>
        <v>0</v>
      </c>
      <c r="W123" s="1226">
        <f>V123+SUMIF('11.1.Амортиз.нови активи'!$B$12:$B$59,$B123,'11.1.Амортиз.нови активи'!W$12:W$59)+('9.Инвестиционна програма'!J$132*SUMIF('11.1.Амортиз.нови активи'!$B$12:$B$59,$B123,'11.1.Амортиз.нови активи'!AR$12:AR$59))</f>
        <v>0</v>
      </c>
      <c r="X123" s="1226">
        <f>W123+SUMIF('11.1.Амортиз.нови активи'!$B$12:$B$59,$B123,'11.1.Амортиз.нови активи'!X$12:X$59)+('9.Инвестиционна програма'!K$132*SUMIF('11.1.Амортиз.нови активи'!$B$12:$B$59,$B123,'11.1.Амортиз.нови активи'!AS$12:AS$59))</f>
        <v>0</v>
      </c>
      <c r="Y123" s="2972">
        <f>X123+SUMIF('11.1.Амортиз.нови активи'!$B$12:$B$59,$B123,'11.1.Амортиз.нови активи'!Y$12:Y$59)+('9.Инвестиционна програма'!L$132*SUMIF('11.1.Амортиз.нови активи'!$B$12:$B$59,$B123,'11.1.Амортиз.нови активи'!AT$12:AT$59))</f>
        <v>0</v>
      </c>
      <c r="Z123" s="448">
        <v>0</v>
      </c>
      <c r="AA123" s="2971">
        <f>Z123+SUMIF('11.1.Амортиз.нови активи'!$B$12:$B$59,$B123,'11.1.Амортиз.нови активи'!AA$12:AA$59)</f>
        <v>0</v>
      </c>
      <c r="AB123" s="1226">
        <f>AA123+SUMIF('11.1.Амортиз.нови активи'!$B$12:$B$59,$B123,'11.1.Амортиз.нови активи'!AB$12:AB$59)</f>
        <v>0</v>
      </c>
      <c r="AC123" s="1226">
        <f>AB123+SUMIF('11.1.Амортиз.нови активи'!$B$12:$B$59,$B123,'11.1.Амортиз.нови активи'!AC$12:AC$59)</f>
        <v>0</v>
      </c>
      <c r="AD123" s="1226">
        <f>AC123+SUMIF('11.1.Амортиз.нови активи'!$B$12:$B$59,$B123,'11.1.Амортиз.нови активи'!AD$12:AD$59)</f>
        <v>0</v>
      </c>
      <c r="AE123" s="1226">
        <f>AD123+SUMIF('11.1.Амортиз.нови активи'!$B$12:$B$59,$B123,'11.1.Амортиз.нови активи'!AE$12:AE$59)</f>
        <v>0</v>
      </c>
      <c r="AF123" s="2972">
        <f>AE123+SUMIF('11.1.Амортиз.нови активи'!$B$12:$B$59,$B123,'11.1.Амортиз.нови активи'!AF$12:AF$59)</f>
        <v>0</v>
      </c>
      <c r="AG123" s="448"/>
      <c r="AH123" s="2971">
        <f>AG123+SUMIF('11.1.Амортиз.нови активи'!$B$12:$B$59,$B123,'11.1.Амортиз.нови активи'!AH$12:AH$59)</f>
        <v>0</v>
      </c>
      <c r="AI123" s="1226">
        <f>AH123+SUMIF('11.1.Амортиз.нови активи'!$B$12:$B$59,$B123,'11.1.Амортиз.нови активи'!AI$12:AI$59)</f>
        <v>0</v>
      </c>
      <c r="AJ123" s="1226">
        <f>AI123+SUMIF('11.1.Амортиз.нови активи'!$B$12:$B$59,$B123,'11.1.Амортиз.нови активи'!AJ$12:AJ$59)</f>
        <v>0</v>
      </c>
      <c r="AK123" s="1226">
        <f>AJ123+SUMIF('11.1.Амортиз.нови активи'!$B$12:$B$59,$B123,'11.1.Амортиз.нови активи'!AK$12:AK$59)</f>
        <v>0</v>
      </c>
      <c r="AL123" s="1226">
        <f>AK123+SUMIF('11.1.Амортиз.нови активи'!$B$12:$B$59,$B123,'11.1.Амортиз.нови активи'!AL$12:AL$59)</f>
        <v>0</v>
      </c>
      <c r="AM123" s="2972">
        <f>AL123+SUMIF('11.1.Амортиз.нови активи'!$B$12:$B$59,$B123,'11.1.Амортиз.нови активи'!AM$12:AM$59)</f>
        <v>0</v>
      </c>
      <c r="AN123" s="2860"/>
      <c r="AO123" s="2898"/>
      <c r="AP123" s="1426"/>
    </row>
    <row r="124" spans="1:42" s="1422" customFormat="1">
      <c r="A124" s="2920">
        <v>13</v>
      </c>
      <c r="B124" s="2863">
        <v>2040204</v>
      </c>
      <c r="C124" s="2864">
        <v>0.02</v>
      </c>
      <c r="D124" s="2893" t="s">
        <v>424</v>
      </c>
      <c r="E124" s="448">
        <v>4</v>
      </c>
      <c r="F124" s="2971">
        <f>E124+SUMIF('11.1.Амортиз.нови активи'!$B$12:$B$59,$B124,'11.1.Амортиз.нови активи'!F$12:F$59)+('9.Инвестиционна програма'!G$130*SUMIF('11.1.Амортиз.нови активи'!$B$12:$B$59,$B124,'11.1.Амортиз.нови активи'!AO$12:AO$59))</f>
        <v>4</v>
      </c>
      <c r="G124" s="1226">
        <f>F124+SUMIF('11.1.Амортиз.нови активи'!$B$12:$B$59,$B124,'11.1.Амортиз.нови активи'!G$12:G$59)+('9.Инвестиционна програма'!H$130*SUMIF('11.1.Амортиз.нови активи'!$B$12:$B$59,$B124,'11.1.Амортиз.нови активи'!AP$12:AP$59))</f>
        <v>4</v>
      </c>
      <c r="H124" s="1226">
        <f>G124+SUMIF('11.1.Амортиз.нови активи'!$B$12:$B$59,$B124,'11.1.Амортиз.нови активи'!H$12:H$59)+('9.Инвестиционна програма'!I$130*SUMIF('11.1.Амортиз.нови активи'!$B$12:$B$59,$B124,'11.1.Амортиз.нови активи'!AQ$12:AQ$59))</f>
        <v>4</v>
      </c>
      <c r="I124" s="1226">
        <f>H124+SUMIF('11.1.Амортиз.нови активи'!$B$12:$B$59,$B124,'11.1.Амортиз.нови активи'!I$12:I$59)+('9.Инвестиционна програма'!J$130*SUMIF('11.1.Амортиз.нови активи'!$B$12:$B$59,$B124,'11.1.Амортиз.нови активи'!AR$12:AR$59))</f>
        <v>4</v>
      </c>
      <c r="J124" s="1226">
        <f>I124+SUMIF('11.1.Амортиз.нови активи'!$B$12:$B$59,$B124,'11.1.Амортиз.нови активи'!J$12:J$59)+('9.Инвестиционна програма'!K$130*SUMIF('11.1.Амортиз.нови активи'!$B$12:$B$59,$B124,'11.1.Амортиз.нови активи'!AS$12:AS$59))</f>
        <v>4</v>
      </c>
      <c r="K124" s="2972">
        <f>J124+SUMIF('11.1.Амортиз.нови активи'!$B$12:$B$59,$B124,'11.1.Амортиз.нови активи'!K$12:K$59)+('9.Инвестиционна програма'!L$130*SUMIF('11.1.Амортиз.нови активи'!$B$12:$B$59,$B124,'11.1.Амортиз.нови активи'!AT$12:AT$59))</f>
        <v>4</v>
      </c>
      <c r="L124" s="448">
        <v>0</v>
      </c>
      <c r="M124" s="2971">
        <f>L124+SUMIF('11.1.Амортиз.нови активи'!$B$12:$B$59,$B124,'11.1.Амортиз.нови активи'!M$12:M$59)+('9.Инвестиционна програма'!G$131*SUMIF('11.1.Амортиз.нови активи'!$B$12:$B$59,$B124,'11.1.Амортиз.нови активи'!AO$12:AO$59))</f>
        <v>0</v>
      </c>
      <c r="N124" s="1226">
        <f>M124+SUMIF('11.1.Амортиз.нови активи'!$B$12:$B$59,$B124,'11.1.Амортиз.нови активи'!N$12:N$59)+('9.Инвестиционна програма'!H$131*SUMIF('11.1.Амортиз.нови активи'!$B$12:$B$59,$B124,'11.1.Амортиз.нови активи'!AP$12:AP$59))</f>
        <v>0</v>
      </c>
      <c r="O124" s="1226">
        <f>N124+SUMIF('11.1.Амортиз.нови активи'!$B$12:$B$59,$B124,'11.1.Амортиз.нови активи'!O$12:O$59)+('9.Инвестиционна програма'!I$131*SUMIF('11.1.Амортиз.нови активи'!$B$12:$B$59,$B124,'11.1.Амортиз.нови активи'!AQ$12:AQ$59))</f>
        <v>0</v>
      </c>
      <c r="P124" s="1226">
        <f>O124+SUMIF('11.1.Амортиз.нови активи'!$B$12:$B$59,$B124,'11.1.Амортиз.нови активи'!P$12:P$59)+('9.Инвестиционна програма'!J$131*SUMIF('11.1.Амортиз.нови активи'!$B$12:$B$59,$B124,'11.1.Амортиз.нови активи'!AR$12:AR$59))</f>
        <v>0</v>
      </c>
      <c r="Q124" s="1226">
        <f>P124+SUMIF('11.1.Амортиз.нови активи'!$B$12:$B$59,$B124,'11.1.Амортиз.нови активи'!Q$12:Q$59)+('9.Инвестиционна програма'!K$131*SUMIF('11.1.Амортиз.нови активи'!$B$12:$B$59,$B124,'11.1.Амортиз.нови активи'!AS$12:AS$59))</f>
        <v>0</v>
      </c>
      <c r="R124" s="2972">
        <f>Q124+SUMIF('11.1.Амортиз.нови активи'!$B$12:$B$59,$B124,'11.1.Амортиз.нови активи'!R$12:R$59)+('9.Инвестиционна програма'!L$131*SUMIF('11.1.Амортиз.нови активи'!$B$12:$B$59,$B124,'11.1.Амортиз.нови активи'!AT$12:AT$59))</f>
        <v>0</v>
      </c>
      <c r="S124" s="448">
        <v>0</v>
      </c>
      <c r="T124" s="2971">
        <f>S124+SUMIF('11.1.Амортиз.нови активи'!$B$12:$B$59,$B124,'11.1.Амортиз.нови активи'!T$12:T$59)+('9.Инвестиционна програма'!G$132*SUMIF('11.1.Амортиз.нови активи'!$B$12:$B$59,$B124,'11.1.Амортиз.нови активи'!AO$12:AO$59))</f>
        <v>0</v>
      </c>
      <c r="U124" s="1226">
        <f>T124+SUMIF('11.1.Амортиз.нови активи'!$B$12:$B$59,$B124,'11.1.Амортиз.нови активи'!U$12:U$59)+('9.Инвестиционна програма'!H$132*SUMIF('11.1.Амортиз.нови активи'!$B$12:$B$59,$B124,'11.1.Амортиз.нови активи'!AP$12:AP$59))</f>
        <v>0</v>
      </c>
      <c r="V124" s="1226">
        <f>U124+SUMIF('11.1.Амортиз.нови активи'!$B$12:$B$59,$B124,'11.1.Амортиз.нови активи'!V$12:V$59)+('9.Инвестиционна програма'!I$132*SUMIF('11.1.Амортиз.нови активи'!$B$12:$B$59,$B124,'11.1.Амортиз.нови активи'!AQ$12:AQ$59))</f>
        <v>0</v>
      </c>
      <c r="W124" s="1226">
        <f>V124+SUMIF('11.1.Амортиз.нови активи'!$B$12:$B$59,$B124,'11.1.Амортиз.нови активи'!W$12:W$59)+('9.Инвестиционна програма'!J$132*SUMIF('11.1.Амортиз.нови активи'!$B$12:$B$59,$B124,'11.1.Амортиз.нови активи'!AR$12:AR$59))</f>
        <v>0</v>
      </c>
      <c r="X124" s="1226">
        <f>W124+SUMIF('11.1.Амортиз.нови активи'!$B$12:$B$59,$B124,'11.1.Амортиз.нови активи'!X$12:X$59)+('9.Инвестиционна програма'!K$132*SUMIF('11.1.Амортиз.нови активи'!$B$12:$B$59,$B124,'11.1.Амортиз.нови активи'!AS$12:AS$59))</f>
        <v>0</v>
      </c>
      <c r="Y124" s="2972">
        <f>X124+SUMIF('11.1.Амортиз.нови активи'!$B$12:$B$59,$B124,'11.1.Амортиз.нови активи'!Y$12:Y$59)+('9.Инвестиционна програма'!L$132*SUMIF('11.1.Амортиз.нови активи'!$B$12:$B$59,$B124,'11.1.Амортиз.нови активи'!AT$12:AT$59))</f>
        <v>0</v>
      </c>
      <c r="Z124" s="448">
        <v>0</v>
      </c>
      <c r="AA124" s="2971">
        <f>Z124+SUMIF('11.1.Амортиз.нови активи'!$B$12:$B$59,$B124,'11.1.Амортиз.нови активи'!AA$12:AA$59)</f>
        <v>0</v>
      </c>
      <c r="AB124" s="1226">
        <f>AA124+SUMIF('11.1.Амортиз.нови активи'!$B$12:$B$59,$B124,'11.1.Амортиз.нови активи'!AB$12:AB$59)</f>
        <v>0</v>
      </c>
      <c r="AC124" s="1226">
        <f>AB124+SUMIF('11.1.Амортиз.нови активи'!$B$12:$B$59,$B124,'11.1.Амортиз.нови активи'!AC$12:AC$59)</f>
        <v>0</v>
      </c>
      <c r="AD124" s="1226">
        <f>AC124+SUMIF('11.1.Амортиз.нови активи'!$B$12:$B$59,$B124,'11.1.Амортиз.нови активи'!AD$12:AD$59)</f>
        <v>0</v>
      </c>
      <c r="AE124" s="1226">
        <f>AD124+SUMIF('11.1.Амортиз.нови активи'!$B$12:$B$59,$B124,'11.1.Амортиз.нови активи'!AE$12:AE$59)</f>
        <v>0</v>
      </c>
      <c r="AF124" s="2972">
        <f>AE124+SUMIF('11.1.Амортиз.нови активи'!$B$12:$B$59,$B124,'11.1.Амортиз.нови активи'!AF$12:AF$59)</f>
        <v>0</v>
      </c>
      <c r="AG124" s="448"/>
      <c r="AH124" s="2971">
        <f>AG124+SUMIF('11.1.Амортиз.нови активи'!$B$12:$B$59,$B124,'11.1.Амортиз.нови активи'!AH$12:AH$59)</f>
        <v>0</v>
      </c>
      <c r="AI124" s="1226">
        <f>AH124+SUMIF('11.1.Амортиз.нови активи'!$B$12:$B$59,$B124,'11.1.Амортиз.нови активи'!AI$12:AI$59)</f>
        <v>0</v>
      </c>
      <c r="AJ124" s="1226">
        <f>AI124+SUMIF('11.1.Амортиз.нови активи'!$B$12:$B$59,$B124,'11.1.Амортиз.нови активи'!AJ$12:AJ$59)</f>
        <v>0</v>
      </c>
      <c r="AK124" s="1226">
        <f>AJ124+SUMIF('11.1.Амортиз.нови активи'!$B$12:$B$59,$B124,'11.1.Амортиз.нови активи'!AK$12:AK$59)</f>
        <v>0</v>
      </c>
      <c r="AL124" s="1226">
        <f>AK124+SUMIF('11.1.Амортиз.нови активи'!$B$12:$B$59,$B124,'11.1.Амортиз.нови активи'!AL$12:AL$59)</f>
        <v>0</v>
      </c>
      <c r="AM124" s="2972">
        <f>AL124+SUMIF('11.1.Амортиз.нови активи'!$B$12:$B$59,$B124,'11.1.Амортиз.нови активи'!AM$12:AM$59)</f>
        <v>0</v>
      </c>
      <c r="AN124" s="2860"/>
      <c r="AO124" s="2898"/>
      <c r="AP124" s="1426"/>
    </row>
    <row r="125" spans="1:42" s="1422" customFormat="1">
      <c r="A125" s="2920">
        <v>14</v>
      </c>
      <c r="B125" s="2863">
        <v>2040205</v>
      </c>
      <c r="C125" s="2864">
        <v>0.02</v>
      </c>
      <c r="D125" s="2894" t="s">
        <v>425</v>
      </c>
      <c r="E125" s="448">
        <v>1235</v>
      </c>
      <c r="F125" s="2971">
        <f>E125+SUMIF('11.1.Амортиз.нови активи'!$B$12:$B$59,$B125,'11.1.Амортиз.нови активи'!F$12:F$59)+('9.Инвестиционна програма'!G$130*SUMIF('11.1.Амортиз.нови активи'!$B$12:$B$59,$B125,'11.1.Амортиз.нови активи'!AO$12:AO$59))</f>
        <v>1613</v>
      </c>
      <c r="G125" s="1226">
        <f>F125+SUMIF('11.1.Амортиз.нови активи'!$B$12:$B$59,$B125,'11.1.Амортиз.нови активи'!G$12:G$59)+('9.Инвестиционна програма'!H$130*SUMIF('11.1.Амортиз.нови активи'!$B$12:$B$59,$B125,'11.1.Амортиз.нови активи'!AP$12:AP$59))</f>
        <v>3052.2309999999998</v>
      </c>
      <c r="H125" s="1226">
        <f>G125+SUMIF('11.1.Амортиз.нови активи'!$B$12:$B$59,$B125,'11.1.Амортиз.нови активи'!H$12:H$59)+('9.Инвестиционна програма'!I$130*SUMIF('11.1.Амортиз.нови активи'!$B$12:$B$59,$B125,'11.1.Амортиз.нови активи'!AQ$12:AQ$59))</f>
        <v>4488.7479999999996</v>
      </c>
      <c r="I125" s="1226">
        <f>H125+SUMIF('11.1.Амортиз.нови активи'!$B$12:$B$59,$B125,'11.1.Амортиз.нови активи'!I$12:I$59)+('9.Инвестиционна програма'!J$130*SUMIF('11.1.Амортиз.нови активи'!$B$12:$B$59,$B125,'11.1.Амортиз.нови активи'!AR$12:AR$59))</f>
        <v>4785.2479999999996</v>
      </c>
      <c r="J125" s="1226">
        <f>I125+SUMIF('11.1.Амортиз.нови активи'!$B$12:$B$59,$B125,'11.1.Амортиз.нови активи'!J$12:J$59)+('9.Инвестиционна програма'!K$130*SUMIF('11.1.Амортиз.нови активи'!$B$12:$B$59,$B125,'11.1.Амортиз.нови активи'!AS$12:AS$59))</f>
        <v>4932.2479999999996</v>
      </c>
      <c r="K125" s="2972">
        <f>J125+SUMIF('11.1.Амортиз.нови активи'!$B$12:$B$59,$B125,'11.1.Амортиз.нови активи'!K$12:K$59)+('9.Инвестиционна програма'!L$130*SUMIF('11.1.Амортиз.нови активи'!$B$12:$B$59,$B125,'11.1.Амортиз.нови активи'!AT$12:AT$59))</f>
        <v>5079.2479999999996</v>
      </c>
      <c r="L125" s="448">
        <v>0</v>
      </c>
      <c r="M125" s="2971">
        <f>L125+SUMIF('11.1.Амортиз.нови активи'!$B$12:$B$59,$B125,'11.1.Амортиз.нови активи'!M$12:M$59)+('9.Инвестиционна програма'!G$131*SUMIF('11.1.Амортиз.нови активи'!$B$12:$B$59,$B125,'11.1.Амортиз.нови активи'!AO$12:AO$59))</f>
        <v>0</v>
      </c>
      <c r="N125" s="1226">
        <f>M125+SUMIF('11.1.Амортиз.нови активи'!$B$12:$B$59,$B125,'11.1.Амортиз.нови активи'!N$12:N$59)+('9.Инвестиционна програма'!H$131*SUMIF('11.1.Амортиз.нови активи'!$B$12:$B$59,$B125,'11.1.Амортиз.нови активи'!AP$12:AP$59))</f>
        <v>0</v>
      </c>
      <c r="O125" s="1226">
        <f>N125+SUMIF('11.1.Амортиз.нови активи'!$B$12:$B$59,$B125,'11.1.Амортиз.нови активи'!O$12:O$59)+('9.Инвестиционна програма'!I$131*SUMIF('11.1.Амортиз.нови активи'!$B$12:$B$59,$B125,'11.1.Амортиз.нови активи'!AQ$12:AQ$59))</f>
        <v>0</v>
      </c>
      <c r="P125" s="1226">
        <f>O125+SUMIF('11.1.Амортиз.нови активи'!$B$12:$B$59,$B125,'11.1.Амортиз.нови активи'!P$12:P$59)+('9.Инвестиционна програма'!J$131*SUMIF('11.1.Амортиз.нови активи'!$B$12:$B$59,$B125,'11.1.Амортиз.нови активи'!AR$12:AR$59))</f>
        <v>0</v>
      </c>
      <c r="Q125" s="1226">
        <f>P125+SUMIF('11.1.Амортиз.нови активи'!$B$12:$B$59,$B125,'11.1.Амортиз.нови активи'!Q$12:Q$59)+('9.Инвестиционна програма'!K$131*SUMIF('11.1.Амортиз.нови активи'!$B$12:$B$59,$B125,'11.1.Амортиз.нови активи'!AS$12:AS$59))</f>
        <v>0</v>
      </c>
      <c r="R125" s="2972">
        <f>Q125+SUMIF('11.1.Амортиз.нови активи'!$B$12:$B$59,$B125,'11.1.Амортиз.нови активи'!R$12:R$59)+('9.Инвестиционна програма'!L$131*SUMIF('11.1.Амортиз.нови активи'!$B$12:$B$59,$B125,'11.1.Амортиз.нови активи'!AT$12:AT$59))</f>
        <v>0</v>
      </c>
      <c r="S125" s="448">
        <v>0</v>
      </c>
      <c r="T125" s="2971">
        <f>S125+SUMIF('11.1.Амортиз.нови активи'!$B$12:$B$59,$B125,'11.1.Амортиз.нови активи'!T$12:T$59)+('9.Инвестиционна програма'!G$132*SUMIF('11.1.Амортиз.нови активи'!$B$12:$B$59,$B125,'11.1.Амортиз.нови активи'!AO$12:AO$59))</f>
        <v>0</v>
      </c>
      <c r="U125" s="1226">
        <f>T125+SUMIF('11.1.Амортиз.нови активи'!$B$12:$B$59,$B125,'11.1.Амортиз.нови активи'!U$12:U$59)+('9.Инвестиционна програма'!H$132*SUMIF('11.1.Амортиз.нови активи'!$B$12:$B$59,$B125,'11.1.Амортиз.нови активи'!AP$12:AP$59))</f>
        <v>0</v>
      </c>
      <c r="V125" s="1226">
        <f>U125+SUMIF('11.1.Амортиз.нови активи'!$B$12:$B$59,$B125,'11.1.Амортиз.нови активи'!V$12:V$59)+('9.Инвестиционна програма'!I$132*SUMIF('11.1.Амортиз.нови активи'!$B$12:$B$59,$B125,'11.1.Амортиз.нови активи'!AQ$12:AQ$59))</f>
        <v>0</v>
      </c>
      <c r="W125" s="1226">
        <f>V125+SUMIF('11.1.Амортиз.нови активи'!$B$12:$B$59,$B125,'11.1.Амортиз.нови активи'!W$12:W$59)+('9.Инвестиционна програма'!J$132*SUMIF('11.1.Амортиз.нови активи'!$B$12:$B$59,$B125,'11.1.Амортиз.нови активи'!AR$12:AR$59))</f>
        <v>0</v>
      </c>
      <c r="X125" s="1226">
        <f>W125+SUMIF('11.1.Амортиз.нови активи'!$B$12:$B$59,$B125,'11.1.Амортиз.нови активи'!X$12:X$59)+('9.Инвестиционна програма'!K$132*SUMIF('11.1.Амортиз.нови активи'!$B$12:$B$59,$B125,'11.1.Амортиз.нови активи'!AS$12:AS$59))</f>
        <v>0</v>
      </c>
      <c r="Y125" s="2972">
        <f>X125+SUMIF('11.1.Амортиз.нови активи'!$B$12:$B$59,$B125,'11.1.Амортиз.нови активи'!Y$12:Y$59)+('9.Инвестиционна програма'!L$132*SUMIF('11.1.Амортиз.нови активи'!$B$12:$B$59,$B125,'11.1.Амортиз.нови активи'!AT$12:AT$59))</f>
        <v>0</v>
      </c>
      <c r="Z125" s="448">
        <v>0</v>
      </c>
      <c r="AA125" s="2971">
        <f>Z125+SUMIF('11.1.Амортиз.нови активи'!$B$12:$B$59,$B125,'11.1.Амортиз.нови активи'!AA$12:AA$59)</f>
        <v>0</v>
      </c>
      <c r="AB125" s="1226">
        <f>AA125+SUMIF('11.1.Амортиз.нови активи'!$B$12:$B$59,$B125,'11.1.Амортиз.нови активи'!AB$12:AB$59)</f>
        <v>0</v>
      </c>
      <c r="AC125" s="1226">
        <f>AB125+SUMIF('11.1.Амортиз.нови активи'!$B$12:$B$59,$B125,'11.1.Амортиз.нови активи'!AC$12:AC$59)</f>
        <v>0</v>
      </c>
      <c r="AD125" s="1226">
        <f>AC125+SUMIF('11.1.Амортиз.нови активи'!$B$12:$B$59,$B125,'11.1.Амортиз.нови активи'!AD$12:AD$59)</f>
        <v>0</v>
      </c>
      <c r="AE125" s="1226">
        <f>AD125+SUMIF('11.1.Амортиз.нови активи'!$B$12:$B$59,$B125,'11.1.Амортиз.нови активи'!AE$12:AE$59)</f>
        <v>0</v>
      </c>
      <c r="AF125" s="2972">
        <f>AE125+SUMIF('11.1.Амортиз.нови активи'!$B$12:$B$59,$B125,'11.1.Амортиз.нови активи'!AF$12:AF$59)</f>
        <v>0</v>
      </c>
      <c r="AG125" s="448"/>
      <c r="AH125" s="2971">
        <f>AG125+SUMIF('11.1.Амортиз.нови активи'!$B$12:$B$59,$B125,'11.1.Амортиз.нови активи'!AH$12:AH$59)</f>
        <v>0</v>
      </c>
      <c r="AI125" s="1226">
        <f>AH125+SUMIF('11.1.Амортиз.нови активи'!$B$12:$B$59,$B125,'11.1.Амортиз.нови активи'!AI$12:AI$59)</f>
        <v>0</v>
      </c>
      <c r="AJ125" s="1226">
        <f>AI125+SUMIF('11.1.Амортиз.нови активи'!$B$12:$B$59,$B125,'11.1.Амортиз.нови активи'!AJ$12:AJ$59)</f>
        <v>0</v>
      </c>
      <c r="AK125" s="1226">
        <f>AJ125+SUMIF('11.1.Амортиз.нови активи'!$B$12:$B$59,$B125,'11.1.Амортиз.нови активи'!AK$12:AK$59)</f>
        <v>0</v>
      </c>
      <c r="AL125" s="1226">
        <f>AK125+SUMIF('11.1.Амортиз.нови активи'!$B$12:$B$59,$B125,'11.1.Амортиз.нови активи'!AL$12:AL$59)</f>
        <v>0</v>
      </c>
      <c r="AM125" s="2972">
        <f>AL125+SUMIF('11.1.Амортиз.нови активи'!$B$12:$B$59,$B125,'11.1.Амортиз.нови активи'!AM$12:AM$59)</f>
        <v>0</v>
      </c>
      <c r="AN125" s="2860"/>
      <c r="AO125" s="2898"/>
      <c r="AP125" s="1426"/>
    </row>
    <row r="126" spans="1:42" s="1422" customFormat="1">
      <c r="A126" s="2920">
        <v>15</v>
      </c>
      <c r="B126" s="2863">
        <v>2040206</v>
      </c>
      <c r="C126" s="2864">
        <v>0.02</v>
      </c>
      <c r="D126" s="2899" t="s">
        <v>426</v>
      </c>
      <c r="E126" s="448">
        <v>0</v>
      </c>
      <c r="F126" s="2971">
        <f>E126+SUMIF('11.1.Амортиз.нови активи'!$B$12:$B$59,$B126,'11.1.Амортиз.нови активи'!F$12:F$59)+('9.Инвестиционна програма'!G$130*SUMIF('11.1.Амортиз.нови активи'!$B$12:$B$59,$B126,'11.1.Амортиз.нови активи'!AO$12:AO$59))</f>
        <v>0</v>
      </c>
      <c r="G126" s="1226">
        <f>F126+SUMIF('11.1.Амортиз.нови активи'!$B$12:$B$59,$B126,'11.1.Амортиз.нови активи'!G$12:G$59)+('9.Инвестиционна програма'!H$130*SUMIF('11.1.Амортиз.нови активи'!$B$12:$B$59,$B126,'11.1.Амортиз.нови активи'!AP$12:AP$59))</f>
        <v>0</v>
      </c>
      <c r="H126" s="1226">
        <f>G126+SUMIF('11.1.Амортиз.нови активи'!$B$12:$B$59,$B126,'11.1.Амортиз.нови активи'!H$12:H$59)+('9.Инвестиционна програма'!I$130*SUMIF('11.1.Амортиз.нови активи'!$B$12:$B$59,$B126,'11.1.Амортиз.нови активи'!AQ$12:AQ$59))</f>
        <v>0</v>
      </c>
      <c r="I126" s="1226">
        <f>H126+SUMIF('11.1.Амортиз.нови активи'!$B$12:$B$59,$B126,'11.1.Амортиз.нови активи'!I$12:I$59)+('9.Инвестиционна програма'!J$130*SUMIF('11.1.Амортиз.нови активи'!$B$12:$B$59,$B126,'11.1.Амортиз.нови активи'!AR$12:AR$59))</f>
        <v>0</v>
      </c>
      <c r="J126" s="1226">
        <f>I126+SUMIF('11.1.Амортиз.нови активи'!$B$12:$B$59,$B126,'11.1.Амортиз.нови активи'!J$12:J$59)+('9.Инвестиционна програма'!K$130*SUMIF('11.1.Амортиз.нови активи'!$B$12:$B$59,$B126,'11.1.Амортиз.нови активи'!AS$12:AS$59))</f>
        <v>0</v>
      </c>
      <c r="K126" s="2972">
        <f>J126+SUMIF('11.1.Амортиз.нови активи'!$B$12:$B$59,$B126,'11.1.Амортиз.нови активи'!K$12:K$59)+('9.Инвестиционна програма'!L$130*SUMIF('11.1.Амортиз.нови активи'!$B$12:$B$59,$B126,'11.1.Амортиз.нови активи'!AT$12:AT$59))</f>
        <v>0</v>
      </c>
      <c r="L126" s="448">
        <v>151</v>
      </c>
      <c r="M126" s="2971">
        <f>L126+SUMIF('11.1.Амортиз.нови активи'!$B$12:$B$59,$B126,'11.1.Амортиз.нови активи'!M$12:M$59)+('9.Инвестиционна програма'!G$131*SUMIF('11.1.Амортиз.нови активи'!$B$12:$B$59,$B126,'11.1.Амортиз.нови активи'!AO$12:AO$59))</f>
        <v>246</v>
      </c>
      <c r="N126" s="1226">
        <f>M126+SUMIF('11.1.Амортиз.нови активи'!$B$12:$B$59,$B126,'11.1.Амортиз.нови активи'!N$12:N$59)+('9.Инвестиционна програма'!H$131*SUMIF('11.1.Амортиз.нови активи'!$B$12:$B$59,$B126,'11.1.Амортиз.нови активи'!AP$12:AP$59))</f>
        <v>726.34</v>
      </c>
      <c r="O126" s="1226">
        <f>N126+SUMIF('11.1.Амортиз.нови активи'!$B$12:$B$59,$B126,'11.1.Амортиз.нови активи'!O$12:O$59)+('9.Инвестиционна програма'!I$131*SUMIF('11.1.Амортиз.нови активи'!$B$12:$B$59,$B126,'11.1.Амортиз.нови активи'!AQ$12:AQ$59))</f>
        <v>3330.9290000000005</v>
      </c>
      <c r="P126" s="1226">
        <f>O126+SUMIF('11.1.Амортиз.нови активи'!$B$12:$B$59,$B126,'11.1.Амортиз.нови активи'!P$12:P$59)+('9.Инвестиционна програма'!J$131*SUMIF('11.1.Амортиз.нови активи'!$B$12:$B$59,$B126,'11.1.Амортиз.нови активи'!AR$12:AR$59))</f>
        <v>3358.5290000000005</v>
      </c>
      <c r="Q126" s="1226">
        <f>P126+SUMIF('11.1.Амортиз.нови активи'!$B$12:$B$59,$B126,'11.1.Амортиз.нови активи'!Q$12:Q$59)+('9.Инвестиционна програма'!K$131*SUMIF('11.1.Амортиз.нови активи'!$B$12:$B$59,$B126,'11.1.Амортиз.нови активи'!AS$12:AS$59))</f>
        <v>3386.4290000000005</v>
      </c>
      <c r="R126" s="2972">
        <f>Q126+SUMIF('11.1.Амортиз.нови активи'!$B$12:$B$59,$B126,'11.1.Амортиз.нови активи'!R$12:R$59)+('9.Инвестиционна програма'!L$131*SUMIF('11.1.Амортиз.нови активи'!$B$12:$B$59,$B126,'11.1.Амортиз.нови активи'!AT$12:AT$59))</f>
        <v>3415.7290000000007</v>
      </c>
      <c r="S126" s="448">
        <v>0</v>
      </c>
      <c r="T126" s="2971">
        <f>S126+SUMIF('11.1.Амортиз.нови активи'!$B$12:$B$59,$B126,'11.1.Амортиз.нови активи'!T$12:T$59)+('9.Инвестиционна програма'!G$132*SUMIF('11.1.Амортиз.нови активи'!$B$12:$B$59,$B126,'11.1.Амортиз.нови активи'!AO$12:AO$59))</f>
        <v>0</v>
      </c>
      <c r="U126" s="1226">
        <f>T126+SUMIF('11.1.Амортиз.нови активи'!$B$12:$B$59,$B126,'11.1.Амортиз.нови активи'!U$12:U$59)+('9.Инвестиционна програма'!H$132*SUMIF('11.1.Амортиз.нови активи'!$B$12:$B$59,$B126,'11.1.Амортиз.нови активи'!AP$12:AP$59))</f>
        <v>0</v>
      </c>
      <c r="V126" s="1226">
        <f>U126+SUMIF('11.1.Амортиз.нови активи'!$B$12:$B$59,$B126,'11.1.Амортиз.нови активи'!V$12:V$59)+('9.Инвестиционна програма'!I$132*SUMIF('11.1.Амортиз.нови активи'!$B$12:$B$59,$B126,'11.1.Амортиз.нови активи'!AQ$12:AQ$59))</f>
        <v>0</v>
      </c>
      <c r="W126" s="1226">
        <f>V126+SUMIF('11.1.Амортиз.нови активи'!$B$12:$B$59,$B126,'11.1.Амортиз.нови активи'!W$12:W$59)+('9.Инвестиционна програма'!J$132*SUMIF('11.1.Амортиз.нови активи'!$B$12:$B$59,$B126,'11.1.Амортиз.нови активи'!AR$12:AR$59))</f>
        <v>0</v>
      </c>
      <c r="X126" s="1226">
        <f>W126+SUMIF('11.1.Амортиз.нови активи'!$B$12:$B$59,$B126,'11.1.Амортиз.нови активи'!X$12:X$59)+('9.Инвестиционна програма'!K$132*SUMIF('11.1.Амортиз.нови активи'!$B$12:$B$59,$B126,'11.1.Амортиз.нови активи'!AS$12:AS$59))</f>
        <v>0</v>
      </c>
      <c r="Y126" s="2972">
        <f>X126+SUMIF('11.1.Амортиз.нови активи'!$B$12:$B$59,$B126,'11.1.Амортиз.нови активи'!Y$12:Y$59)+('9.Инвестиционна програма'!L$132*SUMIF('11.1.Амортиз.нови активи'!$B$12:$B$59,$B126,'11.1.Амортиз.нови активи'!AT$12:AT$59))</f>
        <v>0</v>
      </c>
      <c r="Z126" s="448">
        <v>0</v>
      </c>
      <c r="AA126" s="2971">
        <f>Z126+SUMIF('11.1.Амортиз.нови активи'!$B$12:$B$59,$B126,'11.1.Амортиз.нови активи'!AA$12:AA$59)</f>
        <v>0</v>
      </c>
      <c r="AB126" s="1226">
        <f>AA126+SUMIF('11.1.Амортиз.нови активи'!$B$12:$B$59,$B126,'11.1.Амортиз.нови активи'!AB$12:AB$59)</f>
        <v>0</v>
      </c>
      <c r="AC126" s="1226">
        <f>AB126+SUMIF('11.1.Амортиз.нови активи'!$B$12:$B$59,$B126,'11.1.Амортиз.нови активи'!AC$12:AC$59)</f>
        <v>0</v>
      </c>
      <c r="AD126" s="1226">
        <f>AC126+SUMIF('11.1.Амортиз.нови активи'!$B$12:$B$59,$B126,'11.1.Амортиз.нови активи'!AD$12:AD$59)</f>
        <v>0</v>
      </c>
      <c r="AE126" s="1226">
        <f>AD126+SUMIF('11.1.Амортиз.нови активи'!$B$12:$B$59,$B126,'11.1.Амортиз.нови активи'!AE$12:AE$59)</f>
        <v>0</v>
      </c>
      <c r="AF126" s="2972">
        <f>AE126+SUMIF('11.1.Амортиз.нови активи'!$B$12:$B$59,$B126,'11.1.Амортиз.нови активи'!AF$12:AF$59)</f>
        <v>0</v>
      </c>
      <c r="AG126" s="448"/>
      <c r="AH126" s="2971">
        <f>AG126+SUMIF('11.1.Амортиз.нови активи'!$B$12:$B$59,$B126,'11.1.Амортиз.нови активи'!AH$12:AH$59)</f>
        <v>0</v>
      </c>
      <c r="AI126" s="1226">
        <f>AH126+SUMIF('11.1.Амортиз.нови активи'!$B$12:$B$59,$B126,'11.1.Амортиз.нови активи'!AI$12:AI$59)</f>
        <v>0</v>
      </c>
      <c r="AJ126" s="1226">
        <f>AI126+SUMIF('11.1.Амортиз.нови активи'!$B$12:$B$59,$B126,'11.1.Амортиз.нови активи'!AJ$12:AJ$59)</f>
        <v>0</v>
      </c>
      <c r="AK126" s="1226">
        <f>AJ126+SUMIF('11.1.Амортиз.нови активи'!$B$12:$B$59,$B126,'11.1.Амортиз.нови активи'!AK$12:AK$59)</f>
        <v>0</v>
      </c>
      <c r="AL126" s="1226">
        <f>AK126+SUMIF('11.1.Амортиз.нови активи'!$B$12:$B$59,$B126,'11.1.Амортиз.нови активи'!AL$12:AL$59)</f>
        <v>0</v>
      </c>
      <c r="AM126" s="2972">
        <f>AL126+SUMIF('11.1.Амортиз.нови активи'!$B$12:$B$59,$B126,'11.1.Амортиз.нови активи'!AM$12:AM$59)</f>
        <v>0</v>
      </c>
      <c r="AN126" s="2860"/>
      <c r="AO126" s="2898"/>
      <c r="AP126" s="1426"/>
    </row>
    <row r="127" spans="1:42" s="1422" customFormat="1" ht="24">
      <c r="A127" s="2920">
        <v>16</v>
      </c>
      <c r="B127" s="2863">
        <v>2040207</v>
      </c>
      <c r="C127" s="2864">
        <v>0.04</v>
      </c>
      <c r="D127" s="2899" t="s">
        <v>427</v>
      </c>
      <c r="E127" s="448">
        <v>121</v>
      </c>
      <c r="F127" s="2971">
        <f>E127+SUMIF('11.1.Амортиз.нови активи'!$B$12:$B$59,$B127,'11.1.Амортиз.нови активи'!F$12:F$59)+('9.Инвестиционна програма'!G$130*SUMIF('11.1.Амортиз.нови активи'!$B$12:$B$59,$B127,'11.1.Амортиз.нови активи'!AO$12:AO$59))</f>
        <v>147</v>
      </c>
      <c r="G127" s="1226">
        <f>F127+SUMIF('11.1.Амортиз.нови активи'!$B$12:$B$59,$B127,'11.1.Амортиз.нови активи'!G$12:G$59)+('9.Инвестиционна програма'!H$130*SUMIF('11.1.Амортиз.нови активи'!$B$12:$B$59,$B127,'11.1.Амортиз.нови активи'!AP$12:AP$59))</f>
        <v>166</v>
      </c>
      <c r="H127" s="1226">
        <f>G127+SUMIF('11.1.Амортиз.нови активи'!$B$12:$B$59,$B127,'11.1.Амортиз.нови активи'!H$12:H$59)+('9.Инвестиционна програма'!I$130*SUMIF('11.1.Амортиз.нови активи'!$B$12:$B$59,$B127,'11.1.Амортиз.нови активи'!AQ$12:AQ$59))</f>
        <v>742.58100000000002</v>
      </c>
      <c r="I127" s="1226">
        <f>H127+SUMIF('11.1.Амортиз.нови активи'!$B$12:$B$59,$B127,'11.1.Амортиз.нови активи'!I$12:I$59)+('9.Инвестиционна програма'!J$130*SUMIF('11.1.Амортиз.нови активи'!$B$12:$B$59,$B127,'11.1.Амортиз.нови активи'!AR$12:AR$59))</f>
        <v>761.58100000000002</v>
      </c>
      <c r="J127" s="1226">
        <f>I127+SUMIF('11.1.Амортиз.нови активи'!$B$12:$B$59,$B127,'11.1.Амортиз.нови активи'!J$12:J$59)+('9.Инвестиционна програма'!K$130*SUMIF('11.1.Амортиз.нови активи'!$B$12:$B$59,$B127,'11.1.Амортиз.нови активи'!AS$12:AS$59))</f>
        <v>780.58100000000002</v>
      </c>
      <c r="K127" s="2972">
        <f>J127+SUMIF('11.1.Амортиз.нови активи'!$B$12:$B$59,$B127,'11.1.Амортиз.нови активи'!K$12:K$59)+('9.Инвестиционна програма'!L$130*SUMIF('11.1.Амортиз.нови активи'!$B$12:$B$59,$B127,'11.1.Амортиз.нови активи'!AT$12:AT$59))</f>
        <v>799.58100000000002</v>
      </c>
      <c r="L127" s="448">
        <v>0</v>
      </c>
      <c r="M127" s="2971">
        <f>L127+SUMIF('11.1.Амортиз.нови активи'!$B$12:$B$59,$B127,'11.1.Амортиз.нови активи'!M$12:M$59)+('9.Инвестиционна програма'!G$131*SUMIF('11.1.Амортиз.нови активи'!$B$12:$B$59,$B127,'11.1.Амортиз.нови активи'!AO$12:AO$59))</f>
        <v>0</v>
      </c>
      <c r="N127" s="1226">
        <f>M127+SUMIF('11.1.Амортиз.нови активи'!$B$12:$B$59,$B127,'11.1.Амортиз.нови активи'!N$12:N$59)+('9.Инвестиционна програма'!H$131*SUMIF('11.1.Амортиз.нови активи'!$B$12:$B$59,$B127,'11.1.Амортиз.нови активи'!AP$12:AP$59))</f>
        <v>0</v>
      </c>
      <c r="O127" s="1226">
        <f>N127+SUMIF('11.1.Амортиз.нови активи'!$B$12:$B$59,$B127,'11.1.Амортиз.нови активи'!O$12:O$59)+('9.Инвестиционна програма'!I$131*SUMIF('11.1.Амортиз.нови активи'!$B$12:$B$59,$B127,'11.1.Амортиз.нови активи'!AQ$12:AQ$59))</f>
        <v>226.346</v>
      </c>
      <c r="P127" s="1226">
        <f>O127+SUMIF('11.1.Амортиз.нови активи'!$B$12:$B$59,$B127,'11.1.Амортиз.нови активи'!P$12:P$59)+('9.Инвестиционна програма'!J$131*SUMIF('11.1.Амортиз.нови активи'!$B$12:$B$59,$B127,'11.1.Амортиз.нови активи'!AR$12:AR$59))</f>
        <v>226.346</v>
      </c>
      <c r="Q127" s="1226">
        <f>P127+SUMIF('11.1.Амортиз.нови активи'!$B$12:$B$59,$B127,'11.1.Амортиз.нови активи'!Q$12:Q$59)+('9.Инвестиционна програма'!K$131*SUMIF('11.1.Амортиз.нови активи'!$B$12:$B$59,$B127,'11.1.Амортиз.нови активи'!AS$12:AS$59))</f>
        <v>226.346</v>
      </c>
      <c r="R127" s="2972">
        <f>Q127+SUMIF('11.1.Амортиз.нови активи'!$B$12:$B$59,$B127,'11.1.Амортиз.нови активи'!R$12:R$59)+('9.Инвестиционна програма'!L$131*SUMIF('11.1.Амортиз.нови активи'!$B$12:$B$59,$B127,'11.1.Амортиз.нови активи'!AT$12:AT$59))</f>
        <v>226.346</v>
      </c>
      <c r="S127" s="448">
        <v>24</v>
      </c>
      <c r="T127" s="2971">
        <f>S127+SUMIF('11.1.Амортиз.нови активи'!$B$12:$B$59,$B127,'11.1.Амортиз.нови активи'!T$12:T$59)+('9.Инвестиционна програма'!G$132*SUMIF('11.1.Амортиз.нови активи'!$B$12:$B$59,$B127,'11.1.Амортиз.нови активи'!AO$12:AO$59))</f>
        <v>30</v>
      </c>
      <c r="U127" s="1226">
        <f>T127+SUMIF('11.1.Амортиз.нови активи'!$B$12:$B$59,$B127,'11.1.Амортиз.нови активи'!U$12:U$59)+('9.Инвестиционна програма'!H$132*SUMIF('11.1.Амортиз.нови активи'!$B$12:$B$59,$B127,'11.1.Амортиз.нови активи'!AP$12:AP$59))</f>
        <v>1085.7249999999999</v>
      </c>
      <c r="V127" s="1226">
        <f>U127+SUMIF('11.1.Амортиз.нови активи'!$B$12:$B$59,$B127,'11.1.Амортиз.нови активи'!V$12:V$59)+('9.Инвестиционна програма'!I$132*SUMIF('11.1.Амортиз.нови активи'!$B$12:$B$59,$B127,'11.1.Амортиз.нови активи'!AQ$12:AQ$59))</f>
        <v>2188.4499999999998</v>
      </c>
      <c r="W127" s="1226">
        <f>V127+SUMIF('11.1.Амортиз.нови активи'!$B$12:$B$59,$B127,'11.1.Амортиз.нови активи'!W$12:W$59)+('9.Инвестиционна програма'!J$132*SUMIF('11.1.Амортиз.нови активи'!$B$12:$B$59,$B127,'11.1.Амортиз.нови активи'!AR$12:AR$59))</f>
        <v>2239.4499999999998</v>
      </c>
      <c r="X127" s="1226">
        <f>W127+SUMIF('11.1.Амортиз.нови активи'!$B$12:$B$59,$B127,'11.1.Амортиз.нови активи'!X$12:X$59)+('9.Инвестиционна програма'!K$132*SUMIF('11.1.Амортиз.нови активи'!$B$12:$B$59,$B127,'11.1.Амортиз.нови активи'!AS$12:AS$59))</f>
        <v>2239.4499999999998</v>
      </c>
      <c r="Y127" s="2972">
        <f>X127+SUMIF('11.1.Амортиз.нови активи'!$B$12:$B$59,$B127,'11.1.Амортиз.нови активи'!Y$12:Y$59)+('9.Инвестиционна програма'!L$132*SUMIF('11.1.Амортиз.нови активи'!$B$12:$B$59,$B127,'11.1.Амортиз.нови активи'!AT$12:AT$59))</f>
        <v>2239.4499999999998</v>
      </c>
      <c r="Z127" s="448">
        <v>0</v>
      </c>
      <c r="AA127" s="2971">
        <f>Z127+SUMIF('11.1.Амортиз.нови активи'!$B$12:$B$59,$B127,'11.1.Амортиз.нови активи'!AA$12:AA$59)</f>
        <v>0</v>
      </c>
      <c r="AB127" s="1226">
        <f>AA127+SUMIF('11.1.Амортиз.нови активи'!$B$12:$B$59,$B127,'11.1.Амортиз.нови активи'!AB$12:AB$59)</f>
        <v>0</v>
      </c>
      <c r="AC127" s="1226">
        <f>AB127+SUMIF('11.1.Амортиз.нови активи'!$B$12:$B$59,$B127,'11.1.Амортиз.нови активи'!AC$12:AC$59)</f>
        <v>0</v>
      </c>
      <c r="AD127" s="1226">
        <f>AC127+SUMIF('11.1.Амортиз.нови активи'!$B$12:$B$59,$B127,'11.1.Амортиз.нови активи'!AD$12:AD$59)</f>
        <v>0</v>
      </c>
      <c r="AE127" s="1226">
        <f>AD127+SUMIF('11.1.Амортиз.нови активи'!$B$12:$B$59,$B127,'11.1.Амортиз.нови активи'!AE$12:AE$59)</f>
        <v>0</v>
      </c>
      <c r="AF127" s="2972">
        <f>AE127+SUMIF('11.1.Амортиз.нови активи'!$B$12:$B$59,$B127,'11.1.Амортиз.нови активи'!AF$12:AF$59)</f>
        <v>0</v>
      </c>
      <c r="AG127" s="448"/>
      <c r="AH127" s="2971">
        <f>AG127+SUMIF('11.1.Амортиз.нови активи'!$B$12:$B$59,$B127,'11.1.Амортиз.нови активи'!AH$12:AH$59)</f>
        <v>0</v>
      </c>
      <c r="AI127" s="1226">
        <f>AH127+SUMIF('11.1.Амортиз.нови активи'!$B$12:$B$59,$B127,'11.1.Амортиз.нови активи'!AI$12:AI$59)</f>
        <v>0</v>
      </c>
      <c r="AJ127" s="1226">
        <f>AI127+SUMIF('11.1.Амортиз.нови активи'!$B$12:$B$59,$B127,'11.1.Амортиз.нови активи'!AJ$12:AJ$59)</f>
        <v>0</v>
      </c>
      <c r="AK127" s="1226">
        <f>AJ127+SUMIF('11.1.Амортиз.нови активи'!$B$12:$B$59,$B127,'11.1.Амортиз.нови активи'!AK$12:AK$59)</f>
        <v>0</v>
      </c>
      <c r="AL127" s="1226">
        <f>AK127+SUMIF('11.1.Амортиз.нови активи'!$B$12:$B$59,$B127,'11.1.Амортиз.нови активи'!AL$12:AL$59)</f>
        <v>0</v>
      </c>
      <c r="AM127" s="2972">
        <f>AL127+SUMIF('11.1.Амортиз.нови активи'!$B$12:$B$59,$B127,'11.1.Амортиз.нови активи'!AM$12:AM$59)</f>
        <v>0</v>
      </c>
      <c r="AN127" s="2860"/>
      <c r="AO127" s="2898"/>
      <c r="AP127" s="1426"/>
    </row>
    <row r="128" spans="1:42" s="1422" customFormat="1">
      <c r="A128" s="2920">
        <v>17</v>
      </c>
      <c r="B128" s="2863">
        <v>2040208</v>
      </c>
      <c r="C128" s="2864">
        <v>0.04</v>
      </c>
      <c r="D128" s="2899" t="s">
        <v>428</v>
      </c>
      <c r="E128" s="448">
        <v>0</v>
      </c>
      <c r="F128" s="2971">
        <f>E128+SUMIF('11.1.Амортиз.нови активи'!$B$12:$B$59,$B128,'11.1.Амортиз.нови активи'!F$12:F$59)+('9.Инвестиционна програма'!G$130*SUMIF('11.1.Амортиз.нови активи'!$B$12:$B$59,$B128,'11.1.Амортиз.нови активи'!AO$12:AO$59))</f>
        <v>0</v>
      </c>
      <c r="G128" s="1226">
        <f>F128+SUMIF('11.1.Амортиз.нови активи'!$B$12:$B$59,$B128,'11.1.Амортиз.нови активи'!G$12:G$59)+('9.Инвестиционна програма'!H$130*SUMIF('11.1.Амортиз.нови активи'!$B$12:$B$59,$B128,'11.1.Амортиз.нови активи'!AP$12:AP$59))</f>
        <v>0</v>
      </c>
      <c r="H128" s="1226">
        <f>G128+SUMIF('11.1.Амортиз.нови активи'!$B$12:$B$59,$B128,'11.1.Амортиз.нови активи'!H$12:H$59)+('9.Инвестиционна програма'!I$130*SUMIF('11.1.Амортиз.нови активи'!$B$12:$B$59,$B128,'11.1.Амортиз.нови активи'!AQ$12:AQ$59))</f>
        <v>0</v>
      </c>
      <c r="I128" s="1226">
        <f>H128+SUMIF('11.1.Амортиз.нови активи'!$B$12:$B$59,$B128,'11.1.Амортиз.нови активи'!I$12:I$59)+('9.Инвестиционна програма'!J$130*SUMIF('11.1.Амортиз.нови активи'!$B$12:$B$59,$B128,'11.1.Амортиз.нови активи'!AR$12:AR$59))</f>
        <v>0</v>
      </c>
      <c r="J128" s="1226">
        <f>I128+SUMIF('11.1.Амортиз.нови активи'!$B$12:$B$59,$B128,'11.1.Амортиз.нови активи'!J$12:J$59)+('9.Инвестиционна програма'!K$130*SUMIF('11.1.Амортиз.нови активи'!$B$12:$B$59,$B128,'11.1.Амортиз.нови активи'!AS$12:AS$59))</f>
        <v>0</v>
      </c>
      <c r="K128" s="2972">
        <f>J128+SUMIF('11.1.Амортиз.нови активи'!$B$12:$B$59,$B128,'11.1.Амортиз.нови активи'!K$12:K$59)+('9.Инвестиционна програма'!L$130*SUMIF('11.1.Амортиз.нови активи'!$B$12:$B$59,$B128,'11.1.Амортиз.нови активи'!AT$12:AT$59))</f>
        <v>0</v>
      </c>
      <c r="L128" s="448">
        <v>0</v>
      </c>
      <c r="M128" s="2971">
        <f>L128+SUMIF('11.1.Амортиз.нови активи'!$B$12:$B$59,$B128,'11.1.Амортиз.нови активи'!M$12:M$59)+('9.Инвестиционна програма'!G$131*SUMIF('11.1.Амортиз.нови активи'!$B$12:$B$59,$B128,'11.1.Амортиз.нови активи'!AO$12:AO$59))</f>
        <v>0</v>
      </c>
      <c r="N128" s="1226">
        <f>M128+SUMIF('11.1.Амортиз.нови активи'!$B$12:$B$59,$B128,'11.1.Амортиз.нови активи'!N$12:N$59)+('9.Инвестиционна програма'!H$131*SUMIF('11.1.Амортиз.нови активи'!$B$12:$B$59,$B128,'11.1.Амортиз.нови активи'!AP$12:AP$59))</f>
        <v>0</v>
      </c>
      <c r="O128" s="1226">
        <f>N128+SUMIF('11.1.Амортиз.нови активи'!$B$12:$B$59,$B128,'11.1.Амортиз.нови активи'!O$12:O$59)+('9.Инвестиционна програма'!I$131*SUMIF('11.1.Амортиз.нови активи'!$B$12:$B$59,$B128,'11.1.Амортиз.нови активи'!AQ$12:AQ$59))</f>
        <v>0</v>
      </c>
      <c r="P128" s="1226">
        <f>O128+SUMIF('11.1.Амортиз.нови активи'!$B$12:$B$59,$B128,'11.1.Амортиз.нови активи'!P$12:P$59)+('9.Инвестиционна програма'!J$131*SUMIF('11.1.Амортиз.нови активи'!$B$12:$B$59,$B128,'11.1.Амортиз.нови активи'!AR$12:AR$59))</f>
        <v>0</v>
      </c>
      <c r="Q128" s="1226">
        <f>P128+SUMIF('11.1.Амортиз.нови активи'!$B$12:$B$59,$B128,'11.1.Амортиз.нови активи'!Q$12:Q$59)+('9.Инвестиционна програма'!K$131*SUMIF('11.1.Амортиз.нови активи'!$B$12:$B$59,$B128,'11.1.Амортиз.нови активи'!AS$12:AS$59))</f>
        <v>0</v>
      </c>
      <c r="R128" s="2972">
        <f>Q128+SUMIF('11.1.Амортиз.нови активи'!$B$12:$B$59,$B128,'11.1.Амортиз.нови активи'!R$12:R$59)+('9.Инвестиционна програма'!L$131*SUMIF('11.1.Амортиз.нови активи'!$B$12:$B$59,$B128,'11.1.Амортиз.нови активи'!AT$12:AT$59))</f>
        <v>0</v>
      </c>
      <c r="S128" s="448">
        <v>0</v>
      </c>
      <c r="T128" s="2971">
        <f>S128+SUMIF('11.1.Амортиз.нови активи'!$B$12:$B$59,$B128,'11.1.Амортиз.нови активи'!T$12:T$59)+('9.Инвестиционна програма'!G$132*SUMIF('11.1.Амортиз.нови активи'!$B$12:$B$59,$B128,'11.1.Амортиз.нови активи'!AO$12:AO$59))</f>
        <v>0</v>
      </c>
      <c r="U128" s="1226">
        <f>T128+SUMIF('11.1.Амортиз.нови активи'!$B$12:$B$59,$B128,'11.1.Амортиз.нови активи'!U$12:U$59)+('9.Инвестиционна програма'!H$132*SUMIF('11.1.Амортиз.нови активи'!$B$12:$B$59,$B128,'11.1.Амортиз.нови активи'!AP$12:AP$59))</f>
        <v>0</v>
      </c>
      <c r="V128" s="1226">
        <f>U128+SUMIF('11.1.Амортиз.нови активи'!$B$12:$B$59,$B128,'11.1.Амортиз.нови активи'!V$12:V$59)+('9.Инвестиционна програма'!I$132*SUMIF('11.1.Амортиз.нови активи'!$B$12:$B$59,$B128,'11.1.Амортиз.нови активи'!AQ$12:AQ$59))</f>
        <v>0</v>
      </c>
      <c r="W128" s="1226">
        <f>V128+SUMIF('11.1.Амортиз.нови активи'!$B$12:$B$59,$B128,'11.1.Амортиз.нови активи'!W$12:W$59)+('9.Инвестиционна програма'!J$132*SUMIF('11.1.Амортиз.нови активи'!$B$12:$B$59,$B128,'11.1.Амортиз.нови активи'!AR$12:AR$59))</f>
        <v>0</v>
      </c>
      <c r="X128" s="1226">
        <f>W128+SUMIF('11.1.Амортиз.нови активи'!$B$12:$B$59,$B128,'11.1.Амортиз.нови активи'!X$12:X$59)+('9.Инвестиционна програма'!K$132*SUMIF('11.1.Амортиз.нови активи'!$B$12:$B$59,$B128,'11.1.Амортиз.нови активи'!AS$12:AS$59))</f>
        <v>0</v>
      </c>
      <c r="Y128" s="2972">
        <f>X128+SUMIF('11.1.Амортиз.нови активи'!$B$12:$B$59,$B128,'11.1.Амортиз.нови активи'!Y$12:Y$59)+('9.Инвестиционна програма'!L$132*SUMIF('11.1.Амортиз.нови активи'!$B$12:$B$59,$B128,'11.1.Амортиз.нови активи'!AT$12:AT$59))</f>
        <v>0</v>
      </c>
      <c r="Z128" s="448">
        <v>0</v>
      </c>
      <c r="AA128" s="2971">
        <f>Z128+SUMIF('11.1.Амортиз.нови активи'!$B$12:$B$59,$B128,'11.1.Амортиз.нови активи'!AA$12:AA$59)</f>
        <v>0</v>
      </c>
      <c r="AB128" s="1226">
        <f>AA128+SUMIF('11.1.Амортиз.нови активи'!$B$12:$B$59,$B128,'11.1.Амортиз.нови активи'!AB$12:AB$59)</f>
        <v>0</v>
      </c>
      <c r="AC128" s="1226">
        <f>AB128+SUMIF('11.1.Амортиз.нови активи'!$B$12:$B$59,$B128,'11.1.Амортиз.нови активи'!AC$12:AC$59)</f>
        <v>0</v>
      </c>
      <c r="AD128" s="1226">
        <f>AC128+SUMIF('11.1.Амортиз.нови активи'!$B$12:$B$59,$B128,'11.1.Амортиз.нови активи'!AD$12:AD$59)</f>
        <v>0</v>
      </c>
      <c r="AE128" s="1226">
        <f>AD128+SUMIF('11.1.Амортиз.нови активи'!$B$12:$B$59,$B128,'11.1.Амортиз.нови активи'!AE$12:AE$59)</f>
        <v>0</v>
      </c>
      <c r="AF128" s="2972">
        <f>AE128+SUMIF('11.1.Амортиз.нови активи'!$B$12:$B$59,$B128,'11.1.Амортиз.нови активи'!AF$12:AF$59)</f>
        <v>0</v>
      </c>
      <c r="AG128" s="448"/>
      <c r="AH128" s="2971">
        <f>AG128+SUMIF('11.1.Амортиз.нови активи'!$B$12:$B$59,$B128,'11.1.Амортиз.нови активи'!AH$12:AH$59)</f>
        <v>0</v>
      </c>
      <c r="AI128" s="1226">
        <f>AH128+SUMIF('11.1.Амортиз.нови активи'!$B$12:$B$59,$B128,'11.1.Амортиз.нови активи'!AI$12:AI$59)</f>
        <v>0</v>
      </c>
      <c r="AJ128" s="1226">
        <f>AI128+SUMIF('11.1.Амортиз.нови активи'!$B$12:$B$59,$B128,'11.1.Амортиз.нови активи'!AJ$12:AJ$59)</f>
        <v>0</v>
      </c>
      <c r="AK128" s="1226">
        <f>AJ128+SUMIF('11.1.Амортиз.нови активи'!$B$12:$B$59,$B128,'11.1.Амортиз.нови активи'!AK$12:AK$59)</f>
        <v>0</v>
      </c>
      <c r="AL128" s="1226">
        <f>AK128+SUMIF('11.1.Амортиз.нови активи'!$B$12:$B$59,$B128,'11.1.Амортиз.нови активи'!AL$12:AL$59)</f>
        <v>0</v>
      </c>
      <c r="AM128" s="2972">
        <f>AL128+SUMIF('11.1.Амортиз.нови активи'!$B$12:$B$59,$B128,'11.1.Амортиз.нови активи'!AM$12:AM$59)</f>
        <v>0</v>
      </c>
      <c r="AN128" s="2860"/>
      <c r="AO128" s="2898"/>
      <c r="AP128" s="1426"/>
    </row>
    <row r="129" spans="1:42" s="1422" customFormat="1">
      <c r="A129" s="2920">
        <v>18</v>
      </c>
      <c r="B129" s="2921" t="s">
        <v>1061</v>
      </c>
      <c r="C129" s="2864">
        <v>0.04</v>
      </c>
      <c r="D129" s="2918" t="s">
        <v>439</v>
      </c>
      <c r="E129" s="448">
        <v>0</v>
      </c>
      <c r="F129" s="2971">
        <f>E129+SUMIF('11.1.Амортиз.нови активи'!$B$12:$B$59,$B129,'11.1.Амортиз.нови активи'!F$12:F$59)+('9.Инвестиционна програма'!G$130*SUMIF('11.1.Амортиз.нови активи'!$B$12:$B$59,$B129,'11.1.Амортиз.нови активи'!AO$12:AO$59))</f>
        <v>0</v>
      </c>
      <c r="G129" s="1226">
        <f>F129+SUMIF('11.1.Амортиз.нови активи'!$B$12:$B$59,$B129,'11.1.Амортиз.нови активи'!G$12:G$59)+('9.Инвестиционна програма'!H$130*SUMIF('11.1.Амортиз.нови активи'!$B$12:$B$59,$B129,'11.1.Амортиз.нови активи'!AP$12:AP$59))</f>
        <v>0</v>
      </c>
      <c r="H129" s="1226">
        <f>G129+SUMIF('11.1.Амортиз.нови активи'!$B$12:$B$59,$B129,'11.1.Амортиз.нови активи'!H$12:H$59)+('9.Инвестиционна програма'!I$130*SUMIF('11.1.Амортиз.нови активи'!$B$12:$B$59,$B129,'11.1.Амортиз.нови активи'!AQ$12:AQ$59))</f>
        <v>0</v>
      </c>
      <c r="I129" s="1226">
        <f>H129+SUMIF('11.1.Амортиз.нови активи'!$B$12:$B$59,$B129,'11.1.Амортиз.нови активи'!I$12:I$59)+('9.Инвестиционна програма'!J$130*SUMIF('11.1.Амортиз.нови активи'!$B$12:$B$59,$B129,'11.1.Амортиз.нови активи'!AR$12:AR$59))</f>
        <v>0</v>
      </c>
      <c r="J129" s="1226">
        <f>I129+SUMIF('11.1.Амортиз.нови активи'!$B$12:$B$59,$B129,'11.1.Амортиз.нови активи'!J$12:J$59)+('9.Инвестиционна програма'!K$130*SUMIF('11.1.Амортиз.нови активи'!$B$12:$B$59,$B129,'11.1.Амортиз.нови активи'!AS$12:AS$59))</f>
        <v>0</v>
      </c>
      <c r="K129" s="2972">
        <f>J129+SUMIF('11.1.Амортиз.нови активи'!$B$12:$B$59,$B129,'11.1.Амортиз.нови активи'!K$12:K$59)+('9.Инвестиционна програма'!L$130*SUMIF('11.1.Амортиз.нови активи'!$B$12:$B$59,$B129,'11.1.Амортиз.нови активи'!AT$12:AT$59))</f>
        <v>0</v>
      </c>
      <c r="L129" s="448">
        <v>0</v>
      </c>
      <c r="M129" s="2971">
        <f>L129+SUMIF('11.1.Амортиз.нови активи'!$B$12:$B$59,$B129,'11.1.Амортиз.нови активи'!M$12:M$59)+('9.Инвестиционна програма'!G$131*SUMIF('11.1.Амортиз.нови активи'!$B$12:$B$59,$B129,'11.1.Амортиз.нови активи'!AO$12:AO$59))</f>
        <v>0</v>
      </c>
      <c r="N129" s="1226">
        <f>M129+SUMIF('11.1.Амортиз.нови активи'!$B$12:$B$59,$B129,'11.1.Амортиз.нови активи'!N$12:N$59)+('9.Инвестиционна програма'!H$131*SUMIF('11.1.Амортиз.нови активи'!$B$12:$B$59,$B129,'11.1.Амортиз.нови активи'!AP$12:AP$59))</f>
        <v>0</v>
      </c>
      <c r="O129" s="1226">
        <f>N129+SUMIF('11.1.Амортиз.нови активи'!$B$12:$B$59,$B129,'11.1.Амортиз.нови активи'!O$12:O$59)+('9.Инвестиционна програма'!I$131*SUMIF('11.1.Амортиз.нови активи'!$B$12:$B$59,$B129,'11.1.Амортиз.нови активи'!AQ$12:AQ$59))</f>
        <v>0</v>
      </c>
      <c r="P129" s="1226">
        <f>O129+SUMIF('11.1.Амортиз.нови активи'!$B$12:$B$59,$B129,'11.1.Амортиз.нови активи'!P$12:P$59)+('9.Инвестиционна програма'!J$131*SUMIF('11.1.Амортиз.нови активи'!$B$12:$B$59,$B129,'11.1.Амортиз.нови активи'!AR$12:AR$59))</f>
        <v>0</v>
      </c>
      <c r="Q129" s="1226">
        <f>P129+SUMIF('11.1.Амортиз.нови активи'!$B$12:$B$59,$B129,'11.1.Амортиз.нови активи'!Q$12:Q$59)+('9.Инвестиционна програма'!K$131*SUMIF('11.1.Амортиз.нови активи'!$B$12:$B$59,$B129,'11.1.Амортиз.нови активи'!AS$12:AS$59))</f>
        <v>0</v>
      </c>
      <c r="R129" s="2972">
        <f>Q129+SUMIF('11.1.Амортиз.нови активи'!$B$12:$B$59,$B129,'11.1.Амортиз.нови активи'!R$12:R$59)+('9.Инвестиционна програма'!L$131*SUMIF('11.1.Амортиз.нови активи'!$B$12:$B$59,$B129,'11.1.Амортиз.нови активи'!AT$12:AT$59))</f>
        <v>0</v>
      </c>
      <c r="S129" s="448">
        <v>0</v>
      </c>
      <c r="T129" s="2971">
        <f>S129+SUMIF('11.1.Амортиз.нови активи'!$B$12:$B$59,$B129,'11.1.Амортиз.нови активи'!T$12:T$59)+('9.Инвестиционна програма'!G$132*SUMIF('11.1.Амортиз.нови активи'!$B$12:$B$59,$B129,'11.1.Амортиз.нови активи'!AO$12:AO$59))</f>
        <v>0</v>
      </c>
      <c r="U129" s="1226">
        <f>T129+SUMIF('11.1.Амортиз.нови активи'!$B$12:$B$59,$B129,'11.1.Амортиз.нови активи'!U$12:U$59)+('9.Инвестиционна програма'!H$132*SUMIF('11.1.Амортиз.нови активи'!$B$12:$B$59,$B129,'11.1.Амортиз.нови активи'!AP$12:AP$59))</f>
        <v>0</v>
      </c>
      <c r="V129" s="1226">
        <f>U129+SUMIF('11.1.Амортиз.нови активи'!$B$12:$B$59,$B129,'11.1.Амортиз.нови активи'!V$12:V$59)+('9.Инвестиционна програма'!I$132*SUMIF('11.1.Амортиз.нови активи'!$B$12:$B$59,$B129,'11.1.Амортиз.нови активи'!AQ$12:AQ$59))</f>
        <v>0</v>
      </c>
      <c r="W129" s="1226">
        <f>V129+SUMIF('11.1.Амортиз.нови активи'!$B$12:$B$59,$B129,'11.1.Амортиз.нови активи'!W$12:W$59)+('9.Инвестиционна програма'!J$132*SUMIF('11.1.Амортиз.нови активи'!$B$12:$B$59,$B129,'11.1.Амортиз.нови активи'!AR$12:AR$59))</f>
        <v>0</v>
      </c>
      <c r="X129" s="1226">
        <f>W129+SUMIF('11.1.Амортиз.нови активи'!$B$12:$B$59,$B129,'11.1.Амортиз.нови активи'!X$12:X$59)+('9.Инвестиционна програма'!K$132*SUMIF('11.1.Амортиз.нови активи'!$B$12:$B$59,$B129,'11.1.Амортиз.нови активи'!AS$12:AS$59))</f>
        <v>0</v>
      </c>
      <c r="Y129" s="2972">
        <f>X129+SUMIF('11.1.Амортиз.нови активи'!$B$12:$B$59,$B129,'11.1.Амортиз.нови активи'!Y$12:Y$59)+('9.Инвестиционна програма'!L$132*SUMIF('11.1.Амортиз.нови активи'!$B$12:$B$59,$B129,'11.1.Амортиз.нови активи'!AT$12:AT$59))</f>
        <v>0</v>
      </c>
      <c r="Z129" s="448">
        <v>0</v>
      </c>
      <c r="AA129" s="2971">
        <f>Z129+SUMIF('11.1.Амортиз.нови активи'!$B$12:$B$59,$B129,'11.1.Амортиз.нови активи'!AA$12:AA$59)</f>
        <v>0</v>
      </c>
      <c r="AB129" s="1226">
        <f>AA129+SUMIF('11.1.Амортиз.нови активи'!$B$12:$B$59,$B129,'11.1.Амортиз.нови активи'!AB$12:AB$59)</f>
        <v>0</v>
      </c>
      <c r="AC129" s="1226">
        <f>AB129+SUMIF('11.1.Амортиз.нови активи'!$B$12:$B$59,$B129,'11.1.Амортиз.нови активи'!AC$12:AC$59)</f>
        <v>0</v>
      </c>
      <c r="AD129" s="1226">
        <f>AC129+SUMIF('11.1.Амортиз.нови активи'!$B$12:$B$59,$B129,'11.1.Амортиз.нови активи'!AD$12:AD$59)</f>
        <v>0</v>
      </c>
      <c r="AE129" s="1226">
        <f>AD129+SUMIF('11.1.Амортиз.нови активи'!$B$12:$B$59,$B129,'11.1.Амортиз.нови активи'!AE$12:AE$59)</f>
        <v>0</v>
      </c>
      <c r="AF129" s="2972">
        <f>AE129+SUMIF('11.1.Амортиз.нови активи'!$B$12:$B$59,$B129,'11.1.Амортиз.нови активи'!AF$12:AF$59)</f>
        <v>0</v>
      </c>
      <c r="AG129" s="448"/>
      <c r="AH129" s="2971">
        <f>AG129+SUMIF('11.1.Амортиз.нови активи'!$B$12:$B$59,$B129,'11.1.Амортиз.нови активи'!AH$12:AH$59)</f>
        <v>0</v>
      </c>
      <c r="AI129" s="1226">
        <f>AH129+SUMIF('11.1.Амортиз.нови активи'!$B$12:$B$59,$B129,'11.1.Амортиз.нови активи'!AI$12:AI$59)</f>
        <v>0</v>
      </c>
      <c r="AJ129" s="1226">
        <f>AI129+SUMIF('11.1.Амортиз.нови активи'!$B$12:$B$59,$B129,'11.1.Амортиз.нови активи'!AJ$12:AJ$59)</f>
        <v>0</v>
      </c>
      <c r="AK129" s="1226">
        <f>AJ129+SUMIF('11.1.Амортиз.нови активи'!$B$12:$B$59,$B129,'11.1.Амортиз.нови активи'!AK$12:AK$59)</f>
        <v>0</v>
      </c>
      <c r="AL129" s="1226">
        <f>AK129+SUMIF('11.1.Амортиз.нови активи'!$B$12:$B$59,$B129,'11.1.Амортиз.нови активи'!AL$12:AL$59)</f>
        <v>0</v>
      </c>
      <c r="AM129" s="2972">
        <f>AL129+SUMIF('11.1.Амортиз.нови активи'!$B$12:$B$59,$B129,'11.1.Амортиз.нови активи'!AM$12:AM$59)</f>
        <v>0</v>
      </c>
      <c r="AN129" s="2860"/>
      <c r="AO129" s="2898"/>
      <c r="AP129" s="1426"/>
    </row>
    <row r="130" spans="1:42" s="1422" customFormat="1" ht="24.75" thickBot="1">
      <c r="A130" s="2920">
        <v>19</v>
      </c>
      <c r="B130" s="2863">
        <v>215</v>
      </c>
      <c r="C130" s="2869">
        <v>0.2</v>
      </c>
      <c r="D130" s="2899" t="s">
        <v>685</v>
      </c>
      <c r="E130" s="448">
        <v>4</v>
      </c>
      <c r="F130" s="2988">
        <f>E130+SUMIF('11.1.Амортиз.нови активи'!$B$12:$B$59,$B130,'11.1.Амортиз.нови активи'!F$12:F$59)+('9.Инвестиционна програма'!G$130*SUMIF('11.1.Амортиз.нови активи'!$B$12:$B$59,$B130,'11.1.Амортиз.нови активи'!AO$12:AO$59))</f>
        <v>4</v>
      </c>
      <c r="G130" s="1228">
        <f>F130+SUMIF('11.1.Амортиз.нови активи'!$B$12:$B$59,$B130,'11.1.Амортиз.нови активи'!G$12:G$59)+('9.Инвестиционна програма'!H$130*SUMIF('11.1.Амортиз.нови активи'!$B$12:$B$59,$B130,'11.1.Амортиз.нови активи'!AP$12:AP$59))</f>
        <v>39.87566666666666</v>
      </c>
      <c r="H130" s="1228">
        <f>G130+SUMIF('11.1.Амортиз.нови активи'!$B$12:$B$59,$B130,'11.1.Амортиз.нови активи'!H$12:H$59)+('9.Инвестиционна програма'!I$130*SUMIF('11.1.Амортиз.нови активи'!$B$12:$B$59,$B130,'11.1.Амортиз.нови активи'!AQ$12:AQ$59))</f>
        <v>41.208999999999996</v>
      </c>
      <c r="I130" s="1228">
        <f>H130+SUMIF('11.1.Амортиз.нови активи'!$B$12:$B$59,$B130,'11.1.Амортиз.нови активи'!I$12:I$59)+('9.Инвестиционна програма'!J$130*SUMIF('11.1.Амортиз.нови активи'!$B$12:$B$59,$B130,'11.1.Амортиз.нови активи'!AR$12:AR$59))</f>
        <v>42.542333333333332</v>
      </c>
      <c r="J130" s="1228">
        <f>I130+SUMIF('11.1.Амортиз.нови активи'!$B$12:$B$59,$B130,'11.1.Амортиз.нови активи'!J$12:J$59)+('9.Инвестиционна програма'!K$130*SUMIF('11.1.Амортиз.нови активи'!$B$12:$B$59,$B130,'11.1.Амортиз.нови активи'!AS$12:AS$59))</f>
        <v>43.875666666666667</v>
      </c>
      <c r="K130" s="2989">
        <f>J130+SUMIF('11.1.Амортиз.нови активи'!$B$12:$B$59,$B130,'11.1.Амортиз.нови активи'!K$12:K$59)+('9.Инвестиционна програма'!L$130*SUMIF('11.1.Амортиз.нови активи'!$B$12:$B$59,$B130,'11.1.Амортиз.нови активи'!AT$12:AT$59))</f>
        <v>45.209000000000003</v>
      </c>
      <c r="L130" s="448">
        <v>0</v>
      </c>
      <c r="M130" s="2988">
        <f>L130+SUMIF('11.1.Амортиз.нови активи'!$B$12:$B$59,$B130,'11.1.Амортиз.нови активи'!M$12:M$59)+('9.Инвестиционна програма'!G$131*SUMIF('11.1.Амортиз.нови активи'!$B$12:$B$59,$B130,'11.1.Амортиз.нови активи'!AO$12:AO$59))</f>
        <v>0</v>
      </c>
      <c r="N130" s="1228">
        <f>M130+SUMIF('11.1.Амортиз.нови активи'!$B$12:$B$59,$B130,'11.1.Амортиз.нови активи'!N$12:N$59)+('9.Инвестиционна програма'!H$131*SUMIF('11.1.Амортиз.нови активи'!$B$12:$B$59,$B130,'11.1.Амортиз.нови активи'!AP$12:AP$59))</f>
        <v>35.87566666666666</v>
      </c>
      <c r="O130" s="1228">
        <f>N130+SUMIF('11.1.Амортиз.нови активи'!$B$12:$B$59,$B130,'11.1.Амортиз.нови активи'!O$12:O$59)+('9.Инвестиционна програма'!I$131*SUMIF('11.1.Амортиз.нови активи'!$B$12:$B$59,$B130,'11.1.Амортиз.нови активи'!AQ$12:AQ$59))</f>
        <v>37.208999999999996</v>
      </c>
      <c r="P130" s="1228">
        <f>O130+SUMIF('11.1.Амортиз.нови активи'!$B$12:$B$59,$B130,'11.1.Амортиз.нови активи'!P$12:P$59)+('9.Инвестиционна програма'!J$131*SUMIF('11.1.Амортиз.нови активи'!$B$12:$B$59,$B130,'11.1.Амортиз.нови активи'!AR$12:AR$59))</f>
        <v>38.542333333333332</v>
      </c>
      <c r="Q130" s="1228">
        <f>P130+SUMIF('11.1.Амортиз.нови активи'!$B$12:$B$59,$B130,'11.1.Амортиз.нови активи'!Q$12:Q$59)+('9.Инвестиционна програма'!K$131*SUMIF('11.1.Амортиз.нови активи'!$B$12:$B$59,$B130,'11.1.Амортиз.нови активи'!AS$12:AS$59))</f>
        <v>39.875666666666667</v>
      </c>
      <c r="R130" s="2989">
        <f>Q130+SUMIF('11.1.Амортиз.нови активи'!$B$12:$B$59,$B130,'11.1.Амортиз.нови активи'!R$12:R$59)+('9.Инвестиционна програма'!L$131*SUMIF('11.1.Амортиз.нови активи'!$B$12:$B$59,$B130,'11.1.Амортиз.нови активи'!AT$12:AT$59))</f>
        <v>41.209000000000003</v>
      </c>
      <c r="S130" s="448">
        <v>0</v>
      </c>
      <c r="T130" s="2988">
        <f>S130+SUMIF('11.1.Амортиз.нови активи'!$B$12:$B$59,$B130,'11.1.Амортиз.нови активи'!T$12:T$59)+('9.Инвестиционна програма'!G$132*SUMIF('11.1.Амортиз.нови активи'!$B$12:$B$59,$B130,'11.1.Амортиз.нови активи'!AO$12:AO$59))</f>
        <v>0</v>
      </c>
      <c r="U130" s="1228">
        <f>T130+SUMIF('11.1.Амортиз.нови активи'!$B$12:$B$59,$B130,'11.1.Амортиз.нови активи'!U$12:U$59)+('9.Инвестиционна програма'!H$132*SUMIF('11.1.Амортиз.нови активи'!$B$12:$B$59,$B130,'11.1.Амортиз.нови активи'!AP$12:AP$59))</f>
        <v>35.87566666666666</v>
      </c>
      <c r="V130" s="1228">
        <f>U130+SUMIF('11.1.Амортиз.нови активи'!$B$12:$B$59,$B130,'11.1.Амортиз.нови активи'!V$12:V$59)+('9.Инвестиционна програма'!I$132*SUMIF('11.1.Амортиз.нови активи'!$B$12:$B$59,$B130,'11.1.Амортиз.нови активи'!AQ$12:AQ$59))</f>
        <v>37.208999999999996</v>
      </c>
      <c r="W130" s="1228">
        <f>V130+SUMIF('11.1.Амортиз.нови активи'!$B$12:$B$59,$B130,'11.1.Амортиз.нови активи'!W$12:W$59)+('9.Инвестиционна програма'!J$132*SUMIF('11.1.Амортиз.нови активи'!$B$12:$B$59,$B130,'11.1.Амортиз.нови активи'!AR$12:AR$59))</f>
        <v>38.542333333333332</v>
      </c>
      <c r="X130" s="1228">
        <f>W130+SUMIF('11.1.Амортиз.нови активи'!$B$12:$B$59,$B130,'11.1.Амортиз.нови активи'!X$12:X$59)+('9.Инвестиционна програма'!K$132*SUMIF('11.1.Амортиз.нови активи'!$B$12:$B$59,$B130,'11.1.Амортиз.нови активи'!AS$12:AS$59))</f>
        <v>39.875666666666667</v>
      </c>
      <c r="Y130" s="2989">
        <f>X130+SUMIF('11.1.Амортиз.нови активи'!$B$12:$B$59,$B130,'11.1.Амортиз.нови активи'!Y$12:Y$59)+('9.Инвестиционна програма'!L$132*SUMIF('11.1.Амортиз.нови активи'!$B$12:$B$59,$B130,'11.1.Амортиз.нови активи'!AT$12:AT$59))</f>
        <v>41.209000000000003</v>
      </c>
      <c r="Z130" s="448">
        <v>0</v>
      </c>
      <c r="AA130" s="2988">
        <f>Z130+SUMIF('11.1.Амортиз.нови активи'!$B$12:$B$59,$B130,'11.1.Амортиз.нови активи'!AA$12:AA$59)</f>
        <v>0</v>
      </c>
      <c r="AB130" s="1228">
        <f>AA130+SUMIF('11.1.Амортиз.нови активи'!$B$12:$B$59,$B130,'11.1.Амортиз.нови активи'!AB$12:AB$59)</f>
        <v>0</v>
      </c>
      <c r="AC130" s="1228">
        <f>AB130+SUMIF('11.1.Амортиз.нови активи'!$B$12:$B$59,$B130,'11.1.Амортиз.нови активи'!AC$12:AC$59)</f>
        <v>0</v>
      </c>
      <c r="AD130" s="1228">
        <f>AC130+SUMIF('11.1.Амортиз.нови активи'!$B$12:$B$59,$B130,'11.1.Амортиз.нови активи'!AD$12:AD$59)</f>
        <v>0</v>
      </c>
      <c r="AE130" s="1228">
        <f>AD130+SUMIF('11.1.Амортиз.нови активи'!$B$12:$B$59,$B130,'11.1.Амортиз.нови активи'!AE$12:AE$59)</f>
        <v>0</v>
      </c>
      <c r="AF130" s="2989">
        <f>AE130+SUMIF('11.1.Амортиз.нови активи'!$B$12:$B$59,$B130,'11.1.Амортиз.нови активи'!AF$12:AF$59)</f>
        <v>0</v>
      </c>
      <c r="AG130" s="448"/>
      <c r="AH130" s="2988">
        <f>AG130+SUMIF('11.1.Амортиз.нови активи'!$B$12:$B$59,$B130,'11.1.Амортиз.нови активи'!AH$12:AH$59)</f>
        <v>0</v>
      </c>
      <c r="AI130" s="1228">
        <f>AH130+SUMIF('11.1.Амортиз.нови активи'!$B$12:$B$59,$B130,'11.1.Амортиз.нови активи'!AI$12:AI$59)</f>
        <v>0</v>
      </c>
      <c r="AJ130" s="1228">
        <f>AI130+SUMIF('11.1.Амортиз.нови активи'!$B$12:$B$59,$B130,'11.1.Амортиз.нови активи'!AJ$12:AJ$59)</f>
        <v>0</v>
      </c>
      <c r="AK130" s="1228">
        <f>AJ130+SUMIF('11.1.Амортиз.нови активи'!$B$12:$B$59,$B130,'11.1.Амортиз.нови активи'!AK$12:AK$59)</f>
        <v>0</v>
      </c>
      <c r="AL130" s="1228">
        <f>AK130+SUMIF('11.1.Амортиз.нови активи'!$B$12:$B$59,$B130,'11.1.Амортиз.нови активи'!AL$12:AL$59)</f>
        <v>0</v>
      </c>
      <c r="AM130" s="2989">
        <f>AL130+SUMIF('11.1.Амортиз.нови активи'!$B$12:$B$59,$B130,'11.1.Амортиз.нови активи'!AM$12:AM$59)</f>
        <v>0</v>
      </c>
      <c r="AN130" s="2860"/>
      <c r="AO130" s="2898"/>
      <c r="AP130" s="1426"/>
    </row>
    <row r="131" spans="1:42" s="1422" customFormat="1" ht="13.5" thickBot="1">
      <c r="A131" s="4440" t="s">
        <v>211</v>
      </c>
      <c r="B131" s="2886"/>
      <c r="C131" s="2886"/>
      <c r="D131" s="2849" t="s">
        <v>223</v>
      </c>
      <c r="E131" s="1343">
        <f t="shared" ref="E131:AM131" si="66">SUM(E132:E150)</f>
        <v>79</v>
      </c>
      <c r="F131" s="2986">
        <f t="shared" si="66"/>
        <v>105.84308721295388</v>
      </c>
      <c r="G131" s="1237">
        <f t="shared" si="66"/>
        <v>143.35268122227566</v>
      </c>
      <c r="H131" s="1237">
        <f t="shared" si="66"/>
        <v>196.0254388815824</v>
      </c>
      <c r="I131" s="1238">
        <f t="shared" si="66"/>
        <v>230.16632217832139</v>
      </c>
      <c r="J131" s="1237">
        <f t="shared" si="66"/>
        <v>246.56239145965728</v>
      </c>
      <c r="K131" s="1237">
        <f t="shared" si="66"/>
        <v>251.6861906028976</v>
      </c>
      <c r="L131" s="1343">
        <f t="shared" si="66"/>
        <v>3</v>
      </c>
      <c r="M131" s="2986">
        <f t="shared" si="66"/>
        <v>4.362073660451423</v>
      </c>
      <c r="N131" s="1237">
        <f t="shared" si="66"/>
        <v>11.787817996023918</v>
      </c>
      <c r="O131" s="1237">
        <f t="shared" si="66"/>
        <v>53.424416474510835</v>
      </c>
      <c r="P131" s="1238">
        <f t="shared" si="66"/>
        <v>88.360454717772086</v>
      </c>
      <c r="Q131" s="1237">
        <f t="shared" si="66"/>
        <v>90.629768276577451</v>
      </c>
      <c r="R131" s="1237">
        <f t="shared" si="66"/>
        <v>92.563958082969421</v>
      </c>
      <c r="S131" s="1343">
        <f t="shared" si="66"/>
        <v>3.3</v>
      </c>
      <c r="T131" s="2986">
        <f t="shared" si="66"/>
        <v>3.4353091265947007</v>
      </c>
      <c r="U131" s="1237">
        <f t="shared" si="66"/>
        <v>28.757880781700422</v>
      </c>
      <c r="V131" s="1237">
        <f t="shared" si="66"/>
        <v>77.395534643906799</v>
      </c>
      <c r="W131" s="1238">
        <f t="shared" si="66"/>
        <v>101.60371310390657</v>
      </c>
      <c r="X131" s="1237">
        <f t="shared" si="66"/>
        <v>103.32833026376534</v>
      </c>
      <c r="Y131" s="2987">
        <f t="shared" si="66"/>
        <v>103.86234131413306</v>
      </c>
      <c r="Z131" s="1343">
        <f t="shared" si="66"/>
        <v>0</v>
      </c>
      <c r="AA131" s="2986">
        <f t="shared" si="66"/>
        <v>0</v>
      </c>
      <c r="AB131" s="1237">
        <f t="shared" si="66"/>
        <v>0</v>
      </c>
      <c r="AC131" s="1237">
        <f t="shared" si="66"/>
        <v>0</v>
      </c>
      <c r="AD131" s="1238">
        <f t="shared" si="66"/>
        <v>0</v>
      </c>
      <c r="AE131" s="1237">
        <f t="shared" si="66"/>
        <v>0</v>
      </c>
      <c r="AF131" s="2987">
        <f t="shared" si="66"/>
        <v>0</v>
      </c>
      <c r="AG131" s="1343">
        <f t="shared" si="66"/>
        <v>0</v>
      </c>
      <c r="AH131" s="2986">
        <f t="shared" si="66"/>
        <v>0</v>
      </c>
      <c r="AI131" s="1237">
        <f t="shared" si="66"/>
        <v>0</v>
      </c>
      <c r="AJ131" s="1237">
        <f t="shared" si="66"/>
        <v>0</v>
      </c>
      <c r="AK131" s="1238">
        <f t="shared" si="66"/>
        <v>0</v>
      </c>
      <c r="AL131" s="1237">
        <f t="shared" si="66"/>
        <v>0</v>
      </c>
      <c r="AM131" s="2987">
        <f t="shared" si="66"/>
        <v>0</v>
      </c>
      <c r="AN131" s="2855"/>
      <c r="AO131" s="2898"/>
      <c r="AP131" s="1426"/>
    </row>
    <row r="132" spans="1:42" s="1422" customFormat="1">
      <c r="A132" s="2862">
        <v>1</v>
      </c>
      <c r="B132" s="2856">
        <v>20102</v>
      </c>
      <c r="C132" s="2880">
        <v>0</v>
      </c>
      <c r="D132" s="2910" t="s">
        <v>564</v>
      </c>
      <c r="E132" s="448">
        <v>0</v>
      </c>
      <c r="F132" s="2971">
        <f>$E132-SUMIF('11.2. ДА за периода'!$B$61:$B$108,$B132,'11.2. ДА за периода'!$E$61:$E$108)+SUMIF('11.2. ДА за периода'!$B$61:$B$108,$B132,'11.2. ДА за периода'!F$61:F$108)+SUMIF('11.1.Амортиз.нови активи'!$B$61:$B$108,$B132,'11.1.Амортиз.нови активи'!F$61:F$108)+('11.1.Амортиз.нови активи'!F$110*SUMIF('11.1.Амортиз.нови активи'!$B$61:$B$108,$B132,'11.1.Амортиз.нови активи'!AO$61:AO$108))</f>
        <v>0</v>
      </c>
      <c r="G132" s="1226">
        <f>$E132-SUMIF('11.2. ДА за периода'!$B$61:$B$108,$B132,'11.2. ДА за периода'!$E$61:$E$108)+SUMIF('11.2. ДА за периода'!$B$61:$B$108,$B132,'11.2. ДА за периода'!G$61:G$108)+SUMIF('11.1.Амортиз.нови активи'!$B$61:$B$108,$B132,'11.1.Амортиз.нови активи'!G$61:G$108)+('11.1.Амортиз.нови активи'!G$110*SUMIF('11.1.Амортиз.нови активи'!$B$61:$B$108,$B132,'11.1.Амортиз.нови активи'!AP$61:AP$108))</f>
        <v>0</v>
      </c>
      <c r="H132" s="1226">
        <f>$E132-SUMIF('11.2. ДА за периода'!$B$61:$B$108,$B132,'11.2. ДА за периода'!$E$61:$E$108)+SUMIF('11.2. ДА за периода'!$B$61:$B$108,$B132,'11.2. ДА за периода'!H$61:H$108)+SUMIF('11.1.Амортиз.нови активи'!$B$61:$B$108,$B132,'11.1.Амортиз.нови активи'!H$61:H$108)+('11.1.Амортиз.нови активи'!H$110*SUMIF('11.1.Амортиз.нови активи'!$B$61:$B$108,$B132,'11.1.Амортиз.нови активи'!AQ$61:AQ$108))</f>
        <v>0</v>
      </c>
      <c r="I132" s="1226">
        <f>$E132-SUMIF('11.2. ДА за периода'!$B$61:$B$108,$B132,'11.2. ДА за периода'!$E$61:$E$108)+SUMIF('11.2. ДА за периода'!$B$61:$B$108,$B132,'11.2. ДА за периода'!I$61:I$108)+SUMIF('11.1.Амортиз.нови активи'!$B$61:$B$108,$B132,'11.1.Амортиз.нови активи'!I$61:I$108)+('11.1.Амортиз.нови активи'!I$110*SUMIF('11.1.Амортиз.нови активи'!$B$61:$B$108,$B132,'11.1.Амортиз.нови активи'!AR$61:AR$108))</f>
        <v>0</v>
      </c>
      <c r="J132" s="1226">
        <f>$E132-SUMIF('11.2. ДА за периода'!$B$61:$B$108,$B132,'11.2. ДА за периода'!$E$61:$E$108)+SUMIF('11.2. ДА за периода'!$B$61:$B$108,$B132,'11.2. ДА за периода'!J$61:J$108)+SUMIF('11.1.Амортиз.нови активи'!$B$61:$B$108,$B132,'11.1.Амортиз.нови активи'!J$61:J$108)+('11.1.Амортиз.нови активи'!J$110*SUMIF('11.1.Амортиз.нови активи'!$B$61:$B$108,$B132,'11.1.Амортиз.нови активи'!AS$61:AS$108))</f>
        <v>0</v>
      </c>
      <c r="K132" s="1226">
        <f>$E132-SUMIF('11.2. ДА за периода'!$B$61:$B$108,$B132,'11.2. ДА за периода'!$E$61:$E$108)+SUMIF('11.2. ДА за периода'!$B$61:$B$108,$B132,'11.2. ДА за периода'!K$61:K$108)+SUMIF('11.1.Амортиз.нови активи'!$B$61:$B$108,$B132,'11.1.Амортиз.нови активи'!K$61:K$108)+('11.1.Амортиз.нови активи'!K$110*SUMIF('11.1.Амортиз.нови активи'!$B$61:$B$108,$B132,'11.1.Амортиз.нови активи'!AT$61:AT$108))</f>
        <v>0</v>
      </c>
      <c r="L132" s="448">
        <v>0</v>
      </c>
      <c r="M132" s="2968">
        <f>$L132-SUMIF('11.2. ДА за периода'!$B$61:$B$108,$B132,'11.2. ДА за периода'!$L$61:$L$108)+SUMIF('11.2. ДА за периода'!$B$61:$B$108,$B132,'11.2. ДА за периода'!M$61:M$108)+SUMIF('11.1.Амортиз.нови активи'!$B$61:$B$108,$B132,'11.1.Амортиз.нови активи'!M$61:M$108)+('11.1.Амортиз.нови активи'!F$111*SUMIF('11.1.Амортиз.нови активи'!$B$61:$B$108,$B132,'11.1.Амортиз.нови активи'!AO$61:AO$108))</f>
        <v>0</v>
      </c>
      <c r="N132" s="1235">
        <f>$L132-SUMIF('11.2. ДА за периода'!$B$61:$B$108,$B132,'11.2. ДА за периода'!$L$61:$L$108)+SUMIF('11.2. ДА за периода'!$B$61:$B$108,$B132,'11.2. ДА за периода'!N$61:N$108)+SUMIF('11.1.Амортиз.нови активи'!$B$61:$B$108,$B132,'11.1.Амортиз.нови активи'!N$61:N$108)+('11.1.Амортиз.нови активи'!G$111*SUMIF('11.1.Амортиз.нови активи'!$B$61:$B$108,$B132,'11.1.Амортиз.нови активи'!AP$61:AP$108))</f>
        <v>0</v>
      </c>
      <c r="O132" s="1235">
        <f>$L132-SUMIF('11.2. ДА за периода'!$B$61:$B$108,$B132,'11.2. ДА за периода'!$L$61:$L$108)+SUMIF('11.2. ДА за периода'!$B$61:$B$108,$B132,'11.2. ДА за периода'!O$61:O$108)+SUMIF('11.1.Амортиз.нови активи'!$B$61:$B$108,$B132,'11.1.Амортиз.нови активи'!O$61:O$108)+('11.1.Амортиз.нови активи'!H$111*SUMIF('11.1.Амортиз.нови активи'!$B$61:$B$108,$B132,'11.1.Амортиз.нови активи'!AQ$61:AQ$108))</f>
        <v>0</v>
      </c>
      <c r="P132" s="1235">
        <f>$L132-SUMIF('11.2. ДА за периода'!$B$61:$B$108,$B132,'11.2. ДА за периода'!$L$61:$L$108)+SUMIF('11.2. ДА за периода'!$B$61:$B$108,$B132,'11.2. ДА за периода'!P$61:P$108)+SUMIF('11.1.Амортиз.нови активи'!$B$61:$B$108,$B132,'11.1.Амортиз.нови активи'!P$61:P$108)+('11.1.Амортиз.нови активи'!I$111*SUMIF('11.1.Амортиз.нови активи'!$B$61:$B$108,$B132,'11.1.Амортиз.нови активи'!AR$61:AR$108))</f>
        <v>0</v>
      </c>
      <c r="Q132" s="1235">
        <f>$L132-SUMIF('11.2. ДА за периода'!$B$61:$B$108,$B132,'11.2. ДА за периода'!$L$61:$L$108)+SUMIF('11.2. ДА за периода'!$B$61:$B$108,$B132,'11.2. ДА за периода'!Q$61:Q$108)+SUMIF('11.1.Амортиз.нови активи'!$B$61:$B$108,$B132,'11.1.Амортиз.нови активи'!Q$61:Q$108)+('11.1.Амортиз.нови активи'!J$111*SUMIF('11.1.Амортиз.нови активи'!$B$61:$B$108,$B132,'11.1.Амортиз.нови активи'!AS$61:AS$108))</f>
        <v>0</v>
      </c>
      <c r="R132" s="2969">
        <f>$L132-SUMIF('11.2. ДА за периода'!$B$61:$B$108,$B132,'11.2. ДА за периода'!$L$61:$L$108)+SUMIF('11.2. ДА за периода'!$B$61:$B$108,$B132,'11.2. ДА за периода'!R$61:R$108)+SUMIF('11.1.Амортиз.нови активи'!$B$61:$B$108,$B132,'11.1.Амортиз.нови активи'!R$61:R$108)+('11.1.Амортиз.нови активи'!K$111*SUMIF('11.1.Амортиз.нови активи'!$B$61:$B$108,$B132,'11.1.Амортиз.нови активи'!AT$61:AT$108))</f>
        <v>0</v>
      </c>
      <c r="S132" s="448">
        <v>0</v>
      </c>
      <c r="T132" s="2971">
        <f>$S132-SUMIF('11.2. ДА за периода'!$B$61:$B$108,$B132,'11.2. ДА за периода'!$S$61:$S$108)+SUMIF('11.2. ДА за периода'!$B$61:$B$108,$B132,'11.2. ДА за периода'!T$61:T$108)+SUMIF('11.1.Амортиз.нови активи'!$B$61:$B$108,$B132,'11.1.Амортиз.нови активи'!T$61:T$108)+('11.1.Амортиз.нови активи'!F$112*SUMIF('11.1.Амортиз.нови активи'!$B$61:$B$108,$B132,'11.1.Амортиз.нови активи'!AO$61:AO$108))</f>
        <v>0</v>
      </c>
      <c r="U132" s="1226">
        <f>$S132-SUMIF('11.2. ДА за периода'!$B$61:$B$108,$B132,'11.2. ДА за периода'!$S$61:$S$108)+SUMIF('11.2. ДА за периода'!$B$61:$B$108,$B132,'11.2. ДА за периода'!U$61:U$108)+SUMIF('11.1.Амортиз.нови активи'!$B$61:$B$108,$B132,'11.1.Амортиз.нови активи'!U$61:U$108)+('11.1.Амортиз.нови активи'!G$112*SUMIF('11.1.Амортиз.нови активи'!$B$61:$B$108,$B132,'11.1.Амортиз.нови активи'!AP$61:AP$108))</f>
        <v>0</v>
      </c>
      <c r="V132" s="1226">
        <f>$S132-SUMIF('11.2. ДА за периода'!$B$61:$B$108,$B132,'11.2. ДА за периода'!$S$61:$S$108)+SUMIF('11.2. ДА за периода'!$B$61:$B$108,$B132,'11.2. ДА за периода'!V$61:V$108)+SUMIF('11.1.Амортиз.нови активи'!$B$61:$B$108,$B132,'11.1.Амортиз.нови активи'!V$61:V$108)+('11.1.Амортиз.нови активи'!H$112*SUMIF('11.1.Амортиз.нови активи'!$B$61:$B$108,$B132,'11.1.Амортиз.нови активи'!AQ$61:AQ$108))</f>
        <v>0</v>
      </c>
      <c r="W132" s="1226">
        <f>$S132-SUMIF('11.2. ДА за периода'!$B$61:$B$108,$B132,'11.2. ДА за периода'!$S$61:$S$108)+SUMIF('11.2. ДА за периода'!$B$61:$B$108,$B132,'11.2. ДА за периода'!W$61:W$108)+SUMIF('11.1.Амортиз.нови активи'!$B$61:$B$108,$B132,'11.1.Амортиз.нови активи'!W$61:W$108)+('11.1.Амортиз.нови активи'!I$112*SUMIF('11.1.Амортиз.нови активи'!$B$61:$B$108,$B132,'11.1.Амортиз.нови активи'!AR$61:AR$108))</f>
        <v>0</v>
      </c>
      <c r="X132" s="1226">
        <f>$S132-SUMIF('11.2. ДА за периода'!$B$61:$B$108,$B132,'11.2. ДА за периода'!$S$61:$S$108)+SUMIF('11.2. ДА за периода'!$B$61:$B$108,$B132,'11.2. ДА за периода'!X$61:X$108)+SUMIF('11.1.Амортиз.нови активи'!$B$61:$B$108,$B132,'11.1.Амортиз.нови активи'!X$61:X$108)+('11.1.Амортиз.нови активи'!J$112*SUMIF('11.1.Амортиз.нови активи'!$B$61:$B$108,$B132,'11.1.Амортиз.нови активи'!AS$61:AS$108))</f>
        <v>0</v>
      </c>
      <c r="Y132" s="2972">
        <f>$S132-SUMIF('11.2. ДА за периода'!$B$61:$B$108,$B132,'11.2. ДА за периода'!$S$61:$S$108)+SUMIF('11.2. ДА за периода'!$B$61:$B$108,$B132,'11.2. ДА за периода'!Y$61:Y$108)+SUMIF('11.1.Амортиз.нови активи'!$B$61:$B$108,$B132,'11.1.Амортиз.нови активи'!Y$61:Y$108)+('11.1.Амортиз.нови активи'!K$112*SUMIF('11.1.Амортиз.нови активи'!$B$61:$B$108,$B132,'11.1.Амортиз.нови активи'!AT$61:AT$108))</f>
        <v>0</v>
      </c>
      <c r="Z132" s="448">
        <v>0</v>
      </c>
      <c r="AA132" s="2971">
        <f>$Z132-SUMIF('11.2. ДА за периода'!$B$61:$B$108,$B132,'11.2. ДА за периода'!$Z$61:$Z$108)+SUMIF('11.2. ДА за периода'!$B$61:$B$108,$B132,'11.2. ДА за периода'!AA$61:AA$108)+SUMIF('11.1.Амортиз.нови активи'!$B$61:$B$108,$B132,'11.1.Амортиз.нови активи'!AA$61:AA$108)</f>
        <v>0</v>
      </c>
      <c r="AB132" s="1226">
        <f>$Z132-SUMIF('11.2. ДА за периода'!$B$61:$B$108,$B132,'11.2. ДА за периода'!$Z$61:$Z$108)+SUMIF('11.2. ДА за периода'!$B$61:$B$108,$B132,'11.2. ДА за периода'!AB$61:AB$108)+SUMIF('11.1.Амортиз.нови активи'!$B$61:$B$108,$B132,'11.1.Амортиз.нови активи'!AB$61:AB$108)</f>
        <v>0</v>
      </c>
      <c r="AC132" s="1226">
        <f>$Z132-SUMIF('11.2. ДА за периода'!$B$61:$B$108,$B132,'11.2. ДА за периода'!$Z$61:$Z$108)+SUMIF('11.2. ДА за периода'!$B$61:$B$108,$B132,'11.2. ДА за периода'!AC$61:AC$108)+SUMIF('11.1.Амортиз.нови активи'!$B$61:$B$108,$B132,'11.1.Амортиз.нови активи'!AC$61:AC$108)</f>
        <v>0</v>
      </c>
      <c r="AD132" s="1226">
        <f>$Z132-SUMIF('11.2. ДА за периода'!$B$61:$B$108,$B132,'11.2. ДА за периода'!$Z$61:$Z$108)+SUMIF('11.2. ДА за периода'!$B$61:$B$108,$B132,'11.2. ДА за периода'!AD$61:AD$108)+SUMIF('11.1.Амортиз.нови активи'!$B$61:$B$108,$B132,'11.1.Амортиз.нови активи'!AD$61:AD$108)</f>
        <v>0</v>
      </c>
      <c r="AE132" s="1226">
        <f>$Z132-SUMIF('11.2. ДА за периода'!$B$61:$B$108,$B132,'11.2. ДА за периода'!$Z$61:$Z$108)+SUMIF('11.2. ДА за периода'!$B$61:$B$108,$B132,'11.2. ДА за периода'!AE$61:AE$108)+SUMIF('11.1.Амортиз.нови активи'!$B$61:$B$108,$B132,'11.1.Амортиз.нови активи'!AE$61:AE$108)</f>
        <v>0</v>
      </c>
      <c r="AF132" s="2972">
        <f>$Z132-SUMIF('11.2. ДА за периода'!$B$61:$B$108,$B132,'11.2. ДА за периода'!$Z$61:$Z$108)+SUMIF('11.2. ДА за периода'!$B$61:$B$108,$B132,'11.2. ДА за периода'!AF$61:AF$108)+SUMIF('11.1.Амортиз.нови активи'!$B$61:$B$108,$B132,'11.1.Амортиз.нови активи'!AF$61:AF$108)</f>
        <v>0</v>
      </c>
      <c r="AG132" s="448"/>
      <c r="AH132" s="2971">
        <f>$AG132-SUMIF('11.2. ДА за периода'!$B$61:$B$108,$B132,'11.2. ДА за периода'!$AG$61:$AG$108)+SUMIF('11.2. ДА за периода'!$B$61:$B$108,$B132,'11.2. ДА за периода'!AH$61:AH$108)+SUMIF('11.1.Амортиз.нови активи'!$B$61:$B$108,$B132,'11.1.Амортиз.нови активи'!AH$61:AH$108)</f>
        <v>0</v>
      </c>
      <c r="AI132" s="1226">
        <f>$AG132-SUMIF('11.2. ДА за периода'!$B$61:$B$108,$B132,'11.2. ДА за периода'!$AG$61:$AG$108)+SUMIF('11.2. ДА за периода'!$B$61:$B$108,$B132,'11.2. ДА за периода'!AI$61:AI$108)+SUMIF('11.1.Амортиз.нови активи'!$B$61:$B$108,$B132,'11.1.Амортиз.нови активи'!AI$61:AI$108)</f>
        <v>0</v>
      </c>
      <c r="AJ132" s="1226">
        <f>$AG132-SUMIF('11.2. ДА за периода'!$B$61:$B$108,$B132,'11.2. ДА за периода'!$AG$61:$AG$108)+SUMIF('11.2. ДА за периода'!$B$61:$B$108,$B132,'11.2. ДА за периода'!AJ$61:AJ$108)+SUMIF('11.1.Амортиз.нови активи'!$B$61:$B$108,$B132,'11.1.Амортиз.нови активи'!AJ$61:AJ$108)</f>
        <v>0</v>
      </c>
      <c r="AK132" s="1226">
        <f>$AG132-SUMIF('11.2. ДА за периода'!$B$61:$B$108,$B132,'11.2. ДА за периода'!$AG$61:$AG$108)+SUMIF('11.2. ДА за периода'!$B$61:$B$108,$B132,'11.2. ДА за периода'!AK$61:AK$108)+SUMIF('11.1.Амортиз.нови активи'!$B$61:$B$108,$B132,'11.1.Амортиз.нови активи'!AK$61:AK$108)</f>
        <v>0</v>
      </c>
      <c r="AL132" s="1226">
        <f>$AG132-SUMIF('11.2. ДА за периода'!$B$61:$B$108,$B132,'11.2. ДА за периода'!$AG$61:$AG$108)+SUMIF('11.2. ДА за периода'!$B$61:$B$108,$B132,'11.2. ДА за периода'!AL$61:AL$108)+SUMIF('11.1.Амортиз.нови активи'!$B$61:$B$108,$B132,'11.1.Амортиз.нови активи'!AL$61:AL$108)</f>
        <v>0</v>
      </c>
      <c r="AM132" s="2972">
        <f>$AG132-SUMIF('11.2. ДА за периода'!$B$61:$B$108,$B132,'11.2. ДА за периода'!$AG$61:$AG$108)+SUMIF('11.2. ДА за периода'!$B$61:$B$108,$B132,'11.2. ДА за периода'!AM$61:AM$108)+SUMIF('11.1.Амортиз.нови активи'!$B$61:$B$108,$B132,'11.1.Амортиз.нови активи'!AM$61:AM$108)</f>
        <v>0</v>
      </c>
      <c r="AN132" s="2890"/>
      <c r="AO132" s="2898"/>
      <c r="AP132" s="1426"/>
    </row>
    <row r="133" spans="1:42" s="1422" customFormat="1">
      <c r="A133" s="2862">
        <v>2</v>
      </c>
      <c r="B133" s="2863">
        <v>20202</v>
      </c>
      <c r="C133" s="2864">
        <v>0.03</v>
      </c>
      <c r="D133" s="2918" t="s">
        <v>431</v>
      </c>
      <c r="E133" s="448">
        <v>0</v>
      </c>
      <c r="F133" s="2971">
        <f>$E133-SUMIF('11.2. ДА за периода'!$B$61:$B$108,$B133,'11.2. ДА за периода'!$E$61:$E$108)+SUMIF('11.2. ДА за периода'!$B$61:$B$108,$B133,'11.2. ДА за периода'!F$61:F$108)+SUMIF('11.1.Амортиз.нови активи'!$B$61:$B$108,$B133,'11.1.Амортиз.нови активи'!F$61:F$108)+('11.1.Амортиз.нови активи'!F$110*SUMIF('11.1.Амортиз.нови активи'!$B$61:$B$108,$B133,'11.1.Амортиз.нови активи'!AO$61:AO$108))</f>
        <v>0.25292999999999999</v>
      </c>
      <c r="G133" s="1226">
        <f>$E133-SUMIF('11.2. ДА за периода'!$B$61:$B$108,$B133,'11.2. ДА за периода'!$E$61:$E$108)+SUMIF('11.2. ДА за периода'!$B$61:$B$108,$B133,'11.2. ДА за периода'!G$61:G$108)+SUMIF('11.1.Амортиз.нови активи'!$B$61:$B$108,$B133,'11.1.Амортиз.нови активи'!G$61:G$108)+('11.1.Амортиз.нови активи'!G$110*SUMIF('11.1.Амортиз.нови активи'!$B$61:$B$108,$B133,'11.1.Амортиз.нови активи'!AP$61:AP$108))</f>
        <v>0.25292999999999999</v>
      </c>
      <c r="H133" s="1226">
        <f>$E133-SUMIF('11.2. ДА за периода'!$B$61:$B$108,$B133,'11.2. ДА за периода'!$E$61:$E$108)+SUMIF('11.2. ДА за периода'!$B$61:$B$108,$B133,'11.2. ДА за периода'!H$61:H$108)+SUMIF('11.1.Амортиз.нови активи'!$B$61:$B$108,$B133,'11.1.Амортиз.нови активи'!H$61:H$108)+('11.1.Амортиз.нови активи'!H$110*SUMIF('11.1.Амортиз.нови активи'!$B$61:$B$108,$B133,'11.1.Амортиз.нови активи'!AQ$61:AQ$108))</f>
        <v>0.25292999999999999</v>
      </c>
      <c r="I133" s="1226">
        <f>$E133-SUMIF('11.2. ДА за периода'!$B$61:$B$108,$B133,'11.2. ДА за периода'!$E$61:$E$108)+SUMIF('11.2. ДА за периода'!$B$61:$B$108,$B133,'11.2. ДА за периода'!I$61:I$108)+SUMIF('11.1.Амортиз.нови активи'!$B$61:$B$108,$B133,'11.1.Амортиз.нови активи'!I$61:I$108)+('11.1.Амортиз.нови активи'!I$110*SUMIF('11.1.Амортиз.нови активи'!$B$61:$B$108,$B133,'11.1.Амортиз.нови активи'!AR$61:AR$108))</f>
        <v>0.25292999999999999</v>
      </c>
      <c r="J133" s="1226">
        <f>$E133-SUMIF('11.2. ДА за периода'!$B$61:$B$108,$B133,'11.2. ДА за периода'!$E$61:$E$108)+SUMIF('11.2. ДА за периода'!$B$61:$B$108,$B133,'11.2. ДА за периода'!J$61:J$108)+SUMIF('11.1.Амортиз.нови активи'!$B$61:$B$108,$B133,'11.1.Амортиз.нови активи'!J$61:J$108)+('11.1.Амортиз.нови активи'!J$110*SUMIF('11.1.Амортиз.нови активи'!$B$61:$B$108,$B133,'11.1.Амортиз.нови активи'!AS$61:AS$108))</f>
        <v>0.25292999999999999</v>
      </c>
      <c r="K133" s="1226">
        <f>$E133-SUMIF('11.2. ДА за периода'!$B$61:$B$108,$B133,'11.2. ДА за периода'!$E$61:$E$108)+SUMIF('11.2. ДА за периода'!$B$61:$B$108,$B133,'11.2. ДА за периода'!K$61:K$108)+SUMIF('11.1.Амортиз.нови активи'!$B$61:$B$108,$B133,'11.1.Амортиз.нови активи'!K$61:K$108)+('11.1.Амортиз.нови активи'!K$110*SUMIF('11.1.Амортиз.нови активи'!$B$61:$B$108,$B133,'11.1.Амортиз.нови активи'!AT$61:AT$108))</f>
        <v>0.25292999999999999</v>
      </c>
      <c r="L133" s="448">
        <v>0</v>
      </c>
      <c r="M133" s="2971">
        <f>$L133-SUMIF('11.2. ДА за периода'!$B$61:$B$108,$B133,'11.2. ДА за периода'!$L$61:$L$108)+SUMIF('11.2. ДА за периода'!$B$61:$B$108,$B133,'11.2. ДА за периода'!M$61:M$108)+SUMIF('11.1.Амортиз.нови активи'!$B$61:$B$108,$B133,'11.1.Амортиз.нови активи'!M$61:M$108)+('11.1.Амортиз.нови активи'!F$111*SUMIF('11.1.Амортиз.нови активи'!$B$61:$B$108,$B133,'11.1.Амортиз.нови активи'!AO$61:AO$108))</f>
        <v>0</v>
      </c>
      <c r="N133" s="1226">
        <f>$L133-SUMIF('11.2. ДА за периода'!$B$61:$B$108,$B133,'11.2. ДА за периода'!$L$61:$L$108)+SUMIF('11.2. ДА за периода'!$B$61:$B$108,$B133,'11.2. ДА за периода'!N$61:N$108)+SUMIF('11.1.Амортиз.нови активи'!$B$61:$B$108,$B133,'11.1.Амортиз.нови активи'!N$61:N$108)+('11.1.Амортиз.нови активи'!G$111*SUMIF('11.1.Амортиз.нови активи'!$B$61:$B$108,$B133,'11.1.Амортиз.нови активи'!AP$61:AP$108))</f>
        <v>0</v>
      </c>
      <c r="O133" s="1226">
        <f>$L133-SUMIF('11.2. ДА за периода'!$B$61:$B$108,$B133,'11.2. ДА за периода'!$L$61:$L$108)+SUMIF('11.2. ДА за периода'!$B$61:$B$108,$B133,'11.2. ДА за периода'!O$61:O$108)+SUMIF('11.1.Амортиз.нови активи'!$B$61:$B$108,$B133,'11.1.Амортиз.нови активи'!O$61:O$108)+('11.1.Амортиз.нови активи'!H$111*SUMIF('11.1.Амортиз.нови активи'!$B$61:$B$108,$B133,'11.1.Амортиз.нови активи'!AQ$61:AQ$108))</f>
        <v>0</v>
      </c>
      <c r="P133" s="1226">
        <f>$L133-SUMIF('11.2. ДА за периода'!$B$61:$B$108,$B133,'11.2. ДА за периода'!$L$61:$L$108)+SUMIF('11.2. ДА за периода'!$B$61:$B$108,$B133,'11.2. ДА за периода'!P$61:P$108)+SUMIF('11.1.Амортиз.нови активи'!$B$61:$B$108,$B133,'11.1.Амортиз.нови активи'!P$61:P$108)+('11.1.Амортиз.нови активи'!I$111*SUMIF('11.1.Амортиз.нови активи'!$B$61:$B$108,$B133,'11.1.Амортиз.нови активи'!AR$61:AR$108))</f>
        <v>0</v>
      </c>
      <c r="Q133" s="1226">
        <f>$L133-SUMIF('11.2. ДА за периода'!$B$61:$B$108,$B133,'11.2. ДА за периода'!$L$61:$L$108)+SUMIF('11.2. ДА за периода'!$B$61:$B$108,$B133,'11.2. ДА за периода'!Q$61:Q$108)+SUMIF('11.1.Амортиз.нови активи'!$B$61:$B$108,$B133,'11.1.Амортиз.нови активи'!Q$61:Q$108)+('11.1.Амортиз.нови активи'!J$111*SUMIF('11.1.Амортиз.нови активи'!$B$61:$B$108,$B133,'11.1.Амортиз.нови активи'!AS$61:AS$108))</f>
        <v>0</v>
      </c>
      <c r="R133" s="2972">
        <f>$L133-SUMIF('11.2. ДА за периода'!$B$61:$B$108,$B133,'11.2. ДА за периода'!$L$61:$L$108)+SUMIF('11.2. ДА за периода'!$B$61:$B$108,$B133,'11.2. ДА за периода'!R$61:R$108)+SUMIF('11.1.Амортиз.нови активи'!$B$61:$B$108,$B133,'11.1.Амортиз.нови активи'!R$61:R$108)+('11.1.Амортиз.нови активи'!K$111*SUMIF('11.1.Амортиз.нови активи'!$B$61:$B$108,$B133,'11.1.Амортиз.нови активи'!AT$61:AT$108))</f>
        <v>0</v>
      </c>
      <c r="S133" s="448">
        <v>0</v>
      </c>
      <c r="T133" s="2971">
        <f>$S133-SUMIF('11.2. ДА за периода'!$B$61:$B$108,$B133,'11.2. ДА за периода'!$S$61:$S$108)+SUMIF('11.2. ДА за периода'!$B$61:$B$108,$B133,'11.2. ДА за периода'!T$61:T$108)+SUMIF('11.1.Амортиз.нови активи'!$B$61:$B$108,$B133,'11.1.Амортиз.нови активи'!T$61:T$108)+('11.1.Амортиз.нови активи'!F$112*SUMIF('11.1.Амортиз.нови активи'!$B$61:$B$108,$B133,'11.1.Амортиз.нови активи'!AO$61:AO$108))</f>
        <v>0</v>
      </c>
      <c r="U133" s="1226">
        <f>$S133-SUMIF('11.2. ДА за периода'!$B$61:$B$108,$B133,'11.2. ДА за периода'!$S$61:$S$108)+SUMIF('11.2. ДА за периода'!$B$61:$B$108,$B133,'11.2. ДА за периода'!U$61:U$108)+SUMIF('11.1.Амортиз.нови активи'!$B$61:$B$108,$B133,'11.1.Амортиз.нови активи'!U$61:U$108)+('11.1.Амортиз.нови активи'!G$112*SUMIF('11.1.Амортиз.нови активи'!$B$61:$B$108,$B133,'11.1.Амортиз.нови активи'!AP$61:AP$108))</f>
        <v>0</v>
      </c>
      <c r="V133" s="1226">
        <f>$S133-SUMIF('11.2. ДА за периода'!$B$61:$B$108,$B133,'11.2. ДА за периода'!$S$61:$S$108)+SUMIF('11.2. ДА за периода'!$B$61:$B$108,$B133,'11.2. ДА за периода'!V$61:V$108)+SUMIF('11.1.Амортиз.нови активи'!$B$61:$B$108,$B133,'11.1.Амортиз.нови активи'!V$61:V$108)+('11.1.Амортиз.нови активи'!H$112*SUMIF('11.1.Амортиз.нови активи'!$B$61:$B$108,$B133,'11.1.Амортиз.нови активи'!AQ$61:AQ$108))</f>
        <v>0</v>
      </c>
      <c r="W133" s="1226">
        <f>$S133-SUMIF('11.2. ДА за периода'!$B$61:$B$108,$B133,'11.2. ДА за периода'!$S$61:$S$108)+SUMIF('11.2. ДА за периода'!$B$61:$B$108,$B133,'11.2. ДА за периода'!W$61:W$108)+SUMIF('11.1.Амортиз.нови активи'!$B$61:$B$108,$B133,'11.1.Амортиз.нови активи'!W$61:W$108)+('11.1.Амортиз.нови активи'!I$112*SUMIF('11.1.Амортиз.нови активи'!$B$61:$B$108,$B133,'11.1.Амортиз.нови активи'!AR$61:AR$108))</f>
        <v>0</v>
      </c>
      <c r="X133" s="1226">
        <f>$S133-SUMIF('11.2. ДА за периода'!$B$61:$B$108,$B133,'11.2. ДА за периода'!$S$61:$S$108)+SUMIF('11.2. ДА за периода'!$B$61:$B$108,$B133,'11.2. ДА за периода'!X$61:X$108)+SUMIF('11.1.Амортиз.нови активи'!$B$61:$B$108,$B133,'11.1.Амортиз.нови активи'!X$61:X$108)+('11.1.Амортиз.нови активи'!J$112*SUMIF('11.1.Амортиз.нови активи'!$B$61:$B$108,$B133,'11.1.Амортиз.нови активи'!AS$61:AS$108))</f>
        <v>0</v>
      </c>
      <c r="Y133" s="2972">
        <f>$S133-SUMIF('11.2. ДА за периода'!$B$61:$B$108,$B133,'11.2. ДА за периода'!$S$61:$S$108)+SUMIF('11.2. ДА за периода'!$B$61:$B$108,$B133,'11.2. ДА за периода'!Y$61:Y$108)+SUMIF('11.1.Амортиз.нови активи'!$B$61:$B$108,$B133,'11.1.Амортиз.нови активи'!Y$61:Y$108)+('11.1.Амортиз.нови активи'!K$112*SUMIF('11.1.Амортиз.нови активи'!$B$61:$B$108,$B133,'11.1.Амортиз.нови активи'!AT$61:AT$108))</f>
        <v>0</v>
      </c>
      <c r="Z133" s="448">
        <v>0</v>
      </c>
      <c r="AA133" s="2971">
        <f>$Z133-SUMIF('11.2. ДА за периода'!$B$61:$B$108,$B133,'11.2. ДА за периода'!$Z$61:$Z$108)+SUMIF('11.2. ДА за периода'!$B$61:$B$108,$B133,'11.2. ДА за периода'!AA$61:AA$108)+SUMIF('11.1.Амортиз.нови активи'!$B$61:$B$108,$B133,'11.1.Амортиз.нови активи'!AA$61:AA$108)</f>
        <v>0</v>
      </c>
      <c r="AB133" s="1226">
        <f>$Z133-SUMIF('11.2. ДА за периода'!$B$61:$B$108,$B133,'11.2. ДА за периода'!$Z$61:$Z$108)+SUMIF('11.2. ДА за периода'!$B$61:$B$108,$B133,'11.2. ДА за периода'!AB$61:AB$108)+SUMIF('11.1.Амортиз.нови активи'!$B$61:$B$108,$B133,'11.1.Амортиз.нови активи'!AB$61:AB$108)</f>
        <v>0</v>
      </c>
      <c r="AC133" s="1226">
        <f>$Z133-SUMIF('11.2. ДА за периода'!$B$61:$B$108,$B133,'11.2. ДА за периода'!$Z$61:$Z$108)+SUMIF('11.2. ДА за периода'!$B$61:$B$108,$B133,'11.2. ДА за периода'!AC$61:AC$108)+SUMIF('11.1.Амортиз.нови активи'!$B$61:$B$108,$B133,'11.1.Амортиз.нови активи'!AC$61:AC$108)</f>
        <v>0</v>
      </c>
      <c r="AD133" s="1226">
        <f>$Z133-SUMIF('11.2. ДА за периода'!$B$61:$B$108,$B133,'11.2. ДА за периода'!$Z$61:$Z$108)+SUMIF('11.2. ДА за периода'!$B$61:$B$108,$B133,'11.2. ДА за периода'!AD$61:AD$108)+SUMIF('11.1.Амортиз.нови активи'!$B$61:$B$108,$B133,'11.1.Амортиз.нови активи'!AD$61:AD$108)</f>
        <v>0</v>
      </c>
      <c r="AE133" s="1226">
        <f>$Z133-SUMIF('11.2. ДА за периода'!$B$61:$B$108,$B133,'11.2. ДА за периода'!$Z$61:$Z$108)+SUMIF('11.2. ДА за периода'!$B$61:$B$108,$B133,'11.2. ДА за периода'!AE$61:AE$108)+SUMIF('11.1.Амортиз.нови активи'!$B$61:$B$108,$B133,'11.1.Амортиз.нови активи'!AE$61:AE$108)</f>
        <v>0</v>
      </c>
      <c r="AF133" s="2972">
        <f>$Z133-SUMIF('11.2. ДА за периода'!$B$61:$B$108,$B133,'11.2. ДА за периода'!$Z$61:$Z$108)+SUMIF('11.2. ДА за периода'!$B$61:$B$108,$B133,'11.2. ДА за периода'!AF$61:AF$108)+SUMIF('11.1.Амортиз.нови активи'!$B$61:$B$108,$B133,'11.1.Амортиз.нови активи'!AF$61:AF$108)</f>
        <v>0</v>
      </c>
      <c r="AG133" s="448"/>
      <c r="AH133" s="2971">
        <f>$AG133-SUMIF('11.2. ДА за периода'!$B$61:$B$108,$B133,'11.2. ДА за периода'!$AG$61:$AG$108)+SUMIF('11.2. ДА за периода'!$B$61:$B$108,$B133,'11.2. ДА за периода'!AH$61:AH$108)+SUMIF('11.1.Амортиз.нови активи'!$B$61:$B$108,$B133,'11.1.Амортиз.нови активи'!AH$61:AH$108)</f>
        <v>0</v>
      </c>
      <c r="AI133" s="1226">
        <f>$AG133-SUMIF('11.2. ДА за периода'!$B$61:$B$108,$B133,'11.2. ДА за периода'!$AG$61:$AG$108)+SUMIF('11.2. ДА за периода'!$B$61:$B$108,$B133,'11.2. ДА за периода'!AI$61:AI$108)+SUMIF('11.1.Амортиз.нови активи'!$B$61:$B$108,$B133,'11.1.Амортиз.нови активи'!AI$61:AI$108)</f>
        <v>0</v>
      </c>
      <c r="AJ133" s="1226">
        <f>$AG133-SUMIF('11.2. ДА за периода'!$B$61:$B$108,$B133,'11.2. ДА за периода'!$AG$61:$AG$108)+SUMIF('11.2. ДА за периода'!$B$61:$B$108,$B133,'11.2. ДА за периода'!AJ$61:AJ$108)+SUMIF('11.1.Амортиз.нови активи'!$B$61:$B$108,$B133,'11.1.Амортиз.нови активи'!AJ$61:AJ$108)</f>
        <v>0</v>
      </c>
      <c r="AK133" s="1226">
        <f>$AG133-SUMIF('11.2. ДА за периода'!$B$61:$B$108,$B133,'11.2. ДА за периода'!$AG$61:$AG$108)+SUMIF('11.2. ДА за периода'!$B$61:$B$108,$B133,'11.2. ДА за периода'!AK$61:AK$108)+SUMIF('11.1.Амортиз.нови активи'!$B$61:$B$108,$B133,'11.1.Амортиз.нови активи'!AK$61:AK$108)</f>
        <v>0</v>
      </c>
      <c r="AL133" s="1226">
        <f>$AG133-SUMIF('11.2. ДА за периода'!$B$61:$B$108,$B133,'11.2. ДА за периода'!$AG$61:$AG$108)+SUMIF('11.2. ДА за периода'!$B$61:$B$108,$B133,'11.2. ДА за периода'!AL$61:AL$108)+SUMIF('11.1.Амортиз.нови активи'!$B$61:$B$108,$B133,'11.1.Амортиз.нови активи'!AL$61:AL$108)</f>
        <v>0</v>
      </c>
      <c r="AM133" s="2972">
        <f>$AG133-SUMIF('11.2. ДА за периода'!$B$61:$B$108,$B133,'11.2. ДА за периода'!$AG$61:$AG$108)+SUMIF('11.2. ДА за периода'!$B$61:$B$108,$B133,'11.2. ДА за периода'!AM$61:AM$108)+SUMIF('11.1.Амортиз.нови активи'!$B$61:$B$108,$B133,'11.1.Амортиз.нови активи'!AM$61:AM$108)</f>
        <v>0</v>
      </c>
      <c r="AN133" s="2860"/>
      <c r="AO133" s="2898"/>
      <c r="AP133" s="1426"/>
    </row>
    <row r="134" spans="1:42" s="1422" customFormat="1">
      <c r="A134" s="2862">
        <v>3</v>
      </c>
      <c r="B134" s="2863">
        <v>2030401</v>
      </c>
      <c r="C134" s="2869">
        <v>0.1</v>
      </c>
      <c r="D134" s="2899" t="s">
        <v>1039</v>
      </c>
      <c r="E134" s="448">
        <v>9</v>
      </c>
      <c r="F134" s="2971">
        <f>$E134-SUMIF('11.2. ДА за периода'!$B$61:$B$108,$B134,'11.2. ДА за периода'!$E$61:$E$108)+SUMIF('11.2. ДА за периода'!$B$61:$B$108,$B134,'11.2. ДА за периода'!F$61:F$108)+SUMIF('11.1.Амортиз.нови активи'!$B$61:$B$108,$B134,'11.1.Амортиз.нови активи'!F$61:F$108)+('11.1.Амортиз.нови активи'!F$110*SUMIF('11.1.Амортиз.нови активи'!$B$61:$B$108,$B134,'11.1.Амортиз.нови активи'!AO$61:AO$108))</f>
        <v>10.582800000000001</v>
      </c>
      <c r="G134" s="1226">
        <f>$E134-SUMIF('11.2. ДА за периода'!$B$61:$B$108,$B134,'11.2. ДА за периода'!$E$61:$E$108)+SUMIF('11.2. ДА за периода'!$B$61:$B$108,$B134,'11.2. ДА за периода'!G$61:G$108)+SUMIF('11.1.Амортиз.нови активи'!$B$61:$B$108,$B134,'11.1.Амортиз.нови активи'!G$61:G$108)+('11.1.Амортиз.нови активи'!G$110*SUMIF('11.1.Амортиз.нови активи'!$B$61:$B$108,$B134,'11.1.Амортиз.нови активи'!AP$61:AP$108))</f>
        <v>10.582800000000001</v>
      </c>
      <c r="H134" s="1226">
        <f>$E134-SUMIF('11.2. ДА за периода'!$B$61:$B$108,$B134,'11.2. ДА за периода'!$E$61:$E$108)+SUMIF('11.2. ДА за периода'!$B$61:$B$108,$B134,'11.2. ДА за периода'!H$61:H$108)+SUMIF('11.1.Амортиз.нови активи'!$B$61:$B$108,$B134,'11.1.Амортиз.нови активи'!H$61:H$108)+('11.1.Амортиз.нови активи'!H$110*SUMIF('11.1.Амортиз.нови активи'!$B$61:$B$108,$B134,'11.1.Амортиз.нови активи'!AQ$61:AQ$108))</f>
        <v>10.582800000000001</v>
      </c>
      <c r="I134" s="1226">
        <f>$E134-SUMIF('11.2. ДА за периода'!$B$61:$B$108,$B134,'11.2. ДА за периода'!$E$61:$E$108)+SUMIF('11.2. ДА за периода'!$B$61:$B$108,$B134,'11.2. ДА за периода'!I$61:I$108)+SUMIF('11.1.Амортиз.нови активи'!$B$61:$B$108,$B134,'11.1.Амортиз.нови активи'!I$61:I$108)+('11.1.Амортиз.нови активи'!I$110*SUMIF('11.1.Амортиз.нови активи'!$B$61:$B$108,$B134,'11.1.Амортиз.нови активи'!AR$61:AR$108))</f>
        <v>10.582800000000001</v>
      </c>
      <c r="J134" s="1226">
        <f>$E134-SUMIF('11.2. ДА за периода'!$B$61:$B$108,$B134,'11.2. ДА за периода'!$E$61:$E$108)+SUMIF('11.2. ДА за периода'!$B$61:$B$108,$B134,'11.2. ДА за периода'!J$61:J$108)+SUMIF('11.1.Амортиз.нови активи'!$B$61:$B$108,$B134,'11.1.Амортиз.нови активи'!J$61:J$108)+('11.1.Амортиз.нови активи'!J$110*SUMIF('11.1.Амортиз.нови активи'!$B$61:$B$108,$B134,'11.1.Амортиз.нови активи'!AS$61:AS$108))</f>
        <v>10.582800000000001</v>
      </c>
      <c r="K134" s="1226">
        <f>$E134-SUMIF('11.2. ДА за периода'!$B$61:$B$108,$B134,'11.2. ДА за периода'!$E$61:$E$108)+SUMIF('11.2. ДА за периода'!$B$61:$B$108,$B134,'11.2. ДА за периода'!K$61:K$108)+SUMIF('11.1.Амортиз.нови активи'!$B$61:$B$108,$B134,'11.1.Амортиз.нови активи'!K$61:K$108)+('11.1.Амортиз.нови активи'!K$110*SUMIF('11.1.Амортиз.нови активи'!$B$61:$B$108,$B134,'11.1.Амортиз.нови активи'!AT$61:AT$108))</f>
        <v>10.582800000000001</v>
      </c>
      <c r="L134" s="448">
        <v>0</v>
      </c>
      <c r="M134" s="2971">
        <f>$L134-SUMIF('11.2. ДА за периода'!$B$61:$B$108,$B134,'11.2. ДА за периода'!$L$61:$L$108)+SUMIF('11.2. ДА за периода'!$B$61:$B$108,$B134,'11.2. ДА за периода'!M$61:M$108)+SUMIF('11.1.Амортиз.нови активи'!$B$61:$B$108,$B134,'11.1.Амортиз.нови активи'!M$61:M$108)+('11.1.Амортиз.нови активи'!F$111*SUMIF('11.1.Амортиз.нови активи'!$B$61:$B$108,$B134,'11.1.Амортиз.нови активи'!AO$61:AO$108))</f>
        <v>0</v>
      </c>
      <c r="N134" s="1226">
        <f>$L134-SUMIF('11.2. ДА за периода'!$B$61:$B$108,$B134,'11.2. ДА за периода'!$L$61:$L$108)+SUMIF('11.2. ДА за периода'!$B$61:$B$108,$B134,'11.2. ДА за периода'!N$61:N$108)+SUMIF('11.1.Амортиз.нови активи'!$B$61:$B$108,$B134,'11.1.Амортиз.нови активи'!N$61:N$108)+('11.1.Амортиз.нови активи'!G$111*SUMIF('11.1.Амортиз.нови активи'!$B$61:$B$108,$B134,'11.1.Амортиз.нови активи'!AP$61:AP$108))</f>
        <v>0</v>
      </c>
      <c r="O134" s="1226">
        <f>$L134-SUMIF('11.2. ДА за периода'!$B$61:$B$108,$B134,'11.2. ДА за периода'!$L$61:$L$108)+SUMIF('11.2. ДА за периода'!$B$61:$B$108,$B134,'11.2. ДА за периода'!O$61:O$108)+SUMIF('11.1.Амортиз.нови активи'!$B$61:$B$108,$B134,'11.1.Амортиз.нови активи'!O$61:O$108)+('11.1.Амортиз.нови активи'!H$111*SUMIF('11.1.Амортиз.нови активи'!$B$61:$B$108,$B134,'11.1.Амортиз.нови активи'!AQ$61:AQ$108))</f>
        <v>0</v>
      </c>
      <c r="P134" s="1226">
        <f>$L134-SUMIF('11.2. ДА за периода'!$B$61:$B$108,$B134,'11.2. ДА за периода'!$L$61:$L$108)+SUMIF('11.2. ДА за периода'!$B$61:$B$108,$B134,'11.2. ДА за периода'!P$61:P$108)+SUMIF('11.1.Амортиз.нови активи'!$B$61:$B$108,$B134,'11.1.Амортиз.нови активи'!P$61:P$108)+('11.1.Амортиз.нови активи'!I$111*SUMIF('11.1.Амортиз.нови активи'!$B$61:$B$108,$B134,'11.1.Амортиз.нови активи'!AR$61:AR$108))</f>
        <v>0</v>
      </c>
      <c r="Q134" s="1226">
        <f>$L134-SUMIF('11.2. ДА за периода'!$B$61:$B$108,$B134,'11.2. ДА за периода'!$L$61:$L$108)+SUMIF('11.2. ДА за периода'!$B$61:$B$108,$B134,'11.2. ДА за периода'!Q$61:Q$108)+SUMIF('11.1.Амортиз.нови активи'!$B$61:$B$108,$B134,'11.1.Амортиз.нови активи'!Q$61:Q$108)+('11.1.Амортиз.нови активи'!J$111*SUMIF('11.1.Амортиз.нови активи'!$B$61:$B$108,$B134,'11.1.Амортиз.нови активи'!AS$61:AS$108))</f>
        <v>0</v>
      </c>
      <c r="R134" s="2972">
        <f>$L134-SUMIF('11.2. ДА за периода'!$B$61:$B$108,$B134,'11.2. ДА за периода'!$L$61:$L$108)+SUMIF('11.2. ДА за периода'!$B$61:$B$108,$B134,'11.2. ДА за периода'!R$61:R$108)+SUMIF('11.1.Амортиз.нови активи'!$B$61:$B$108,$B134,'11.1.Амортиз.нови активи'!R$61:R$108)+('11.1.Амортиз.нови активи'!K$111*SUMIF('11.1.Амортиз.нови активи'!$B$61:$B$108,$B134,'11.1.Амортиз.нови активи'!AT$61:AT$108))</f>
        <v>0</v>
      </c>
      <c r="S134" s="448">
        <v>1.45</v>
      </c>
      <c r="T134" s="2971">
        <f>$S134-SUMIF('11.2. ДА за периода'!$B$61:$B$108,$B134,'11.2. ДА за периода'!$S$61:$S$108)+SUMIF('11.2. ДА за периода'!$B$61:$B$108,$B134,'11.2. ДА за периода'!T$61:T$108)+SUMIF('11.1.Амортиз.нови активи'!$B$61:$B$108,$B134,'11.1.Амортиз.нови активи'!T$61:T$108)+('11.1.Амортиз.нови активи'!F$112*SUMIF('11.1.Амортиз.нови активи'!$B$61:$B$108,$B134,'11.1.Амортиз.нови активи'!AO$61:AO$108))</f>
        <v>1.45</v>
      </c>
      <c r="U134" s="1226">
        <f>$S134-SUMIF('11.2. ДА за периода'!$B$61:$B$108,$B134,'11.2. ДА за периода'!$S$61:$S$108)+SUMIF('11.2. ДА за периода'!$B$61:$B$108,$B134,'11.2. ДА за периода'!U$61:U$108)+SUMIF('11.1.Амортиз.нови активи'!$B$61:$B$108,$B134,'11.1.Амортиз.нови активи'!U$61:U$108)+('11.1.Амортиз.нови активи'!G$112*SUMIF('11.1.Амортиз.нови активи'!$B$61:$B$108,$B134,'11.1.Амортиз.нови активи'!AP$61:AP$108))</f>
        <v>1.45</v>
      </c>
      <c r="V134" s="1226">
        <f>$S134-SUMIF('11.2. ДА за периода'!$B$61:$B$108,$B134,'11.2. ДА за периода'!$S$61:$S$108)+SUMIF('11.2. ДА за периода'!$B$61:$B$108,$B134,'11.2. ДА за периода'!V$61:V$108)+SUMIF('11.1.Амортиз.нови активи'!$B$61:$B$108,$B134,'11.1.Амортиз.нови активи'!V$61:V$108)+('11.1.Амортиз.нови активи'!H$112*SUMIF('11.1.Амортиз.нови активи'!$B$61:$B$108,$B134,'11.1.Амортиз.нови активи'!AQ$61:AQ$108))</f>
        <v>1.45</v>
      </c>
      <c r="W134" s="1226">
        <f>$S134-SUMIF('11.2. ДА за периода'!$B$61:$B$108,$B134,'11.2. ДА за периода'!$S$61:$S$108)+SUMIF('11.2. ДА за периода'!$B$61:$B$108,$B134,'11.2. ДА за периода'!W$61:W$108)+SUMIF('11.1.Амортиз.нови активи'!$B$61:$B$108,$B134,'11.1.Амортиз.нови активи'!W$61:W$108)+('11.1.Амортиз.нови активи'!I$112*SUMIF('11.1.Амортиз.нови активи'!$B$61:$B$108,$B134,'11.1.Амортиз.нови активи'!AR$61:AR$108))</f>
        <v>1.45</v>
      </c>
      <c r="X134" s="1226">
        <f>$S134-SUMIF('11.2. ДА за периода'!$B$61:$B$108,$B134,'11.2. ДА за периода'!$S$61:$S$108)+SUMIF('11.2. ДА за периода'!$B$61:$B$108,$B134,'11.2. ДА за периода'!X$61:X$108)+SUMIF('11.1.Амортиз.нови активи'!$B$61:$B$108,$B134,'11.1.Амортиз.нови активи'!X$61:X$108)+('11.1.Амортиз.нови активи'!J$112*SUMIF('11.1.Амортиз.нови активи'!$B$61:$B$108,$B134,'11.1.Амортиз.нови активи'!AS$61:AS$108))</f>
        <v>1.45</v>
      </c>
      <c r="Y134" s="2972">
        <f>$S134-SUMIF('11.2. ДА за периода'!$B$61:$B$108,$B134,'11.2. ДА за периода'!$S$61:$S$108)+SUMIF('11.2. ДА за периода'!$B$61:$B$108,$B134,'11.2. ДА за периода'!Y$61:Y$108)+SUMIF('11.1.Амортиз.нови активи'!$B$61:$B$108,$B134,'11.1.Амортиз.нови активи'!Y$61:Y$108)+('11.1.Амортиз.нови активи'!K$112*SUMIF('11.1.Амортиз.нови активи'!$B$61:$B$108,$B134,'11.1.Амортиз.нови активи'!AT$61:AT$108))</f>
        <v>1.45</v>
      </c>
      <c r="Z134" s="448">
        <v>0</v>
      </c>
      <c r="AA134" s="2971">
        <f>$Z134-SUMIF('11.2. ДА за периода'!$B$61:$B$108,$B134,'11.2. ДА за периода'!$Z$61:$Z$108)+SUMIF('11.2. ДА за периода'!$B$61:$B$108,$B134,'11.2. ДА за периода'!AA$61:AA$108)+SUMIF('11.1.Амортиз.нови активи'!$B$61:$B$108,$B134,'11.1.Амортиз.нови активи'!AA$61:AA$108)</f>
        <v>0</v>
      </c>
      <c r="AB134" s="1226">
        <f>$Z134-SUMIF('11.2. ДА за периода'!$B$61:$B$108,$B134,'11.2. ДА за периода'!$Z$61:$Z$108)+SUMIF('11.2. ДА за периода'!$B$61:$B$108,$B134,'11.2. ДА за периода'!AB$61:AB$108)+SUMIF('11.1.Амортиз.нови активи'!$B$61:$B$108,$B134,'11.1.Амортиз.нови активи'!AB$61:AB$108)</f>
        <v>0</v>
      </c>
      <c r="AC134" s="1226">
        <f>$Z134-SUMIF('11.2. ДА за периода'!$B$61:$B$108,$B134,'11.2. ДА за периода'!$Z$61:$Z$108)+SUMIF('11.2. ДА за периода'!$B$61:$B$108,$B134,'11.2. ДА за периода'!AC$61:AC$108)+SUMIF('11.1.Амортиз.нови активи'!$B$61:$B$108,$B134,'11.1.Амортиз.нови активи'!AC$61:AC$108)</f>
        <v>0</v>
      </c>
      <c r="AD134" s="1226">
        <f>$Z134-SUMIF('11.2. ДА за периода'!$B$61:$B$108,$B134,'11.2. ДА за периода'!$Z$61:$Z$108)+SUMIF('11.2. ДА за периода'!$B$61:$B$108,$B134,'11.2. ДА за периода'!AD$61:AD$108)+SUMIF('11.1.Амортиз.нови активи'!$B$61:$B$108,$B134,'11.1.Амортиз.нови активи'!AD$61:AD$108)</f>
        <v>0</v>
      </c>
      <c r="AE134" s="1226">
        <f>$Z134-SUMIF('11.2. ДА за периода'!$B$61:$B$108,$B134,'11.2. ДА за периода'!$Z$61:$Z$108)+SUMIF('11.2. ДА за периода'!$B$61:$B$108,$B134,'11.2. ДА за периода'!AE$61:AE$108)+SUMIF('11.1.Амортиз.нови активи'!$B$61:$B$108,$B134,'11.1.Амортиз.нови активи'!AE$61:AE$108)</f>
        <v>0</v>
      </c>
      <c r="AF134" s="2972">
        <f>$Z134-SUMIF('11.2. ДА за периода'!$B$61:$B$108,$B134,'11.2. ДА за периода'!$Z$61:$Z$108)+SUMIF('11.2. ДА за периода'!$B$61:$B$108,$B134,'11.2. ДА за периода'!AF$61:AF$108)+SUMIF('11.1.Амортиз.нови активи'!$B$61:$B$108,$B134,'11.1.Амортиз.нови активи'!AF$61:AF$108)</f>
        <v>0</v>
      </c>
      <c r="AG134" s="448"/>
      <c r="AH134" s="2971">
        <f>$AG134-SUMIF('11.2. ДА за периода'!$B$61:$B$108,$B134,'11.2. ДА за периода'!$AG$61:$AG$108)+SUMIF('11.2. ДА за периода'!$B$61:$B$108,$B134,'11.2. ДА за периода'!AH$61:AH$108)+SUMIF('11.1.Амортиз.нови активи'!$B$61:$B$108,$B134,'11.1.Амортиз.нови активи'!AH$61:AH$108)</f>
        <v>0</v>
      </c>
      <c r="AI134" s="1226">
        <f>$AG134-SUMIF('11.2. ДА за периода'!$B$61:$B$108,$B134,'11.2. ДА за периода'!$AG$61:$AG$108)+SUMIF('11.2. ДА за периода'!$B$61:$B$108,$B134,'11.2. ДА за периода'!AI$61:AI$108)+SUMIF('11.1.Амортиз.нови активи'!$B$61:$B$108,$B134,'11.1.Амортиз.нови активи'!AI$61:AI$108)</f>
        <v>0</v>
      </c>
      <c r="AJ134" s="1226">
        <f>$AG134-SUMIF('11.2. ДА за периода'!$B$61:$B$108,$B134,'11.2. ДА за периода'!$AG$61:$AG$108)+SUMIF('11.2. ДА за периода'!$B$61:$B$108,$B134,'11.2. ДА за периода'!AJ$61:AJ$108)+SUMIF('11.1.Амортиз.нови активи'!$B$61:$B$108,$B134,'11.1.Амортиз.нови активи'!AJ$61:AJ$108)</f>
        <v>0</v>
      </c>
      <c r="AK134" s="1226">
        <f>$AG134-SUMIF('11.2. ДА за периода'!$B$61:$B$108,$B134,'11.2. ДА за периода'!$AG$61:$AG$108)+SUMIF('11.2. ДА за периода'!$B$61:$B$108,$B134,'11.2. ДА за периода'!AK$61:AK$108)+SUMIF('11.1.Амортиз.нови активи'!$B$61:$B$108,$B134,'11.1.Амортиз.нови активи'!AK$61:AK$108)</f>
        <v>0</v>
      </c>
      <c r="AL134" s="1226">
        <f>$AG134-SUMIF('11.2. ДА за периода'!$B$61:$B$108,$B134,'11.2. ДА за периода'!$AG$61:$AG$108)+SUMIF('11.2. ДА за периода'!$B$61:$B$108,$B134,'11.2. ДА за периода'!AL$61:AL$108)+SUMIF('11.1.Амортиз.нови активи'!$B$61:$B$108,$B134,'11.1.Амортиз.нови активи'!AL$61:AL$108)</f>
        <v>0</v>
      </c>
      <c r="AM134" s="2972">
        <f>$AG134-SUMIF('11.2. ДА за периода'!$B$61:$B$108,$B134,'11.2. ДА за периода'!$AG$61:$AG$108)+SUMIF('11.2. ДА за периода'!$B$61:$B$108,$B134,'11.2. ДА за периода'!AM$61:AM$108)+SUMIF('11.1.Амортиз.нови активи'!$B$61:$B$108,$B134,'11.1.Амортиз.нови активи'!AM$61:AM$108)</f>
        <v>0</v>
      </c>
      <c r="AN134" s="2860"/>
      <c r="AO134" s="2898"/>
      <c r="AP134" s="1426"/>
    </row>
    <row r="135" spans="1:42" s="1422" customFormat="1">
      <c r="A135" s="2862">
        <v>4</v>
      </c>
      <c r="B135" s="2863">
        <v>2030402</v>
      </c>
      <c r="C135" s="2869">
        <v>0.1</v>
      </c>
      <c r="D135" s="2899" t="s">
        <v>434</v>
      </c>
      <c r="E135" s="448">
        <v>0</v>
      </c>
      <c r="F135" s="2971">
        <f>$E135-SUMIF('11.2. ДА за периода'!$B$61:$B$108,$B135,'11.2. ДА за периода'!$E$61:$E$108)+SUMIF('11.2. ДА за периода'!$B$61:$B$108,$B135,'11.2. ДА за периода'!F$61:F$108)+SUMIF('11.1.Амортиз.нови активи'!$B$61:$B$108,$B135,'11.1.Амортиз.нови активи'!F$61:F$108)+('11.1.Амортиз.нови активи'!F$110*SUMIF('11.1.Амортиз.нови активи'!$B$61:$B$108,$B135,'11.1.Амортиз.нови активи'!AO$61:AO$108))</f>
        <v>0</v>
      </c>
      <c r="G135" s="1226">
        <f>$E135-SUMIF('11.2. ДА за периода'!$B$61:$B$108,$B135,'11.2. ДА за периода'!$E$61:$E$108)+SUMIF('11.2. ДА за периода'!$B$61:$B$108,$B135,'11.2. ДА за периода'!G$61:G$108)+SUMIF('11.1.Амортиз.нови активи'!$B$61:$B$108,$B135,'11.1.Амортиз.нови активи'!G$61:G$108)+('11.1.Амортиз.нови активи'!G$110*SUMIF('11.1.Амортиз.нови активи'!$B$61:$B$108,$B135,'11.1.Амортиз.нови активи'!AP$61:AP$108))</f>
        <v>0</v>
      </c>
      <c r="H135" s="1226">
        <f>$E135-SUMIF('11.2. ДА за периода'!$B$61:$B$108,$B135,'11.2. ДА за периода'!$E$61:$E$108)+SUMIF('11.2. ДА за периода'!$B$61:$B$108,$B135,'11.2. ДА за периода'!H$61:H$108)+SUMIF('11.1.Амортиз.нови активи'!$B$61:$B$108,$B135,'11.1.Амортиз.нови активи'!H$61:H$108)+('11.1.Амортиз.нови активи'!H$110*SUMIF('11.1.Амортиз.нови активи'!$B$61:$B$108,$B135,'11.1.Амортиз.нови активи'!AQ$61:AQ$108))</f>
        <v>0</v>
      </c>
      <c r="I135" s="1226">
        <f>$E135-SUMIF('11.2. ДА за периода'!$B$61:$B$108,$B135,'11.2. ДА за периода'!$E$61:$E$108)+SUMIF('11.2. ДА за периода'!$B$61:$B$108,$B135,'11.2. ДА за периода'!I$61:I$108)+SUMIF('11.1.Амортиз.нови активи'!$B$61:$B$108,$B135,'11.1.Амортиз.нови активи'!I$61:I$108)+('11.1.Амортиз.нови активи'!I$110*SUMIF('11.1.Амортиз.нови активи'!$B$61:$B$108,$B135,'11.1.Амортиз.нови активи'!AR$61:AR$108))</f>
        <v>0</v>
      </c>
      <c r="J135" s="1226">
        <f>$E135-SUMIF('11.2. ДА за периода'!$B$61:$B$108,$B135,'11.2. ДА за периода'!$E$61:$E$108)+SUMIF('11.2. ДА за периода'!$B$61:$B$108,$B135,'11.2. ДА за периода'!J$61:J$108)+SUMIF('11.1.Амортиз.нови активи'!$B$61:$B$108,$B135,'11.1.Амортиз.нови активи'!J$61:J$108)+('11.1.Амортиз.нови активи'!J$110*SUMIF('11.1.Амортиз.нови активи'!$B$61:$B$108,$B135,'11.1.Амортиз.нови активи'!AS$61:AS$108))</f>
        <v>0</v>
      </c>
      <c r="K135" s="1226">
        <f>$E135-SUMIF('11.2. ДА за периода'!$B$61:$B$108,$B135,'11.2. ДА за периода'!$E$61:$E$108)+SUMIF('11.2. ДА за периода'!$B$61:$B$108,$B135,'11.2. ДА за периода'!K$61:K$108)+SUMIF('11.1.Амортиз.нови активи'!$B$61:$B$108,$B135,'11.1.Амортиз.нови активи'!K$61:K$108)+('11.1.Амортиз.нови активи'!K$110*SUMIF('11.1.Амортиз.нови активи'!$B$61:$B$108,$B135,'11.1.Амортиз.нови активи'!AT$61:AT$108))</f>
        <v>0</v>
      </c>
      <c r="L135" s="448">
        <v>0</v>
      </c>
      <c r="M135" s="2971">
        <f>$L135-SUMIF('11.2. ДА за периода'!$B$61:$B$108,$B135,'11.2. ДА за периода'!$L$61:$L$108)+SUMIF('11.2. ДА за периода'!$B$61:$B$108,$B135,'11.2. ДА за периода'!M$61:M$108)+SUMIF('11.1.Амортиз.нови активи'!$B$61:$B$108,$B135,'11.1.Амортиз.нови активи'!M$61:M$108)+('11.1.Амортиз.нови активи'!F$111*SUMIF('11.1.Амортиз.нови активи'!$B$61:$B$108,$B135,'11.1.Амортиз.нови активи'!AO$61:AO$108))</f>
        <v>0</v>
      </c>
      <c r="N135" s="1226">
        <f>$L135-SUMIF('11.2. ДА за периода'!$B$61:$B$108,$B135,'11.2. ДА за периода'!$L$61:$L$108)+SUMIF('11.2. ДА за периода'!$B$61:$B$108,$B135,'11.2. ДА за периода'!N$61:N$108)+SUMIF('11.1.Амортиз.нови активи'!$B$61:$B$108,$B135,'11.1.Амортиз.нови активи'!N$61:N$108)+('11.1.Амортиз.нови активи'!G$111*SUMIF('11.1.Амортиз.нови активи'!$B$61:$B$108,$B135,'11.1.Амортиз.нови активи'!AP$61:AP$108))</f>
        <v>0</v>
      </c>
      <c r="O135" s="1226">
        <f>$L135-SUMIF('11.2. ДА за периода'!$B$61:$B$108,$B135,'11.2. ДА за периода'!$L$61:$L$108)+SUMIF('11.2. ДА за периода'!$B$61:$B$108,$B135,'11.2. ДА за периода'!O$61:O$108)+SUMIF('11.1.Амортиз.нови активи'!$B$61:$B$108,$B135,'11.1.Амортиз.нови активи'!O$61:O$108)+('11.1.Амортиз.нови активи'!H$111*SUMIF('11.1.Амортиз.нови активи'!$B$61:$B$108,$B135,'11.1.Амортиз.нови активи'!AQ$61:AQ$108))</f>
        <v>0</v>
      </c>
      <c r="P135" s="1226">
        <f>$L135-SUMIF('11.2. ДА за периода'!$B$61:$B$108,$B135,'11.2. ДА за периода'!$L$61:$L$108)+SUMIF('11.2. ДА за периода'!$B$61:$B$108,$B135,'11.2. ДА за периода'!P$61:P$108)+SUMIF('11.1.Амортиз.нови активи'!$B$61:$B$108,$B135,'11.1.Амортиз.нови активи'!P$61:P$108)+('11.1.Амортиз.нови активи'!I$111*SUMIF('11.1.Амортиз.нови активи'!$B$61:$B$108,$B135,'11.1.Амортиз.нови активи'!AR$61:AR$108))</f>
        <v>0</v>
      </c>
      <c r="Q135" s="1226">
        <f>$L135-SUMIF('11.2. ДА за периода'!$B$61:$B$108,$B135,'11.2. ДА за периода'!$L$61:$L$108)+SUMIF('11.2. ДА за периода'!$B$61:$B$108,$B135,'11.2. ДА за периода'!Q$61:Q$108)+SUMIF('11.1.Амортиз.нови активи'!$B$61:$B$108,$B135,'11.1.Амортиз.нови активи'!Q$61:Q$108)+('11.1.Амортиз.нови активи'!J$111*SUMIF('11.1.Амортиз.нови активи'!$B$61:$B$108,$B135,'11.1.Амортиз.нови активи'!AS$61:AS$108))</f>
        <v>0</v>
      </c>
      <c r="R135" s="2972">
        <f>$L135-SUMIF('11.2. ДА за периода'!$B$61:$B$108,$B135,'11.2. ДА за периода'!$L$61:$L$108)+SUMIF('11.2. ДА за периода'!$B$61:$B$108,$B135,'11.2. ДА за периода'!R$61:R$108)+SUMIF('11.1.Амортиз.нови активи'!$B$61:$B$108,$B135,'11.1.Амортиз.нови активи'!R$61:R$108)+('11.1.Амортиз.нови активи'!K$111*SUMIF('11.1.Амортиз.нови активи'!$B$61:$B$108,$B135,'11.1.Амортиз.нови активи'!AT$61:AT$108))</f>
        <v>0</v>
      </c>
      <c r="S135" s="448">
        <v>0</v>
      </c>
      <c r="T135" s="2971">
        <f>$S135-SUMIF('11.2. ДА за периода'!$B$61:$B$108,$B135,'11.2. ДА за периода'!$S$61:$S$108)+SUMIF('11.2. ДА за периода'!$B$61:$B$108,$B135,'11.2. ДА за периода'!T$61:T$108)+SUMIF('11.1.Амортиз.нови активи'!$B$61:$B$108,$B135,'11.1.Амортиз.нови активи'!T$61:T$108)+('11.1.Амортиз.нови активи'!F$112*SUMIF('11.1.Амортиз.нови активи'!$B$61:$B$108,$B135,'11.1.Амортиз.нови активи'!AO$61:AO$108))</f>
        <v>0</v>
      </c>
      <c r="U135" s="1226">
        <f>$S135-SUMIF('11.2. ДА за периода'!$B$61:$B$108,$B135,'11.2. ДА за периода'!$S$61:$S$108)+SUMIF('11.2. ДА за периода'!$B$61:$B$108,$B135,'11.2. ДА за периода'!U$61:U$108)+SUMIF('11.1.Амортиз.нови активи'!$B$61:$B$108,$B135,'11.1.Амортиз.нови активи'!U$61:U$108)+('11.1.Амортиз.нови активи'!G$112*SUMIF('11.1.Амортиз.нови активи'!$B$61:$B$108,$B135,'11.1.Амортиз.нови активи'!AP$61:AP$108))</f>
        <v>0</v>
      </c>
      <c r="V135" s="1226">
        <f>$S135-SUMIF('11.2. ДА за периода'!$B$61:$B$108,$B135,'11.2. ДА за периода'!$S$61:$S$108)+SUMIF('11.2. ДА за периода'!$B$61:$B$108,$B135,'11.2. ДА за периода'!V$61:V$108)+SUMIF('11.1.Амортиз.нови активи'!$B$61:$B$108,$B135,'11.1.Амортиз.нови активи'!V$61:V$108)+('11.1.Амортиз.нови активи'!H$112*SUMIF('11.1.Амортиз.нови активи'!$B$61:$B$108,$B135,'11.1.Амортиз.нови активи'!AQ$61:AQ$108))</f>
        <v>0</v>
      </c>
      <c r="W135" s="1226">
        <f>$S135-SUMIF('11.2. ДА за периода'!$B$61:$B$108,$B135,'11.2. ДА за периода'!$S$61:$S$108)+SUMIF('11.2. ДА за периода'!$B$61:$B$108,$B135,'11.2. ДА за периода'!W$61:W$108)+SUMIF('11.1.Амортиз.нови активи'!$B$61:$B$108,$B135,'11.1.Амортиз.нови активи'!W$61:W$108)+('11.1.Амортиз.нови активи'!I$112*SUMIF('11.1.Амортиз.нови активи'!$B$61:$B$108,$B135,'11.1.Амортиз.нови активи'!AR$61:AR$108))</f>
        <v>0</v>
      </c>
      <c r="X135" s="1226">
        <f>$S135-SUMIF('11.2. ДА за периода'!$B$61:$B$108,$B135,'11.2. ДА за периода'!$S$61:$S$108)+SUMIF('11.2. ДА за периода'!$B$61:$B$108,$B135,'11.2. ДА за периода'!X$61:X$108)+SUMIF('11.1.Амортиз.нови активи'!$B$61:$B$108,$B135,'11.1.Амортиз.нови активи'!X$61:X$108)+('11.1.Амортиз.нови активи'!J$112*SUMIF('11.1.Амортиз.нови активи'!$B$61:$B$108,$B135,'11.1.Амортиз.нови активи'!AS$61:AS$108))</f>
        <v>0</v>
      </c>
      <c r="Y135" s="2972">
        <f>$S135-SUMIF('11.2. ДА за периода'!$B$61:$B$108,$B135,'11.2. ДА за периода'!$S$61:$S$108)+SUMIF('11.2. ДА за периода'!$B$61:$B$108,$B135,'11.2. ДА за периода'!Y$61:Y$108)+SUMIF('11.1.Амортиз.нови активи'!$B$61:$B$108,$B135,'11.1.Амортиз.нови активи'!Y$61:Y$108)+('11.1.Амортиз.нови активи'!K$112*SUMIF('11.1.Амортиз.нови активи'!$B$61:$B$108,$B135,'11.1.Амортиз.нови активи'!AT$61:AT$108))</f>
        <v>0</v>
      </c>
      <c r="Z135" s="448">
        <v>0</v>
      </c>
      <c r="AA135" s="2971">
        <f>$Z135-SUMIF('11.2. ДА за периода'!$B$61:$B$108,$B135,'11.2. ДА за периода'!$Z$61:$Z$108)+SUMIF('11.2. ДА за периода'!$B$61:$B$108,$B135,'11.2. ДА за периода'!AA$61:AA$108)+SUMIF('11.1.Амортиз.нови активи'!$B$61:$B$108,$B135,'11.1.Амортиз.нови активи'!AA$61:AA$108)</f>
        <v>0</v>
      </c>
      <c r="AB135" s="1226">
        <f>$Z135-SUMIF('11.2. ДА за периода'!$B$61:$B$108,$B135,'11.2. ДА за периода'!$Z$61:$Z$108)+SUMIF('11.2. ДА за периода'!$B$61:$B$108,$B135,'11.2. ДА за периода'!AB$61:AB$108)+SUMIF('11.1.Амортиз.нови активи'!$B$61:$B$108,$B135,'11.1.Амортиз.нови активи'!AB$61:AB$108)</f>
        <v>0</v>
      </c>
      <c r="AC135" s="1226">
        <f>$Z135-SUMIF('11.2. ДА за периода'!$B$61:$B$108,$B135,'11.2. ДА за периода'!$Z$61:$Z$108)+SUMIF('11.2. ДА за периода'!$B$61:$B$108,$B135,'11.2. ДА за периода'!AC$61:AC$108)+SUMIF('11.1.Амортиз.нови активи'!$B$61:$B$108,$B135,'11.1.Амортиз.нови активи'!AC$61:AC$108)</f>
        <v>0</v>
      </c>
      <c r="AD135" s="1226">
        <f>$Z135-SUMIF('11.2. ДА за периода'!$B$61:$B$108,$B135,'11.2. ДА за периода'!$Z$61:$Z$108)+SUMIF('11.2. ДА за периода'!$B$61:$B$108,$B135,'11.2. ДА за периода'!AD$61:AD$108)+SUMIF('11.1.Амортиз.нови активи'!$B$61:$B$108,$B135,'11.1.Амортиз.нови активи'!AD$61:AD$108)</f>
        <v>0</v>
      </c>
      <c r="AE135" s="1226">
        <f>$Z135-SUMIF('11.2. ДА за периода'!$B$61:$B$108,$B135,'11.2. ДА за периода'!$Z$61:$Z$108)+SUMIF('11.2. ДА за периода'!$B$61:$B$108,$B135,'11.2. ДА за периода'!AE$61:AE$108)+SUMIF('11.1.Амортиз.нови активи'!$B$61:$B$108,$B135,'11.1.Амортиз.нови активи'!AE$61:AE$108)</f>
        <v>0</v>
      </c>
      <c r="AF135" s="2972">
        <f>$Z135-SUMIF('11.2. ДА за периода'!$B$61:$B$108,$B135,'11.2. ДА за периода'!$Z$61:$Z$108)+SUMIF('11.2. ДА за периода'!$B$61:$B$108,$B135,'11.2. ДА за периода'!AF$61:AF$108)+SUMIF('11.1.Амортиз.нови активи'!$B$61:$B$108,$B135,'11.1.Амортиз.нови активи'!AF$61:AF$108)</f>
        <v>0</v>
      </c>
      <c r="AG135" s="448"/>
      <c r="AH135" s="2971">
        <f>$AG135-SUMIF('11.2. ДА за периода'!$B$61:$B$108,$B135,'11.2. ДА за периода'!$AG$61:$AG$108)+SUMIF('11.2. ДА за периода'!$B$61:$B$108,$B135,'11.2. ДА за периода'!AH$61:AH$108)+SUMIF('11.1.Амортиз.нови активи'!$B$61:$B$108,$B135,'11.1.Амортиз.нови активи'!AH$61:AH$108)</f>
        <v>0</v>
      </c>
      <c r="AI135" s="1226">
        <f>$AG135-SUMIF('11.2. ДА за периода'!$B$61:$B$108,$B135,'11.2. ДА за периода'!$AG$61:$AG$108)+SUMIF('11.2. ДА за периода'!$B$61:$B$108,$B135,'11.2. ДА за периода'!AI$61:AI$108)+SUMIF('11.1.Амортиз.нови активи'!$B$61:$B$108,$B135,'11.1.Амортиз.нови активи'!AI$61:AI$108)</f>
        <v>0</v>
      </c>
      <c r="AJ135" s="1226">
        <f>$AG135-SUMIF('11.2. ДА за периода'!$B$61:$B$108,$B135,'11.2. ДА за периода'!$AG$61:$AG$108)+SUMIF('11.2. ДА за периода'!$B$61:$B$108,$B135,'11.2. ДА за периода'!AJ$61:AJ$108)+SUMIF('11.1.Амортиз.нови активи'!$B$61:$B$108,$B135,'11.1.Амортиз.нови активи'!AJ$61:AJ$108)</f>
        <v>0</v>
      </c>
      <c r="AK135" s="1226">
        <f>$AG135-SUMIF('11.2. ДА за периода'!$B$61:$B$108,$B135,'11.2. ДА за периода'!$AG$61:$AG$108)+SUMIF('11.2. ДА за периода'!$B$61:$B$108,$B135,'11.2. ДА за периода'!AK$61:AK$108)+SUMIF('11.1.Амортиз.нови активи'!$B$61:$B$108,$B135,'11.1.Амортиз.нови активи'!AK$61:AK$108)</f>
        <v>0</v>
      </c>
      <c r="AL135" s="1226">
        <f>$AG135-SUMIF('11.2. ДА за периода'!$B$61:$B$108,$B135,'11.2. ДА за периода'!$AG$61:$AG$108)+SUMIF('11.2. ДА за периода'!$B$61:$B$108,$B135,'11.2. ДА за периода'!AL$61:AL$108)+SUMIF('11.1.Амортиз.нови активи'!$B$61:$B$108,$B135,'11.1.Амортиз.нови активи'!AL$61:AL$108)</f>
        <v>0</v>
      </c>
      <c r="AM135" s="2972">
        <f>$AG135-SUMIF('11.2. ДА за периода'!$B$61:$B$108,$B135,'11.2. ДА за периода'!$AG$61:$AG$108)+SUMIF('11.2. ДА за периода'!$B$61:$B$108,$B135,'11.2. ДА за периода'!AM$61:AM$108)+SUMIF('11.1.Амортиз.нови активи'!$B$61:$B$108,$B135,'11.1.Амортиз.нови активи'!AM$61:AM$108)</f>
        <v>0</v>
      </c>
      <c r="AN135" s="2860"/>
      <c r="AO135" s="2898"/>
      <c r="AP135" s="1426"/>
    </row>
    <row r="136" spans="1:42" s="1422" customFormat="1">
      <c r="A136" s="2862">
        <v>5</v>
      </c>
      <c r="B136" s="2863">
        <v>2030501</v>
      </c>
      <c r="C136" s="2869">
        <v>0.1</v>
      </c>
      <c r="D136" s="2899" t="s">
        <v>413</v>
      </c>
      <c r="E136" s="448">
        <v>21</v>
      </c>
      <c r="F136" s="2971">
        <f>$E136-SUMIF('11.2. ДА за периода'!$B$61:$B$108,$B136,'11.2. ДА за периода'!$E$61:$E$108)+SUMIF('11.2. ДА за периода'!$B$61:$B$108,$B136,'11.2. ДА за периода'!F$61:F$108)+SUMIF('11.1.Амортиз.нови активи'!$B$61:$B$108,$B136,'11.1.Амортиз.нови активи'!F$61:F$108)+('11.1.Амортиз.нови активи'!F$110*SUMIF('11.1.Амортиз.нови активи'!$B$61:$B$108,$B136,'11.1.Амортиз.нови активи'!AO$61:AO$108))</f>
        <v>27.329257212953877</v>
      </c>
      <c r="G136" s="1226">
        <f>$E136-SUMIF('11.2. ДА за периода'!$B$61:$B$108,$B136,'11.2. ДА за периода'!$E$61:$E$108)+SUMIF('11.2. ДА за периода'!$B$61:$B$108,$B136,'11.2. ДА за периода'!G$61:G$108)+SUMIF('11.1.Амортиз.нови активи'!$B$61:$B$108,$B136,'11.1.Амортиз.нови активи'!G$61:G$108)+('11.1.Амортиз.нови активи'!G$110*SUMIF('11.1.Амортиз.нови активи'!$B$61:$B$108,$B136,'11.1.Амортиз.нови активи'!AP$61:AP$108))</f>
        <v>32.038113332629202</v>
      </c>
      <c r="H136" s="1226">
        <f>$E136-SUMIF('11.2. ДА за периода'!$B$61:$B$108,$B136,'11.2. ДА за периода'!$E$61:$E$108)+SUMIF('11.2. ДА за периода'!$B$61:$B$108,$B136,'11.2. ДА за периода'!H$61:H$108)+SUMIF('11.1.Амортиз.нови активи'!$B$61:$B$108,$B136,'11.1.Амортиз.нови активи'!H$61:H$108)+('11.1.Амортиз.нови активи'!H$110*SUMIF('11.1.Амортиз.нови активи'!$B$61:$B$108,$B136,'11.1.Амортиз.нови активи'!AQ$61:AQ$108))</f>
        <v>35.062661676503872</v>
      </c>
      <c r="I136" s="1226">
        <f>$E136-SUMIF('11.2. ДА за периода'!$B$61:$B$108,$B136,'11.2. ДА за периода'!$E$61:$E$108)+SUMIF('11.2. ДА за периода'!$B$61:$B$108,$B136,'11.2. ДА за периода'!I$61:I$108)+SUMIF('11.1.Амортиз.нови активи'!$B$61:$B$108,$B136,'11.1.Амортиз.нови активи'!I$61:I$108)+('11.1.Амортиз.нови активи'!I$110*SUMIF('11.1.Амортиз.нови активи'!$B$61:$B$108,$B136,'11.1.Амортиз.нови активи'!AR$61:AR$108))</f>
        <v>39.222416100234845</v>
      </c>
      <c r="J136" s="1226">
        <f>$E136-SUMIF('11.2. ДА за периода'!$B$61:$B$108,$B136,'11.2. ДА за периода'!$E$61:$E$108)+SUMIF('11.2. ДА за периода'!$B$61:$B$108,$B136,'11.2. ДА за периода'!J$61:J$108)+SUMIF('11.1.Амортиз.нови активи'!$B$61:$B$108,$B136,'11.1.Амортиз.нови активи'!J$61:J$108)+('11.1.Амортиз.нови активи'!J$110*SUMIF('11.1.Амортиз.нови активи'!$B$61:$B$108,$B136,'11.1.Амортиз.нови активи'!AS$61:AS$108))</f>
        <v>44.54818951139081</v>
      </c>
      <c r="K136" s="1226">
        <f>$E136-SUMIF('11.2. ДА за периода'!$B$61:$B$108,$B136,'11.2. ДА за периода'!$E$61:$E$108)+SUMIF('11.2. ДА за периода'!$B$61:$B$108,$B136,'11.2. ДА за периода'!K$61:K$108)+SUMIF('11.1.Амортиз.нови активи'!$B$61:$B$108,$B136,'11.1.Амортиз.нови активи'!K$61:K$108)+('11.1.Амортиз.нови активи'!K$110*SUMIF('11.1.Амортиз.нови активи'!$B$61:$B$108,$B136,'11.1.Амортиз.нови активи'!AT$61:AT$108))</f>
        <v>50.12643644639634</v>
      </c>
      <c r="L136" s="448">
        <v>0</v>
      </c>
      <c r="M136" s="2971">
        <f>$L136-SUMIF('11.2. ДА за периода'!$B$61:$B$108,$B136,'11.2. ДА за периода'!$L$61:$L$108)+SUMIF('11.2. ДА за периода'!$B$61:$B$108,$B136,'11.2. ДА за периода'!M$61:M$108)+SUMIF('11.1.Амортиз.нови активи'!$B$61:$B$108,$B136,'11.1.Амортиз.нови активи'!M$61:M$108)+('11.1.Амортиз.нови активи'!F$111*SUMIF('11.1.Амортиз.нови активи'!$B$61:$B$108,$B136,'11.1.Амортиз.нови активи'!AO$61:AO$108))</f>
        <v>0.14043366045142294</v>
      </c>
      <c r="N136" s="1226">
        <f>$L136-SUMIF('11.2. ДА за периода'!$B$61:$B$108,$B136,'11.2. ДА за периода'!$L$61:$L$108)+SUMIF('11.2. ДА за периода'!$B$61:$B$108,$B136,'11.2. ДА за периода'!N$61:N$108)+SUMIF('11.1.Амортиз.нови активи'!$B$61:$B$108,$B136,'11.1.Амортиз.нови активи'!N$61:N$108)+('11.1.Амортиз.нови активи'!G$111*SUMIF('11.1.Амортиз.нови активи'!$B$61:$B$108,$B136,'11.1.Амортиз.нови активи'!AP$61:AP$108))</f>
        <v>0.85703429392636987</v>
      </c>
      <c r="O136" s="1226">
        <f>$L136-SUMIF('11.2. ДА за периода'!$B$61:$B$108,$B136,'11.2. ДА за периода'!$L$61:$L$108)+SUMIF('11.2. ДА за периода'!$B$61:$B$108,$B136,'11.2. ДА за периода'!O$61:O$108)+SUMIF('11.1.Амортиз.нови активи'!$B$61:$B$108,$B136,'11.1.Амортиз.нови активи'!O$61:O$108)+('11.1.Амортиз.нови активи'!H$111*SUMIF('11.1.Амортиз.нови активи'!$B$61:$B$108,$B136,'11.1.Амортиз.нови активи'!AQ$61:AQ$108))</f>
        <v>3.2122796110703966</v>
      </c>
      <c r="P136" s="1226">
        <f>$L136-SUMIF('11.2. ДА за периода'!$B$61:$B$108,$B136,'11.2. ДА за периода'!$L$61:$L$108)+SUMIF('11.2. ДА за периода'!$B$61:$B$108,$B136,'11.2. ДА за периода'!P$61:P$108)+SUMIF('11.1.Амортиз.нови активи'!$B$61:$B$108,$B136,'11.1.Амортиз.нови активи'!P$61:P$108)+('11.1.Амортиз.нови активи'!I$111*SUMIF('11.1.Амортиз.нови активи'!$B$61:$B$108,$B136,'11.1.Амортиз.нови активи'!AR$61:AR$108))</f>
        <v>5.4450930072164327</v>
      </c>
      <c r="Q136" s="1226">
        <f>$L136-SUMIF('11.2. ДА за периода'!$B$61:$B$108,$B136,'11.2. ДА за периода'!$L$61:$L$108)+SUMIF('11.2. ДА за периода'!$B$61:$B$108,$B136,'11.2. ДА за периода'!Q$61:Q$108)+SUMIF('11.1.Амортиз.нови активи'!$B$61:$B$108,$B136,'11.1.Амортиз.нови активи'!Q$61:Q$108)+('11.1.Амортиз.нови активи'!J$111*SUMIF('11.1.Амортиз.нови активи'!$B$61:$B$108,$B136,'11.1.Амортиз.нови активи'!AS$61:AS$108))</f>
        <v>6.8340508430056639</v>
      </c>
      <c r="R136" s="2972">
        <f>$L136-SUMIF('11.2. ДА за периода'!$B$61:$B$108,$B136,'11.2. ДА за периода'!$L$61:$L$108)+SUMIF('11.2. ДА за периода'!$B$61:$B$108,$B136,'11.2. ДА за периода'!R$61:R$108)+SUMIF('11.1.Амортиз.нови активи'!$B$61:$B$108,$B136,'11.1.Амортиз.нови активи'!R$61:R$108)+('11.1.Амортиз.нови активи'!K$111*SUMIF('11.1.Амортиз.нови активи'!$B$61:$B$108,$B136,'11.1.Амортиз.нови активи'!AT$61:AT$108))</f>
        <v>8.1607383203023005</v>
      </c>
      <c r="S136" s="448">
        <v>0</v>
      </c>
      <c r="T136" s="2971">
        <f>$S136-SUMIF('11.2. ДА за периода'!$B$61:$B$108,$B136,'11.2. ДА за периода'!$S$61:$S$108)+SUMIF('11.2. ДА за периода'!$B$61:$B$108,$B136,'11.2. ДА за периода'!T$61:T$108)+SUMIF('11.1.Амортиз.нови активи'!$B$61:$B$108,$B136,'11.1.Амортиз.нови активи'!T$61:T$108)+('11.1.Амортиз.нови активи'!F$112*SUMIF('11.1.Амортиз.нови активи'!$B$61:$B$108,$B136,'11.1.Амортиз.нови активи'!AO$61:AO$108))</f>
        <v>1.5309126594700684E-2</v>
      </c>
      <c r="U136" s="1226">
        <f>$S136-SUMIF('11.2. ДА за периода'!$B$61:$B$108,$B136,'11.2. ДА за периода'!$S$61:$S$108)+SUMIF('11.2. ДА за периода'!$B$61:$B$108,$B136,'11.2. ДА за периода'!U$61:U$108)+SUMIF('11.1.Амортиз.нови активи'!$B$61:$B$108,$B136,'11.1.Амортиз.нови активи'!U$61:U$108)+('11.1.Амортиз.нови активи'!G$112*SUMIF('11.1.Амортиз.нови активи'!$B$61:$B$108,$B136,'11.1.Амортиз.нови активи'!AP$61:AP$108))</f>
        <v>1.9398523734444275</v>
      </c>
      <c r="V136" s="1226">
        <f>$S136-SUMIF('11.2. ДА за периода'!$B$61:$B$108,$B136,'11.2. ДА за периода'!$S$61:$S$108)+SUMIF('11.2. ДА за периода'!$B$61:$B$108,$B136,'11.2. ДА за периода'!V$61:V$108)+SUMIF('11.1.Амортиз.нови активи'!$B$61:$B$108,$B136,'11.1.Амортиз.нови активи'!V$61:V$108)+('11.1.Амортиз.нови активи'!H$112*SUMIF('11.1.Амортиз.нови активи'!$B$61:$B$108,$B136,'11.1.Амортиз.нови активи'!AQ$61:AQ$108))</f>
        <v>4.0600587124257306</v>
      </c>
      <c r="W136" s="1226">
        <f>$S136-SUMIF('11.2. ДА за периода'!$B$61:$B$108,$B136,'11.2. ДА за периода'!$S$61:$S$108)+SUMIF('11.2. ДА за периода'!$B$61:$B$108,$B136,'11.2. ДА за периода'!W$61:W$108)+SUMIF('11.1.Амортиз.нови активи'!$B$61:$B$108,$B136,'11.1.Амортиз.нови активи'!W$61:W$108)+('11.1.Амортиз.нови активи'!I$112*SUMIF('11.1.Амортиз.нови активи'!$B$61:$B$108,$B136,'11.1.Амортиз.нови активи'!AR$61:AR$108))</f>
        <v>5.3674908925487195</v>
      </c>
      <c r="X136" s="1226">
        <f>$S136-SUMIF('11.2. ДА за периода'!$B$61:$B$108,$B136,'11.2. ДА за периода'!$S$61:$S$108)+SUMIF('11.2. ДА за периода'!$B$61:$B$108,$B136,'11.2. ДА за периода'!X$61:X$108)+SUMIF('11.1.Амортиз.нови активи'!$B$61:$B$108,$B136,'11.1.Амортиз.нови активи'!X$61:X$108)+('11.1.Амортиз.нови активи'!J$112*SUMIF('11.1.Амортиз.нови активи'!$B$61:$B$108,$B136,'11.1.Амортиз.нови активи'!AS$61:AS$108))</f>
        <v>6.3527596456035242</v>
      </c>
      <c r="Y136" s="2972">
        <f>$S136-SUMIF('11.2. ДА за периода'!$B$61:$B$108,$B136,'11.2. ДА за периода'!$S$61:$S$108)+SUMIF('11.2. ДА за периода'!$B$61:$B$108,$B136,'11.2. ДА за периода'!Y$61:Y$108)+SUMIF('11.1.Амортиз.нови активи'!$B$61:$B$108,$B136,'11.1.Амортиз.нови активи'!Y$61:Y$108)+('11.1.Амортиз.нови активи'!K$112*SUMIF('11.1.Амортиз.нови активи'!$B$61:$B$108,$B136,'11.1.Амортиз.нови активи'!AT$61:AT$108))</f>
        <v>7.147825233301357</v>
      </c>
      <c r="Z136" s="448">
        <v>0</v>
      </c>
      <c r="AA136" s="2971">
        <f>$Z136-SUMIF('11.2. ДА за периода'!$B$61:$B$108,$B136,'11.2. ДА за периода'!$Z$61:$Z$108)+SUMIF('11.2. ДА за периода'!$B$61:$B$108,$B136,'11.2. ДА за периода'!AA$61:AA$108)+SUMIF('11.1.Амортиз.нови активи'!$B$61:$B$108,$B136,'11.1.Амортиз.нови активи'!AA$61:AA$108)</f>
        <v>0</v>
      </c>
      <c r="AB136" s="1226">
        <f>$Z136-SUMIF('11.2. ДА за периода'!$B$61:$B$108,$B136,'11.2. ДА за периода'!$Z$61:$Z$108)+SUMIF('11.2. ДА за периода'!$B$61:$B$108,$B136,'11.2. ДА за периода'!AB$61:AB$108)+SUMIF('11.1.Амортиз.нови активи'!$B$61:$B$108,$B136,'11.1.Амортиз.нови активи'!AB$61:AB$108)</f>
        <v>0</v>
      </c>
      <c r="AC136" s="1226">
        <f>$Z136-SUMIF('11.2. ДА за периода'!$B$61:$B$108,$B136,'11.2. ДА за периода'!$Z$61:$Z$108)+SUMIF('11.2. ДА за периода'!$B$61:$B$108,$B136,'11.2. ДА за периода'!AC$61:AC$108)+SUMIF('11.1.Амортиз.нови активи'!$B$61:$B$108,$B136,'11.1.Амортиз.нови активи'!AC$61:AC$108)</f>
        <v>0</v>
      </c>
      <c r="AD136" s="1226">
        <f>$Z136-SUMIF('11.2. ДА за периода'!$B$61:$B$108,$B136,'11.2. ДА за периода'!$Z$61:$Z$108)+SUMIF('11.2. ДА за периода'!$B$61:$B$108,$B136,'11.2. ДА за периода'!AD$61:AD$108)+SUMIF('11.1.Амортиз.нови активи'!$B$61:$B$108,$B136,'11.1.Амортиз.нови активи'!AD$61:AD$108)</f>
        <v>0</v>
      </c>
      <c r="AE136" s="1226">
        <f>$Z136-SUMIF('11.2. ДА за периода'!$B$61:$B$108,$B136,'11.2. ДА за периода'!$Z$61:$Z$108)+SUMIF('11.2. ДА за периода'!$B$61:$B$108,$B136,'11.2. ДА за периода'!AE$61:AE$108)+SUMIF('11.1.Амортиз.нови активи'!$B$61:$B$108,$B136,'11.1.Амортиз.нови активи'!AE$61:AE$108)</f>
        <v>0</v>
      </c>
      <c r="AF136" s="2972">
        <f>$Z136-SUMIF('11.2. ДА за периода'!$B$61:$B$108,$B136,'11.2. ДА за периода'!$Z$61:$Z$108)+SUMIF('11.2. ДА за периода'!$B$61:$B$108,$B136,'11.2. ДА за периода'!AF$61:AF$108)+SUMIF('11.1.Амортиз.нови активи'!$B$61:$B$108,$B136,'11.1.Амортиз.нови активи'!AF$61:AF$108)</f>
        <v>0</v>
      </c>
      <c r="AG136" s="448"/>
      <c r="AH136" s="2971">
        <f>$AG136-SUMIF('11.2. ДА за периода'!$B$61:$B$108,$B136,'11.2. ДА за периода'!$AG$61:$AG$108)+SUMIF('11.2. ДА за периода'!$B$61:$B$108,$B136,'11.2. ДА за периода'!AH$61:AH$108)+SUMIF('11.1.Амортиз.нови активи'!$B$61:$B$108,$B136,'11.1.Амортиз.нови активи'!AH$61:AH$108)</f>
        <v>0</v>
      </c>
      <c r="AI136" s="1226">
        <f>$AG136-SUMIF('11.2. ДА за периода'!$B$61:$B$108,$B136,'11.2. ДА за периода'!$AG$61:$AG$108)+SUMIF('11.2. ДА за периода'!$B$61:$B$108,$B136,'11.2. ДА за периода'!AI$61:AI$108)+SUMIF('11.1.Амортиз.нови активи'!$B$61:$B$108,$B136,'11.1.Амортиз.нови активи'!AI$61:AI$108)</f>
        <v>0</v>
      </c>
      <c r="AJ136" s="1226">
        <f>$AG136-SUMIF('11.2. ДА за периода'!$B$61:$B$108,$B136,'11.2. ДА за периода'!$AG$61:$AG$108)+SUMIF('11.2. ДА за периода'!$B$61:$B$108,$B136,'11.2. ДА за периода'!AJ$61:AJ$108)+SUMIF('11.1.Амортиз.нови активи'!$B$61:$B$108,$B136,'11.1.Амортиз.нови активи'!AJ$61:AJ$108)</f>
        <v>0</v>
      </c>
      <c r="AK136" s="1226">
        <f>$AG136-SUMIF('11.2. ДА за периода'!$B$61:$B$108,$B136,'11.2. ДА за периода'!$AG$61:$AG$108)+SUMIF('11.2. ДА за периода'!$B$61:$B$108,$B136,'11.2. ДА за периода'!AK$61:AK$108)+SUMIF('11.1.Амортиз.нови активи'!$B$61:$B$108,$B136,'11.1.Амортиз.нови активи'!AK$61:AK$108)</f>
        <v>0</v>
      </c>
      <c r="AL136" s="1226">
        <f>$AG136-SUMIF('11.2. ДА за периода'!$B$61:$B$108,$B136,'11.2. ДА за периода'!$AG$61:$AG$108)+SUMIF('11.2. ДА за периода'!$B$61:$B$108,$B136,'11.2. ДА за периода'!AL$61:AL$108)+SUMIF('11.1.Амортиз.нови активи'!$B$61:$B$108,$B136,'11.1.Амортиз.нови активи'!AL$61:AL$108)</f>
        <v>0</v>
      </c>
      <c r="AM136" s="2972">
        <f>$AG136-SUMIF('11.2. ДА за периода'!$B$61:$B$108,$B136,'11.2. ДА за периода'!$AG$61:$AG$108)+SUMIF('11.2. ДА за периода'!$B$61:$B$108,$B136,'11.2. ДА за периода'!AM$61:AM$108)+SUMIF('11.1.Амортиз.нови активи'!$B$61:$B$108,$B136,'11.1.Амортиз.нови активи'!AM$61:AM$108)</f>
        <v>0</v>
      </c>
      <c r="AN136" s="2871"/>
      <c r="AO136" s="2898"/>
      <c r="AP136" s="1426"/>
    </row>
    <row r="137" spans="1:42" s="1422" customFormat="1" ht="24">
      <c r="A137" s="2862">
        <v>6</v>
      </c>
      <c r="B137" s="2863">
        <v>2030502</v>
      </c>
      <c r="C137" s="2869">
        <v>0.1</v>
      </c>
      <c r="D137" s="2899" t="s">
        <v>702</v>
      </c>
      <c r="E137" s="448">
        <v>11</v>
      </c>
      <c r="F137" s="2971">
        <f>$E137-SUMIF('11.2. ДА за периода'!$B$61:$B$108,$B137,'11.2. ДА за периода'!$E$61:$E$108)+SUMIF('11.2. ДА за периода'!$B$61:$B$108,$B137,'11.2. ДА за периода'!F$61:F$108)+SUMIF('11.1.Амортиз.нови активи'!$B$61:$B$108,$B137,'11.1.Амортиз.нови активи'!F$61:F$108)+('11.1.Амортиз.нови активи'!F$110*SUMIF('11.1.Амортиз.нови активи'!$B$61:$B$108,$B137,'11.1.Амортиз.нови активи'!AO$61:AO$108))</f>
        <v>20.193100000000001</v>
      </c>
      <c r="G137" s="1226">
        <f>$E137-SUMIF('11.2. ДА за периода'!$B$61:$B$108,$B137,'11.2. ДА за периода'!$E$61:$E$108)+SUMIF('11.2. ДА за периода'!$B$61:$B$108,$B137,'11.2. ДА за периода'!G$61:G$108)+SUMIF('11.1.Амортиз.нови активи'!$B$61:$B$108,$B137,'11.1.Амортиз.нови активи'!G$61:G$108)+('11.1.Амортиз.нови активи'!G$110*SUMIF('11.1.Амортиз.нови активи'!$B$61:$B$108,$B137,'11.1.Амортиз.нови активи'!AP$61:AP$108))</f>
        <v>25.5931</v>
      </c>
      <c r="H137" s="1226">
        <f>$E137-SUMIF('11.2. ДА за периода'!$B$61:$B$108,$B137,'11.2. ДА за периода'!$E$61:$E$108)+SUMIF('11.2. ДА за периода'!$B$61:$B$108,$B137,'11.2. ДА за периода'!H$61:H$108)+SUMIF('11.1.Амортиз.нови активи'!$B$61:$B$108,$B137,'11.1.Амортиз.нови активи'!H$61:H$108)+('11.1.Амортиз.нови активи'!H$110*SUMIF('11.1.Амортиз.нови активи'!$B$61:$B$108,$B137,'11.1.Амортиз.нови активи'!AQ$61:AQ$108))</f>
        <v>29.893100000000004</v>
      </c>
      <c r="I137" s="1226">
        <f>$E137-SUMIF('11.2. ДА за периода'!$B$61:$B$108,$B137,'11.2. ДА за периода'!$E$61:$E$108)+SUMIF('11.2. ДА за периода'!$B$61:$B$108,$B137,'11.2. ДА за периода'!I$61:I$108)+SUMIF('11.1.Амортиз.нови активи'!$B$61:$B$108,$B137,'11.1.Амортиз.нови активи'!I$61:I$108)+('11.1.Амортиз.нови активи'!I$110*SUMIF('11.1.Амортиз.нови активи'!$B$61:$B$108,$B137,'11.1.Амортиз.нови активи'!AR$61:AR$108))</f>
        <v>34.193100000000001</v>
      </c>
      <c r="J137" s="1226">
        <f>$E137-SUMIF('11.2. ДА за периода'!$B$61:$B$108,$B137,'11.2. ДА за периода'!$E$61:$E$108)+SUMIF('11.2. ДА за периода'!$B$61:$B$108,$B137,'11.2. ДА за периода'!J$61:J$108)+SUMIF('11.1.Амортиз.нови активи'!$B$61:$B$108,$B137,'11.1.Амортиз.нови активи'!J$61:J$108)+('11.1.Амортиз.нови активи'!J$110*SUMIF('11.1.Амортиз.нови активи'!$B$61:$B$108,$B137,'11.1.Амортиз.нови активи'!AS$61:AS$108))</f>
        <v>38.493099999999998</v>
      </c>
      <c r="K137" s="1226">
        <f>$E137-SUMIF('11.2. ДА за периода'!$B$61:$B$108,$B137,'11.2. ДА за периода'!$E$61:$E$108)+SUMIF('11.2. ДА за периода'!$B$61:$B$108,$B137,'11.2. ДА за периода'!K$61:K$108)+SUMIF('11.1.Амортиз.нови активи'!$B$61:$B$108,$B137,'11.1.Амортиз.нови активи'!K$61:K$108)+('11.1.Амортиз.нови активи'!K$110*SUMIF('11.1.Амортиз.нови активи'!$B$61:$B$108,$B137,'11.1.Амортиз.нови активи'!AT$61:AT$108))</f>
        <v>42.793100000000003</v>
      </c>
      <c r="L137" s="448">
        <v>0</v>
      </c>
      <c r="M137" s="2971">
        <f>$L137-SUMIF('11.2. ДА за периода'!$B$61:$B$108,$B137,'11.2. ДА за периода'!$L$61:$L$108)+SUMIF('11.2. ДА за периода'!$B$61:$B$108,$B137,'11.2. ДА за периода'!M$61:M$108)+SUMIF('11.1.Амортиз.нови активи'!$B$61:$B$108,$B137,'11.1.Амортиз.нови активи'!M$61:M$108)+('11.1.Амортиз.нови активи'!F$111*SUMIF('11.1.Амортиз.нови активи'!$B$61:$B$108,$B137,'11.1.Амортиз.нови активи'!AO$61:AO$108))</f>
        <v>0</v>
      </c>
      <c r="N137" s="1226">
        <f>$L137-SUMIF('11.2. ДА за периода'!$B$61:$B$108,$B137,'11.2. ДА за периода'!$L$61:$L$108)+SUMIF('11.2. ДА за периода'!$B$61:$B$108,$B137,'11.2. ДА за периода'!N$61:N$108)+SUMIF('11.1.Амортиз.нови активи'!$B$61:$B$108,$B137,'11.1.Амортиз.нови активи'!N$61:N$108)+('11.1.Амортиз.нови активи'!G$111*SUMIF('11.1.Амортиз.нови активи'!$B$61:$B$108,$B137,'11.1.Амортиз.нови активи'!AP$61:AP$108))</f>
        <v>0</v>
      </c>
      <c r="O137" s="1226">
        <f>$L137-SUMIF('11.2. ДА за периода'!$B$61:$B$108,$B137,'11.2. ДА за периода'!$L$61:$L$108)+SUMIF('11.2. ДА за периода'!$B$61:$B$108,$B137,'11.2. ДА за периода'!O$61:O$108)+SUMIF('11.1.Амортиз.нови активи'!$B$61:$B$108,$B137,'11.1.Амортиз.нови активи'!O$61:O$108)+('11.1.Амортиз.нови активи'!H$111*SUMIF('11.1.Амортиз.нови активи'!$B$61:$B$108,$B137,'11.1.Амортиз.нови активи'!AQ$61:AQ$108))</f>
        <v>0</v>
      </c>
      <c r="P137" s="1226">
        <f>$L137-SUMIF('11.2. ДА за периода'!$B$61:$B$108,$B137,'11.2. ДА за периода'!$L$61:$L$108)+SUMIF('11.2. ДА за периода'!$B$61:$B$108,$B137,'11.2. ДА за периода'!P$61:P$108)+SUMIF('11.1.Амортиз.нови активи'!$B$61:$B$108,$B137,'11.1.Амортиз.нови активи'!P$61:P$108)+('11.1.Амортиз.нови активи'!I$111*SUMIF('11.1.Амортиз.нови активи'!$B$61:$B$108,$B137,'11.1.Амортиз.нови активи'!AR$61:AR$108))</f>
        <v>0</v>
      </c>
      <c r="Q137" s="1226">
        <f>$L137-SUMIF('11.2. ДА за периода'!$B$61:$B$108,$B137,'11.2. ДА за периода'!$L$61:$L$108)+SUMIF('11.2. ДА за периода'!$B$61:$B$108,$B137,'11.2. ДА за периода'!Q$61:Q$108)+SUMIF('11.1.Амортиз.нови активи'!$B$61:$B$108,$B137,'11.1.Амортиз.нови активи'!Q$61:Q$108)+('11.1.Амортиз.нови активи'!J$111*SUMIF('11.1.Амортиз.нови активи'!$B$61:$B$108,$B137,'11.1.Амортиз.нови активи'!AS$61:AS$108))</f>
        <v>0</v>
      </c>
      <c r="R137" s="2972">
        <f>$L137-SUMIF('11.2. ДА за периода'!$B$61:$B$108,$B137,'11.2. ДА за периода'!$L$61:$L$108)+SUMIF('11.2. ДА за периода'!$B$61:$B$108,$B137,'11.2. ДА за периода'!R$61:R$108)+SUMIF('11.1.Амортиз.нови активи'!$B$61:$B$108,$B137,'11.1.Амортиз.нови активи'!R$61:R$108)+('11.1.Амортиз.нови активи'!K$111*SUMIF('11.1.Амортиз.нови активи'!$B$61:$B$108,$B137,'11.1.Амортиз.нови активи'!AT$61:AT$108))</f>
        <v>0</v>
      </c>
      <c r="S137" s="448">
        <v>0</v>
      </c>
      <c r="T137" s="2971">
        <f>$S137-SUMIF('11.2. ДА за периода'!$B$61:$B$108,$B137,'11.2. ДА за периода'!$S$61:$S$108)+SUMIF('11.2. ДА за периода'!$B$61:$B$108,$B137,'11.2. ДА за периода'!T$61:T$108)+SUMIF('11.1.Амортиз.нови активи'!$B$61:$B$108,$B137,'11.1.Амортиз.нови активи'!T$61:T$108)+('11.1.Амортиз.нови активи'!F$112*SUMIF('11.1.Амортиз.нови активи'!$B$61:$B$108,$B137,'11.1.Амортиз.нови активи'!AO$61:AO$108))</f>
        <v>0</v>
      </c>
      <c r="U137" s="1226">
        <f>$S137-SUMIF('11.2. ДА за периода'!$B$61:$B$108,$B137,'11.2. ДА за периода'!$S$61:$S$108)+SUMIF('11.2. ДА за периода'!$B$61:$B$108,$B137,'11.2. ДА за периода'!U$61:U$108)+SUMIF('11.1.Амортиз.нови активи'!$B$61:$B$108,$B137,'11.1.Амортиз.нови активи'!U$61:U$108)+('11.1.Амортиз.нови активи'!G$112*SUMIF('11.1.Амортиз.нови активи'!$B$61:$B$108,$B137,'11.1.Амортиз.нови активи'!AP$61:AP$108))</f>
        <v>0</v>
      </c>
      <c r="V137" s="1226">
        <f>$S137-SUMIF('11.2. ДА за периода'!$B$61:$B$108,$B137,'11.2. ДА за периода'!$S$61:$S$108)+SUMIF('11.2. ДА за периода'!$B$61:$B$108,$B137,'11.2. ДА за периода'!V$61:V$108)+SUMIF('11.1.Амортиз.нови активи'!$B$61:$B$108,$B137,'11.1.Амортиз.нови активи'!V$61:V$108)+('11.1.Амортиз.нови активи'!H$112*SUMIF('11.1.Амортиз.нови активи'!$B$61:$B$108,$B137,'11.1.Амортиз.нови активи'!AQ$61:AQ$108))</f>
        <v>0</v>
      </c>
      <c r="W137" s="1226">
        <f>$S137-SUMIF('11.2. ДА за периода'!$B$61:$B$108,$B137,'11.2. ДА за периода'!$S$61:$S$108)+SUMIF('11.2. ДА за периода'!$B$61:$B$108,$B137,'11.2. ДА за периода'!W$61:W$108)+SUMIF('11.1.Амортиз.нови активи'!$B$61:$B$108,$B137,'11.1.Амортиз.нови активи'!W$61:W$108)+('11.1.Амортиз.нови активи'!I$112*SUMIF('11.1.Амортиз.нови активи'!$B$61:$B$108,$B137,'11.1.Амортиз.нови активи'!AR$61:AR$108))</f>
        <v>0</v>
      </c>
      <c r="X137" s="1226">
        <f>$S137-SUMIF('11.2. ДА за периода'!$B$61:$B$108,$B137,'11.2. ДА за периода'!$S$61:$S$108)+SUMIF('11.2. ДА за периода'!$B$61:$B$108,$B137,'11.2. ДА за периода'!X$61:X$108)+SUMIF('11.1.Амортиз.нови активи'!$B$61:$B$108,$B137,'11.1.Амортиз.нови активи'!X$61:X$108)+('11.1.Амортиз.нови активи'!J$112*SUMIF('11.1.Амортиз.нови активи'!$B$61:$B$108,$B137,'11.1.Амортиз.нови активи'!AS$61:AS$108))</f>
        <v>0</v>
      </c>
      <c r="Y137" s="2972">
        <f>$S137-SUMIF('11.2. ДА за периода'!$B$61:$B$108,$B137,'11.2. ДА за периода'!$S$61:$S$108)+SUMIF('11.2. ДА за периода'!$B$61:$B$108,$B137,'11.2. ДА за периода'!Y$61:Y$108)+SUMIF('11.1.Амортиз.нови активи'!$B$61:$B$108,$B137,'11.1.Амортиз.нови активи'!Y$61:Y$108)+('11.1.Амортиз.нови активи'!K$112*SUMIF('11.1.Амортиз.нови активи'!$B$61:$B$108,$B137,'11.1.Амортиз.нови активи'!AT$61:AT$108))</f>
        <v>0</v>
      </c>
      <c r="Z137" s="448">
        <v>0</v>
      </c>
      <c r="AA137" s="2971">
        <f>$Z137-SUMIF('11.2. ДА за периода'!$B$61:$B$108,$B137,'11.2. ДА за периода'!$Z$61:$Z$108)+SUMIF('11.2. ДА за периода'!$B$61:$B$108,$B137,'11.2. ДА за периода'!AA$61:AA$108)+SUMIF('11.1.Амортиз.нови активи'!$B$61:$B$108,$B137,'11.1.Амортиз.нови активи'!AA$61:AA$108)</f>
        <v>0</v>
      </c>
      <c r="AB137" s="1226">
        <f>$Z137-SUMIF('11.2. ДА за периода'!$B$61:$B$108,$B137,'11.2. ДА за периода'!$Z$61:$Z$108)+SUMIF('11.2. ДА за периода'!$B$61:$B$108,$B137,'11.2. ДА за периода'!AB$61:AB$108)+SUMIF('11.1.Амортиз.нови активи'!$B$61:$B$108,$B137,'11.1.Амортиз.нови активи'!AB$61:AB$108)</f>
        <v>0</v>
      </c>
      <c r="AC137" s="1226">
        <f>$Z137-SUMIF('11.2. ДА за периода'!$B$61:$B$108,$B137,'11.2. ДА за периода'!$Z$61:$Z$108)+SUMIF('11.2. ДА за периода'!$B$61:$B$108,$B137,'11.2. ДА за периода'!AC$61:AC$108)+SUMIF('11.1.Амортиз.нови активи'!$B$61:$B$108,$B137,'11.1.Амортиз.нови активи'!AC$61:AC$108)</f>
        <v>0</v>
      </c>
      <c r="AD137" s="1226">
        <f>$Z137-SUMIF('11.2. ДА за периода'!$B$61:$B$108,$B137,'11.2. ДА за периода'!$Z$61:$Z$108)+SUMIF('11.2. ДА за периода'!$B$61:$B$108,$B137,'11.2. ДА за периода'!AD$61:AD$108)+SUMIF('11.1.Амортиз.нови активи'!$B$61:$B$108,$B137,'11.1.Амортиз.нови активи'!AD$61:AD$108)</f>
        <v>0</v>
      </c>
      <c r="AE137" s="1226">
        <f>$Z137-SUMIF('11.2. ДА за периода'!$B$61:$B$108,$B137,'11.2. ДА за периода'!$Z$61:$Z$108)+SUMIF('11.2. ДА за периода'!$B$61:$B$108,$B137,'11.2. ДА за периода'!AE$61:AE$108)+SUMIF('11.1.Амортиз.нови активи'!$B$61:$B$108,$B137,'11.1.Амортиз.нови активи'!AE$61:AE$108)</f>
        <v>0</v>
      </c>
      <c r="AF137" s="2972">
        <f>$Z137-SUMIF('11.2. ДА за периода'!$B$61:$B$108,$B137,'11.2. ДА за периода'!$Z$61:$Z$108)+SUMIF('11.2. ДА за периода'!$B$61:$B$108,$B137,'11.2. ДА за периода'!AF$61:AF$108)+SUMIF('11.1.Амортиз.нови активи'!$B$61:$B$108,$B137,'11.1.Амортиз.нови активи'!AF$61:AF$108)</f>
        <v>0</v>
      </c>
      <c r="AG137" s="448"/>
      <c r="AH137" s="2971">
        <f>$AG137-SUMIF('11.2. ДА за периода'!$B$61:$B$108,$B137,'11.2. ДА за периода'!$AG$61:$AG$108)+SUMIF('11.2. ДА за периода'!$B$61:$B$108,$B137,'11.2. ДА за периода'!AH$61:AH$108)+SUMIF('11.1.Амортиз.нови активи'!$B$61:$B$108,$B137,'11.1.Амортиз.нови активи'!AH$61:AH$108)</f>
        <v>0</v>
      </c>
      <c r="AI137" s="1226">
        <f>$AG137-SUMIF('11.2. ДА за периода'!$B$61:$B$108,$B137,'11.2. ДА за периода'!$AG$61:$AG$108)+SUMIF('11.2. ДА за периода'!$B$61:$B$108,$B137,'11.2. ДА за периода'!AI$61:AI$108)+SUMIF('11.1.Амортиз.нови активи'!$B$61:$B$108,$B137,'11.1.Амортиз.нови активи'!AI$61:AI$108)</f>
        <v>0</v>
      </c>
      <c r="AJ137" s="1226">
        <f>$AG137-SUMIF('11.2. ДА за периода'!$B$61:$B$108,$B137,'11.2. ДА за периода'!$AG$61:$AG$108)+SUMIF('11.2. ДА за периода'!$B$61:$B$108,$B137,'11.2. ДА за периода'!AJ$61:AJ$108)+SUMIF('11.1.Амортиз.нови активи'!$B$61:$B$108,$B137,'11.1.Амортиз.нови активи'!AJ$61:AJ$108)</f>
        <v>0</v>
      </c>
      <c r="AK137" s="1226">
        <f>$AG137-SUMIF('11.2. ДА за периода'!$B$61:$B$108,$B137,'11.2. ДА за периода'!$AG$61:$AG$108)+SUMIF('11.2. ДА за периода'!$B$61:$B$108,$B137,'11.2. ДА за периода'!AK$61:AK$108)+SUMIF('11.1.Амортиз.нови активи'!$B$61:$B$108,$B137,'11.1.Амортиз.нови активи'!AK$61:AK$108)</f>
        <v>0</v>
      </c>
      <c r="AL137" s="1226">
        <f>$AG137-SUMIF('11.2. ДА за периода'!$B$61:$B$108,$B137,'11.2. ДА за периода'!$AG$61:$AG$108)+SUMIF('11.2. ДА за периода'!$B$61:$B$108,$B137,'11.2. ДА за периода'!AL$61:AL$108)+SUMIF('11.1.Амортиз.нови активи'!$B$61:$B$108,$B137,'11.1.Амортиз.нови активи'!AL$61:AL$108)</f>
        <v>0</v>
      </c>
      <c r="AM137" s="2972">
        <f>$AG137-SUMIF('11.2. ДА за периода'!$B$61:$B$108,$B137,'11.2. ДА за периода'!$AG$61:$AG$108)+SUMIF('11.2. ДА за периода'!$B$61:$B$108,$B137,'11.2. ДА за периода'!AM$61:AM$108)+SUMIF('11.1.Амортиз.нови активи'!$B$61:$B$108,$B137,'11.1.Амортиз.нови активи'!AM$61:AM$108)</f>
        <v>0</v>
      </c>
      <c r="AN137" s="2860"/>
      <c r="AO137" s="2898"/>
      <c r="AP137" s="1426"/>
    </row>
    <row r="138" spans="1:42" s="1422" customFormat="1">
      <c r="A138" s="2862">
        <v>7</v>
      </c>
      <c r="B138" s="2863">
        <v>2030503</v>
      </c>
      <c r="C138" s="2869">
        <v>0.1</v>
      </c>
      <c r="D138" s="2899" t="s">
        <v>720</v>
      </c>
      <c r="E138" s="448">
        <v>8</v>
      </c>
      <c r="F138" s="2971">
        <f>$E138-SUMIF('11.2. ДА за периода'!$B$61:$B$108,$B138,'11.2. ДА за периода'!$E$61:$E$108)+SUMIF('11.2. ДА за периода'!$B$61:$B$108,$B138,'11.2. ДА за периода'!F$61:F$108)+SUMIF('11.1.Амортиз.нови активи'!$B$61:$B$108,$B138,'11.1.Амортиз.нови активи'!F$61:F$108)+('11.1.Амортиз.нови активи'!F$110*SUMIF('11.1.Амортиз.нови активи'!$B$61:$B$108,$B138,'11.1.Амортиз.нови активи'!AO$61:AO$108))</f>
        <v>9.5366999999999997</v>
      </c>
      <c r="G138" s="1226">
        <f>$E138-SUMIF('11.2. ДА за периода'!$B$61:$B$108,$B138,'11.2. ДА за периода'!$E$61:$E$108)+SUMIF('11.2. ДА за периода'!$B$61:$B$108,$B138,'11.2. ДА за периода'!G$61:G$108)+SUMIF('11.1.Амортиз.нови активи'!$B$61:$B$108,$B138,'11.1.Амортиз.нови активи'!G$61:G$108)+('11.1.Амортиз.нови активи'!G$110*SUMIF('11.1.Амортиз.нови активи'!$B$61:$B$108,$B138,'11.1.Амортиз.нови активи'!AP$61:AP$108))</f>
        <v>10.136700000000001</v>
      </c>
      <c r="H138" s="1226">
        <f>$E138-SUMIF('11.2. ДА за периода'!$B$61:$B$108,$B138,'11.2. ДА за периода'!$E$61:$E$108)+SUMIF('11.2. ДА за периода'!$B$61:$B$108,$B138,'11.2. ДА за периода'!H$61:H$108)+SUMIF('11.1.Амортиз.нови активи'!$B$61:$B$108,$B138,'11.1.Амортиз.нови активи'!H$61:H$108)+('11.1.Амортиз.нови активи'!H$110*SUMIF('11.1.Амортиз.нови активи'!$B$61:$B$108,$B138,'11.1.Амортиз.нови активи'!AQ$61:AQ$108))</f>
        <v>10.386700000000001</v>
      </c>
      <c r="I138" s="1226">
        <f>$E138-SUMIF('11.2. ДА за периода'!$B$61:$B$108,$B138,'11.2. ДА за периода'!$E$61:$E$108)+SUMIF('11.2. ДА за периода'!$B$61:$B$108,$B138,'11.2. ДА за периода'!I$61:I$108)+SUMIF('11.1.Амортиз.нови активи'!$B$61:$B$108,$B138,'11.1.Амортиз.нови активи'!I$61:I$108)+('11.1.Амортиз.нови активи'!I$110*SUMIF('11.1.Амортиз.нови активи'!$B$61:$B$108,$B138,'11.1.Амортиз.нови активи'!AR$61:AR$108))</f>
        <v>10.886700000000001</v>
      </c>
      <c r="J138" s="1226">
        <f>$E138-SUMIF('11.2. ДА за периода'!$B$61:$B$108,$B138,'11.2. ДА за периода'!$E$61:$E$108)+SUMIF('11.2. ДА за периода'!$B$61:$B$108,$B138,'11.2. ДА за периода'!J$61:J$108)+SUMIF('11.1.Амортиз.нови активи'!$B$61:$B$108,$B138,'11.1.Амортиз.нови активи'!J$61:J$108)+('11.1.Амортиз.нови активи'!J$110*SUMIF('11.1.Амортиз.нови активи'!$B$61:$B$108,$B138,'11.1.Амортиз.нови активи'!AS$61:AS$108))</f>
        <v>11.386700000000001</v>
      </c>
      <c r="K138" s="1226">
        <f>$E138-SUMIF('11.2. ДА за периода'!$B$61:$B$108,$B138,'11.2. ДА за периода'!$E$61:$E$108)+SUMIF('11.2. ДА за периода'!$B$61:$B$108,$B138,'11.2. ДА за периода'!K$61:K$108)+SUMIF('11.1.Амортиз.нови активи'!$B$61:$B$108,$B138,'11.1.Амортиз.нови активи'!K$61:K$108)+('11.1.Амортиз.нови активи'!K$110*SUMIF('11.1.Амортиз.нови активи'!$B$61:$B$108,$B138,'11.1.Амортиз.нови активи'!AT$61:AT$108))</f>
        <v>11.886700000000001</v>
      </c>
      <c r="L138" s="448">
        <v>0</v>
      </c>
      <c r="M138" s="2971">
        <f>$L138-SUMIF('11.2. ДА за периода'!$B$61:$B$108,$B138,'11.2. ДА за периода'!$L$61:$L$108)+SUMIF('11.2. ДА за периода'!$B$61:$B$108,$B138,'11.2. ДА за периода'!M$61:M$108)+SUMIF('11.1.Амортиз.нови активи'!$B$61:$B$108,$B138,'11.1.Амортиз.нови активи'!M$61:M$108)+('11.1.Амортиз.нови активи'!F$111*SUMIF('11.1.Амортиз.нови активи'!$B$61:$B$108,$B138,'11.1.Амортиз.нови активи'!AO$61:AO$108))</f>
        <v>0</v>
      </c>
      <c r="N138" s="1226">
        <f>$L138-SUMIF('11.2. ДА за периода'!$B$61:$B$108,$B138,'11.2. ДА за периода'!$L$61:$L$108)+SUMIF('11.2. ДА за периода'!$B$61:$B$108,$B138,'11.2. ДА за периода'!N$61:N$108)+SUMIF('11.1.Амортиз.нови активи'!$B$61:$B$108,$B138,'11.1.Амортиз.нови активи'!N$61:N$108)+('11.1.Амортиз.нови активи'!G$111*SUMIF('11.1.Амортиз.нови активи'!$B$61:$B$108,$B138,'11.1.Амортиз.нови активи'!AP$61:AP$108))</f>
        <v>0</v>
      </c>
      <c r="O138" s="1226">
        <f>$L138-SUMIF('11.2. ДА за периода'!$B$61:$B$108,$B138,'11.2. ДА за периода'!$L$61:$L$108)+SUMIF('11.2. ДА за периода'!$B$61:$B$108,$B138,'11.2. ДА за периода'!O$61:O$108)+SUMIF('11.1.Амортиз.нови активи'!$B$61:$B$108,$B138,'11.1.Амортиз.нови активи'!O$61:O$108)+('11.1.Амортиз.нови активи'!H$111*SUMIF('11.1.Амортиз.нови активи'!$B$61:$B$108,$B138,'11.1.Амортиз.нови активи'!AQ$61:AQ$108))</f>
        <v>0.5</v>
      </c>
      <c r="P138" s="1226">
        <f>$L138-SUMIF('11.2. ДА за периода'!$B$61:$B$108,$B138,'11.2. ДА за периода'!$L$61:$L$108)+SUMIF('11.2. ДА за периода'!$B$61:$B$108,$B138,'11.2. ДА за периода'!P$61:P$108)+SUMIF('11.1.Амортиз.нови активи'!$B$61:$B$108,$B138,'11.1.Амортиз.нови активи'!P$61:P$108)+('11.1.Амортиз.нови активи'!I$111*SUMIF('11.1.Амортиз.нови активи'!$B$61:$B$108,$B138,'11.1.Амортиз.нови активи'!AR$61:AR$108))</f>
        <v>1.3</v>
      </c>
      <c r="Q138" s="1226">
        <f>$L138-SUMIF('11.2. ДА за периода'!$B$61:$B$108,$B138,'11.2. ДА за периода'!$L$61:$L$108)+SUMIF('11.2. ДА за периода'!$B$61:$B$108,$B138,'11.2. ДА за периода'!Q$61:Q$108)+SUMIF('11.1.Амортиз.нови активи'!$B$61:$B$108,$B138,'11.1.Амортиз.нови активи'!Q$61:Q$108)+('11.1.Амортиз.нови активи'!J$111*SUMIF('11.1.Амортиз.нови активи'!$B$61:$B$108,$B138,'11.1.Амортиз.нови активи'!AS$61:AS$108))</f>
        <v>1.6</v>
      </c>
      <c r="R138" s="2972">
        <f>$L138-SUMIF('11.2. ДА за периода'!$B$61:$B$108,$B138,'11.2. ДА за периода'!$L$61:$L$108)+SUMIF('11.2. ДА за периода'!$B$61:$B$108,$B138,'11.2. ДА за периода'!R$61:R$108)+SUMIF('11.1.Амортиз.нови активи'!$B$61:$B$108,$B138,'11.1.Амортиз.нови активи'!R$61:R$108)+('11.1.Амортиз.нови активи'!K$111*SUMIF('11.1.Амортиз.нови активи'!$B$61:$B$108,$B138,'11.1.Амортиз.нови активи'!AT$61:AT$108))</f>
        <v>1.6</v>
      </c>
      <c r="S138" s="448">
        <v>0</v>
      </c>
      <c r="T138" s="2971">
        <f>$S138-SUMIF('11.2. ДА за периода'!$B$61:$B$108,$B138,'11.2. ДА за периода'!$S$61:$S$108)+SUMIF('11.2. ДА за периода'!$B$61:$B$108,$B138,'11.2. ДА за периода'!T$61:T$108)+SUMIF('11.1.Амортиз.нови активи'!$B$61:$B$108,$B138,'11.1.Амортиз.нови активи'!T$61:T$108)+('11.1.Амортиз.нови активи'!F$112*SUMIF('11.1.Амортиз.нови активи'!$B$61:$B$108,$B138,'11.1.Амортиз.нови активи'!AO$61:AO$108))</f>
        <v>0</v>
      </c>
      <c r="U138" s="1226">
        <f>$S138-SUMIF('11.2. ДА за периода'!$B$61:$B$108,$B138,'11.2. ДА за периода'!$S$61:$S$108)+SUMIF('11.2. ДА за периода'!$B$61:$B$108,$B138,'11.2. ДА за периода'!U$61:U$108)+SUMIF('11.1.Амортиз.нови активи'!$B$61:$B$108,$B138,'11.1.Амортиз.нови активи'!U$61:U$108)+('11.1.Амортиз.нови активи'!G$112*SUMIF('11.1.Амортиз.нови активи'!$B$61:$B$108,$B138,'11.1.Амортиз.нови активи'!AP$61:AP$108))</f>
        <v>0</v>
      </c>
      <c r="V138" s="1226">
        <f>$S138-SUMIF('11.2. ДА за периода'!$B$61:$B$108,$B138,'11.2. ДА за периода'!$S$61:$S$108)+SUMIF('11.2. ДА за периода'!$B$61:$B$108,$B138,'11.2. ДА за периода'!V$61:V$108)+SUMIF('11.1.Амортиз.нови активи'!$B$61:$B$108,$B138,'11.1.Амортиз.нови активи'!V$61:V$108)+('11.1.Амортиз.нови активи'!H$112*SUMIF('11.1.Амортиз.нови активи'!$B$61:$B$108,$B138,'11.1.Амортиз.нови активи'!AQ$61:AQ$108))</f>
        <v>0</v>
      </c>
      <c r="W138" s="1226">
        <f>$S138-SUMIF('11.2. ДА за периода'!$B$61:$B$108,$B138,'11.2. ДА за периода'!$S$61:$S$108)+SUMIF('11.2. ДА за периода'!$B$61:$B$108,$B138,'11.2. ДА за периода'!W$61:W$108)+SUMIF('11.1.Амортиз.нови активи'!$B$61:$B$108,$B138,'11.1.Амортиз.нови активи'!W$61:W$108)+('11.1.Амортиз.нови активи'!I$112*SUMIF('11.1.Амортиз.нови активи'!$B$61:$B$108,$B138,'11.1.Амортиз.нови активи'!AR$61:AR$108))</f>
        <v>0</v>
      </c>
      <c r="X138" s="1226">
        <f>$S138-SUMIF('11.2. ДА за периода'!$B$61:$B$108,$B138,'11.2. ДА за периода'!$S$61:$S$108)+SUMIF('11.2. ДА за периода'!$B$61:$B$108,$B138,'11.2. ДА за периода'!X$61:X$108)+SUMIF('11.1.Амортиз.нови активи'!$B$61:$B$108,$B138,'11.1.Амортиз.нови активи'!X$61:X$108)+('11.1.Амортиз.нови активи'!J$112*SUMIF('11.1.Амортиз.нови активи'!$B$61:$B$108,$B138,'11.1.Амортиз.нови активи'!AS$61:AS$108))</f>
        <v>0</v>
      </c>
      <c r="Y138" s="2972">
        <f>$S138-SUMIF('11.2. ДА за периода'!$B$61:$B$108,$B138,'11.2. ДА за периода'!$S$61:$S$108)+SUMIF('11.2. ДА за периода'!$B$61:$B$108,$B138,'11.2. ДА за периода'!Y$61:Y$108)+SUMIF('11.1.Амортиз.нови активи'!$B$61:$B$108,$B138,'11.1.Амортиз.нови активи'!Y$61:Y$108)+('11.1.Амортиз.нови активи'!K$112*SUMIF('11.1.Амортиз.нови активи'!$B$61:$B$108,$B138,'11.1.Амортиз.нови активи'!AT$61:AT$108))</f>
        <v>0</v>
      </c>
      <c r="Z138" s="448">
        <v>0</v>
      </c>
      <c r="AA138" s="2971">
        <f>$Z138-SUMIF('11.2. ДА за периода'!$B$61:$B$108,$B138,'11.2. ДА за периода'!$Z$61:$Z$108)+SUMIF('11.2. ДА за периода'!$B$61:$B$108,$B138,'11.2. ДА за периода'!AA$61:AA$108)+SUMIF('11.1.Амортиз.нови активи'!$B$61:$B$108,$B138,'11.1.Амортиз.нови активи'!AA$61:AA$108)</f>
        <v>0</v>
      </c>
      <c r="AB138" s="1226">
        <f>$Z138-SUMIF('11.2. ДА за периода'!$B$61:$B$108,$B138,'11.2. ДА за периода'!$Z$61:$Z$108)+SUMIF('11.2. ДА за периода'!$B$61:$B$108,$B138,'11.2. ДА за периода'!AB$61:AB$108)+SUMIF('11.1.Амортиз.нови активи'!$B$61:$B$108,$B138,'11.1.Амортиз.нови активи'!AB$61:AB$108)</f>
        <v>0</v>
      </c>
      <c r="AC138" s="1226">
        <f>$Z138-SUMIF('11.2. ДА за периода'!$B$61:$B$108,$B138,'11.2. ДА за периода'!$Z$61:$Z$108)+SUMIF('11.2. ДА за периода'!$B$61:$B$108,$B138,'11.2. ДА за периода'!AC$61:AC$108)+SUMIF('11.1.Амортиз.нови активи'!$B$61:$B$108,$B138,'11.1.Амортиз.нови активи'!AC$61:AC$108)</f>
        <v>0</v>
      </c>
      <c r="AD138" s="1226">
        <f>$Z138-SUMIF('11.2. ДА за периода'!$B$61:$B$108,$B138,'11.2. ДА за периода'!$Z$61:$Z$108)+SUMIF('11.2. ДА за периода'!$B$61:$B$108,$B138,'11.2. ДА за периода'!AD$61:AD$108)+SUMIF('11.1.Амортиз.нови активи'!$B$61:$B$108,$B138,'11.1.Амортиз.нови активи'!AD$61:AD$108)</f>
        <v>0</v>
      </c>
      <c r="AE138" s="1226">
        <f>$Z138-SUMIF('11.2. ДА за периода'!$B$61:$B$108,$B138,'11.2. ДА за периода'!$Z$61:$Z$108)+SUMIF('11.2. ДА за периода'!$B$61:$B$108,$B138,'11.2. ДА за периода'!AE$61:AE$108)+SUMIF('11.1.Амортиз.нови активи'!$B$61:$B$108,$B138,'11.1.Амортиз.нови активи'!AE$61:AE$108)</f>
        <v>0</v>
      </c>
      <c r="AF138" s="2972">
        <f>$Z138-SUMIF('11.2. ДА за периода'!$B$61:$B$108,$B138,'11.2. ДА за периода'!$Z$61:$Z$108)+SUMIF('11.2. ДА за периода'!$B$61:$B$108,$B138,'11.2. ДА за периода'!AF$61:AF$108)+SUMIF('11.1.Амортиз.нови активи'!$B$61:$B$108,$B138,'11.1.Амортиз.нови активи'!AF$61:AF$108)</f>
        <v>0</v>
      </c>
      <c r="AG138" s="448"/>
      <c r="AH138" s="2971">
        <f>$AG138-SUMIF('11.2. ДА за периода'!$B$61:$B$108,$B138,'11.2. ДА за периода'!$AG$61:$AG$108)+SUMIF('11.2. ДА за периода'!$B$61:$B$108,$B138,'11.2. ДА за периода'!AH$61:AH$108)+SUMIF('11.1.Амортиз.нови активи'!$B$61:$B$108,$B138,'11.1.Амортиз.нови активи'!AH$61:AH$108)</f>
        <v>0</v>
      </c>
      <c r="AI138" s="1226">
        <f>$AG138-SUMIF('11.2. ДА за периода'!$B$61:$B$108,$B138,'11.2. ДА за периода'!$AG$61:$AG$108)+SUMIF('11.2. ДА за периода'!$B$61:$B$108,$B138,'11.2. ДА за периода'!AI$61:AI$108)+SUMIF('11.1.Амортиз.нови активи'!$B$61:$B$108,$B138,'11.1.Амортиз.нови активи'!AI$61:AI$108)</f>
        <v>0</v>
      </c>
      <c r="AJ138" s="1226">
        <f>$AG138-SUMIF('11.2. ДА за периода'!$B$61:$B$108,$B138,'11.2. ДА за периода'!$AG$61:$AG$108)+SUMIF('11.2. ДА за периода'!$B$61:$B$108,$B138,'11.2. ДА за периода'!AJ$61:AJ$108)+SUMIF('11.1.Амортиз.нови активи'!$B$61:$B$108,$B138,'11.1.Амортиз.нови активи'!AJ$61:AJ$108)</f>
        <v>0</v>
      </c>
      <c r="AK138" s="1226">
        <f>$AG138-SUMIF('11.2. ДА за периода'!$B$61:$B$108,$B138,'11.2. ДА за периода'!$AG$61:$AG$108)+SUMIF('11.2. ДА за периода'!$B$61:$B$108,$B138,'11.2. ДА за периода'!AK$61:AK$108)+SUMIF('11.1.Амортиз.нови активи'!$B$61:$B$108,$B138,'11.1.Амортиз.нови активи'!AK$61:AK$108)</f>
        <v>0</v>
      </c>
      <c r="AL138" s="1226">
        <f>$AG138-SUMIF('11.2. ДА за периода'!$B$61:$B$108,$B138,'11.2. ДА за периода'!$AG$61:$AG$108)+SUMIF('11.2. ДА за периода'!$B$61:$B$108,$B138,'11.2. ДА за периода'!AL$61:AL$108)+SUMIF('11.1.Амортиз.нови активи'!$B$61:$B$108,$B138,'11.1.Амортиз.нови активи'!AL$61:AL$108)</f>
        <v>0</v>
      </c>
      <c r="AM138" s="2972">
        <f>$AG138-SUMIF('11.2. ДА за периода'!$B$61:$B$108,$B138,'11.2. ДА за периода'!$AG$61:$AG$108)+SUMIF('11.2. ДА за периода'!$B$61:$B$108,$B138,'11.2. ДА за периода'!AM$61:AM$108)+SUMIF('11.1.Амортиз.нови активи'!$B$61:$B$108,$B138,'11.1.Амортиз.нови активи'!AM$61:AM$108)</f>
        <v>0</v>
      </c>
      <c r="AN138" s="2860"/>
      <c r="AO138" s="2898"/>
      <c r="AP138" s="1426"/>
    </row>
    <row r="139" spans="1:42" s="1422" customFormat="1">
      <c r="A139" s="2862">
        <v>8</v>
      </c>
      <c r="B139" s="2863">
        <v>2040101</v>
      </c>
      <c r="C139" s="2919">
        <v>0.1</v>
      </c>
      <c r="D139" s="2893" t="s">
        <v>1024</v>
      </c>
      <c r="E139" s="448">
        <v>2</v>
      </c>
      <c r="F139" s="2971">
        <f>$E139-SUMIF('11.2. ДА за периода'!$B$61:$B$108,$B139,'11.2. ДА за периода'!$E$61:$E$108)+SUMIF('11.2. ДА за периода'!$B$61:$B$108,$B139,'11.2. ДА за периода'!F$61:F$108)+SUMIF('11.1.Амортиз.нови активи'!$B$61:$B$108,$B139,'11.1.Амортиз.нови активи'!F$61:F$108)+('11.1.Амортиз.нови активи'!F$110*SUMIF('11.1.Амортиз.нови активи'!$B$61:$B$108,$B139,'11.1.Амортиз.нови активи'!AO$61:AO$108))</f>
        <v>2</v>
      </c>
      <c r="G139" s="1226">
        <f>$E139-SUMIF('11.2. ДА за периода'!$B$61:$B$108,$B139,'11.2. ДА за периода'!$E$61:$E$108)+SUMIF('11.2. ДА за периода'!$B$61:$B$108,$B139,'11.2. ДА за периода'!G$61:G$108)+SUMIF('11.1.Амортиз.нови активи'!$B$61:$B$108,$B139,'11.1.Амортиз.нови активи'!G$61:G$108)+('11.1.Амортиз.нови активи'!G$110*SUMIF('11.1.Амортиз.нови активи'!$B$61:$B$108,$B139,'11.1.Амортиз.нови активи'!AP$61:AP$108))</f>
        <v>2</v>
      </c>
      <c r="H139" s="1226">
        <f>$E139-SUMIF('11.2. ДА за периода'!$B$61:$B$108,$B139,'11.2. ДА за периода'!$E$61:$E$108)+SUMIF('11.2. ДА за периода'!$B$61:$B$108,$B139,'11.2. ДА за периода'!H$61:H$108)+SUMIF('11.1.Амортиз.нови активи'!$B$61:$B$108,$B139,'11.1.Амортиз.нови активи'!H$61:H$108)+('11.1.Амортиз.нови активи'!H$110*SUMIF('11.1.Амортиз.нови активи'!$B$61:$B$108,$B139,'11.1.Амортиз.нови активи'!AQ$61:AQ$108))</f>
        <v>2</v>
      </c>
      <c r="I139" s="1226">
        <f>$E139-SUMIF('11.2. ДА за периода'!$B$61:$B$108,$B139,'11.2. ДА за периода'!$E$61:$E$108)+SUMIF('11.2. ДА за периода'!$B$61:$B$108,$B139,'11.2. ДА за периода'!I$61:I$108)+SUMIF('11.1.Амортиз.нови активи'!$B$61:$B$108,$B139,'11.1.Амортиз.нови активи'!I$61:I$108)+('11.1.Амортиз.нови активи'!I$110*SUMIF('11.1.Амортиз.нови активи'!$B$61:$B$108,$B139,'11.1.Амортиз.нови активи'!AR$61:AR$108))</f>
        <v>2</v>
      </c>
      <c r="J139" s="1226">
        <f>$E139-SUMIF('11.2. ДА за периода'!$B$61:$B$108,$B139,'11.2. ДА за периода'!$E$61:$E$108)+SUMIF('11.2. ДА за периода'!$B$61:$B$108,$B139,'11.2. ДА за периода'!J$61:J$108)+SUMIF('11.1.Амортиз.нови активи'!$B$61:$B$108,$B139,'11.1.Амортиз.нови активи'!J$61:J$108)+('11.1.Амортиз.нови активи'!J$110*SUMIF('11.1.Амортиз.нови активи'!$B$61:$B$108,$B139,'11.1.Амортиз.нови активи'!AS$61:AS$108))</f>
        <v>2</v>
      </c>
      <c r="K139" s="1226">
        <f>$E139-SUMIF('11.2. ДА за периода'!$B$61:$B$108,$B139,'11.2. ДА за периода'!$E$61:$E$108)+SUMIF('11.2. ДА за периода'!$B$61:$B$108,$B139,'11.2. ДА за периода'!K$61:K$108)+SUMIF('11.1.Амортиз.нови активи'!$B$61:$B$108,$B139,'11.1.Амортиз.нови активи'!K$61:K$108)+('11.1.Амортиз.нови активи'!K$110*SUMIF('11.1.Амортиз.нови активи'!$B$61:$B$108,$B139,'11.1.Амортиз.нови активи'!AT$61:AT$108))</f>
        <v>2</v>
      </c>
      <c r="L139" s="448">
        <v>0</v>
      </c>
      <c r="M139" s="2971">
        <f>$L139-SUMIF('11.2. ДА за периода'!$B$61:$B$108,$B139,'11.2. ДА за периода'!$L$61:$L$108)+SUMIF('11.2. ДА за периода'!$B$61:$B$108,$B139,'11.2. ДА за периода'!M$61:M$108)+SUMIF('11.1.Амортиз.нови активи'!$B$61:$B$108,$B139,'11.1.Амортиз.нови активи'!M$61:M$108)+('11.1.Амортиз.нови активи'!F$111*SUMIF('11.1.Амортиз.нови активи'!$B$61:$B$108,$B139,'11.1.Амортиз.нови активи'!AO$61:AO$108))</f>
        <v>0</v>
      </c>
      <c r="N139" s="1226">
        <f>$L139-SUMIF('11.2. ДА за периода'!$B$61:$B$108,$B139,'11.2. ДА за периода'!$L$61:$L$108)+SUMIF('11.2. ДА за периода'!$B$61:$B$108,$B139,'11.2. ДА за периода'!N$61:N$108)+SUMIF('11.1.Амортиз.нови активи'!$B$61:$B$108,$B139,'11.1.Амортиз.нови активи'!N$61:N$108)+('11.1.Амортиз.нови активи'!G$111*SUMIF('11.1.Амортиз.нови активи'!$B$61:$B$108,$B139,'11.1.Амортиз.нови активи'!AP$61:AP$108))</f>
        <v>0</v>
      </c>
      <c r="O139" s="1226">
        <f>$L139-SUMIF('11.2. ДА за периода'!$B$61:$B$108,$B139,'11.2. ДА за периода'!$L$61:$L$108)+SUMIF('11.2. ДА за периода'!$B$61:$B$108,$B139,'11.2. ДА за периода'!O$61:O$108)+SUMIF('11.1.Амортиз.нови активи'!$B$61:$B$108,$B139,'11.1.Амортиз.нови активи'!O$61:O$108)+('11.1.Амортиз.нови активи'!H$111*SUMIF('11.1.Амортиз.нови активи'!$B$61:$B$108,$B139,'11.1.Амортиз.нови активи'!AQ$61:AQ$108))</f>
        <v>0</v>
      </c>
      <c r="P139" s="1226">
        <f>$L139-SUMIF('11.2. ДА за периода'!$B$61:$B$108,$B139,'11.2. ДА за периода'!$L$61:$L$108)+SUMIF('11.2. ДА за периода'!$B$61:$B$108,$B139,'11.2. ДА за периода'!P$61:P$108)+SUMIF('11.1.Амортиз.нови активи'!$B$61:$B$108,$B139,'11.1.Амортиз.нови активи'!P$61:P$108)+('11.1.Амортиз.нови активи'!I$111*SUMIF('11.1.Амортиз.нови активи'!$B$61:$B$108,$B139,'11.1.Амортиз.нови активи'!AR$61:AR$108))</f>
        <v>0</v>
      </c>
      <c r="Q139" s="1226">
        <f>$L139-SUMIF('11.2. ДА за периода'!$B$61:$B$108,$B139,'11.2. ДА за периода'!$L$61:$L$108)+SUMIF('11.2. ДА за периода'!$B$61:$B$108,$B139,'11.2. ДА за периода'!Q$61:Q$108)+SUMIF('11.1.Амортиз.нови активи'!$B$61:$B$108,$B139,'11.1.Амортиз.нови активи'!Q$61:Q$108)+('11.1.Амортиз.нови активи'!J$111*SUMIF('11.1.Амортиз.нови активи'!$B$61:$B$108,$B139,'11.1.Амортиз.нови активи'!AS$61:AS$108))</f>
        <v>0</v>
      </c>
      <c r="R139" s="2972">
        <f>$L139-SUMIF('11.2. ДА за периода'!$B$61:$B$108,$B139,'11.2. ДА за периода'!$L$61:$L$108)+SUMIF('11.2. ДА за периода'!$B$61:$B$108,$B139,'11.2. ДА за периода'!R$61:R$108)+SUMIF('11.1.Амортиз.нови активи'!$B$61:$B$108,$B139,'11.1.Амортиз.нови активи'!R$61:R$108)+('11.1.Амортиз.нови активи'!K$111*SUMIF('11.1.Амортиз.нови активи'!$B$61:$B$108,$B139,'11.1.Амортиз.нови активи'!AT$61:AT$108))</f>
        <v>0</v>
      </c>
      <c r="S139" s="448">
        <v>0.4</v>
      </c>
      <c r="T139" s="2971">
        <f>$S139-SUMIF('11.2. ДА за периода'!$B$61:$B$108,$B139,'11.2. ДА за периода'!$S$61:$S$108)+SUMIF('11.2. ДА за периода'!$B$61:$B$108,$B139,'11.2. ДА за периода'!T$61:T$108)+SUMIF('11.1.Амортиз.нови активи'!$B$61:$B$108,$B139,'11.1.Амортиз.нови активи'!T$61:T$108)+('11.1.Амортиз.нови активи'!F$112*SUMIF('11.1.Амортиз.нови активи'!$B$61:$B$108,$B139,'11.1.Амортиз.нови активи'!AO$61:AO$108))</f>
        <v>0.4</v>
      </c>
      <c r="U139" s="1226">
        <f>$S139-SUMIF('11.2. ДА за периода'!$B$61:$B$108,$B139,'11.2. ДА за периода'!$S$61:$S$108)+SUMIF('11.2. ДА за периода'!$B$61:$B$108,$B139,'11.2. ДА за периода'!U$61:U$108)+SUMIF('11.1.Амортиз.нови активи'!$B$61:$B$108,$B139,'11.1.Амортиз.нови активи'!U$61:U$108)+('11.1.Амортиз.нови активи'!G$112*SUMIF('11.1.Амортиз.нови активи'!$B$61:$B$108,$B139,'11.1.Амортиз.нови активи'!AP$61:AP$108))</f>
        <v>0.4</v>
      </c>
      <c r="V139" s="1226">
        <f>$S139-SUMIF('11.2. ДА за периода'!$B$61:$B$108,$B139,'11.2. ДА за периода'!$S$61:$S$108)+SUMIF('11.2. ДА за периода'!$B$61:$B$108,$B139,'11.2. ДА за периода'!V$61:V$108)+SUMIF('11.1.Амортиз.нови активи'!$B$61:$B$108,$B139,'11.1.Амортиз.нови активи'!V$61:V$108)+('11.1.Амортиз.нови активи'!H$112*SUMIF('11.1.Амортиз.нови активи'!$B$61:$B$108,$B139,'11.1.Амортиз.нови активи'!AQ$61:AQ$108))</f>
        <v>0.4</v>
      </c>
      <c r="W139" s="1226">
        <f>$S139-SUMIF('11.2. ДА за периода'!$B$61:$B$108,$B139,'11.2. ДА за периода'!$S$61:$S$108)+SUMIF('11.2. ДА за периода'!$B$61:$B$108,$B139,'11.2. ДА за периода'!W$61:W$108)+SUMIF('11.1.Амортиз.нови активи'!$B$61:$B$108,$B139,'11.1.Амортиз.нови активи'!W$61:W$108)+('11.1.Амортиз.нови активи'!I$112*SUMIF('11.1.Амортиз.нови активи'!$B$61:$B$108,$B139,'11.1.Амортиз.нови активи'!AR$61:AR$108))</f>
        <v>0.4</v>
      </c>
      <c r="X139" s="1226">
        <f>$S139-SUMIF('11.2. ДА за периода'!$B$61:$B$108,$B139,'11.2. ДА за периода'!$S$61:$S$108)+SUMIF('11.2. ДА за периода'!$B$61:$B$108,$B139,'11.2. ДА за периода'!X$61:X$108)+SUMIF('11.1.Амортиз.нови активи'!$B$61:$B$108,$B139,'11.1.Амортиз.нови активи'!X$61:X$108)+('11.1.Амортиз.нови активи'!J$112*SUMIF('11.1.Амортиз.нови активи'!$B$61:$B$108,$B139,'11.1.Амортиз.нови активи'!AS$61:AS$108))</f>
        <v>0.4</v>
      </c>
      <c r="Y139" s="2972">
        <f>$S139-SUMIF('11.2. ДА за периода'!$B$61:$B$108,$B139,'11.2. ДА за периода'!$S$61:$S$108)+SUMIF('11.2. ДА за периода'!$B$61:$B$108,$B139,'11.2. ДА за периода'!Y$61:Y$108)+SUMIF('11.1.Амортиз.нови активи'!$B$61:$B$108,$B139,'11.1.Амортиз.нови активи'!Y$61:Y$108)+('11.1.Амортиз.нови активи'!K$112*SUMIF('11.1.Амортиз.нови активи'!$B$61:$B$108,$B139,'11.1.Амортиз.нови активи'!AT$61:AT$108))</f>
        <v>0.4</v>
      </c>
      <c r="Z139" s="448">
        <v>0</v>
      </c>
      <c r="AA139" s="2971">
        <f>$Z139-SUMIF('11.2. ДА за периода'!$B$61:$B$108,$B139,'11.2. ДА за периода'!$Z$61:$Z$108)+SUMIF('11.2. ДА за периода'!$B$61:$B$108,$B139,'11.2. ДА за периода'!AA$61:AA$108)+SUMIF('11.1.Амортиз.нови активи'!$B$61:$B$108,$B139,'11.1.Амортиз.нови активи'!AA$61:AA$108)</f>
        <v>0</v>
      </c>
      <c r="AB139" s="1226">
        <f>$Z139-SUMIF('11.2. ДА за периода'!$B$61:$B$108,$B139,'11.2. ДА за периода'!$Z$61:$Z$108)+SUMIF('11.2. ДА за периода'!$B$61:$B$108,$B139,'11.2. ДА за периода'!AB$61:AB$108)+SUMIF('11.1.Амортиз.нови активи'!$B$61:$B$108,$B139,'11.1.Амортиз.нови активи'!AB$61:AB$108)</f>
        <v>0</v>
      </c>
      <c r="AC139" s="1226">
        <f>$Z139-SUMIF('11.2. ДА за периода'!$B$61:$B$108,$B139,'11.2. ДА за периода'!$Z$61:$Z$108)+SUMIF('11.2. ДА за периода'!$B$61:$B$108,$B139,'11.2. ДА за периода'!AC$61:AC$108)+SUMIF('11.1.Амортиз.нови активи'!$B$61:$B$108,$B139,'11.1.Амортиз.нови активи'!AC$61:AC$108)</f>
        <v>0</v>
      </c>
      <c r="AD139" s="1226">
        <f>$Z139-SUMIF('11.2. ДА за периода'!$B$61:$B$108,$B139,'11.2. ДА за периода'!$Z$61:$Z$108)+SUMIF('11.2. ДА за периода'!$B$61:$B$108,$B139,'11.2. ДА за периода'!AD$61:AD$108)+SUMIF('11.1.Амортиз.нови активи'!$B$61:$B$108,$B139,'11.1.Амортиз.нови активи'!AD$61:AD$108)</f>
        <v>0</v>
      </c>
      <c r="AE139" s="1226">
        <f>$Z139-SUMIF('11.2. ДА за периода'!$B$61:$B$108,$B139,'11.2. ДА за периода'!$Z$61:$Z$108)+SUMIF('11.2. ДА за периода'!$B$61:$B$108,$B139,'11.2. ДА за периода'!AE$61:AE$108)+SUMIF('11.1.Амортиз.нови активи'!$B$61:$B$108,$B139,'11.1.Амортиз.нови активи'!AE$61:AE$108)</f>
        <v>0</v>
      </c>
      <c r="AF139" s="2972">
        <f>$Z139-SUMIF('11.2. ДА за периода'!$B$61:$B$108,$B139,'11.2. ДА за периода'!$Z$61:$Z$108)+SUMIF('11.2. ДА за периода'!$B$61:$B$108,$B139,'11.2. ДА за периода'!AF$61:AF$108)+SUMIF('11.1.Амортиз.нови активи'!$B$61:$B$108,$B139,'11.1.Амортиз.нови активи'!AF$61:AF$108)</f>
        <v>0</v>
      </c>
      <c r="AG139" s="448"/>
      <c r="AH139" s="2971">
        <f>$AG139-SUMIF('11.2. ДА за периода'!$B$61:$B$108,$B139,'11.2. ДА за периода'!$AG$61:$AG$108)+SUMIF('11.2. ДА за периода'!$B$61:$B$108,$B139,'11.2. ДА за периода'!AH$61:AH$108)+SUMIF('11.1.Амортиз.нови активи'!$B$61:$B$108,$B139,'11.1.Амортиз.нови активи'!AH$61:AH$108)</f>
        <v>0</v>
      </c>
      <c r="AI139" s="1226">
        <f>$AG139-SUMIF('11.2. ДА за периода'!$B$61:$B$108,$B139,'11.2. ДА за периода'!$AG$61:$AG$108)+SUMIF('11.2. ДА за периода'!$B$61:$B$108,$B139,'11.2. ДА за периода'!AI$61:AI$108)+SUMIF('11.1.Амортиз.нови активи'!$B$61:$B$108,$B139,'11.1.Амортиз.нови активи'!AI$61:AI$108)</f>
        <v>0</v>
      </c>
      <c r="AJ139" s="1226">
        <f>$AG139-SUMIF('11.2. ДА за периода'!$B$61:$B$108,$B139,'11.2. ДА за периода'!$AG$61:$AG$108)+SUMIF('11.2. ДА за периода'!$B$61:$B$108,$B139,'11.2. ДА за периода'!AJ$61:AJ$108)+SUMIF('11.1.Амортиз.нови активи'!$B$61:$B$108,$B139,'11.1.Амортиз.нови активи'!AJ$61:AJ$108)</f>
        <v>0</v>
      </c>
      <c r="AK139" s="1226">
        <f>$AG139-SUMIF('11.2. ДА за периода'!$B$61:$B$108,$B139,'11.2. ДА за периода'!$AG$61:$AG$108)+SUMIF('11.2. ДА за периода'!$B$61:$B$108,$B139,'11.2. ДА за периода'!AK$61:AK$108)+SUMIF('11.1.Амортиз.нови активи'!$B$61:$B$108,$B139,'11.1.Амортиз.нови активи'!AK$61:AK$108)</f>
        <v>0</v>
      </c>
      <c r="AL139" s="1226">
        <f>$AG139-SUMIF('11.2. ДА за периода'!$B$61:$B$108,$B139,'11.2. ДА за периода'!$AG$61:$AG$108)+SUMIF('11.2. ДА за периода'!$B$61:$B$108,$B139,'11.2. ДА за периода'!AL$61:AL$108)+SUMIF('11.1.Амортиз.нови активи'!$B$61:$B$108,$B139,'11.1.Амортиз.нови активи'!AL$61:AL$108)</f>
        <v>0</v>
      </c>
      <c r="AM139" s="2972">
        <f>$AG139-SUMIF('11.2. ДА за периода'!$B$61:$B$108,$B139,'11.2. ДА за периода'!$AG$61:$AG$108)+SUMIF('11.2. ДА за периода'!$B$61:$B$108,$B139,'11.2. ДА за периода'!AM$61:AM$108)+SUMIF('11.1.Амортиз.нови активи'!$B$61:$B$108,$B139,'11.1.Амортиз.нови активи'!AM$61:AM$108)</f>
        <v>0</v>
      </c>
      <c r="AN139" s="2860"/>
      <c r="AO139" s="2898"/>
      <c r="AP139" s="1426"/>
    </row>
    <row r="140" spans="1:42" s="1422" customFormat="1">
      <c r="A140" s="2920">
        <v>9</v>
      </c>
      <c r="B140" s="2863">
        <v>2040102</v>
      </c>
      <c r="C140" s="2919">
        <v>0.04</v>
      </c>
      <c r="D140" s="2893" t="s">
        <v>437</v>
      </c>
      <c r="E140" s="448">
        <v>0</v>
      </c>
      <c r="F140" s="2971">
        <f>$E140-SUMIF('11.2. ДА за периода'!$B$61:$B$108,$B140,'11.2. ДА за периода'!$E$61:$E$108)+SUMIF('11.2. ДА за периода'!$B$61:$B$108,$B140,'11.2. ДА за периода'!F$61:F$108)+SUMIF('11.1.Амортиз.нови активи'!$B$61:$B$108,$B140,'11.1.Амортиз.нови активи'!F$61:F$108)+('11.1.Амортиз.нови активи'!F$110*SUMIF('11.1.Амортиз.нови активи'!$B$61:$B$108,$B140,'11.1.Амортиз.нови активи'!AO$61:AO$108))</f>
        <v>0</v>
      </c>
      <c r="G140" s="1226">
        <f>$E140-SUMIF('11.2. ДА за периода'!$B$61:$B$108,$B140,'11.2. ДА за периода'!$E$61:$E$108)+SUMIF('11.2. ДА за периода'!$B$61:$B$108,$B140,'11.2. ДА за периода'!G$61:G$108)+SUMIF('11.1.Амортиз.нови активи'!$B$61:$B$108,$B140,'11.1.Амортиз.нови активи'!G$61:G$108)+('11.1.Амортиз.нови активи'!G$110*SUMIF('11.1.Амортиз.нови активи'!$B$61:$B$108,$B140,'11.1.Амортиз.нови активи'!AP$61:AP$108))</f>
        <v>0</v>
      </c>
      <c r="H140" s="1226">
        <f>$E140-SUMIF('11.2. ДА за периода'!$B$61:$B$108,$B140,'11.2. ДА за периода'!$E$61:$E$108)+SUMIF('11.2. ДА за периода'!$B$61:$B$108,$B140,'11.2. ДА за периода'!H$61:H$108)+SUMIF('11.1.Амортиз.нови активи'!$B$61:$B$108,$B140,'11.1.Амортиз.нови активи'!H$61:H$108)+('11.1.Амортиз.нови активи'!H$110*SUMIF('11.1.Амортиз.нови активи'!$B$61:$B$108,$B140,'11.1.Амортиз.нови активи'!AQ$61:AQ$108))</f>
        <v>0</v>
      </c>
      <c r="I140" s="1226">
        <f>$E140-SUMIF('11.2. ДА за периода'!$B$61:$B$108,$B140,'11.2. ДА за периода'!$E$61:$E$108)+SUMIF('11.2. ДА за периода'!$B$61:$B$108,$B140,'11.2. ДА за периода'!I$61:I$108)+SUMIF('11.1.Амортиз.нови активи'!$B$61:$B$108,$B140,'11.1.Амортиз.нови активи'!I$61:I$108)+('11.1.Амортиз.нови активи'!I$110*SUMIF('11.1.Амортиз.нови активи'!$B$61:$B$108,$B140,'11.1.Амортиз.нови активи'!AR$61:AR$108))</f>
        <v>0</v>
      </c>
      <c r="J140" s="1226">
        <f>$E140-SUMIF('11.2. ДА за периода'!$B$61:$B$108,$B140,'11.2. ДА за периода'!$E$61:$E$108)+SUMIF('11.2. ДА за периода'!$B$61:$B$108,$B140,'11.2. ДА за периода'!J$61:J$108)+SUMIF('11.1.Амортиз.нови активи'!$B$61:$B$108,$B140,'11.1.Амортиз.нови активи'!J$61:J$108)+('11.1.Амортиз.нови активи'!J$110*SUMIF('11.1.Амортиз.нови активи'!$B$61:$B$108,$B140,'11.1.Амортиз.нови активи'!AS$61:AS$108))</f>
        <v>0</v>
      </c>
      <c r="K140" s="1226">
        <f>$E140-SUMIF('11.2. ДА за периода'!$B$61:$B$108,$B140,'11.2. ДА за периода'!$E$61:$E$108)+SUMIF('11.2. ДА за периода'!$B$61:$B$108,$B140,'11.2. ДА за периода'!K$61:K$108)+SUMIF('11.1.Амортиз.нови активи'!$B$61:$B$108,$B140,'11.1.Амортиз.нови активи'!K$61:K$108)+('11.1.Амортиз.нови активи'!K$110*SUMIF('11.1.Амортиз.нови активи'!$B$61:$B$108,$B140,'11.1.Амортиз.нови активи'!AT$61:AT$108))</f>
        <v>0</v>
      </c>
      <c r="L140" s="448">
        <v>0</v>
      </c>
      <c r="M140" s="2971">
        <f>$L140-SUMIF('11.2. ДА за периода'!$B$61:$B$108,$B140,'11.2. ДА за периода'!$L$61:$L$108)+SUMIF('11.2. ДА за периода'!$B$61:$B$108,$B140,'11.2. ДА за периода'!M$61:M$108)+SUMIF('11.1.Амортиз.нови активи'!$B$61:$B$108,$B140,'11.1.Амортиз.нови активи'!M$61:M$108)+('11.1.Амортиз.нови активи'!F$111*SUMIF('11.1.Амортиз.нови активи'!$B$61:$B$108,$B140,'11.1.Амортиз.нови активи'!AO$61:AO$108))</f>
        <v>0</v>
      </c>
      <c r="N140" s="1226">
        <f>$L140-SUMIF('11.2. ДА за периода'!$B$61:$B$108,$B140,'11.2. ДА за периода'!$L$61:$L$108)+SUMIF('11.2. ДА за периода'!$B$61:$B$108,$B140,'11.2. ДА за периода'!N$61:N$108)+SUMIF('11.1.Амортиз.нови активи'!$B$61:$B$108,$B140,'11.1.Амортиз.нови активи'!N$61:N$108)+('11.1.Амортиз.нови активи'!G$111*SUMIF('11.1.Амортиз.нови активи'!$B$61:$B$108,$B140,'11.1.Амортиз.нови активи'!AP$61:AP$108))</f>
        <v>0</v>
      </c>
      <c r="O140" s="1226">
        <f>$L140-SUMIF('11.2. ДА за периода'!$B$61:$B$108,$B140,'11.2. ДА за периода'!$L$61:$L$108)+SUMIF('11.2. ДА за периода'!$B$61:$B$108,$B140,'11.2. ДА за периода'!O$61:O$108)+SUMIF('11.1.Амортиз.нови активи'!$B$61:$B$108,$B140,'11.1.Амортиз.нови активи'!O$61:O$108)+('11.1.Амортиз.нови активи'!H$111*SUMIF('11.1.Амортиз.нови активи'!$B$61:$B$108,$B140,'11.1.Амортиз.нови активи'!AQ$61:AQ$108))</f>
        <v>0</v>
      </c>
      <c r="P140" s="1226">
        <f>$L140-SUMIF('11.2. ДА за периода'!$B$61:$B$108,$B140,'11.2. ДА за периода'!$L$61:$L$108)+SUMIF('11.2. ДА за периода'!$B$61:$B$108,$B140,'11.2. ДА за периода'!P$61:P$108)+SUMIF('11.1.Амортиз.нови активи'!$B$61:$B$108,$B140,'11.1.Амортиз.нови активи'!P$61:P$108)+('11.1.Амортиз.нови активи'!I$111*SUMIF('11.1.Амортиз.нови активи'!$B$61:$B$108,$B140,'11.1.Амортиз.нови активи'!AR$61:AR$108))</f>
        <v>0</v>
      </c>
      <c r="Q140" s="1226">
        <f>$L140-SUMIF('11.2. ДА за периода'!$B$61:$B$108,$B140,'11.2. ДА за периода'!$L$61:$L$108)+SUMIF('11.2. ДА за периода'!$B$61:$B$108,$B140,'11.2. ДА за периода'!Q$61:Q$108)+SUMIF('11.1.Амортиз.нови активи'!$B$61:$B$108,$B140,'11.1.Амортиз.нови активи'!Q$61:Q$108)+('11.1.Амортиз.нови активи'!J$111*SUMIF('11.1.Амортиз.нови активи'!$B$61:$B$108,$B140,'11.1.Амортиз.нови активи'!AS$61:AS$108))</f>
        <v>0</v>
      </c>
      <c r="R140" s="2972">
        <f>$L140-SUMIF('11.2. ДА за периода'!$B$61:$B$108,$B140,'11.2. ДА за периода'!$L$61:$L$108)+SUMIF('11.2. ДА за периода'!$B$61:$B$108,$B140,'11.2. ДА за периода'!R$61:R$108)+SUMIF('11.1.Амортиз.нови активи'!$B$61:$B$108,$B140,'11.1.Амортиз.нови активи'!R$61:R$108)+('11.1.Амортиз.нови активи'!K$111*SUMIF('11.1.Амортиз.нови активи'!$B$61:$B$108,$B140,'11.1.Амортиз.нови активи'!AT$61:AT$108))</f>
        <v>0</v>
      </c>
      <c r="S140" s="448">
        <v>0</v>
      </c>
      <c r="T140" s="2971">
        <f>$S140-SUMIF('11.2. ДА за периода'!$B$61:$B$108,$B140,'11.2. ДА за периода'!$S$61:$S$108)+SUMIF('11.2. ДА за периода'!$B$61:$B$108,$B140,'11.2. ДА за периода'!T$61:T$108)+SUMIF('11.1.Амортиз.нови активи'!$B$61:$B$108,$B140,'11.1.Амортиз.нови активи'!T$61:T$108)+('11.1.Амортиз.нови активи'!F$112*SUMIF('11.1.Амортиз.нови активи'!$B$61:$B$108,$B140,'11.1.Амортиз.нови активи'!AO$61:AO$108))</f>
        <v>0</v>
      </c>
      <c r="U140" s="1226">
        <f>$S140-SUMIF('11.2. ДА за периода'!$B$61:$B$108,$B140,'11.2. ДА за периода'!$S$61:$S$108)+SUMIF('11.2. ДА за периода'!$B$61:$B$108,$B140,'11.2. ДА за периода'!U$61:U$108)+SUMIF('11.1.Амортиз.нови активи'!$B$61:$B$108,$B140,'11.1.Амортиз.нови активи'!U$61:U$108)+('11.1.Амортиз.нови активи'!G$112*SUMIF('11.1.Амортиз.нови активи'!$B$61:$B$108,$B140,'11.1.Амортиз.нови активи'!AP$61:AP$108))</f>
        <v>0</v>
      </c>
      <c r="V140" s="1226">
        <f>$S140-SUMIF('11.2. ДА за периода'!$B$61:$B$108,$B140,'11.2. ДА за периода'!$S$61:$S$108)+SUMIF('11.2. ДА за периода'!$B$61:$B$108,$B140,'11.2. ДА за периода'!V$61:V$108)+SUMIF('11.1.Амортиз.нови активи'!$B$61:$B$108,$B140,'11.1.Амортиз.нови активи'!V$61:V$108)+('11.1.Амортиз.нови активи'!H$112*SUMIF('11.1.Амортиз.нови активи'!$B$61:$B$108,$B140,'11.1.Амортиз.нови активи'!AQ$61:AQ$108))</f>
        <v>0</v>
      </c>
      <c r="W140" s="1226">
        <f>$S140-SUMIF('11.2. ДА за периода'!$B$61:$B$108,$B140,'11.2. ДА за периода'!$S$61:$S$108)+SUMIF('11.2. ДА за периода'!$B$61:$B$108,$B140,'11.2. ДА за периода'!W$61:W$108)+SUMIF('11.1.Амортиз.нови активи'!$B$61:$B$108,$B140,'11.1.Амортиз.нови активи'!W$61:W$108)+('11.1.Амортиз.нови активи'!I$112*SUMIF('11.1.Амортиз.нови активи'!$B$61:$B$108,$B140,'11.1.Амортиз.нови активи'!AR$61:AR$108))</f>
        <v>0</v>
      </c>
      <c r="X140" s="1226">
        <f>$S140-SUMIF('11.2. ДА за периода'!$B$61:$B$108,$B140,'11.2. ДА за периода'!$S$61:$S$108)+SUMIF('11.2. ДА за периода'!$B$61:$B$108,$B140,'11.2. ДА за периода'!X$61:X$108)+SUMIF('11.1.Амортиз.нови активи'!$B$61:$B$108,$B140,'11.1.Амортиз.нови активи'!X$61:X$108)+('11.1.Амортиз.нови активи'!J$112*SUMIF('11.1.Амортиз.нови активи'!$B$61:$B$108,$B140,'11.1.Амортиз.нови активи'!AS$61:AS$108))</f>
        <v>0</v>
      </c>
      <c r="Y140" s="2972">
        <f>$S140-SUMIF('11.2. ДА за периода'!$B$61:$B$108,$B140,'11.2. ДА за периода'!$S$61:$S$108)+SUMIF('11.2. ДА за периода'!$B$61:$B$108,$B140,'11.2. ДА за периода'!Y$61:Y$108)+SUMIF('11.1.Амортиз.нови активи'!$B$61:$B$108,$B140,'11.1.Амортиз.нови активи'!Y$61:Y$108)+('11.1.Амортиз.нови активи'!K$112*SUMIF('11.1.Амортиз.нови активи'!$B$61:$B$108,$B140,'11.1.Амортиз.нови активи'!AT$61:AT$108))</f>
        <v>0</v>
      </c>
      <c r="Z140" s="448">
        <v>0</v>
      </c>
      <c r="AA140" s="2971">
        <f>$Z140-SUMIF('11.2. ДА за периода'!$B$61:$B$108,$B140,'11.2. ДА за периода'!$Z$61:$Z$108)+SUMIF('11.2. ДА за периода'!$B$61:$B$108,$B140,'11.2. ДА за периода'!AA$61:AA$108)+SUMIF('11.1.Амортиз.нови активи'!$B$61:$B$108,$B140,'11.1.Амортиз.нови активи'!AA$61:AA$108)</f>
        <v>0</v>
      </c>
      <c r="AB140" s="1226">
        <f>$Z140-SUMIF('11.2. ДА за периода'!$B$61:$B$108,$B140,'11.2. ДА за периода'!$Z$61:$Z$108)+SUMIF('11.2. ДА за периода'!$B$61:$B$108,$B140,'11.2. ДА за периода'!AB$61:AB$108)+SUMIF('11.1.Амортиз.нови активи'!$B$61:$B$108,$B140,'11.1.Амортиз.нови активи'!AB$61:AB$108)</f>
        <v>0</v>
      </c>
      <c r="AC140" s="1226">
        <f>$Z140-SUMIF('11.2. ДА за периода'!$B$61:$B$108,$B140,'11.2. ДА за периода'!$Z$61:$Z$108)+SUMIF('11.2. ДА за периода'!$B$61:$B$108,$B140,'11.2. ДА за периода'!AC$61:AC$108)+SUMIF('11.1.Амортиз.нови активи'!$B$61:$B$108,$B140,'11.1.Амортиз.нови активи'!AC$61:AC$108)</f>
        <v>0</v>
      </c>
      <c r="AD140" s="1226">
        <f>$Z140-SUMIF('11.2. ДА за периода'!$B$61:$B$108,$B140,'11.2. ДА за периода'!$Z$61:$Z$108)+SUMIF('11.2. ДА за периода'!$B$61:$B$108,$B140,'11.2. ДА за периода'!AD$61:AD$108)+SUMIF('11.1.Амортиз.нови активи'!$B$61:$B$108,$B140,'11.1.Амортиз.нови активи'!AD$61:AD$108)</f>
        <v>0</v>
      </c>
      <c r="AE140" s="1226">
        <f>$Z140-SUMIF('11.2. ДА за периода'!$B$61:$B$108,$B140,'11.2. ДА за периода'!$Z$61:$Z$108)+SUMIF('11.2. ДА за периода'!$B$61:$B$108,$B140,'11.2. ДА за периода'!AE$61:AE$108)+SUMIF('11.1.Амортиз.нови активи'!$B$61:$B$108,$B140,'11.1.Амортиз.нови активи'!AE$61:AE$108)</f>
        <v>0</v>
      </c>
      <c r="AF140" s="2972">
        <f>$Z140-SUMIF('11.2. ДА за периода'!$B$61:$B$108,$B140,'11.2. ДА за периода'!$Z$61:$Z$108)+SUMIF('11.2. ДА за периода'!$B$61:$B$108,$B140,'11.2. ДА за периода'!AF$61:AF$108)+SUMIF('11.1.Амортиз.нови активи'!$B$61:$B$108,$B140,'11.1.Амортиз.нови активи'!AF$61:AF$108)</f>
        <v>0</v>
      </c>
      <c r="AG140" s="448"/>
      <c r="AH140" s="2971">
        <f>$AG140-SUMIF('11.2. ДА за периода'!$B$61:$B$108,$B140,'11.2. ДА за периода'!$AG$61:$AG$108)+SUMIF('11.2. ДА за периода'!$B$61:$B$108,$B140,'11.2. ДА за периода'!AH$61:AH$108)+SUMIF('11.1.Амортиз.нови активи'!$B$61:$B$108,$B140,'11.1.Амортиз.нови активи'!AH$61:AH$108)</f>
        <v>0</v>
      </c>
      <c r="AI140" s="1226">
        <f>$AG140-SUMIF('11.2. ДА за периода'!$B$61:$B$108,$B140,'11.2. ДА за периода'!$AG$61:$AG$108)+SUMIF('11.2. ДА за периода'!$B$61:$B$108,$B140,'11.2. ДА за периода'!AI$61:AI$108)+SUMIF('11.1.Амортиз.нови активи'!$B$61:$B$108,$B140,'11.1.Амортиз.нови активи'!AI$61:AI$108)</f>
        <v>0</v>
      </c>
      <c r="AJ140" s="1226">
        <f>$AG140-SUMIF('11.2. ДА за периода'!$B$61:$B$108,$B140,'11.2. ДА за периода'!$AG$61:$AG$108)+SUMIF('11.2. ДА за периода'!$B$61:$B$108,$B140,'11.2. ДА за периода'!AJ$61:AJ$108)+SUMIF('11.1.Амортиз.нови активи'!$B$61:$B$108,$B140,'11.1.Амортиз.нови активи'!AJ$61:AJ$108)</f>
        <v>0</v>
      </c>
      <c r="AK140" s="1226">
        <f>$AG140-SUMIF('11.2. ДА за периода'!$B$61:$B$108,$B140,'11.2. ДА за периода'!$AG$61:$AG$108)+SUMIF('11.2. ДА за периода'!$B$61:$B$108,$B140,'11.2. ДА за периода'!AK$61:AK$108)+SUMIF('11.1.Амортиз.нови активи'!$B$61:$B$108,$B140,'11.1.Амортиз.нови активи'!AK$61:AK$108)</f>
        <v>0</v>
      </c>
      <c r="AL140" s="1226">
        <f>$AG140-SUMIF('11.2. ДА за периода'!$B$61:$B$108,$B140,'11.2. ДА за периода'!$AG$61:$AG$108)+SUMIF('11.2. ДА за периода'!$B$61:$B$108,$B140,'11.2. ДА за периода'!AL$61:AL$108)+SUMIF('11.1.Амортиз.нови активи'!$B$61:$B$108,$B140,'11.1.Амортиз.нови активи'!AL$61:AL$108)</f>
        <v>0</v>
      </c>
      <c r="AM140" s="2972">
        <f>$AG140-SUMIF('11.2. ДА за периода'!$B$61:$B$108,$B140,'11.2. ДА за периода'!$AG$61:$AG$108)+SUMIF('11.2. ДА за периода'!$B$61:$B$108,$B140,'11.2. ДА за периода'!AM$61:AM$108)+SUMIF('11.1.Амортиз.нови активи'!$B$61:$B$108,$B140,'11.1.Амортиз.нови активи'!AM$61:AM$108)</f>
        <v>0</v>
      </c>
      <c r="AN140" s="2860"/>
      <c r="AO140" s="2898"/>
      <c r="AP140" s="1426"/>
    </row>
    <row r="141" spans="1:42" s="1422" customFormat="1">
      <c r="A141" s="2920">
        <v>10</v>
      </c>
      <c r="B141" s="2863">
        <v>2040201</v>
      </c>
      <c r="C141" s="2864">
        <v>0.02</v>
      </c>
      <c r="D141" s="2894" t="s">
        <v>746</v>
      </c>
      <c r="E141" s="448">
        <v>0</v>
      </c>
      <c r="F141" s="2971">
        <f>$E141-SUMIF('11.2. ДА за периода'!$B$61:$B$108,$B141,'11.2. ДА за периода'!$E$61:$E$108)+SUMIF('11.2. ДА за периода'!$B$61:$B$108,$B141,'11.2. ДА за периода'!F$61:F$108)+SUMIF('11.1.Амортиз.нови активи'!$B$61:$B$108,$B141,'11.1.Амортиз.нови активи'!F$61:F$108)+('11.1.Амортиз.нови активи'!F$110*SUMIF('11.1.Амортиз.нови активи'!$B$61:$B$108,$B141,'11.1.Амортиз.нови активи'!AO$61:AO$108))</f>
        <v>6.3E-2</v>
      </c>
      <c r="G141" s="1226">
        <f>$E141-SUMIF('11.2. ДА за периода'!$B$61:$B$108,$B141,'11.2. ДА за периода'!$E$61:$E$108)+SUMIF('11.2. ДА за периода'!$B$61:$B$108,$B141,'11.2. ДА за периода'!G$61:G$108)+SUMIF('11.1.Амортиз.нови активи'!$B$61:$B$108,$B141,'11.1.Амортиз.нови активи'!G$61:G$108)+('11.1.Амортиз.нови активи'!G$110*SUMIF('11.1.Амортиз.нови активи'!$B$61:$B$108,$B141,'11.1.Амортиз.нови активи'!AP$61:AP$108))</f>
        <v>0.126</v>
      </c>
      <c r="H141" s="1226">
        <f>$E141-SUMIF('11.2. ДА за периода'!$B$61:$B$108,$B141,'11.2. ДА за периода'!$E$61:$E$108)+SUMIF('11.2. ДА за периода'!$B$61:$B$108,$B141,'11.2. ДА за периода'!H$61:H$108)+SUMIF('11.1.Амортиз.нови активи'!$B$61:$B$108,$B141,'11.1.Амортиз.нови активи'!H$61:H$108)+('11.1.Амортиз.нови активи'!H$110*SUMIF('11.1.Амортиз.нови активи'!$B$61:$B$108,$B141,'11.1.Амортиз.нови активи'!AQ$61:AQ$108))</f>
        <v>0.126</v>
      </c>
      <c r="I141" s="1226">
        <f>$E141-SUMIF('11.2. ДА за периода'!$B$61:$B$108,$B141,'11.2. ДА за периода'!$E$61:$E$108)+SUMIF('11.2. ДА за периода'!$B$61:$B$108,$B141,'11.2. ДА за периода'!I$61:I$108)+SUMIF('11.1.Амортиз.нови активи'!$B$61:$B$108,$B141,'11.1.Амортиз.нови активи'!I$61:I$108)+('11.1.Амортиз.нови активи'!I$110*SUMIF('11.1.Амортиз.нови активи'!$B$61:$B$108,$B141,'11.1.Амортиз.нови активи'!AR$61:AR$108))</f>
        <v>0.126</v>
      </c>
      <c r="J141" s="1226">
        <f>$E141-SUMIF('11.2. ДА за периода'!$B$61:$B$108,$B141,'11.2. ДА за периода'!$E$61:$E$108)+SUMIF('11.2. ДА за периода'!$B$61:$B$108,$B141,'11.2. ДА за периода'!J$61:J$108)+SUMIF('11.1.Амортиз.нови активи'!$B$61:$B$108,$B141,'11.1.Амортиз.нови активи'!J$61:J$108)+('11.1.Амортиз.нови активи'!J$110*SUMIF('11.1.Амортиз.нови активи'!$B$61:$B$108,$B141,'11.1.Амортиз.нови активи'!AS$61:AS$108))</f>
        <v>0.126</v>
      </c>
      <c r="K141" s="1226">
        <f>$E141-SUMIF('11.2. ДА за периода'!$B$61:$B$108,$B141,'11.2. ДА за периода'!$E$61:$E$108)+SUMIF('11.2. ДА за периода'!$B$61:$B$108,$B141,'11.2. ДА за периода'!K$61:K$108)+SUMIF('11.1.Амортиз.нови активи'!$B$61:$B$108,$B141,'11.1.Амортиз.нови активи'!K$61:K$108)+('11.1.Амортиз.нови активи'!K$110*SUMIF('11.1.Амортиз.нови активи'!$B$61:$B$108,$B141,'11.1.Амортиз.нови активи'!AT$61:AT$108))</f>
        <v>0.126</v>
      </c>
      <c r="L141" s="448">
        <v>0</v>
      </c>
      <c r="M141" s="2971">
        <f>$L141-SUMIF('11.2. ДА за периода'!$B$61:$B$108,$B141,'11.2. ДА за периода'!$L$61:$L$108)+SUMIF('11.2. ДА за периода'!$B$61:$B$108,$B141,'11.2. ДА за периода'!M$61:M$108)+SUMIF('11.1.Амортиз.нови активи'!$B$61:$B$108,$B141,'11.1.Амортиз.нови активи'!M$61:M$108)+('11.1.Амортиз.нови активи'!F$111*SUMIF('11.1.Амортиз.нови активи'!$B$61:$B$108,$B141,'11.1.Амортиз.нови активи'!AO$61:AO$108))</f>
        <v>0</v>
      </c>
      <c r="N141" s="1226">
        <f>$L141-SUMIF('11.2. ДА за периода'!$B$61:$B$108,$B141,'11.2. ДА за периода'!$L$61:$L$108)+SUMIF('11.2. ДА за периода'!$B$61:$B$108,$B141,'11.2. ДА за периода'!N$61:N$108)+SUMIF('11.1.Амортиз.нови активи'!$B$61:$B$108,$B141,'11.1.Амортиз.нови активи'!N$61:N$108)+('11.1.Амортиз.нови активи'!G$111*SUMIF('11.1.Амортиз.нови активи'!$B$61:$B$108,$B141,'11.1.Амортиз.нови активи'!AP$61:AP$108))</f>
        <v>0</v>
      </c>
      <c r="O141" s="1226">
        <f>$L141-SUMIF('11.2. ДА за периода'!$B$61:$B$108,$B141,'11.2. ДА за периода'!$L$61:$L$108)+SUMIF('11.2. ДА за периода'!$B$61:$B$108,$B141,'11.2. ДА за периода'!O$61:O$108)+SUMIF('11.1.Амортиз.нови активи'!$B$61:$B$108,$B141,'11.1.Амортиз.нови активи'!O$61:O$108)+('11.1.Амортиз.нови активи'!H$111*SUMIF('11.1.Амортиз.нови активи'!$B$61:$B$108,$B141,'11.1.Амортиз.нови активи'!AQ$61:AQ$108))</f>
        <v>0</v>
      </c>
      <c r="P141" s="1226">
        <f>$L141-SUMIF('11.2. ДА за периода'!$B$61:$B$108,$B141,'11.2. ДА за периода'!$L$61:$L$108)+SUMIF('11.2. ДА за периода'!$B$61:$B$108,$B141,'11.2. ДА за периода'!P$61:P$108)+SUMIF('11.1.Амортиз.нови активи'!$B$61:$B$108,$B141,'11.1.Амортиз.нови активи'!P$61:P$108)+('11.1.Амортиз.нови активи'!I$111*SUMIF('11.1.Амортиз.нови активи'!$B$61:$B$108,$B141,'11.1.Амортиз.нови активи'!AR$61:AR$108))</f>
        <v>0</v>
      </c>
      <c r="Q141" s="1226">
        <f>$L141-SUMIF('11.2. ДА за периода'!$B$61:$B$108,$B141,'11.2. ДА за периода'!$L$61:$L$108)+SUMIF('11.2. ДА за периода'!$B$61:$B$108,$B141,'11.2. ДА за периода'!Q$61:Q$108)+SUMIF('11.1.Амортиз.нови активи'!$B$61:$B$108,$B141,'11.1.Амортиз.нови активи'!Q$61:Q$108)+('11.1.Амортиз.нови активи'!J$111*SUMIF('11.1.Амортиз.нови активи'!$B$61:$B$108,$B141,'11.1.Амортиз.нови активи'!AS$61:AS$108))</f>
        <v>0</v>
      </c>
      <c r="R141" s="2972">
        <f>$L141-SUMIF('11.2. ДА за периода'!$B$61:$B$108,$B141,'11.2. ДА за периода'!$L$61:$L$108)+SUMIF('11.2. ДА за периода'!$B$61:$B$108,$B141,'11.2. ДА за периода'!R$61:R$108)+SUMIF('11.1.Амортиз.нови активи'!$B$61:$B$108,$B141,'11.1.Амортиз.нови активи'!R$61:R$108)+('11.1.Амортиз.нови активи'!K$111*SUMIF('11.1.Амортиз.нови активи'!$B$61:$B$108,$B141,'11.1.Амортиз.нови активи'!AT$61:AT$108))</f>
        <v>0</v>
      </c>
      <c r="S141" s="448">
        <v>0</v>
      </c>
      <c r="T141" s="2971">
        <f>$S141-SUMIF('11.2. ДА за периода'!$B$61:$B$108,$B141,'11.2. ДА за периода'!$S$61:$S$108)+SUMIF('11.2. ДА за периода'!$B$61:$B$108,$B141,'11.2. ДА за периода'!T$61:T$108)+SUMIF('11.1.Амортиз.нови активи'!$B$61:$B$108,$B141,'11.1.Амортиз.нови активи'!T$61:T$108)+('11.1.Амортиз.нови активи'!F$112*SUMIF('11.1.Амортиз.нови активи'!$B$61:$B$108,$B141,'11.1.Амортиз.нови активи'!AO$61:AO$108))</f>
        <v>0</v>
      </c>
      <c r="U141" s="1226">
        <f>$S141-SUMIF('11.2. ДА за периода'!$B$61:$B$108,$B141,'11.2. ДА за периода'!$S$61:$S$108)+SUMIF('11.2. ДА за периода'!$B$61:$B$108,$B141,'11.2. ДА за периода'!U$61:U$108)+SUMIF('11.1.Амортиз.нови активи'!$B$61:$B$108,$B141,'11.1.Амортиз.нови активи'!U$61:U$108)+('11.1.Амортиз.нови активи'!G$112*SUMIF('11.1.Амортиз.нови активи'!$B$61:$B$108,$B141,'11.1.Амортиз.нови активи'!AP$61:AP$108))</f>
        <v>0</v>
      </c>
      <c r="V141" s="1226">
        <f>$S141-SUMIF('11.2. ДА за периода'!$B$61:$B$108,$B141,'11.2. ДА за периода'!$S$61:$S$108)+SUMIF('11.2. ДА за периода'!$B$61:$B$108,$B141,'11.2. ДА за периода'!V$61:V$108)+SUMIF('11.1.Амортиз.нови активи'!$B$61:$B$108,$B141,'11.1.Амортиз.нови активи'!V$61:V$108)+('11.1.Амортиз.нови активи'!H$112*SUMIF('11.1.Амортиз.нови активи'!$B$61:$B$108,$B141,'11.1.Амортиз.нови активи'!AQ$61:AQ$108))</f>
        <v>0</v>
      </c>
      <c r="W141" s="1226">
        <f>$S141-SUMIF('11.2. ДА за периода'!$B$61:$B$108,$B141,'11.2. ДА за периода'!$S$61:$S$108)+SUMIF('11.2. ДА за периода'!$B$61:$B$108,$B141,'11.2. ДА за периода'!W$61:W$108)+SUMIF('11.1.Амортиз.нови активи'!$B$61:$B$108,$B141,'11.1.Амортиз.нови активи'!W$61:W$108)+('11.1.Амортиз.нови активи'!I$112*SUMIF('11.1.Амортиз.нови активи'!$B$61:$B$108,$B141,'11.1.Амортиз.нови активи'!AR$61:AR$108))</f>
        <v>0</v>
      </c>
      <c r="X141" s="1226">
        <f>$S141-SUMIF('11.2. ДА за периода'!$B$61:$B$108,$B141,'11.2. ДА за периода'!$S$61:$S$108)+SUMIF('11.2. ДА за периода'!$B$61:$B$108,$B141,'11.2. ДА за периода'!X$61:X$108)+SUMIF('11.1.Амортиз.нови активи'!$B$61:$B$108,$B141,'11.1.Амортиз.нови активи'!X$61:X$108)+('11.1.Амортиз.нови активи'!J$112*SUMIF('11.1.Амортиз.нови активи'!$B$61:$B$108,$B141,'11.1.Амортиз.нови активи'!AS$61:AS$108))</f>
        <v>0</v>
      </c>
      <c r="Y141" s="2972">
        <f>$S141-SUMIF('11.2. ДА за периода'!$B$61:$B$108,$B141,'11.2. ДА за периода'!$S$61:$S$108)+SUMIF('11.2. ДА за периода'!$B$61:$B$108,$B141,'11.2. ДА за периода'!Y$61:Y$108)+SUMIF('11.1.Амортиз.нови активи'!$B$61:$B$108,$B141,'11.1.Амортиз.нови активи'!Y$61:Y$108)+('11.1.Амортиз.нови активи'!K$112*SUMIF('11.1.Амортиз.нови активи'!$B$61:$B$108,$B141,'11.1.Амортиз.нови активи'!AT$61:AT$108))</f>
        <v>0</v>
      </c>
      <c r="Z141" s="448">
        <v>0</v>
      </c>
      <c r="AA141" s="2971">
        <f>$Z141-SUMIF('11.2. ДА за периода'!$B$61:$B$108,$B141,'11.2. ДА за периода'!$Z$61:$Z$108)+SUMIF('11.2. ДА за периода'!$B$61:$B$108,$B141,'11.2. ДА за периода'!AA$61:AA$108)+SUMIF('11.1.Амортиз.нови активи'!$B$61:$B$108,$B141,'11.1.Амортиз.нови активи'!AA$61:AA$108)</f>
        <v>0</v>
      </c>
      <c r="AB141" s="1226">
        <f>$Z141-SUMIF('11.2. ДА за периода'!$B$61:$B$108,$B141,'11.2. ДА за периода'!$Z$61:$Z$108)+SUMIF('11.2. ДА за периода'!$B$61:$B$108,$B141,'11.2. ДА за периода'!AB$61:AB$108)+SUMIF('11.1.Амортиз.нови активи'!$B$61:$B$108,$B141,'11.1.Амортиз.нови активи'!AB$61:AB$108)</f>
        <v>0</v>
      </c>
      <c r="AC141" s="1226">
        <f>$Z141-SUMIF('11.2. ДА за периода'!$B$61:$B$108,$B141,'11.2. ДА за периода'!$Z$61:$Z$108)+SUMIF('11.2. ДА за периода'!$B$61:$B$108,$B141,'11.2. ДА за периода'!AC$61:AC$108)+SUMIF('11.1.Амортиз.нови активи'!$B$61:$B$108,$B141,'11.1.Амортиз.нови активи'!AC$61:AC$108)</f>
        <v>0</v>
      </c>
      <c r="AD141" s="1226">
        <f>$Z141-SUMIF('11.2. ДА за периода'!$B$61:$B$108,$B141,'11.2. ДА за периода'!$Z$61:$Z$108)+SUMIF('11.2. ДА за периода'!$B$61:$B$108,$B141,'11.2. ДА за периода'!AD$61:AD$108)+SUMIF('11.1.Амортиз.нови активи'!$B$61:$B$108,$B141,'11.1.Амортиз.нови активи'!AD$61:AD$108)</f>
        <v>0</v>
      </c>
      <c r="AE141" s="1226">
        <f>$Z141-SUMIF('11.2. ДА за периода'!$B$61:$B$108,$B141,'11.2. ДА за периода'!$Z$61:$Z$108)+SUMIF('11.2. ДА за периода'!$B$61:$B$108,$B141,'11.2. ДА за периода'!AE$61:AE$108)+SUMIF('11.1.Амортиз.нови активи'!$B$61:$B$108,$B141,'11.1.Амортиз.нови активи'!AE$61:AE$108)</f>
        <v>0</v>
      </c>
      <c r="AF141" s="2972">
        <f>$Z141-SUMIF('11.2. ДА за периода'!$B$61:$B$108,$B141,'11.2. ДА за периода'!$Z$61:$Z$108)+SUMIF('11.2. ДА за периода'!$B$61:$B$108,$B141,'11.2. ДА за периода'!AF$61:AF$108)+SUMIF('11.1.Амортиз.нови активи'!$B$61:$B$108,$B141,'11.1.Амортиз.нови активи'!AF$61:AF$108)</f>
        <v>0</v>
      </c>
      <c r="AG141" s="448"/>
      <c r="AH141" s="2971">
        <f>$AG141-SUMIF('11.2. ДА за периода'!$B$61:$B$108,$B141,'11.2. ДА за периода'!$AG$61:$AG$108)+SUMIF('11.2. ДА за периода'!$B$61:$B$108,$B141,'11.2. ДА за периода'!AH$61:AH$108)+SUMIF('11.1.Амортиз.нови активи'!$B$61:$B$108,$B141,'11.1.Амортиз.нови активи'!AH$61:AH$108)</f>
        <v>0</v>
      </c>
      <c r="AI141" s="1226">
        <f>$AG141-SUMIF('11.2. ДА за периода'!$B$61:$B$108,$B141,'11.2. ДА за периода'!$AG$61:$AG$108)+SUMIF('11.2. ДА за периода'!$B$61:$B$108,$B141,'11.2. ДА за периода'!AI$61:AI$108)+SUMIF('11.1.Амортиз.нови активи'!$B$61:$B$108,$B141,'11.1.Амортиз.нови активи'!AI$61:AI$108)</f>
        <v>0</v>
      </c>
      <c r="AJ141" s="1226">
        <f>$AG141-SUMIF('11.2. ДА за периода'!$B$61:$B$108,$B141,'11.2. ДА за периода'!$AG$61:$AG$108)+SUMIF('11.2. ДА за периода'!$B$61:$B$108,$B141,'11.2. ДА за периода'!AJ$61:AJ$108)+SUMIF('11.1.Амортиз.нови активи'!$B$61:$B$108,$B141,'11.1.Амортиз.нови активи'!AJ$61:AJ$108)</f>
        <v>0</v>
      </c>
      <c r="AK141" s="1226">
        <f>$AG141-SUMIF('11.2. ДА за периода'!$B$61:$B$108,$B141,'11.2. ДА за периода'!$AG$61:$AG$108)+SUMIF('11.2. ДА за периода'!$B$61:$B$108,$B141,'11.2. ДА за периода'!AK$61:AK$108)+SUMIF('11.1.Амортиз.нови активи'!$B$61:$B$108,$B141,'11.1.Амортиз.нови активи'!AK$61:AK$108)</f>
        <v>0</v>
      </c>
      <c r="AL141" s="1226">
        <f>$AG141-SUMIF('11.2. ДА за периода'!$B$61:$B$108,$B141,'11.2. ДА за периода'!$AG$61:$AG$108)+SUMIF('11.2. ДА за периода'!$B$61:$B$108,$B141,'11.2. ДА за периода'!AL$61:AL$108)+SUMIF('11.1.Амортиз.нови активи'!$B$61:$B$108,$B141,'11.1.Амортиз.нови активи'!AL$61:AL$108)</f>
        <v>0</v>
      </c>
      <c r="AM141" s="2972">
        <f>$AG141-SUMIF('11.2. ДА за периода'!$B$61:$B$108,$B141,'11.2. ДА за периода'!$AG$61:$AG$108)+SUMIF('11.2. ДА за периода'!$B$61:$B$108,$B141,'11.2. ДА за периода'!AM$61:AM$108)+SUMIF('11.1.Амортиз.нови активи'!$B$61:$B$108,$B141,'11.1.Амортиз.нови активи'!AM$61:AM$108)</f>
        <v>0</v>
      </c>
      <c r="AN141" s="2860"/>
      <c r="AO141" s="2898"/>
      <c r="AP141" s="1426"/>
    </row>
    <row r="142" spans="1:42" s="1422" customFormat="1">
      <c r="A142" s="2920">
        <v>11</v>
      </c>
      <c r="B142" s="2863">
        <v>2040202</v>
      </c>
      <c r="C142" s="2864">
        <v>0.02</v>
      </c>
      <c r="D142" s="2894" t="s">
        <v>747</v>
      </c>
      <c r="E142" s="448">
        <v>0</v>
      </c>
      <c r="F142" s="2971">
        <f>$E142-SUMIF('11.2. ДА за периода'!$B$61:$B$108,$B142,'11.2. ДА за периода'!$E$61:$E$108)+SUMIF('11.2. ДА за периода'!$B$61:$B$108,$B142,'11.2. ДА за периода'!F$61:F$108)+SUMIF('11.1.Амортиз.нови активи'!$B$61:$B$108,$B142,'11.1.Амортиз.нови активи'!F$61:F$108)+('11.1.Амортиз.нови активи'!F$110*SUMIF('11.1.Амортиз.нови активи'!$B$61:$B$108,$B142,'11.1.Амортиз.нови активи'!AO$61:AO$108))</f>
        <v>1.7080000000000001E-2</v>
      </c>
      <c r="G142" s="1226">
        <f>$E142-SUMIF('11.2. ДА за периода'!$B$61:$B$108,$B142,'11.2. ДА за периода'!$E$61:$E$108)+SUMIF('11.2. ДА за периода'!$B$61:$B$108,$B142,'11.2. ДА за периода'!G$61:G$108)+SUMIF('11.1.Амортиз.нови активи'!$B$61:$B$108,$B142,'11.1.Амортиз.нови активи'!G$61:G$108)+('11.1.Амортиз.нови активи'!G$110*SUMIF('11.1.Амортиз.нови активи'!$B$61:$B$108,$B142,'11.1.Амортиз.нови активи'!AP$61:AP$108))</f>
        <v>3.9080000000000004E-2</v>
      </c>
      <c r="H142" s="1226">
        <f>$E142-SUMIF('11.2. ДА за периода'!$B$61:$B$108,$B142,'11.2. ДА за периода'!$E$61:$E$108)+SUMIF('11.2. ДА за периода'!$B$61:$B$108,$B142,'11.2. ДА за периода'!H$61:H$108)+SUMIF('11.1.Амортиз.нови активи'!$B$61:$B$108,$B142,'11.1.Амортиз.нови активи'!H$61:H$108)+('11.1.Амортиз.нови активи'!H$110*SUMIF('11.1.Амортиз.нови активи'!$B$61:$B$108,$B142,'11.1.Амортиз.нови активи'!AQ$61:AQ$108))</f>
        <v>5.9080000000000001E-2</v>
      </c>
      <c r="I142" s="1226">
        <f>$E142-SUMIF('11.2. ДА за периода'!$B$61:$B$108,$B142,'11.2. ДА за периода'!$E$61:$E$108)+SUMIF('11.2. ДА за периода'!$B$61:$B$108,$B142,'11.2. ДА за периода'!I$61:I$108)+SUMIF('11.1.Амортиз.нови активи'!$B$61:$B$108,$B142,'11.1.Амортиз.нови активи'!I$61:I$108)+('11.1.Амортиз.нови активи'!I$110*SUMIF('11.1.Амортиз.нови активи'!$B$61:$B$108,$B142,'11.1.Амортиз.нови активи'!AR$61:AR$108))</f>
        <v>7.9079999999999998E-2</v>
      </c>
      <c r="J142" s="1226">
        <f>$E142-SUMIF('11.2. ДА за периода'!$B$61:$B$108,$B142,'11.2. ДА за периода'!$E$61:$E$108)+SUMIF('11.2. ДА за периода'!$B$61:$B$108,$B142,'11.2. ДА за периода'!J$61:J$108)+SUMIF('11.1.Амортиз.нови активи'!$B$61:$B$108,$B142,'11.1.Амортиз.нови активи'!J$61:J$108)+('11.1.Амортиз.нови активи'!J$110*SUMIF('11.1.Амортиз.нови активи'!$B$61:$B$108,$B142,'11.1.Амортиз.нови активи'!AS$61:AS$108))</f>
        <v>9.9080000000000001E-2</v>
      </c>
      <c r="K142" s="1226">
        <f>$E142-SUMIF('11.2. ДА за периода'!$B$61:$B$108,$B142,'11.2. ДА за периода'!$E$61:$E$108)+SUMIF('11.2. ДА за периода'!$B$61:$B$108,$B142,'11.2. ДА за периода'!K$61:K$108)+SUMIF('11.1.Амортиз.нови активи'!$B$61:$B$108,$B142,'11.1.Амортиз.нови активи'!K$61:K$108)+('11.1.Амортиз.нови активи'!K$110*SUMIF('11.1.Амортиз.нови активи'!$B$61:$B$108,$B142,'11.1.Амортиз.нови активи'!AT$61:AT$108))</f>
        <v>0.11908000000000001</v>
      </c>
      <c r="L142" s="448">
        <v>0</v>
      </c>
      <c r="M142" s="2971">
        <f>$L142-SUMIF('11.2. ДА за периода'!$B$61:$B$108,$B142,'11.2. ДА за периода'!$L$61:$L$108)+SUMIF('11.2. ДА за периода'!$B$61:$B$108,$B142,'11.2. ДА за периода'!M$61:M$108)+SUMIF('11.1.Амортиз.нови активи'!$B$61:$B$108,$B142,'11.1.Амортиз.нови активи'!M$61:M$108)+('11.1.Амортиз.нови активи'!F$111*SUMIF('11.1.Амортиз.нови активи'!$B$61:$B$108,$B142,'11.1.Амортиз.нови активи'!AO$61:AO$108))</f>
        <v>0</v>
      </c>
      <c r="N142" s="1226">
        <f>$L142-SUMIF('11.2. ДА за периода'!$B$61:$B$108,$B142,'11.2. ДА за периода'!$L$61:$L$108)+SUMIF('11.2. ДА за периода'!$B$61:$B$108,$B142,'11.2. ДА за периода'!N$61:N$108)+SUMIF('11.1.Амортиз.нови активи'!$B$61:$B$108,$B142,'11.1.Амортиз.нови активи'!N$61:N$108)+('11.1.Амортиз.нови активи'!G$111*SUMIF('11.1.Амортиз.нови активи'!$B$61:$B$108,$B142,'11.1.Амортиз.нови активи'!AP$61:AP$108))</f>
        <v>0</v>
      </c>
      <c r="O142" s="1226">
        <f>$L142-SUMIF('11.2. ДА за периода'!$B$61:$B$108,$B142,'11.2. ДА за периода'!$L$61:$L$108)+SUMIF('11.2. ДА за периода'!$B$61:$B$108,$B142,'11.2. ДА за периода'!O$61:O$108)+SUMIF('11.1.Амортиз.нови активи'!$B$61:$B$108,$B142,'11.1.Амортиз.нови активи'!O$61:O$108)+('11.1.Амортиз.нови активи'!H$111*SUMIF('11.1.Амортиз.нови активи'!$B$61:$B$108,$B142,'11.1.Амортиз.нови активи'!AQ$61:AQ$108))</f>
        <v>0</v>
      </c>
      <c r="P142" s="1226">
        <f>$L142-SUMIF('11.2. ДА за периода'!$B$61:$B$108,$B142,'11.2. ДА за периода'!$L$61:$L$108)+SUMIF('11.2. ДА за периода'!$B$61:$B$108,$B142,'11.2. ДА за периода'!P$61:P$108)+SUMIF('11.1.Амортиз.нови активи'!$B$61:$B$108,$B142,'11.1.Амортиз.нови активи'!P$61:P$108)+('11.1.Амортиз.нови активи'!I$111*SUMIF('11.1.Амортиз.нови активи'!$B$61:$B$108,$B142,'11.1.Амортиз.нови активи'!AR$61:AR$108))</f>
        <v>0</v>
      </c>
      <c r="Q142" s="1226">
        <f>$L142-SUMIF('11.2. ДА за периода'!$B$61:$B$108,$B142,'11.2. ДА за периода'!$L$61:$L$108)+SUMIF('11.2. ДА за периода'!$B$61:$B$108,$B142,'11.2. ДА за периода'!Q$61:Q$108)+SUMIF('11.1.Амортиз.нови активи'!$B$61:$B$108,$B142,'11.1.Амортиз.нови активи'!Q$61:Q$108)+('11.1.Амортиз.нови активи'!J$111*SUMIF('11.1.Амортиз.нови активи'!$B$61:$B$108,$B142,'11.1.Амортиз.нови активи'!AS$61:AS$108))</f>
        <v>0</v>
      </c>
      <c r="R142" s="2972">
        <f>$L142-SUMIF('11.2. ДА за периода'!$B$61:$B$108,$B142,'11.2. ДА за периода'!$L$61:$L$108)+SUMIF('11.2. ДА за периода'!$B$61:$B$108,$B142,'11.2. ДА за периода'!R$61:R$108)+SUMIF('11.1.Амортиз.нови активи'!$B$61:$B$108,$B142,'11.1.Амортиз.нови активи'!R$61:R$108)+('11.1.Амортиз.нови активи'!K$111*SUMIF('11.1.Амортиз.нови активи'!$B$61:$B$108,$B142,'11.1.Амортиз.нови активи'!AT$61:AT$108))</f>
        <v>0</v>
      </c>
      <c r="S142" s="448">
        <v>0</v>
      </c>
      <c r="T142" s="2971">
        <f>$S142-SUMIF('11.2. ДА за периода'!$B$61:$B$108,$B142,'11.2. ДА за периода'!$S$61:$S$108)+SUMIF('11.2. ДА за периода'!$B$61:$B$108,$B142,'11.2. ДА за периода'!T$61:T$108)+SUMIF('11.1.Амортиз.нови активи'!$B$61:$B$108,$B142,'11.1.Амортиз.нови активи'!T$61:T$108)+('11.1.Амортиз.нови активи'!F$112*SUMIF('11.1.Амортиз.нови активи'!$B$61:$B$108,$B142,'11.1.Амортиз.нови активи'!AO$61:AO$108))</f>
        <v>0</v>
      </c>
      <c r="U142" s="1226">
        <f>$S142-SUMIF('11.2. ДА за периода'!$B$61:$B$108,$B142,'11.2. ДА за периода'!$S$61:$S$108)+SUMIF('11.2. ДА за периода'!$B$61:$B$108,$B142,'11.2. ДА за периода'!U$61:U$108)+SUMIF('11.1.Амортиз.нови активи'!$B$61:$B$108,$B142,'11.1.Амортиз.нови активи'!U$61:U$108)+('11.1.Амортиз.нови активи'!G$112*SUMIF('11.1.Амортиз.нови активи'!$B$61:$B$108,$B142,'11.1.Амортиз.нови активи'!AP$61:AP$108))</f>
        <v>0</v>
      </c>
      <c r="V142" s="1226">
        <f>$S142-SUMIF('11.2. ДА за периода'!$B$61:$B$108,$B142,'11.2. ДА за периода'!$S$61:$S$108)+SUMIF('11.2. ДА за периода'!$B$61:$B$108,$B142,'11.2. ДА за периода'!V$61:V$108)+SUMIF('11.1.Амортиз.нови активи'!$B$61:$B$108,$B142,'11.1.Амортиз.нови активи'!V$61:V$108)+('11.1.Амортиз.нови активи'!H$112*SUMIF('11.1.Амортиз.нови активи'!$B$61:$B$108,$B142,'11.1.Амортиз.нови активи'!AQ$61:AQ$108))</f>
        <v>0</v>
      </c>
      <c r="W142" s="1226">
        <f>$S142-SUMIF('11.2. ДА за периода'!$B$61:$B$108,$B142,'11.2. ДА за периода'!$S$61:$S$108)+SUMIF('11.2. ДА за периода'!$B$61:$B$108,$B142,'11.2. ДА за периода'!W$61:W$108)+SUMIF('11.1.Амортиз.нови активи'!$B$61:$B$108,$B142,'11.1.Амортиз.нови активи'!W$61:W$108)+('11.1.Амортиз.нови активи'!I$112*SUMIF('11.1.Амортиз.нови активи'!$B$61:$B$108,$B142,'11.1.Амортиз.нови активи'!AR$61:AR$108))</f>
        <v>0</v>
      </c>
      <c r="X142" s="1226">
        <f>$S142-SUMIF('11.2. ДА за периода'!$B$61:$B$108,$B142,'11.2. ДА за периода'!$S$61:$S$108)+SUMIF('11.2. ДА за периода'!$B$61:$B$108,$B142,'11.2. ДА за периода'!X$61:X$108)+SUMIF('11.1.Амортиз.нови активи'!$B$61:$B$108,$B142,'11.1.Амортиз.нови активи'!X$61:X$108)+('11.1.Амортиз.нови активи'!J$112*SUMIF('11.1.Амортиз.нови активи'!$B$61:$B$108,$B142,'11.1.Амортиз.нови активи'!AS$61:AS$108))</f>
        <v>0</v>
      </c>
      <c r="Y142" s="2972">
        <f>$S142-SUMIF('11.2. ДА за периода'!$B$61:$B$108,$B142,'11.2. ДА за периода'!$S$61:$S$108)+SUMIF('11.2. ДА за периода'!$B$61:$B$108,$B142,'11.2. ДА за периода'!Y$61:Y$108)+SUMIF('11.1.Амортиз.нови активи'!$B$61:$B$108,$B142,'11.1.Амортиз.нови активи'!Y$61:Y$108)+('11.1.Амортиз.нови активи'!K$112*SUMIF('11.1.Амортиз.нови активи'!$B$61:$B$108,$B142,'11.1.Амортиз.нови активи'!AT$61:AT$108))</f>
        <v>0</v>
      </c>
      <c r="Z142" s="448">
        <v>0</v>
      </c>
      <c r="AA142" s="2971">
        <f>$Z142-SUMIF('11.2. ДА за периода'!$B$61:$B$108,$B142,'11.2. ДА за периода'!$Z$61:$Z$108)+SUMIF('11.2. ДА за периода'!$B$61:$B$108,$B142,'11.2. ДА за периода'!AA$61:AA$108)+SUMIF('11.1.Амортиз.нови активи'!$B$61:$B$108,$B142,'11.1.Амортиз.нови активи'!AA$61:AA$108)</f>
        <v>0</v>
      </c>
      <c r="AB142" s="1226">
        <f>$Z142-SUMIF('11.2. ДА за периода'!$B$61:$B$108,$B142,'11.2. ДА за периода'!$Z$61:$Z$108)+SUMIF('11.2. ДА за периода'!$B$61:$B$108,$B142,'11.2. ДА за периода'!AB$61:AB$108)+SUMIF('11.1.Амортиз.нови активи'!$B$61:$B$108,$B142,'11.1.Амортиз.нови активи'!AB$61:AB$108)</f>
        <v>0</v>
      </c>
      <c r="AC142" s="1226">
        <f>$Z142-SUMIF('11.2. ДА за периода'!$B$61:$B$108,$B142,'11.2. ДА за периода'!$Z$61:$Z$108)+SUMIF('11.2. ДА за периода'!$B$61:$B$108,$B142,'11.2. ДА за периода'!AC$61:AC$108)+SUMIF('11.1.Амортиз.нови активи'!$B$61:$B$108,$B142,'11.1.Амортиз.нови активи'!AC$61:AC$108)</f>
        <v>0</v>
      </c>
      <c r="AD142" s="1226">
        <f>$Z142-SUMIF('11.2. ДА за периода'!$B$61:$B$108,$B142,'11.2. ДА за периода'!$Z$61:$Z$108)+SUMIF('11.2. ДА за периода'!$B$61:$B$108,$B142,'11.2. ДА за периода'!AD$61:AD$108)+SUMIF('11.1.Амортиз.нови активи'!$B$61:$B$108,$B142,'11.1.Амортиз.нови активи'!AD$61:AD$108)</f>
        <v>0</v>
      </c>
      <c r="AE142" s="1226">
        <f>$Z142-SUMIF('11.2. ДА за периода'!$B$61:$B$108,$B142,'11.2. ДА за периода'!$Z$61:$Z$108)+SUMIF('11.2. ДА за периода'!$B$61:$B$108,$B142,'11.2. ДА за периода'!AE$61:AE$108)+SUMIF('11.1.Амортиз.нови активи'!$B$61:$B$108,$B142,'11.1.Амортиз.нови активи'!AE$61:AE$108)</f>
        <v>0</v>
      </c>
      <c r="AF142" s="2972">
        <f>$Z142-SUMIF('11.2. ДА за периода'!$B$61:$B$108,$B142,'11.2. ДА за периода'!$Z$61:$Z$108)+SUMIF('11.2. ДА за периода'!$B$61:$B$108,$B142,'11.2. ДА за периода'!AF$61:AF$108)+SUMIF('11.1.Амортиз.нови активи'!$B$61:$B$108,$B142,'11.1.Амортиз.нови активи'!AF$61:AF$108)</f>
        <v>0</v>
      </c>
      <c r="AG142" s="448"/>
      <c r="AH142" s="2971">
        <f>$AG142-SUMIF('11.2. ДА за периода'!$B$61:$B$108,$B142,'11.2. ДА за периода'!$AG$61:$AG$108)+SUMIF('11.2. ДА за периода'!$B$61:$B$108,$B142,'11.2. ДА за периода'!AH$61:AH$108)+SUMIF('11.1.Амортиз.нови активи'!$B$61:$B$108,$B142,'11.1.Амортиз.нови активи'!AH$61:AH$108)</f>
        <v>0</v>
      </c>
      <c r="AI142" s="1226">
        <f>$AG142-SUMIF('11.2. ДА за периода'!$B$61:$B$108,$B142,'11.2. ДА за периода'!$AG$61:$AG$108)+SUMIF('11.2. ДА за периода'!$B$61:$B$108,$B142,'11.2. ДА за периода'!AI$61:AI$108)+SUMIF('11.1.Амортиз.нови активи'!$B$61:$B$108,$B142,'11.1.Амортиз.нови активи'!AI$61:AI$108)</f>
        <v>0</v>
      </c>
      <c r="AJ142" s="1226">
        <f>$AG142-SUMIF('11.2. ДА за периода'!$B$61:$B$108,$B142,'11.2. ДА за периода'!$AG$61:$AG$108)+SUMIF('11.2. ДА за периода'!$B$61:$B$108,$B142,'11.2. ДА за периода'!AJ$61:AJ$108)+SUMIF('11.1.Амортиз.нови активи'!$B$61:$B$108,$B142,'11.1.Амортиз.нови активи'!AJ$61:AJ$108)</f>
        <v>0</v>
      </c>
      <c r="AK142" s="1226">
        <f>$AG142-SUMIF('11.2. ДА за периода'!$B$61:$B$108,$B142,'11.2. ДА за периода'!$AG$61:$AG$108)+SUMIF('11.2. ДА за периода'!$B$61:$B$108,$B142,'11.2. ДА за периода'!AK$61:AK$108)+SUMIF('11.1.Амортиз.нови активи'!$B$61:$B$108,$B142,'11.1.Амортиз.нови активи'!AK$61:AK$108)</f>
        <v>0</v>
      </c>
      <c r="AL142" s="1226">
        <f>$AG142-SUMIF('11.2. ДА за периода'!$B$61:$B$108,$B142,'11.2. ДА за периода'!$AG$61:$AG$108)+SUMIF('11.2. ДА за периода'!$B$61:$B$108,$B142,'11.2. ДА за периода'!AL$61:AL$108)+SUMIF('11.1.Амортиз.нови активи'!$B$61:$B$108,$B142,'11.1.Амортиз.нови активи'!AL$61:AL$108)</f>
        <v>0</v>
      </c>
      <c r="AM142" s="2972">
        <f>$AG142-SUMIF('11.2. ДА за периода'!$B$61:$B$108,$B142,'11.2. ДА за периода'!$AG$61:$AG$108)+SUMIF('11.2. ДА за периода'!$B$61:$B$108,$B142,'11.2. ДА за периода'!AM$61:AM$108)+SUMIF('11.1.Амортиз.нови активи'!$B$61:$B$108,$B142,'11.1.Амортиз.нови активи'!AM$61:AM$108)</f>
        <v>0</v>
      </c>
      <c r="AN142" s="2860"/>
      <c r="AO142" s="2898"/>
      <c r="AP142" s="1426"/>
    </row>
    <row r="143" spans="1:42" s="1422" customFormat="1">
      <c r="A143" s="2920">
        <v>12</v>
      </c>
      <c r="B143" s="2863">
        <v>2040203</v>
      </c>
      <c r="C143" s="2864">
        <v>0.02</v>
      </c>
      <c r="D143" s="2894" t="s">
        <v>423</v>
      </c>
      <c r="E143" s="448">
        <v>0</v>
      </c>
      <c r="F143" s="2971">
        <f>$E143-SUMIF('11.2. ДА за периода'!$B$61:$B$108,$B143,'11.2. ДА за периода'!$E$61:$E$108)+SUMIF('11.2. ДА за периода'!$B$61:$B$108,$B143,'11.2. ДА за периода'!F$61:F$108)+SUMIF('11.1.Амортиз.нови активи'!$B$61:$B$108,$B143,'11.1.Амортиз.нови активи'!F$61:F$108)+('11.1.Амортиз.нови активи'!F$110*SUMIF('11.1.Амортиз.нови активи'!$B$61:$B$108,$B143,'11.1.Амортиз.нови активи'!AO$61:AO$108))</f>
        <v>2.9459999999999997E-2</v>
      </c>
      <c r="G143" s="1226">
        <f>$E143-SUMIF('11.2. ДА за периода'!$B$61:$B$108,$B143,'11.2. ДА за периода'!$E$61:$E$108)+SUMIF('11.2. ДА за периода'!$B$61:$B$108,$B143,'11.2. ДА за периода'!G$61:G$108)+SUMIF('11.1.Амортиз.нови активи'!$B$61:$B$108,$B143,'11.1.Амортиз.нови активи'!G$61:G$108)+('11.1.Амортиз.нови активи'!G$110*SUMIF('11.1.Амортиз.нови активи'!$B$61:$B$108,$B143,'11.1.Амортиз.нови активи'!AP$61:AP$108))</f>
        <v>2.9459999999999997E-2</v>
      </c>
      <c r="H143" s="1226">
        <f>$E143-SUMIF('11.2. ДА за периода'!$B$61:$B$108,$B143,'11.2. ДА за периода'!$E$61:$E$108)+SUMIF('11.2. ДА за периода'!$B$61:$B$108,$B143,'11.2. ДА за периода'!H$61:H$108)+SUMIF('11.1.Амортиз.нови активи'!$B$61:$B$108,$B143,'11.1.Амортиз.нови активи'!H$61:H$108)+('11.1.Амортиз.нови активи'!H$110*SUMIF('11.1.Амортиз.нови активи'!$B$61:$B$108,$B143,'11.1.Амортиз.нови активи'!AQ$61:AQ$108))</f>
        <v>2.9459999999999997E-2</v>
      </c>
      <c r="I143" s="1226">
        <f>$E143-SUMIF('11.2. ДА за периода'!$B$61:$B$108,$B143,'11.2. ДА за периода'!$E$61:$E$108)+SUMIF('11.2. ДА за периода'!$B$61:$B$108,$B143,'11.2. ДА за периода'!I$61:I$108)+SUMIF('11.1.Амортиз.нови активи'!$B$61:$B$108,$B143,'11.1.Амортиз.нови активи'!I$61:I$108)+('11.1.Амортиз.нови активи'!I$110*SUMIF('11.1.Амортиз.нови активи'!$B$61:$B$108,$B143,'11.1.Амортиз.нови активи'!AR$61:AR$108))</f>
        <v>2.9459999999999997E-2</v>
      </c>
      <c r="J143" s="1226">
        <f>$E143-SUMIF('11.2. ДА за периода'!$B$61:$B$108,$B143,'11.2. ДА за периода'!$E$61:$E$108)+SUMIF('11.2. ДА за периода'!$B$61:$B$108,$B143,'11.2. ДА за периода'!J$61:J$108)+SUMIF('11.1.Амортиз.нови активи'!$B$61:$B$108,$B143,'11.1.Амортиз.нови активи'!J$61:J$108)+('11.1.Амортиз.нови активи'!J$110*SUMIF('11.1.Амортиз.нови активи'!$B$61:$B$108,$B143,'11.1.Амортиз.нови активи'!AS$61:AS$108))</f>
        <v>2.9459999999999997E-2</v>
      </c>
      <c r="K143" s="1226">
        <f>$E143-SUMIF('11.2. ДА за периода'!$B$61:$B$108,$B143,'11.2. ДА за периода'!$E$61:$E$108)+SUMIF('11.2. ДА за периода'!$B$61:$B$108,$B143,'11.2. ДА за периода'!K$61:K$108)+SUMIF('11.1.Амортиз.нови активи'!$B$61:$B$108,$B143,'11.1.Амортиз.нови активи'!K$61:K$108)+('11.1.Амортиз.нови активи'!K$110*SUMIF('11.1.Амортиз.нови активи'!$B$61:$B$108,$B143,'11.1.Амортиз.нови активи'!AT$61:AT$108))</f>
        <v>2.9459999999999997E-2</v>
      </c>
      <c r="L143" s="448">
        <v>0</v>
      </c>
      <c r="M143" s="2971">
        <f>$L143-SUMIF('11.2. ДА за периода'!$B$61:$B$108,$B143,'11.2. ДА за периода'!$L$61:$L$108)+SUMIF('11.2. ДА за периода'!$B$61:$B$108,$B143,'11.2. ДА за периода'!M$61:M$108)+SUMIF('11.1.Амортиз.нови активи'!$B$61:$B$108,$B143,'11.1.Амортиз.нови активи'!M$61:M$108)+('11.1.Амортиз.нови активи'!F$111*SUMIF('11.1.Амортиз.нови активи'!$B$61:$B$108,$B143,'11.1.Амортиз.нови активи'!AO$61:AO$108))</f>
        <v>0</v>
      </c>
      <c r="N143" s="1226">
        <f>$L143-SUMIF('11.2. ДА за периода'!$B$61:$B$108,$B143,'11.2. ДА за периода'!$L$61:$L$108)+SUMIF('11.2. ДА за периода'!$B$61:$B$108,$B143,'11.2. ДА за периода'!N$61:N$108)+SUMIF('11.1.Амортиз.нови активи'!$B$61:$B$108,$B143,'11.1.Амортиз.нови активи'!N$61:N$108)+('11.1.Амортиз.нови активи'!G$111*SUMIF('11.1.Амортиз.нови активи'!$B$61:$B$108,$B143,'11.1.Амортиз.нови активи'!AP$61:AP$108))</f>
        <v>0</v>
      </c>
      <c r="O143" s="1226">
        <f>$L143-SUMIF('11.2. ДА за периода'!$B$61:$B$108,$B143,'11.2. ДА за периода'!$L$61:$L$108)+SUMIF('11.2. ДА за периода'!$B$61:$B$108,$B143,'11.2. ДА за периода'!O$61:O$108)+SUMIF('11.1.Амортиз.нови активи'!$B$61:$B$108,$B143,'11.1.Амортиз.нови активи'!O$61:O$108)+('11.1.Амортиз.нови активи'!H$111*SUMIF('11.1.Амортиз.нови активи'!$B$61:$B$108,$B143,'11.1.Амортиз.нови активи'!AQ$61:AQ$108))</f>
        <v>0</v>
      </c>
      <c r="P143" s="1226">
        <f>$L143-SUMIF('11.2. ДА за периода'!$B$61:$B$108,$B143,'11.2. ДА за периода'!$L$61:$L$108)+SUMIF('11.2. ДА за периода'!$B$61:$B$108,$B143,'11.2. ДА за периода'!P$61:P$108)+SUMIF('11.1.Амортиз.нови активи'!$B$61:$B$108,$B143,'11.1.Амортиз.нови активи'!P$61:P$108)+('11.1.Амортиз.нови активи'!I$111*SUMIF('11.1.Амортиз.нови активи'!$B$61:$B$108,$B143,'11.1.Амортиз.нови активи'!AR$61:AR$108))</f>
        <v>0</v>
      </c>
      <c r="Q143" s="1226">
        <f>$L143-SUMIF('11.2. ДА за периода'!$B$61:$B$108,$B143,'11.2. ДА за периода'!$L$61:$L$108)+SUMIF('11.2. ДА за периода'!$B$61:$B$108,$B143,'11.2. ДА за периода'!Q$61:Q$108)+SUMIF('11.1.Амортиз.нови активи'!$B$61:$B$108,$B143,'11.1.Амортиз.нови активи'!Q$61:Q$108)+('11.1.Амортиз.нови активи'!J$111*SUMIF('11.1.Амортиз.нови активи'!$B$61:$B$108,$B143,'11.1.Амортиз.нови активи'!AS$61:AS$108))</f>
        <v>0</v>
      </c>
      <c r="R143" s="2972">
        <f>$L143-SUMIF('11.2. ДА за периода'!$B$61:$B$108,$B143,'11.2. ДА за периода'!$L$61:$L$108)+SUMIF('11.2. ДА за периода'!$B$61:$B$108,$B143,'11.2. ДА за периода'!R$61:R$108)+SUMIF('11.1.Амортиз.нови активи'!$B$61:$B$108,$B143,'11.1.Амортиз.нови активи'!R$61:R$108)+('11.1.Амортиз.нови активи'!K$111*SUMIF('11.1.Амортиз.нови активи'!$B$61:$B$108,$B143,'11.1.Амортиз.нови активи'!AT$61:AT$108))</f>
        <v>0</v>
      </c>
      <c r="S143" s="448">
        <v>0</v>
      </c>
      <c r="T143" s="2971">
        <f>$S143-SUMIF('11.2. ДА за периода'!$B$61:$B$108,$B143,'11.2. ДА за периода'!$S$61:$S$108)+SUMIF('11.2. ДА за периода'!$B$61:$B$108,$B143,'11.2. ДА за периода'!T$61:T$108)+SUMIF('11.1.Амортиз.нови активи'!$B$61:$B$108,$B143,'11.1.Амортиз.нови активи'!T$61:T$108)+('11.1.Амортиз.нови активи'!F$112*SUMIF('11.1.Амортиз.нови активи'!$B$61:$B$108,$B143,'11.1.Амортиз.нови активи'!AO$61:AO$108))</f>
        <v>0</v>
      </c>
      <c r="U143" s="1226">
        <f>$S143-SUMIF('11.2. ДА за периода'!$B$61:$B$108,$B143,'11.2. ДА за периода'!$S$61:$S$108)+SUMIF('11.2. ДА за периода'!$B$61:$B$108,$B143,'11.2. ДА за периода'!U$61:U$108)+SUMIF('11.1.Амортиз.нови активи'!$B$61:$B$108,$B143,'11.1.Амортиз.нови активи'!U$61:U$108)+('11.1.Амортиз.нови активи'!G$112*SUMIF('11.1.Амортиз.нови активи'!$B$61:$B$108,$B143,'11.1.Амортиз.нови активи'!AP$61:AP$108))</f>
        <v>0</v>
      </c>
      <c r="V143" s="1226">
        <f>$S143-SUMIF('11.2. ДА за периода'!$B$61:$B$108,$B143,'11.2. ДА за периода'!$S$61:$S$108)+SUMIF('11.2. ДА за периода'!$B$61:$B$108,$B143,'11.2. ДА за периода'!V$61:V$108)+SUMIF('11.1.Амортиз.нови активи'!$B$61:$B$108,$B143,'11.1.Амортиз.нови активи'!V$61:V$108)+('11.1.Амортиз.нови активи'!H$112*SUMIF('11.1.Амортиз.нови активи'!$B$61:$B$108,$B143,'11.1.Амортиз.нови активи'!AQ$61:AQ$108))</f>
        <v>0</v>
      </c>
      <c r="W143" s="1226">
        <f>$S143-SUMIF('11.2. ДА за периода'!$B$61:$B$108,$B143,'11.2. ДА за периода'!$S$61:$S$108)+SUMIF('11.2. ДА за периода'!$B$61:$B$108,$B143,'11.2. ДА за периода'!W$61:W$108)+SUMIF('11.1.Амортиз.нови активи'!$B$61:$B$108,$B143,'11.1.Амортиз.нови активи'!W$61:W$108)+('11.1.Амортиз.нови активи'!I$112*SUMIF('11.1.Амортиз.нови активи'!$B$61:$B$108,$B143,'11.1.Амортиз.нови активи'!AR$61:AR$108))</f>
        <v>0</v>
      </c>
      <c r="X143" s="1226">
        <f>$S143-SUMIF('11.2. ДА за периода'!$B$61:$B$108,$B143,'11.2. ДА за периода'!$S$61:$S$108)+SUMIF('11.2. ДА за периода'!$B$61:$B$108,$B143,'11.2. ДА за периода'!X$61:X$108)+SUMIF('11.1.Амортиз.нови активи'!$B$61:$B$108,$B143,'11.1.Амортиз.нови активи'!X$61:X$108)+('11.1.Амортиз.нови активи'!J$112*SUMIF('11.1.Амортиз.нови активи'!$B$61:$B$108,$B143,'11.1.Амортиз.нови активи'!AS$61:AS$108))</f>
        <v>0</v>
      </c>
      <c r="Y143" s="2972">
        <f>$S143-SUMIF('11.2. ДА за периода'!$B$61:$B$108,$B143,'11.2. ДА за периода'!$S$61:$S$108)+SUMIF('11.2. ДА за периода'!$B$61:$B$108,$B143,'11.2. ДА за периода'!Y$61:Y$108)+SUMIF('11.1.Амортиз.нови активи'!$B$61:$B$108,$B143,'11.1.Амортиз.нови активи'!Y$61:Y$108)+('11.1.Амортиз.нови активи'!K$112*SUMIF('11.1.Амортиз.нови активи'!$B$61:$B$108,$B143,'11.1.Амортиз.нови активи'!AT$61:AT$108))</f>
        <v>0</v>
      </c>
      <c r="Z143" s="448">
        <v>0</v>
      </c>
      <c r="AA143" s="2971">
        <f>$Z143-SUMIF('11.2. ДА за периода'!$B$61:$B$108,$B143,'11.2. ДА за периода'!$Z$61:$Z$108)+SUMIF('11.2. ДА за периода'!$B$61:$B$108,$B143,'11.2. ДА за периода'!AA$61:AA$108)+SUMIF('11.1.Амортиз.нови активи'!$B$61:$B$108,$B143,'11.1.Амортиз.нови активи'!AA$61:AA$108)</f>
        <v>0</v>
      </c>
      <c r="AB143" s="1226">
        <f>$Z143-SUMIF('11.2. ДА за периода'!$B$61:$B$108,$B143,'11.2. ДА за периода'!$Z$61:$Z$108)+SUMIF('11.2. ДА за периода'!$B$61:$B$108,$B143,'11.2. ДА за периода'!AB$61:AB$108)+SUMIF('11.1.Амортиз.нови активи'!$B$61:$B$108,$B143,'11.1.Амортиз.нови активи'!AB$61:AB$108)</f>
        <v>0</v>
      </c>
      <c r="AC143" s="1226">
        <f>$Z143-SUMIF('11.2. ДА за периода'!$B$61:$B$108,$B143,'11.2. ДА за периода'!$Z$61:$Z$108)+SUMIF('11.2. ДА за периода'!$B$61:$B$108,$B143,'11.2. ДА за периода'!AC$61:AC$108)+SUMIF('11.1.Амортиз.нови активи'!$B$61:$B$108,$B143,'11.1.Амортиз.нови активи'!AC$61:AC$108)</f>
        <v>0</v>
      </c>
      <c r="AD143" s="1226">
        <f>$Z143-SUMIF('11.2. ДА за периода'!$B$61:$B$108,$B143,'11.2. ДА за периода'!$Z$61:$Z$108)+SUMIF('11.2. ДА за периода'!$B$61:$B$108,$B143,'11.2. ДА за периода'!AD$61:AD$108)+SUMIF('11.1.Амортиз.нови активи'!$B$61:$B$108,$B143,'11.1.Амортиз.нови активи'!AD$61:AD$108)</f>
        <v>0</v>
      </c>
      <c r="AE143" s="1226">
        <f>$Z143-SUMIF('11.2. ДА за периода'!$B$61:$B$108,$B143,'11.2. ДА за периода'!$Z$61:$Z$108)+SUMIF('11.2. ДА за периода'!$B$61:$B$108,$B143,'11.2. ДА за периода'!AE$61:AE$108)+SUMIF('11.1.Амортиз.нови активи'!$B$61:$B$108,$B143,'11.1.Амортиз.нови активи'!AE$61:AE$108)</f>
        <v>0</v>
      </c>
      <c r="AF143" s="2972">
        <f>$Z143-SUMIF('11.2. ДА за периода'!$B$61:$B$108,$B143,'11.2. ДА за периода'!$Z$61:$Z$108)+SUMIF('11.2. ДА за периода'!$B$61:$B$108,$B143,'11.2. ДА за периода'!AF$61:AF$108)+SUMIF('11.1.Амортиз.нови активи'!$B$61:$B$108,$B143,'11.1.Амортиз.нови активи'!AF$61:AF$108)</f>
        <v>0</v>
      </c>
      <c r="AG143" s="448"/>
      <c r="AH143" s="2971">
        <f>$AG143-SUMIF('11.2. ДА за периода'!$B$61:$B$108,$B143,'11.2. ДА за периода'!$AG$61:$AG$108)+SUMIF('11.2. ДА за периода'!$B$61:$B$108,$B143,'11.2. ДА за периода'!AH$61:AH$108)+SUMIF('11.1.Амортиз.нови активи'!$B$61:$B$108,$B143,'11.1.Амортиз.нови активи'!AH$61:AH$108)</f>
        <v>0</v>
      </c>
      <c r="AI143" s="1226">
        <f>$AG143-SUMIF('11.2. ДА за периода'!$B$61:$B$108,$B143,'11.2. ДА за периода'!$AG$61:$AG$108)+SUMIF('11.2. ДА за периода'!$B$61:$B$108,$B143,'11.2. ДА за периода'!AI$61:AI$108)+SUMIF('11.1.Амортиз.нови активи'!$B$61:$B$108,$B143,'11.1.Амортиз.нови активи'!AI$61:AI$108)</f>
        <v>0</v>
      </c>
      <c r="AJ143" s="1226">
        <f>$AG143-SUMIF('11.2. ДА за периода'!$B$61:$B$108,$B143,'11.2. ДА за периода'!$AG$61:$AG$108)+SUMIF('11.2. ДА за периода'!$B$61:$B$108,$B143,'11.2. ДА за периода'!AJ$61:AJ$108)+SUMIF('11.1.Амортиз.нови активи'!$B$61:$B$108,$B143,'11.1.Амортиз.нови активи'!AJ$61:AJ$108)</f>
        <v>0</v>
      </c>
      <c r="AK143" s="1226">
        <f>$AG143-SUMIF('11.2. ДА за периода'!$B$61:$B$108,$B143,'11.2. ДА за периода'!$AG$61:$AG$108)+SUMIF('11.2. ДА за периода'!$B$61:$B$108,$B143,'11.2. ДА за периода'!AK$61:AK$108)+SUMIF('11.1.Амортиз.нови активи'!$B$61:$B$108,$B143,'11.1.Амортиз.нови активи'!AK$61:AK$108)</f>
        <v>0</v>
      </c>
      <c r="AL143" s="1226">
        <f>$AG143-SUMIF('11.2. ДА за периода'!$B$61:$B$108,$B143,'11.2. ДА за периода'!$AG$61:$AG$108)+SUMIF('11.2. ДА за периода'!$B$61:$B$108,$B143,'11.2. ДА за периода'!AL$61:AL$108)+SUMIF('11.1.Амортиз.нови активи'!$B$61:$B$108,$B143,'11.1.Амортиз.нови активи'!AL$61:AL$108)</f>
        <v>0</v>
      </c>
      <c r="AM143" s="2972">
        <f>$AG143-SUMIF('11.2. ДА за периода'!$B$61:$B$108,$B143,'11.2. ДА за периода'!$AG$61:$AG$108)+SUMIF('11.2. ДА за периода'!$B$61:$B$108,$B143,'11.2. ДА за периода'!AM$61:AM$108)+SUMIF('11.1.Амортиз.нови активи'!$B$61:$B$108,$B143,'11.1.Амортиз.нови активи'!AM$61:AM$108)</f>
        <v>0</v>
      </c>
      <c r="AN143" s="2860"/>
      <c r="AO143" s="2898"/>
      <c r="AP143" s="1426"/>
    </row>
    <row r="144" spans="1:42" s="1422" customFormat="1">
      <c r="A144" s="2920">
        <v>13</v>
      </c>
      <c r="B144" s="2863">
        <v>2040204</v>
      </c>
      <c r="C144" s="2864">
        <v>0.02</v>
      </c>
      <c r="D144" s="2893" t="s">
        <v>424</v>
      </c>
      <c r="E144" s="448">
        <v>0</v>
      </c>
      <c r="F144" s="2971">
        <f>$E144-SUMIF('11.2. ДА за периода'!$B$61:$B$108,$B144,'11.2. ДА за периода'!$E$61:$E$108)+SUMIF('11.2. ДА за периода'!$B$61:$B$108,$B144,'11.2. ДА за периода'!F$61:F$108)+SUMIF('11.1.Амортиз.нови активи'!$B$61:$B$108,$B144,'11.1.Амортиз.нови активи'!F$61:F$108)+('11.1.Амортиз.нови активи'!F$110*SUMIF('11.1.Амортиз.нови активи'!$B$61:$B$108,$B144,'11.1.Амортиз.нови активи'!AO$61:AO$108))</f>
        <v>3.3400000000000001E-3</v>
      </c>
      <c r="G144" s="1226">
        <f>$E144-SUMIF('11.2. ДА за периода'!$B$61:$B$108,$B144,'11.2. ДА за периода'!$E$61:$E$108)+SUMIF('11.2. ДА за периода'!$B$61:$B$108,$B144,'11.2. ДА за периода'!G$61:G$108)+SUMIF('11.1.Амортиз.нови активи'!$B$61:$B$108,$B144,'11.1.Амортиз.нови активи'!G$61:G$108)+('11.1.Амортиз.нови активи'!G$110*SUMIF('11.1.Амортиз.нови активи'!$B$61:$B$108,$B144,'11.1.Амортиз.нови активи'!AP$61:AP$108))</f>
        <v>3.3400000000000001E-3</v>
      </c>
      <c r="H144" s="1226">
        <f>$E144-SUMIF('11.2. ДА за периода'!$B$61:$B$108,$B144,'11.2. ДА за периода'!$E$61:$E$108)+SUMIF('11.2. ДА за периода'!$B$61:$B$108,$B144,'11.2. ДА за периода'!H$61:H$108)+SUMIF('11.1.Амортиз.нови активи'!$B$61:$B$108,$B144,'11.1.Амортиз.нови активи'!H$61:H$108)+('11.1.Амортиз.нови активи'!H$110*SUMIF('11.1.Амортиз.нови активи'!$B$61:$B$108,$B144,'11.1.Амортиз.нови активи'!AQ$61:AQ$108))</f>
        <v>3.3400000000000001E-3</v>
      </c>
      <c r="I144" s="1226">
        <f>$E144-SUMIF('11.2. ДА за периода'!$B$61:$B$108,$B144,'11.2. ДА за периода'!$E$61:$E$108)+SUMIF('11.2. ДА за периода'!$B$61:$B$108,$B144,'11.2. ДА за периода'!I$61:I$108)+SUMIF('11.1.Амортиз.нови активи'!$B$61:$B$108,$B144,'11.1.Амортиз.нови активи'!I$61:I$108)+('11.1.Амортиз.нови активи'!I$110*SUMIF('11.1.Амортиз.нови активи'!$B$61:$B$108,$B144,'11.1.Амортиз.нови активи'!AR$61:AR$108))</f>
        <v>3.3400000000000001E-3</v>
      </c>
      <c r="J144" s="1226">
        <f>$E144-SUMIF('11.2. ДА за периода'!$B$61:$B$108,$B144,'11.2. ДА за периода'!$E$61:$E$108)+SUMIF('11.2. ДА за периода'!$B$61:$B$108,$B144,'11.2. ДА за периода'!J$61:J$108)+SUMIF('11.1.Амортиз.нови активи'!$B$61:$B$108,$B144,'11.1.Амортиз.нови активи'!J$61:J$108)+('11.1.Амортиз.нови активи'!J$110*SUMIF('11.1.Амортиз.нови активи'!$B$61:$B$108,$B144,'11.1.Амортиз.нови активи'!AS$61:AS$108))</f>
        <v>3.3400000000000001E-3</v>
      </c>
      <c r="K144" s="1226">
        <f>$E144-SUMIF('11.2. ДА за периода'!$B$61:$B$108,$B144,'11.2. ДА за периода'!$E$61:$E$108)+SUMIF('11.2. ДА за периода'!$B$61:$B$108,$B144,'11.2. ДА за периода'!K$61:K$108)+SUMIF('11.1.Амортиз.нови активи'!$B$61:$B$108,$B144,'11.1.Амортиз.нови активи'!K$61:K$108)+('11.1.Амортиз.нови активи'!K$110*SUMIF('11.1.Амортиз.нови активи'!$B$61:$B$108,$B144,'11.1.Амортиз.нови активи'!AT$61:AT$108))</f>
        <v>3.3400000000000001E-3</v>
      </c>
      <c r="L144" s="448">
        <v>0</v>
      </c>
      <c r="M144" s="2971">
        <f>$L144-SUMIF('11.2. ДА за периода'!$B$61:$B$108,$B144,'11.2. ДА за периода'!$L$61:$L$108)+SUMIF('11.2. ДА за периода'!$B$61:$B$108,$B144,'11.2. ДА за периода'!M$61:M$108)+SUMIF('11.1.Амортиз.нови активи'!$B$61:$B$108,$B144,'11.1.Амортиз.нови активи'!M$61:M$108)+('11.1.Амортиз.нови активи'!F$111*SUMIF('11.1.Амортиз.нови активи'!$B$61:$B$108,$B144,'11.1.Амортиз.нови активи'!AO$61:AO$108))</f>
        <v>0</v>
      </c>
      <c r="N144" s="1226">
        <f>$L144-SUMIF('11.2. ДА за периода'!$B$61:$B$108,$B144,'11.2. ДА за периода'!$L$61:$L$108)+SUMIF('11.2. ДА за периода'!$B$61:$B$108,$B144,'11.2. ДА за периода'!N$61:N$108)+SUMIF('11.1.Амортиз.нови активи'!$B$61:$B$108,$B144,'11.1.Амортиз.нови активи'!N$61:N$108)+('11.1.Амортиз.нови активи'!G$111*SUMIF('11.1.Амортиз.нови активи'!$B$61:$B$108,$B144,'11.1.Амортиз.нови активи'!AP$61:AP$108))</f>
        <v>0</v>
      </c>
      <c r="O144" s="1226">
        <f>$L144-SUMIF('11.2. ДА за периода'!$B$61:$B$108,$B144,'11.2. ДА за периода'!$L$61:$L$108)+SUMIF('11.2. ДА за периода'!$B$61:$B$108,$B144,'11.2. ДА за периода'!O$61:O$108)+SUMIF('11.1.Амортиз.нови активи'!$B$61:$B$108,$B144,'11.1.Амортиз.нови активи'!O$61:O$108)+('11.1.Амортиз.нови активи'!H$111*SUMIF('11.1.Амортиз.нови активи'!$B$61:$B$108,$B144,'11.1.Амортиз.нови активи'!AQ$61:AQ$108))</f>
        <v>0</v>
      </c>
      <c r="P144" s="1226">
        <f>$L144-SUMIF('11.2. ДА за периода'!$B$61:$B$108,$B144,'11.2. ДА за периода'!$L$61:$L$108)+SUMIF('11.2. ДА за периода'!$B$61:$B$108,$B144,'11.2. ДА за периода'!P$61:P$108)+SUMIF('11.1.Амортиз.нови активи'!$B$61:$B$108,$B144,'11.1.Амортиз.нови активи'!P$61:P$108)+('11.1.Амортиз.нови активи'!I$111*SUMIF('11.1.Амортиз.нови активи'!$B$61:$B$108,$B144,'11.1.Амортиз.нови активи'!AR$61:AR$108))</f>
        <v>0</v>
      </c>
      <c r="Q144" s="1226">
        <f>$L144-SUMIF('11.2. ДА за периода'!$B$61:$B$108,$B144,'11.2. ДА за периода'!$L$61:$L$108)+SUMIF('11.2. ДА за периода'!$B$61:$B$108,$B144,'11.2. ДА за периода'!Q$61:Q$108)+SUMIF('11.1.Амортиз.нови активи'!$B$61:$B$108,$B144,'11.1.Амортиз.нови активи'!Q$61:Q$108)+('11.1.Амортиз.нови активи'!J$111*SUMIF('11.1.Амортиз.нови активи'!$B$61:$B$108,$B144,'11.1.Амортиз.нови активи'!AS$61:AS$108))</f>
        <v>0</v>
      </c>
      <c r="R144" s="2972">
        <f>$L144-SUMIF('11.2. ДА за периода'!$B$61:$B$108,$B144,'11.2. ДА за периода'!$L$61:$L$108)+SUMIF('11.2. ДА за периода'!$B$61:$B$108,$B144,'11.2. ДА за периода'!R$61:R$108)+SUMIF('11.1.Амортиз.нови активи'!$B$61:$B$108,$B144,'11.1.Амортиз.нови активи'!R$61:R$108)+('11.1.Амортиз.нови активи'!K$111*SUMIF('11.1.Амортиз.нови активи'!$B$61:$B$108,$B144,'11.1.Амортиз.нови активи'!AT$61:AT$108))</f>
        <v>0</v>
      </c>
      <c r="S144" s="448">
        <v>0</v>
      </c>
      <c r="T144" s="2971">
        <f>$S144-SUMIF('11.2. ДА за периода'!$B$61:$B$108,$B144,'11.2. ДА за периода'!$S$61:$S$108)+SUMIF('11.2. ДА за периода'!$B$61:$B$108,$B144,'11.2. ДА за периода'!T$61:T$108)+SUMIF('11.1.Амортиз.нови активи'!$B$61:$B$108,$B144,'11.1.Амортиз.нови активи'!T$61:T$108)+('11.1.Амортиз.нови активи'!F$112*SUMIF('11.1.Амортиз.нови активи'!$B$61:$B$108,$B144,'11.1.Амортиз.нови активи'!AO$61:AO$108))</f>
        <v>0</v>
      </c>
      <c r="U144" s="1226">
        <f>$S144-SUMIF('11.2. ДА за периода'!$B$61:$B$108,$B144,'11.2. ДА за периода'!$S$61:$S$108)+SUMIF('11.2. ДА за периода'!$B$61:$B$108,$B144,'11.2. ДА за периода'!U$61:U$108)+SUMIF('11.1.Амортиз.нови активи'!$B$61:$B$108,$B144,'11.1.Амортиз.нови активи'!U$61:U$108)+('11.1.Амортиз.нови активи'!G$112*SUMIF('11.1.Амортиз.нови активи'!$B$61:$B$108,$B144,'11.1.Амортиз.нови активи'!AP$61:AP$108))</f>
        <v>0</v>
      </c>
      <c r="V144" s="1226">
        <f>$S144-SUMIF('11.2. ДА за периода'!$B$61:$B$108,$B144,'11.2. ДА за периода'!$S$61:$S$108)+SUMIF('11.2. ДА за периода'!$B$61:$B$108,$B144,'11.2. ДА за периода'!V$61:V$108)+SUMIF('11.1.Амортиз.нови активи'!$B$61:$B$108,$B144,'11.1.Амортиз.нови активи'!V$61:V$108)+('11.1.Амортиз.нови активи'!H$112*SUMIF('11.1.Амортиз.нови активи'!$B$61:$B$108,$B144,'11.1.Амортиз.нови активи'!AQ$61:AQ$108))</f>
        <v>0</v>
      </c>
      <c r="W144" s="1226">
        <f>$S144-SUMIF('11.2. ДА за периода'!$B$61:$B$108,$B144,'11.2. ДА за периода'!$S$61:$S$108)+SUMIF('11.2. ДА за периода'!$B$61:$B$108,$B144,'11.2. ДА за периода'!W$61:W$108)+SUMIF('11.1.Амортиз.нови активи'!$B$61:$B$108,$B144,'11.1.Амортиз.нови активи'!W$61:W$108)+('11.1.Амортиз.нови активи'!I$112*SUMIF('11.1.Амортиз.нови активи'!$B$61:$B$108,$B144,'11.1.Амортиз.нови активи'!AR$61:AR$108))</f>
        <v>0</v>
      </c>
      <c r="X144" s="1226">
        <f>$S144-SUMIF('11.2. ДА за периода'!$B$61:$B$108,$B144,'11.2. ДА за периода'!$S$61:$S$108)+SUMIF('11.2. ДА за периода'!$B$61:$B$108,$B144,'11.2. ДА за периода'!X$61:X$108)+SUMIF('11.1.Амортиз.нови активи'!$B$61:$B$108,$B144,'11.1.Амортиз.нови активи'!X$61:X$108)+('11.1.Амортиз.нови активи'!J$112*SUMIF('11.1.Амортиз.нови активи'!$B$61:$B$108,$B144,'11.1.Амортиз.нови активи'!AS$61:AS$108))</f>
        <v>0</v>
      </c>
      <c r="Y144" s="2972">
        <f>$S144-SUMIF('11.2. ДА за периода'!$B$61:$B$108,$B144,'11.2. ДА за периода'!$S$61:$S$108)+SUMIF('11.2. ДА за периода'!$B$61:$B$108,$B144,'11.2. ДА за периода'!Y$61:Y$108)+SUMIF('11.1.Амортиз.нови активи'!$B$61:$B$108,$B144,'11.1.Амортиз.нови активи'!Y$61:Y$108)+('11.1.Амортиз.нови активи'!K$112*SUMIF('11.1.Амортиз.нови активи'!$B$61:$B$108,$B144,'11.1.Амортиз.нови активи'!AT$61:AT$108))</f>
        <v>0</v>
      </c>
      <c r="Z144" s="448">
        <v>0</v>
      </c>
      <c r="AA144" s="2971">
        <f>$Z144-SUMIF('11.2. ДА за периода'!$B$61:$B$108,$B144,'11.2. ДА за периода'!$Z$61:$Z$108)+SUMIF('11.2. ДА за периода'!$B$61:$B$108,$B144,'11.2. ДА за периода'!AA$61:AA$108)+SUMIF('11.1.Амортиз.нови активи'!$B$61:$B$108,$B144,'11.1.Амортиз.нови активи'!AA$61:AA$108)</f>
        <v>0</v>
      </c>
      <c r="AB144" s="1226">
        <f>$Z144-SUMIF('11.2. ДА за периода'!$B$61:$B$108,$B144,'11.2. ДА за периода'!$Z$61:$Z$108)+SUMIF('11.2. ДА за периода'!$B$61:$B$108,$B144,'11.2. ДА за периода'!AB$61:AB$108)+SUMIF('11.1.Амортиз.нови активи'!$B$61:$B$108,$B144,'11.1.Амортиз.нови активи'!AB$61:AB$108)</f>
        <v>0</v>
      </c>
      <c r="AC144" s="1226">
        <f>$Z144-SUMIF('11.2. ДА за периода'!$B$61:$B$108,$B144,'11.2. ДА за периода'!$Z$61:$Z$108)+SUMIF('11.2. ДА за периода'!$B$61:$B$108,$B144,'11.2. ДА за периода'!AC$61:AC$108)+SUMIF('11.1.Амортиз.нови активи'!$B$61:$B$108,$B144,'11.1.Амортиз.нови активи'!AC$61:AC$108)</f>
        <v>0</v>
      </c>
      <c r="AD144" s="1226">
        <f>$Z144-SUMIF('11.2. ДА за периода'!$B$61:$B$108,$B144,'11.2. ДА за периода'!$Z$61:$Z$108)+SUMIF('11.2. ДА за периода'!$B$61:$B$108,$B144,'11.2. ДА за периода'!AD$61:AD$108)+SUMIF('11.1.Амортиз.нови активи'!$B$61:$B$108,$B144,'11.1.Амортиз.нови активи'!AD$61:AD$108)</f>
        <v>0</v>
      </c>
      <c r="AE144" s="1226">
        <f>$Z144-SUMIF('11.2. ДА за периода'!$B$61:$B$108,$B144,'11.2. ДА за периода'!$Z$61:$Z$108)+SUMIF('11.2. ДА за периода'!$B$61:$B$108,$B144,'11.2. ДА за периода'!AE$61:AE$108)+SUMIF('11.1.Амортиз.нови активи'!$B$61:$B$108,$B144,'11.1.Амортиз.нови активи'!AE$61:AE$108)</f>
        <v>0</v>
      </c>
      <c r="AF144" s="2972">
        <f>$Z144-SUMIF('11.2. ДА за периода'!$B$61:$B$108,$B144,'11.2. ДА за периода'!$Z$61:$Z$108)+SUMIF('11.2. ДА за периода'!$B$61:$B$108,$B144,'11.2. ДА за периода'!AF$61:AF$108)+SUMIF('11.1.Амортиз.нови активи'!$B$61:$B$108,$B144,'11.1.Амортиз.нови активи'!AF$61:AF$108)</f>
        <v>0</v>
      </c>
      <c r="AG144" s="448"/>
      <c r="AH144" s="2971">
        <f>$AG144-SUMIF('11.2. ДА за периода'!$B$61:$B$108,$B144,'11.2. ДА за периода'!$AG$61:$AG$108)+SUMIF('11.2. ДА за периода'!$B$61:$B$108,$B144,'11.2. ДА за периода'!AH$61:AH$108)+SUMIF('11.1.Амортиз.нови активи'!$B$61:$B$108,$B144,'11.1.Амортиз.нови активи'!AH$61:AH$108)</f>
        <v>0</v>
      </c>
      <c r="AI144" s="1226">
        <f>$AG144-SUMIF('11.2. ДА за периода'!$B$61:$B$108,$B144,'11.2. ДА за периода'!$AG$61:$AG$108)+SUMIF('11.2. ДА за периода'!$B$61:$B$108,$B144,'11.2. ДА за периода'!AI$61:AI$108)+SUMIF('11.1.Амортиз.нови активи'!$B$61:$B$108,$B144,'11.1.Амортиз.нови активи'!AI$61:AI$108)</f>
        <v>0</v>
      </c>
      <c r="AJ144" s="1226">
        <f>$AG144-SUMIF('11.2. ДА за периода'!$B$61:$B$108,$B144,'11.2. ДА за периода'!$AG$61:$AG$108)+SUMIF('11.2. ДА за периода'!$B$61:$B$108,$B144,'11.2. ДА за периода'!AJ$61:AJ$108)+SUMIF('11.1.Амортиз.нови активи'!$B$61:$B$108,$B144,'11.1.Амортиз.нови активи'!AJ$61:AJ$108)</f>
        <v>0</v>
      </c>
      <c r="AK144" s="1226">
        <f>$AG144-SUMIF('11.2. ДА за периода'!$B$61:$B$108,$B144,'11.2. ДА за периода'!$AG$61:$AG$108)+SUMIF('11.2. ДА за периода'!$B$61:$B$108,$B144,'11.2. ДА за периода'!AK$61:AK$108)+SUMIF('11.1.Амортиз.нови активи'!$B$61:$B$108,$B144,'11.1.Амортиз.нови активи'!AK$61:AK$108)</f>
        <v>0</v>
      </c>
      <c r="AL144" s="1226">
        <f>$AG144-SUMIF('11.2. ДА за периода'!$B$61:$B$108,$B144,'11.2. ДА за периода'!$AG$61:$AG$108)+SUMIF('11.2. ДА за периода'!$B$61:$B$108,$B144,'11.2. ДА за периода'!AL$61:AL$108)+SUMIF('11.1.Амортиз.нови активи'!$B$61:$B$108,$B144,'11.1.Амортиз.нови активи'!AL$61:AL$108)</f>
        <v>0</v>
      </c>
      <c r="AM144" s="2972">
        <f>$AG144-SUMIF('11.2. ДА за периода'!$B$61:$B$108,$B144,'11.2. ДА за периода'!$AG$61:$AG$108)+SUMIF('11.2. ДА за периода'!$B$61:$B$108,$B144,'11.2. ДА за периода'!AM$61:AM$108)+SUMIF('11.1.Амортиз.нови активи'!$B$61:$B$108,$B144,'11.1.Амортиз.нови активи'!AM$61:AM$108)</f>
        <v>0</v>
      </c>
      <c r="AN144" s="2860"/>
      <c r="AO144" s="2898"/>
      <c r="AP144" s="1426"/>
    </row>
    <row r="145" spans="1:42" s="1422" customFormat="1">
      <c r="A145" s="2920">
        <v>14</v>
      </c>
      <c r="B145" s="2863">
        <v>2040205</v>
      </c>
      <c r="C145" s="2864">
        <v>0.02</v>
      </c>
      <c r="D145" s="2894" t="s">
        <v>425</v>
      </c>
      <c r="E145" s="448">
        <v>23</v>
      </c>
      <c r="F145" s="2971">
        <f>$E145-SUMIF('11.2. ДА за периода'!$B$61:$B$108,$B145,'11.2. ДА за периода'!$E$61:$E$108)+SUMIF('11.2. ДА за периода'!$B$61:$B$108,$B145,'11.2. ДА за периода'!F$61:F$108)+SUMIF('11.1.Амортиз.нови активи'!$B$61:$B$108,$B145,'11.1.Амортиз.нови активи'!F$61:F$108)+('11.1.Амортиз.нови активи'!F$110*SUMIF('11.1.Амортиз.нови активи'!$B$61:$B$108,$B145,'11.1.Амортиз.нови активи'!AO$61:AO$108))</f>
        <v>29.915559999999999</v>
      </c>
      <c r="G145" s="1226">
        <f>$E145-SUMIF('11.2. ДА за периода'!$B$61:$B$108,$B145,'11.2. ДА за периода'!$E$61:$E$108)+SUMIF('11.2. ДА за периода'!$B$61:$B$108,$B145,'11.2. ДА за периода'!G$61:G$108)+SUMIF('11.1.Амортиз.нови активи'!$B$61:$B$108,$B145,'11.1.Амортиз.нови активи'!G$61:G$108)+('11.1.Амортиз.нови активи'!G$110*SUMIF('11.1.Амортиз.нови активи'!$B$61:$B$108,$B145,'11.1.Амортиз.нови активи'!AP$61:AP$108))</f>
        <v>48.087869999999995</v>
      </c>
      <c r="H145" s="1226">
        <f>$E145-SUMIF('11.2. ДА за периода'!$B$61:$B$108,$B145,'11.2. ДА за периода'!$E$61:$E$108)+SUMIF('11.2. ДА за периода'!$B$61:$B$108,$B145,'11.2. ДА за периода'!H$61:H$108)+SUMIF('11.1.Амортиз.нови активи'!$B$61:$B$108,$B145,'11.1.Амортиз.нови активи'!H$61:H$108)+('11.1.Амортиз.нови активи'!H$110*SUMIF('11.1.Амортиз.нови активи'!$B$61:$B$108,$B145,'11.1.Амортиз.нови активи'!AQ$61:AQ$108))</f>
        <v>76.845349999999996</v>
      </c>
      <c r="I145" s="1226">
        <f>$E145-SUMIF('11.2. ДА за периода'!$B$61:$B$108,$B145,'11.2. ДА за периода'!$E$61:$E$108)+SUMIF('11.2. ДА за периода'!$B$61:$B$108,$B145,'11.2. ДА за периода'!I$61:I$108)+SUMIF('11.1.Амортиз.нови активи'!$B$61:$B$108,$B145,'11.1.Амортиз.нови активи'!I$61:I$108)+('11.1.Амортиз.нови активи'!I$110*SUMIF('11.1.Амортиз.нови активи'!$B$61:$B$108,$B145,'11.1.Амортиз.нови активи'!AR$61:AR$108))</f>
        <v>94.175520000000006</v>
      </c>
      <c r="J145" s="1226">
        <f>$E145-SUMIF('11.2. ДА за периода'!$B$61:$B$108,$B145,'11.2. ДА за периода'!$E$61:$E$108)+SUMIF('11.2. ДА за периода'!$B$61:$B$108,$B145,'11.2. ДА за периода'!J$61:J$108)+SUMIF('11.1.Амортиз.нови активи'!$B$61:$B$108,$B145,'11.1.Амортиз.нови активи'!J$61:J$108)+('11.1.Амортиз.нови активи'!J$110*SUMIF('11.1.Амортиз.нови активи'!$B$61:$B$108,$B145,'11.1.Амортиз.нови активи'!AS$61:AS$108))</f>
        <v>98.610520000000008</v>
      </c>
      <c r="K145" s="1226">
        <f>$E145-SUMIF('11.2. ДА за периода'!$B$61:$B$108,$B145,'11.2. ДА за периода'!$E$61:$E$108)+SUMIF('11.2. ДА за периода'!$B$61:$B$108,$B145,'11.2. ДА за периода'!K$61:K$108)+SUMIF('11.1.Амортиз.нови активи'!$B$61:$B$108,$B145,'11.1.Амортиз.нови активи'!K$61:K$108)+('11.1.Амортиз.нови активи'!K$110*SUMIF('11.1.Амортиз.нови активи'!$B$61:$B$108,$B145,'11.1.Амортиз.нови активи'!AT$61:AT$108))</f>
        <v>101.55052000000001</v>
      </c>
      <c r="L145" s="448">
        <v>0</v>
      </c>
      <c r="M145" s="2971">
        <f>$L145-SUMIF('11.2. ДА за периода'!$B$61:$B$108,$B145,'11.2. ДА за периода'!$L$61:$L$108)+SUMIF('11.2. ДА за периода'!$B$61:$B$108,$B145,'11.2. ДА за периода'!M$61:M$108)+SUMIF('11.1.Амортиз.нови активи'!$B$61:$B$108,$B145,'11.1.Амортиз.нови активи'!M$61:M$108)+('11.1.Амортиз.нови активи'!F$111*SUMIF('11.1.Амортиз.нови активи'!$B$61:$B$108,$B145,'11.1.Амортиз.нови активи'!AO$61:AO$108))</f>
        <v>0</v>
      </c>
      <c r="N145" s="1226">
        <f>$L145-SUMIF('11.2. ДА за периода'!$B$61:$B$108,$B145,'11.2. ДА за периода'!$L$61:$L$108)+SUMIF('11.2. ДА за периода'!$B$61:$B$108,$B145,'11.2. ДА за периода'!N$61:N$108)+SUMIF('11.1.Амортиз.нови активи'!$B$61:$B$108,$B145,'11.1.Амортиз.нови активи'!N$61:N$108)+('11.1.Амортиз.нови активи'!G$111*SUMIF('11.1.Амортиз.нови активи'!$B$61:$B$108,$B145,'11.1.Амортиз.нови активи'!AP$61:AP$108))</f>
        <v>0</v>
      </c>
      <c r="O145" s="1226">
        <f>$L145-SUMIF('11.2. ДА за периода'!$B$61:$B$108,$B145,'11.2. ДА за периода'!$L$61:$L$108)+SUMIF('11.2. ДА за периода'!$B$61:$B$108,$B145,'11.2. ДА за периода'!O$61:O$108)+SUMIF('11.1.Амортиз.нови активи'!$B$61:$B$108,$B145,'11.1.Амортиз.нови активи'!O$61:O$108)+('11.1.Амортиз.нови активи'!H$111*SUMIF('11.1.Амортиз.нови активи'!$B$61:$B$108,$B145,'11.1.Амортиз.нови активи'!AQ$61:AQ$108))</f>
        <v>0</v>
      </c>
      <c r="P145" s="1226">
        <f>$L145-SUMIF('11.2. ДА за периода'!$B$61:$B$108,$B145,'11.2. ДА за периода'!$L$61:$L$108)+SUMIF('11.2. ДА за периода'!$B$61:$B$108,$B145,'11.2. ДА за периода'!P$61:P$108)+SUMIF('11.1.Амортиз.нови активи'!$B$61:$B$108,$B145,'11.1.Амортиз.нови активи'!P$61:P$108)+('11.1.Амортиз.нови активи'!I$111*SUMIF('11.1.Амортиз.нови активи'!$B$61:$B$108,$B145,'11.1.Амортиз.нови активи'!AR$61:AR$108))</f>
        <v>0</v>
      </c>
      <c r="Q145" s="1226">
        <f>$L145-SUMIF('11.2. ДА за периода'!$B$61:$B$108,$B145,'11.2. ДА за периода'!$L$61:$L$108)+SUMIF('11.2. ДА за периода'!$B$61:$B$108,$B145,'11.2. ДА за периода'!Q$61:Q$108)+SUMIF('11.1.Амортиз.нови активи'!$B$61:$B$108,$B145,'11.1.Амортиз.нови активи'!Q$61:Q$108)+('11.1.Амортиз.нови активи'!J$111*SUMIF('11.1.Амортиз.нови активи'!$B$61:$B$108,$B145,'11.1.Амортиз.нови активи'!AS$61:AS$108))</f>
        <v>0</v>
      </c>
      <c r="R145" s="2972">
        <f>$L145-SUMIF('11.2. ДА за периода'!$B$61:$B$108,$B145,'11.2. ДА за периода'!$L$61:$L$108)+SUMIF('11.2. ДА за периода'!$B$61:$B$108,$B145,'11.2. ДА за периода'!R$61:R$108)+SUMIF('11.1.Амортиз.нови активи'!$B$61:$B$108,$B145,'11.1.Амортиз.нови активи'!R$61:R$108)+('11.1.Амортиз.нови активи'!K$111*SUMIF('11.1.Амортиз.нови активи'!$B$61:$B$108,$B145,'11.1.Амортиз.нови активи'!AT$61:AT$108))</f>
        <v>0</v>
      </c>
      <c r="S145" s="448">
        <v>0</v>
      </c>
      <c r="T145" s="2971">
        <f>$S145-SUMIF('11.2. ДА за периода'!$B$61:$B$108,$B145,'11.2. ДА за периода'!$S$61:$S$108)+SUMIF('11.2. ДА за периода'!$B$61:$B$108,$B145,'11.2. ДА за периода'!T$61:T$108)+SUMIF('11.1.Амортиз.нови активи'!$B$61:$B$108,$B145,'11.1.Амортиз.нови активи'!T$61:T$108)+('11.1.Амортиз.нови активи'!F$112*SUMIF('11.1.Амортиз.нови активи'!$B$61:$B$108,$B145,'11.1.Амортиз.нови активи'!AO$61:AO$108))</f>
        <v>0</v>
      </c>
      <c r="U145" s="1226">
        <f>$S145-SUMIF('11.2. ДА за периода'!$B$61:$B$108,$B145,'11.2. ДА за периода'!$S$61:$S$108)+SUMIF('11.2. ДА за периода'!$B$61:$B$108,$B145,'11.2. ДА за периода'!U$61:U$108)+SUMIF('11.1.Амортиз.нови активи'!$B$61:$B$108,$B145,'11.1.Амортиз.нови активи'!U$61:U$108)+('11.1.Амортиз.нови активи'!G$112*SUMIF('11.1.Амортиз.нови активи'!$B$61:$B$108,$B145,'11.1.Амортиз.нови активи'!AP$61:AP$108))</f>
        <v>0</v>
      </c>
      <c r="V145" s="1226">
        <f>$S145-SUMIF('11.2. ДА за периода'!$B$61:$B$108,$B145,'11.2. ДА за периода'!$S$61:$S$108)+SUMIF('11.2. ДА за периода'!$B$61:$B$108,$B145,'11.2. ДА за периода'!V$61:V$108)+SUMIF('11.1.Амортиз.нови активи'!$B$61:$B$108,$B145,'11.1.Амортиз.нови активи'!V$61:V$108)+('11.1.Амортиз.нови активи'!H$112*SUMIF('11.1.Амортиз.нови активи'!$B$61:$B$108,$B145,'11.1.Амортиз.нови активи'!AQ$61:AQ$108))</f>
        <v>0</v>
      </c>
      <c r="W145" s="1226">
        <f>$S145-SUMIF('11.2. ДА за периода'!$B$61:$B$108,$B145,'11.2. ДА за периода'!$S$61:$S$108)+SUMIF('11.2. ДА за периода'!$B$61:$B$108,$B145,'11.2. ДА за периода'!W$61:W$108)+SUMIF('11.1.Амортиз.нови активи'!$B$61:$B$108,$B145,'11.1.Амортиз.нови активи'!W$61:W$108)+('11.1.Амортиз.нови активи'!I$112*SUMIF('11.1.Амортиз.нови активи'!$B$61:$B$108,$B145,'11.1.Амортиз.нови активи'!AR$61:AR$108))</f>
        <v>0</v>
      </c>
      <c r="X145" s="1226">
        <f>$S145-SUMIF('11.2. ДА за периода'!$B$61:$B$108,$B145,'11.2. ДА за периода'!$S$61:$S$108)+SUMIF('11.2. ДА за периода'!$B$61:$B$108,$B145,'11.2. ДА за периода'!X$61:X$108)+SUMIF('11.1.Амортиз.нови активи'!$B$61:$B$108,$B145,'11.1.Амортиз.нови активи'!X$61:X$108)+('11.1.Амортиз.нови активи'!J$112*SUMIF('11.1.Амортиз.нови активи'!$B$61:$B$108,$B145,'11.1.Амортиз.нови активи'!AS$61:AS$108))</f>
        <v>0</v>
      </c>
      <c r="Y145" s="2972">
        <f>$S145-SUMIF('11.2. ДА за периода'!$B$61:$B$108,$B145,'11.2. ДА за периода'!$S$61:$S$108)+SUMIF('11.2. ДА за периода'!$B$61:$B$108,$B145,'11.2. ДА за периода'!Y$61:Y$108)+SUMIF('11.1.Амортиз.нови активи'!$B$61:$B$108,$B145,'11.1.Амортиз.нови активи'!Y$61:Y$108)+('11.1.Амортиз.нови активи'!K$112*SUMIF('11.1.Амортиз.нови активи'!$B$61:$B$108,$B145,'11.1.Амортиз.нови активи'!AT$61:AT$108))</f>
        <v>0</v>
      </c>
      <c r="Z145" s="448">
        <v>0</v>
      </c>
      <c r="AA145" s="2971">
        <f>$Z145-SUMIF('11.2. ДА за периода'!$B$61:$B$108,$B145,'11.2. ДА за периода'!$Z$61:$Z$108)+SUMIF('11.2. ДА за периода'!$B$61:$B$108,$B145,'11.2. ДА за периода'!AA$61:AA$108)+SUMIF('11.1.Амортиз.нови активи'!$B$61:$B$108,$B145,'11.1.Амортиз.нови активи'!AA$61:AA$108)</f>
        <v>0</v>
      </c>
      <c r="AB145" s="1226">
        <f>$Z145-SUMIF('11.2. ДА за периода'!$B$61:$B$108,$B145,'11.2. ДА за периода'!$Z$61:$Z$108)+SUMIF('11.2. ДА за периода'!$B$61:$B$108,$B145,'11.2. ДА за периода'!AB$61:AB$108)+SUMIF('11.1.Амортиз.нови активи'!$B$61:$B$108,$B145,'11.1.Амортиз.нови активи'!AB$61:AB$108)</f>
        <v>0</v>
      </c>
      <c r="AC145" s="1226">
        <f>$Z145-SUMIF('11.2. ДА за периода'!$B$61:$B$108,$B145,'11.2. ДА за периода'!$Z$61:$Z$108)+SUMIF('11.2. ДА за периода'!$B$61:$B$108,$B145,'11.2. ДА за периода'!AC$61:AC$108)+SUMIF('11.1.Амортиз.нови активи'!$B$61:$B$108,$B145,'11.1.Амортиз.нови активи'!AC$61:AC$108)</f>
        <v>0</v>
      </c>
      <c r="AD145" s="1226">
        <f>$Z145-SUMIF('11.2. ДА за периода'!$B$61:$B$108,$B145,'11.2. ДА за периода'!$Z$61:$Z$108)+SUMIF('11.2. ДА за периода'!$B$61:$B$108,$B145,'11.2. ДА за периода'!AD$61:AD$108)+SUMIF('11.1.Амортиз.нови активи'!$B$61:$B$108,$B145,'11.1.Амортиз.нови активи'!AD$61:AD$108)</f>
        <v>0</v>
      </c>
      <c r="AE145" s="1226">
        <f>$Z145-SUMIF('11.2. ДА за периода'!$B$61:$B$108,$B145,'11.2. ДА за периода'!$Z$61:$Z$108)+SUMIF('11.2. ДА за периода'!$B$61:$B$108,$B145,'11.2. ДА за периода'!AE$61:AE$108)+SUMIF('11.1.Амортиз.нови активи'!$B$61:$B$108,$B145,'11.1.Амортиз.нови активи'!AE$61:AE$108)</f>
        <v>0</v>
      </c>
      <c r="AF145" s="2972">
        <f>$Z145-SUMIF('11.2. ДА за периода'!$B$61:$B$108,$B145,'11.2. ДА за периода'!$Z$61:$Z$108)+SUMIF('11.2. ДА за периода'!$B$61:$B$108,$B145,'11.2. ДА за периода'!AF$61:AF$108)+SUMIF('11.1.Амортиз.нови активи'!$B$61:$B$108,$B145,'11.1.Амортиз.нови активи'!AF$61:AF$108)</f>
        <v>0</v>
      </c>
      <c r="AG145" s="448"/>
      <c r="AH145" s="2971">
        <f>$AG145-SUMIF('11.2. ДА за периода'!$B$61:$B$108,$B145,'11.2. ДА за периода'!$AG$61:$AG$108)+SUMIF('11.2. ДА за периода'!$B$61:$B$108,$B145,'11.2. ДА за периода'!AH$61:AH$108)+SUMIF('11.1.Амортиз.нови активи'!$B$61:$B$108,$B145,'11.1.Амортиз.нови активи'!AH$61:AH$108)</f>
        <v>0</v>
      </c>
      <c r="AI145" s="1226">
        <f>$AG145-SUMIF('11.2. ДА за периода'!$B$61:$B$108,$B145,'11.2. ДА за периода'!$AG$61:$AG$108)+SUMIF('11.2. ДА за периода'!$B$61:$B$108,$B145,'11.2. ДА за периода'!AI$61:AI$108)+SUMIF('11.1.Амортиз.нови активи'!$B$61:$B$108,$B145,'11.1.Амортиз.нови активи'!AI$61:AI$108)</f>
        <v>0</v>
      </c>
      <c r="AJ145" s="1226">
        <f>$AG145-SUMIF('11.2. ДА за периода'!$B$61:$B$108,$B145,'11.2. ДА за периода'!$AG$61:$AG$108)+SUMIF('11.2. ДА за периода'!$B$61:$B$108,$B145,'11.2. ДА за периода'!AJ$61:AJ$108)+SUMIF('11.1.Амортиз.нови активи'!$B$61:$B$108,$B145,'11.1.Амортиз.нови активи'!AJ$61:AJ$108)</f>
        <v>0</v>
      </c>
      <c r="AK145" s="1226">
        <f>$AG145-SUMIF('11.2. ДА за периода'!$B$61:$B$108,$B145,'11.2. ДА за периода'!$AG$61:$AG$108)+SUMIF('11.2. ДА за периода'!$B$61:$B$108,$B145,'11.2. ДА за периода'!AK$61:AK$108)+SUMIF('11.1.Амортиз.нови активи'!$B$61:$B$108,$B145,'11.1.Амортиз.нови активи'!AK$61:AK$108)</f>
        <v>0</v>
      </c>
      <c r="AL145" s="1226">
        <f>$AG145-SUMIF('11.2. ДА за периода'!$B$61:$B$108,$B145,'11.2. ДА за периода'!$AG$61:$AG$108)+SUMIF('11.2. ДА за периода'!$B$61:$B$108,$B145,'11.2. ДА за периода'!AL$61:AL$108)+SUMIF('11.1.Амортиз.нови активи'!$B$61:$B$108,$B145,'11.1.Амортиз.нови активи'!AL$61:AL$108)</f>
        <v>0</v>
      </c>
      <c r="AM145" s="2972">
        <f>$AG145-SUMIF('11.2. ДА за периода'!$B$61:$B$108,$B145,'11.2. ДА за периода'!$AG$61:$AG$108)+SUMIF('11.2. ДА за периода'!$B$61:$B$108,$B145,'11.2. ДА за периода'!AM$61:AM$108)+SUMIF('11.1.Амортиз.нови активи'!$B$61:$B$108,$B145,'11.1.Амортиз.нови активи'!AM$61:AM$108)</f>
        <v>0</v>
      </c>
      <c r="AN145" s="2860"/>
      <c r="AO145" s="2898"/>
      <c r="AP145" s="1426"/>
    </row>
    <row r="146" spans="1:42" s="1422" customFormat="1">
      <c r="A146" s="2920">
        <v>15</v>
      </c>
      <c r="B146" s="2863">
        <v>2040206</v>
      </c>
      <c r="C146" s="2864">
        <v>0.02</v>
      </c>
      <c r="D146" s="2899" t="s">
        <v>426</v>
      </c>
      <c r="E146" s="448">
        <v>0</v>
      </c>
      <c r="F146" s="2971">
        <f>$E146-SUMIF('11.2. ДА за периода'!$B$61:$B$108,$B146,'11.2. ДА за периода'!$E$61:$E$108)+SUMIF('11.2. ДА за периода'!$B$61:$B$108,$B146,'11.2. ДА за периода'!F$61:F$108)+SUMIF('11.1.Амортиз.нови активи'!$B$61:$B$108,$B146,'11.1.Амортиз.нови активи'!F$61:F$108)+('11.1.Амортиз.нови активи'!F$110*SUMIF('11.1.Амортиз.нови активи'!$B$61:$B$108,$B146,'11.1.Амортиз.нови активи'!AO$61:AO$108))</f>
        <v>1.6200000000000008E-3</v>
      </c>
      <c r="G146" s="1226">
        <f>$E146-SUMIF('11.2. ДА за периода'!$B$61:$B$108,$B146,'11.2. ДА за периода'!$E$61:$E$108)+SUMIF('11.2. ДА за периода'!$B$61:$B$108,$B146,'11.2. ДА за периода'!G$61:G$108)+SUMIF('11.1.Амортиз.нови активи'!$B$61:$B$108,$B146,'11.1.Амортиз.нови активи'!G$61:G$108)+('11.1.Амортиз.нови активи'!G$110*SUMIF('11.1.Амортиз.нови активи'!$B$61:$B$108,$B146,'11.1.Амортиз.нови активи'!AP$61:AP$108))</f>
        <v>1.6200000000000008E-3</v>
      </c>
      <c r="H146" s="1226">
        <f>$E146-SUMIF('11.2. ДА за периода'!$B$61:$B$108,$B146,'11.2. ДА за периода'!$E$61:$E$108)+SUMIF('11.2. ДА за периода'!$B$61:$B$108,$B146,'11.2. ДА за периода'!H$61:H$108)+SUMIF('11.1.Амортиз.нови активи'!$B$61:$B$108,$B146,'11.1.Амортиз.нови активи'!H$61:H$108)+('11.1.Амортиз.нови активи'!H$110*SUMIF('11.1.Амортиз.нови активи'!$B$61:$B$108,$B146,'11.1.Амортиз.нови активи'!AQ$61:AQ$108))</f>
        <v>1.6200000000000008E-3</v>
      </c>
      <c r="I146" s="1226">
        <f>$E146-SUMIF('11.2. ДА за периода'!$B$61:$B$108,$B146,'11.2. ДА за периода'!$E$61:$E$108)+SUMIF('11.2. ДА за периода'!$B$61:$B$108,$B146,'11.2. ДА за периода'!I$61:I$108)+SUMIF('11.1.Амортиз.нови активи'!$B$61:$B$108,$B146,'11.1.Амортиз.нови активи'!I$61:I$108)+('11.1.Амортиз.нови активи'!I$110*SUMIF('11.1.Амортиз.нови активи'!$B$61:$B$108,$B146,'11.1.Амортиз.нови активи'!AR$61:AR$108))</f>
        <v>1.6200000000000008E-3</v>
      </c>
      <c r="J146" s="1226">
        <f>$E146-SUMIF('11.2. ДА за периода'!$B$61:$B$108,$B146,'11.2. ДА за периода'!$E$61:$E$108)+SUMIF('11.2. ДА за периода'!$B$61:$B$108,$B146,'11.2. ДА за периода'!J$61:J$108)+SUMIF('11.1.Амортиз.нови активи'!$B$61:$B$108,$B146,'11.1.Амортиз.нови активи'!J$61:J$108)+('11.1.Амортиз.нови активи'!J$110*SUMIF('11.1.Амортиз.нови активи'!$B$61:$B$108,$B146,'11.1.Амортиз.нови активи'!AS$61:AS$108))</f>
        <v>1.6200000000000008E-3</v>
      </c>
      <c r="K146" s="1226">
        <f>$E146-SUMIF('11.2. ДА за периода'!$B$61:$B$108,$B146,'11.2. ДА за периода'!$E$61:$E$108)+SUMIF('11.2. ДА за периода'!$B$61:$B$108,$B146,'11.2. ДА за периода'!K$61:K$108)+SUMIF('11.1.Амортиз.нови активи'!$B$61:$B$108,$B146,'11.1.Амортиз.нови активи'!K$61:K$108)+('11.1.Амортиз.нови активи'!K$110*SUMIF('11.1.Амортиз.нови активи'!$B$61:$B$108,$B146,'11.1.Амортиз.нови активи'!AT$61:AT$108))</f>
        <v>1.6200000000000008E-3</v>
      </c>
      <c r="L146" s="448">
        <v>3</v>
      </c>
      <c r="M146" s="2971">
        <f>$L146-SUMIF('11.2. ДА за периода'!$B$61:$B$108,$B146,'11.2. ДА за периода'!$L$61:$L$108)+SUMIF('11.2. ДА за периода'!$B$61:$B$108,$B146,'11.2. ДА за периода'!M$61:M$108)+SUMIF('11.1.Амортиз.нови активи'!$B$61:$B$108,$B146,'11.1.Амортиз.нови активи'!M$61:M$108)+('11.1.Амортиз.нови активи'!F$111*SUMIF('11.1.Амортиз.нови активи'!$B$61:$B$108,$B146,'11.1.Амортиз.нови активи'!AO$61:AO$108))</f>
        <v>4.2216399999999998</v>
      </c>
      <c r="N146" s="1226">
        <f>$L146-SUMIF('11.2. ДА за периода'!$B$61:$B$108,$B146,'11.2. ДА за периода'!$L$61:$L$108)+SUMIF('11.2. ДА за периода'!$B$61:$B$108,$B146,'11.2. ДА за периода'!N$61:N$108)+SUMIF('11.1.Амортиз.нови активи'!$B$61:$B$108,$B146,'11.1.Амортиз.нови активи'!N$61:N$108)+('11.1.Амортиз.нови активи'!G$111*SUMIF('11.1.Амортиз.нови активи'!$B$61:$B$108,$B146,'11.1.Амортиз.нови активи'!AP$61:AP$108))</f>
        <v>9.9750399999999999</v>
      </c>
      <c r="O146" s="1226">
        <f>$L146-SUMIF('11.2. ДА за периода'!$B$61:$B$108,$B146,'11.2. ДА за периода'!$L$61:$L$108)+SUMIF('11.2. ДА за периода'!$B$61:$B$108,$B146,'11.2. ДА за периода'!O$61:O$108)+SUMIF('11.1.Амортиз.нови активи'!$B$61:$B$108,$B146,'11.1.Амортиз.нови активи'!O$61:O$108)+('11.1.Амортиз.нови активи'!H$111*SUMIF('11.1.Амортиз.нови активи'!$B$61:$B$108,$B146,'11.1.Амортиз.нови активи'!AQ$61:AQ$108))</f>
        <v>40.824330000000003</v>
      </c>
      <c r="P146" s="1226">
        <f>$L146-SUMIF('11.2. ДА за периода'!$B$61:$B$108,$B146,'11.2. ДА за периода'!$L$61:$L$108)+SUMIF('11.2. ДА за периода'!$B$61:$B$108,$B146,'11.2. ДА за периода'!P$61:P$108)+SUMIF('11.1.Амортиз.нови активи'!$B$61:$B$108,$B146,'11.1.Амортиз.нови активи'!P$61:P$108)+('11.1.Амортиз.нови активи'!I$111*SUMIF('11.1.Амортиз.нови активи'!$B$61:$B$108,$B146,'11.1.Амортиз.нови активи'!AR$61:AR$108))</f>
        <v>67.146220000000014</v>
      </c>
      <c r="Q146" s="1226">
        <f>$L146-SUMIF('11.2. ДА за периода'!$B$61:$B$108,$B146,'11.2. ДА за периода'!$L$61:$L$108)+SUMIF('11.2. ДА за периода'!$B$61:$B$108,$B146,'11.2. ДА за периода'!Q$61:Q$108)+SUMIF('11.1.Амортиз.нови активи'!$B$61:$B$108,$B146,'11.1.Амортиз.нови активи'!Q$61:Q$108)+('11.1.Амортиз.нови активи'!J$111*SUMIF('11.1.Амортиз.нови активи'!$B$61:$B$108,$B146,'11.1.Амортиз.нови активи'!AS$61:AS$108))</f>
        <v>67.701220000000021</v>
      </c>
      <c r="R146" s="2972">
        <f>$L146-SUMIF('11.2. ДА за периода'!$B$61:$B$108,$B146,'11.2. ДА за периода'!$L$61:$L$108)+SUMIF('11.2. ДА за периода'!$B$61:$B$108,$B146,'11.2. ДА за периода'!R$61:R$108)+SUMIF('11.1.Амортиз.нови активи'!$B$61:$B$108,$B146,'11.1.Амортиз.нови активи'!R$61:R$108)+('11.1.Амортиз.нови активи'!K$111*SUMIF('11.1.Амортиз.нови активи'!$B$61:$B$108,$B146,'11.1.Амортиз.нови активи'!AT$61:AT$108))</f>
        <v>68.273220000000038</v>
      </c>
      <c r="S146" s="448">
        <v>0</v>
      </c>
      <c r="T146" s="2971">
        <f>$S146-SUMIF('11.2. ДА за периода'!$B$61:$B$108,$B146,'11.2. ДА за периода'!$S$61:$S$108)+SUMIF('11.2. ДА за периода'!$B$61:$B$108,$B146,'11.2. ДА за периода'!T$61:T$108)+SUMIF('11.1.Амортиз.нови активи'!$B$61:$B$108,$B146,'11.1.Амортиз.нови активи'!T$61:T$108)+('11.1.Амортиз.нови активи'!F$112*SUMIF('11.1.Амортиз.нови активи'!$B$61:$B$108,$B146,'11.1.Амортиз.нови активи'!AO$61:AO$108))</f>
        <v>0</v>
      </c>
      <c r="U146" s="1226">
        <f>$S146-SUMIF('11.2. ДА за периода'!$B$61:$B$108,$B146,'11.2. ДА за периода'!$S$61:$S$108)+SUMIF('11.2. ДА за периода'!$B$61:$B$108,$B146,'11.2. ДА за периода'!U$61:U$108)+SUMIF('11.1.Амортиз.нови активи'!$B$61:$B$108,$B146,'11.1.Амортиз.нови активи'!U$61:U$108)+('11.1.Амортиз.нови активи'!G$112*SUMIF('11.1.Амортиз.нови активи'!$B$61:$B$108,$B146,'11.1.Амортиз.нови активи'!AP$61:AP$108))</f>
        <v>0</v>
      </c>
      <c r="V146" s="1226">
        <f>$S146-SUMIF('11.2. ДА за периода'!$B$61:$B$108,$B146,'11.2. ДА за периода'!$S$61:$S$108)+SUMIF('11.2. ДА за периода'!$B$61:$B$108,$B146,'11.2. ДА за периода'!V$61:V$108)+SUMIF('11.1.Амортиз.нови активи'!$B$61:$B$108,$B146,'11.1.Амортиз.нови активи'!V$61:V$108)+('11.1.Амортиз.нови активи'!H$112*SUMIF('11.1.Амортиз.нови активи'!$B$61:$B$108,$B146,'11.1.Амортиз.нови активи'!AQ$61:AQ$108))</f>
        <v>0</v>
      </c>
      <c r="W146" s="1226">
        <f>$S146-SUMIF('11.2. ДА за периода'!$B$61:$B$108,$B146,'11.2. ДА за периода'!$S$61:$S$108)+SUMIF('11.2. ДА за периода'!$B$61:$B$108,$B146,'11.2. ДА за периода'!W$61:W$108)+SUMIF('11.1.Амортиз.нови активи'!$B$61:$B$108,$B146,'11.1.Амортиз.нови активи'!W$61:W$108)+('11.1.Амортиз.нови активи'!I$112*SUMIF('11.1.Амортиз.нови активи'!$B$61:$B$108,$B146,'11.1.Амортиз.нови активи'!AR$61:AR$108))</f>
        <v>0</v>
      </c>
      <c r="X146" s="1226">
        <f>$S146-SUMIF('11.2. ДА за периода'!$B$61:$B$108,$B146,'11.2. ДА за периода'!$S$61:$S$108)+SUMIF('11.2. ДА за периода'!$B$61:$B$108,$B146,'11.2. ДА за периода'!X$61:X$108)+SUMIF('11.1.Амортиз.нови активи'!$B$61:$B$108,$B146,'11.1.Амортиз.нови активи'!X$61:X$108)+('11.1.Амортиз.нови активи'!J$112*SUMIF('11.1.Амортиз.нови активи'!$B$61:$B$108,$B146,'11.1.Амортиз.нови активи'!AS$61:AS$108))</f>
        <v>0</v>
      </c>
      <c r="Y146" s="2972">
        <f>$S146-SUMIF('11.2. ДА за периода'!$B$61:$B$108,$B146,'11.2. ДА за периода'!$S$61:$S$108)+SUMIF('11.2. ДА за периода'!$B$61:$B$108,$B146,'11.2. ДА за периода'!Y$61:Y$108)+SUMIF('11.1.Амортиз.нови активи'!$B$61:$B$108,$B146,'11.1.Амортиз.нови активи'!Y$61:Y$108)+('11.1.Амортиз.нови активи'!K$112*SUMIF('11.1.Амортиз.нови активи'!$B$61:$B$108,$B146,'11.1.Амортиз.нови активи'!AT$61:AT$108))</f>
        <v>0</v>
      </c>
      <c r="Z146" s="448">
        <v>0</v>
      </c>
      <c r="AA146" s="2971">
        <f>$Z146-SUMIF('11.2. ДА за периода'!$B$61:$B$108,$B146,'11.2. ДА за периода'!$Z$61:$Z$108)+SUMIF('11.2. ДА за периода'!$B$61:$B$108,$B146,'11.2. ДА за периода'!AA$61:AA$108)+SUMIF('11.1.Амортиз.нови активи'!$B$61:$B$108,$B146,'11.1.Амортиз.нови активи'!AA$61:AA$108)</f>
        <v>0</v>
      </c>
      <c r="AB146" s="1226">
        <f>$Z146-SUMIF('11.2. ДА за периода'!$B$61:$B$108,$B146,'11.2. ДА за периода'!$Z$61:$Z$108)+SUMIF('11.2. ДА за периода'!$B$61:$B$108,$B146,'11.2. ДА за периода'!AB$61:AB$108)+SUMIF('11.1.Амортиз.нови активи'!$B$61:$B$108,$B146,'11.1.Амортиз.нови активи'!AB$61:AB$108)</f>
        <v>0</v>
      </c>
      <c r="AC146" s="1226">
        <f>$Z146-SUMIF('11.2. ДА за периода'!$B$61:$B$108,$B146,'11.2. ДА за периода'!$Z$61:$Z$108)+SUMIF('11.2. ДА за периода'!$B$61:$B$108,$B146,'11.2. ДА за периода'!AC$61:AC$108)+SUMIF('11.1.Амортиз.нови активи'!$B$61:$B$108,$B146,'11.1.Амортиз.нови активи'!AC$61:AC$108)</f>
        <v>0</v>
      </c>
      <c r="AD146" s="1226">
        <f>$Z146-SUMIF('11.2. ДА за периода'!$B$61:$B$108,$B146,'11.2. ДА за периода'!$Z$61:$Z$108)+SUMIF('11.2. ДА за периода'!$B$61:$B$108,$B146,'11.2. ДА за периода'!AD$61:AD$108)+SUMIF('11.1.Амортиз.нови активи'!$B$61:$B$108,$B146,'11.1.Амортиз.нови активи'!AD$61:AD$108)</f>
        <v>0</v>
      </c>
      <c r="AE146" s="1226">
        <f>$Z146-SUMIF('11.2. ДА за периода'!$B$61:$B$108,$B146,'11.2. ДА за периода'!$Z$61:$Z$108)+SUMIF('11.2. ДА за периода'!$B$61:$B$108,$B146,'11.2. ДА за периода'!AE$61:AE$108)+SUMIF('11.1.Амортиз.нови активи'!$B$61:$B$108,$B146,'11.1.Амортиз.нови активи'!AE$61:AE$108)</f>
        <v>0</v>
      </c>
      <c r="AF146" s="2972">
        <f>$Z146-SUMIF('11.2. ДА за периода'!$B$61:$B$108,$B146,'11.2. ДА за периода'!$Z$61:$Z$108)+SUMIF('11.2. ДА за периода'!$B$61:$B$108,$B146,'11.2. ДА за периода'!AF$61:AF$108)+SUMIF('11.1.Амортиз.нови активи'!$B$61:$B$108,$B146,'11.1.Амортиз.нови активи'!AF$61:AF$108)</f>
        <v>0</v>
      </c>
      <c r="AG146" s="448"/>
      <c r="AH146" s="2971">
        <f>$AG146-SUMIF('11.2. ДА за периода'!$B$61:$B$108,$B146,'11.2. ДА за периода'!$AG$61:$AG$108)+SUMIF('11.2. ДА за периода'!$B$61:$B$108,$B146,'11.2. ДА за периода'!AH$61:AH$108)+SUMIF('11.1.Амортиз.нови активи'!$B$61:$B$108,$B146,'11.1.Амортиз.нови активи'!AH$61:AH$108)</f>
        <v>0</v>
      </c>
      <c r="AI146" s="1226">
        <f>$AG146-SUMIF('11.2. ДА за периода'!$B$61:$B$108,$B146,'11.2. ДА за периода'!$AG$61:$AG$108)+SUMIF('11.2. ДА за периода'!$B$61:$B$108,$B146,'11.2. ДА за периода'!AI$61:AI$108)+SUMIF('11.1.Амортиз.нови активи'!$B$61:$B$108,$B146,'11.1.Амортиз.нови активи'!AI$61:AI$108)</f>
        <v>0</v>
      </c>
      <c r="AJ146" s="1226">
        <f>$AG146-SUMIF('11.2. ДА за периода'!$B$61:$B$108,$B146,'11.2. ДА за периода'!$AG$61:$AG$108)+SUMIF('11.2. ДА за периода'!$B$61:$B$108,$B146,'11.2. ДА за периода'!AJ$61:AJ$108)+SUMIF('11.1.Амортиз.нови активи'!$B$61:$B$108,$B146,'11.1.Амортиз.нови активи'!AJ$61:AJ$108)</f>
        <v>0</v>
      </c>
      <c r="AK146" s="1226">
        <f>$AG146-SUMIF('11.2. ДА за периода'!$B$61:$B$108,$B146,'11.2. ДА за периода'!$AG$61:$AG$108)+SUMIF('11.2. ДА за периода'!$B$61:$B$108,$B146,'11.2. ДА за периода'!AK$61:AK$108)+SUMIF('11.1.Амортиз.нови активи'!$B$61:$B$108,$B146,'11.1.Амортиз.нови активи'!AK$61:AK$108)</f>
        <v>0</v>
      </c>
      <c r="AL146" s="1226">
        <f>$AG146-SUMIF('11.2. ДА за периода'!$B$61:$B$108,$B146,'11.2. ДА за периода'!$AG$61:$AG$108)+SUMIF('11.2. ДА за периода'!$B$61:$B$108,$B146,'11.2. ДА за периода'!AL$61:AL$108)+SUMIF('11.1.Амортиз.нови активи'!$B$61:$B$108,$B146,'11.1.Амортиз.нови активи'!AL$61:AL$108)</f>
        <v>0</v>
      </c>
      <c r="AM146" s="2972">
        <f>$AG146-SUMIF('11.2. ДА за периода'!$B$61:$B$108,$B146,'11.2. ДА за периода'!$AG$61:$AG$108)+SUMIF('11.2. ДА за периода'!$B$61:$B$108,$B146,'11.2. ДА за периода'!AM$61:AM$108)+SUMIF('11.1.Амортиз.нови активи'!$B$61:$B$108,$B146,'11.1.Амортиз.нови активи'!AM$61:AM$108)</f>
        <v>0</v>
      </c>
      <c r="AN146" s="2860"/>
      <c r="AO146" s="2898"/>
      <c r="AP146" s="1426"/>
    </row>
    <row r="147" spans="1:42" s="1422" customFormat="1" ht="24">
      <c r="A147" s="2920">
        <v>16</v>
      </c>
      <c r="B147" s="2863">
        <v>2040207</v>
      </c>
      <c r="C147" s="2864">
        <v>0.04</v>
      </c>
      <c r="D147" s="2899" t="s">
        <v>427</v>
      </c>
      <c r="E147" s="448">
        <v>4</v>
      </c>
      <c r="F147" s="2971">
        <f>$E147-SUMIF('11.2. ДА за периода'!$B$61:$B$108,$B147,'11.2. ДА за периода'!$E$61:$E$108)+SUMIF('11.2. ДА за периода'!$B$61:$B$108,$B147,'11.2. ДА за периода'!F$61:F$108)+SUMIF('11.1.Амортиз.нови активи'!$B$61:$B$108,$B147,'11.1.Амортиз.нови активи'!F$61:F$108)+('11.1.Амортиз.нови активи'!F$110*SUMIF('11.1.Амортиз.нови активи'!$B$61:$B$108,$B147,'11.1.Амортиз.нови активи'!AO$61:AO$108))</f>
        <v>4.9182399999999991</v>
      </c>
      <c r="G147" s="1226">
        <f>$E147-SUMIF('11.2. ДА за периода'!$B$61:$B$108,$B147,'11.2. ДА за периода'!$E$61:$E$108)+SUMIF('11.2. ДА за периода'!$B$61:$B$108,$B147,'11.2. ДА за периода'!G$61:G$108)+SUMIF('11.1.Амортиз.нови активи'!$B$61:$B$108,$B147,'11.1.Амортиз.нови активи'!G$61:G$108)+('11.1.Амортиз.нови активи'!G$110*SUMIF('11.1.Амортиз.нови активи'!$B$61:$B$108,$B147,'11.1.Амортиз.нови активи'!AP$61:AP$108))</f>
        <v>5.8182399999999994</v>
      </c>
      <c r="H147" s="1226">
        <f>$E147-SUMIF('11.2. ДА за периода'!$B$61:$B$108,$B147,'11.2. ДА за периода'!$E$61:$E$108)+SUMIF('11.2. ДА за периода'!$B$61:$B$108,$B147,'11.2. ДА за периода'!H$61:H$108)+SUMIF('11.1.Амортиз.нови активи'!$B$61:$B$108,$B147,'11.1.Амортиз.нови активи'!H$61:H$108)+('11.1.Амортиз.нови активи'!H$110*SUMIF('11.1.Амортиз.нови активи'!$B$61:$B$108,$B147,'11.1.Амортиз.нови активи'!AQ$61:AQ$108))</f>
        <v>17.729860000000002</v>
      </c>
      <c r="I147" s="1226">
        <f>$E147-SUMIF('11.2. ДА за периода'!$B$61:$B$108,$B147,'11.2. ДА за периода'!$E$61:$E$108)+SUMIF('11.2. ДА за периода'!$B$61:$B$108,$B147,'11.2. ДА за периода'!I$61:I$108)+SUMIF('11.1.Амортиз.нови активи'!$B$61:$B$108,$B147,'11.1.Амортиз.нови активи'!I$61:I$108)+('11.1.Амортиз.нови активи'!I$110*SUMIF('11.1.Амортиз.нови активи'!$B$61:$B$108,$B147,'11.1.Амортиз.нови активи'!AR$61:AR$108))</f>
        <v>29.641480000000001</v>
      </c>
      <c r="J147" s="1226">
        <f>$E147-SUMIF('11.2. ДА за периода'!$B$61:$B$108,$B147,'11.2. ДА за периода'!$E$61:$E$108)+SUMIF('11.2. ДА за периода'!$B$61:$B$108,$B147,'11.2. ДА за периода'!J$61:J$108)+SUMIF('11.1.Амортиз.нови активи'!$B$61:$B$108,$B147,'11.1.Амортиз.нови активи'!J$61:J$108)+('11.1.Амортиз.нови активи'!J$110*SUMIF('11.1.Амортиз.нови активи'!$B$61:$B$108,$B147,'11.1.Амортиз.нови активи'!AS$61:AS$108))</f>
        <v>30.401479999999999</v>
      </c>
      <c r="K147" s="1226">
        <f>$E147-SUMIF('11.2. ДА за периода'!$B$61:$B$108,$B147,'11.2. ДА за периода'!$E$61:$E$108)+SUMIF('11.2. ДА за периода'!$B$61:$B$108,$B147,'11.2. ДА за периода'!K$61:K$108)+SUMIF('11.1.Амортиз.нови активи'!$B$61:$B$108,$B147,'11.1.Амортиз.нови активи'!K$61:K$108)+('11.1.Амортиз.нови активи'!K$110*SUMIF('11.1.Амортиз.нови активи'!$B$61:$B$108,$B147,'11.1.Амортиз.нови активи'!AT$61:AT$108))</f>
        <v>31.161480000000005</v>
      </c>
      <c r="L147" s="448">
        <v>0</v>
      </c>
      <c r="M147" s="2971">
        <f>$L147-SUMIF('11.2. ДА за периода'!$B$61:$B$108,$B147,'11.2. ДА за периода'!$L$61:$L$108)+SUMIF('11.2. ДА за периода'!$B$61:$B$108,$B147,'11.2. ДА за периода'!M$61:M$108)+SUMIF('11.1.Амортиз.нови активи'!$B$61:$B$108,$B147,'11.1.Амортиз.нови активи'!M$61:M$108)+('11.1.Амортиз.нови активи'!F$111*SUMIF('11.1.Амортиз.нови активи'!$B$61:$B$108,$B147,'11.1.Амортиз.нови активи'!AO$61:AO$108))</f>
        <v>0</v>
      </c>
      <c r="N147" s="1226">
        <f>$L147-SUMIF('11.2. ДА за периода'!$B$61:$B$108,$B147,'11.2. ДА за периода'!$L$61:$L$108)+SUMIF('11.2. ДА за периода'!$B$61:$B$108,$B147,'11.2. ДА за периода'!N$61:N$108)+SUMIF('11.1.Амортиз.нови активи'!$B$61:$B$108,$B147,'11.1.Амортиз.нови активи'!N$61:N$108)+('11.1.Амортиз.нови активи'!G$111*SUMIF('11.1.Амортиз.нови активи'!$B$61:$B$108,$B147,'11.1.Амортиз.нови активи'!AP$61:AP$108))</f>
        <v>0</v>
      </c>
      <c r="O147" s="1226">
        <f>$L147-SUMIF('11.2. ДА за периода'!$B$61:$B$108,$B147,'11.2. ДА за периода'!$L$61:$L$108)+SUMIF('11.2. ДА за периода'!$B$61:$B$108,$B147,'11.2. ДА за периода'!O$61:O$108)+SUMIF('11.1.Амортиз.нови активи'!$B$61:$B$108,$B147,'11.1.Амортиз.нови активи'!O$61:O$108)+('11.1.Амортиз.нови активи'!H$111*SUMIF('11.1.Амортиз.нови активи'!$B$61:$B$108,$B147,'11.1.Амортиз.нови активи'!AQ$61:AQ$108))</f>
        <v>4.5269200000000005</v>
      </c>
      <c r="P147" s="1226">
        <f>$L147-SUMIF('11.2. ДА за периода'!$B$61:$B$108,$B147,'11.2. ДА за периода'!$L$61:$L$108)+SUMIF('11.2. ДА за периода'!$B$61:$B$108,$B147,'11.2. ДА за периода'!P$61:P$108)+SUMIF('11.1.Амортиз.нови активи'!$B$61:$B$108,$B147,'11.1.Амортиз.нови активи'!P$61:P$108)+('11.1.Амортиз.нови активи'!I$111*SUMIF('11.1.Амортиз.нови активи'!$B$61:$B$108,$B147,'11.1.Амортиз.нови активи'!AR$61:AR$108))</f>
        <v>9.053840000000001</v>
      </c>
      <c r="Q147" s="1226">
        <f>$L147-SUMIF('11.2. ДА за периода'!$B$61:$B$108,$B147,'11.2. ДА за периода'!$L$61:$L$108)+SUMIF('11.2. ДА за периода'!$B$61:$B$108,$B147,'11.2. ДА за периода'!Q$61:Q$108)+SUMIF('11.1.Амортиз.нови активи'!$B$61:$B$108,$B147,'11.1.Амортиз.нови активи'!Q$61:Q$108)+('11.1.Амортиз.нови активи'!J$111*SUMIF('11.1.Амортиз.нови активи'!$B$61:$B$108,$B147,'11.1.Амортиз.нови активи'!AS$61:AS$108))</f>
        <v>9.053840000000001</v>
      </c>
      <c r="R147" s="2972">
        <f>$L147-SUMIF('11.2. ДА за периода'!$B$61:$B$108,$B147,'11.2. ДА за периода'!$L$61:$L$108)+SUMIF('11.2. ДА за периода'!$B$61:$B$108,$B147,'11.2. ДА за периода'!R$61:R$108)+SUMIF('11.1.Амортиз.нови активи'!$B$61:$B$108,$B147,'11.1.Амортиз.нови активи'!R$61:R$108)+('11.1.Амортиз.нови активи'!K$111*SUMIF('11.1.Амортиз.нови активи'!$B$61:$B$108,$B147,'11.1.Амортиз.нови активи'!AT$61:AT$108))</f>
        <v>9.053840000000001</v>
      </c>
      <c r="S147" s="448">
        <v>1.45</v>
      </c>
      <c r="T147" s="2971">
        <f>$S147-SUMIF('11.2. ДА за периода'!$B$61:$B$108,$B147,'11.2. ДА за периода'!$S$61:$S$108)+SUMIF('11.2. ДА за периода'!$B$61:$B$108,$B147,'11.2. ДА за периода'!T$61:T$108)+SUMIF('11.1.Амортиз.нови активи'!$B$61:$B$108,$B147,'11.1.Амортиз.нови активи'!T$61:T$108)+('11.1.Амортиз.нови активи'!F$112*SUMIF('11.1.Амортиз.нови активи'!$B$61:$B$108,$B147,'11.1.Амортиз.нови активи'!AO$61:AO$108))</f>
        <v>1.5699999999999998</v>
      </c>
      <c r="U147" s="1226">
        <f>$S147-SUMIF('11.2. ДА за периода'!$B$61:$B$108,$B147,'11.2. ДА за периода'!$S$61:$S$108)+SUMIF('11.2. ДА за периода'!$B$61:$B$108,$B147,'11.2. ДА за периода'!U$61:U$108)+SUMIF('11.1.Амортиз.нови активи'!$B$61:$B$108,$B147,'11.1.Амортиз.нови активи'!U$61:U$108)+('11.1.Амортиз.нови активи'!G$112*SUMIF('11.1.Амортиз.нови активи'!$B$61:$B$108,$B147,'11.1.Амортиз.нови активи'!AP$61:AP$108))</f>
        <v>22.804499999999997</v>
      </c>
      <c r="V147" s="1226">
        <f>$S147-SUMIF('11.2. ДА за периода'!$B$61:$B$108,$B147,'11.2. ДА за периода'!$S$61:$S$108)+SUMIF('11.2. ДА за периода'!$B$61:$B$108,$B147,'11.2. ДА за периода'!V$61:V$108)+SUMIF('11.1.Амортиз.нови активи'!$B$61:$B$108,$B147,'11.1.Амортиз.нови активи'!V$61:V$108)+('11.1.Амортиз.нови активи'!H$112*SUMIF('11.1.Амортиз.нови активи'!$B$61:$B$108,$B147,'11.1.Амортиз.нови активи'!AQ$61:AQ$108))</f>
        <v>65.973500000000001</v>
      </c>
      <c r="W147" s="1226">
        <f>$S147-SUMIF('11.2. ДА за периода'!$B$61:$B$108,$B147,'11.2. ДА за периода'!$S$61:$S$108)+SUMIF('11.2. ДА за периода'!$B$61:$B$108,$B147,'11.2. ДА за периода'!W$61:W$108)+SUMIF('11.1.Амортиз.нови активи'!$B$61:$B$108,$B147,'11.1.Амортиз.нови активи'!W$61:W$108)+('11.1.Амортиз.нови активи'!I$112*SUMIF('11.1.Амортиз.нови активи'!$B$61:$B$108,$B147,'11.1.Амортиз.нови активи'!AR$61:AR$108))</f>
        <v>89.048000000000002</v>
      </c>
      <c r="X147" s="1226">
        <f>$S147-SUMIF('11.2. ДА за периода'!$B$61:$B$108,$B147,'11.2. ДА за периода'!$S$61:$S$108)+SUMIF('11.2. ДА за периода'!$B$61:$B$108,$B147,'11.2. ДА за периода'!X$61:X$108)+SUMIF('11.1.Амортиз.нови активи'!$B$61:$B$108,$B147,'11.1.Амортиз.нови активи'!X$61:X$108)+('11.1.Амортиз.нови активи'!J$112*SUMIF('11.1.Амортиз.нови активи'!$B$61:$B$108,$B147,'11.1.Амортиз.нови активи'!AS$61:AS$108))</f>
        <v>90.068000000000012</v>
      </c>
      <c r="Y147" s="2972">
        <f>$S147-SUMIF('11.2. ДА за периода'!$B$61:$B$108,$B147,'11.2. ДА за периода'!$S$61:$S$108)+SUMIF('11.2. ДА за периода'!$B$61:$B$108,$B147,'11.2. ДА за периода'!Y$61:Y$108)+SUMIF('11.1.Амортиз.нови активи'!$B$61:$B$108,$B147,'11.1.Амортиз.нови активи'!Y$61:Y$108)+('11.1.Амортиз.нови активи'!K$112*SUMIF('11.1.Амортиз.нови активи'!$B$61:$B$108,$B147,'11.1.Амортиз.нови активи'!AT$61:AT$108))</f>
        <v>90.068000000000012</v>
      </c>
      <c r="Z147" s="448">
        <v>0</v>
      </c>
      <c r="AA147" s="2971">
        <f>$Z147-SUMIF('11.2. ДА за периода'!$B$61:$B$108,$B147,'11.2. ДА за периода'!$Z$61:$Z$108)+SUMIF('11.2. ДА за периода'!$B$61:$B$108,$B147,'11.2. ДА за периода'!AA$61:AA$108)+SUMIF('11.1.Амортиз.нови активи'!$B$61:$B$108,$B147,'11.1.Амортиз.нови активи'!AA$61:AA$108)</f>
        <v>0</v>
      </c>
      <c r="AB147" s="1226">
        <f>$Z147-SUMIF('11.2. ДА за периода'!$B$61:$B$108,$B147,'11.2. ДА за периода'!$Z$61:$Z$108)+SUMIF('11.2. ДА за периода'!$B$61:$B$108,$B147,'11.2. ДА за периода'!AB$61:AB$108)+SUMIF('11.1.Амортиз.нови активи'!$B$61:$B$108,$B147,'11.1.Амортиз.нови активи'!AB$61:AB$108)</f>
        <v>0</v>
      </c>
      <c r="AC147" s="1226">
        <f>$Z147-SUMIF('11.2. ДА за периода'!$B$61:$B$108,$B147,'11.2. ДА за периода'!$Z$61:$Z$108)+SUMIF('11.2. ДА за периода'!$B$61:$B$108,$B147,'11.2. ДА за периода'!AC$61:AC$108)+SUMIF('11.1.Амортиз.нови активи'!$B$61:$B$108,$B147,'11.1.Амортиз.нови активи'!AC$61:AC$108)</f>
        <v>0</v>
      </c>
      <c r="AD147" s="1226">
        <f>$Z147-SUMIF('11.2. ДА за периода'!$B$61:$B$108,$B147,'11.2. ДА за периода'!$Z$61:$Z$108)+SUMIF('11.2. ДА за периода'!$B$61:$B$108,$B147,'11.2. ДА за периода'!AD$61:AD$108)+SUMIF('11.1.Амортиз.нови активи'!$B$61:$B$108,$B147,'11.1.Амортиз.нови активи'!AD$61:AD$108)</f>
        <v>0</v>
      </c>
      <c r="AE147" s="1226">
        <f>$Z147-SUMIF('11.2. ДА за периода'!$B$61:$B$108,$B147,'11.2. ДА за периода'!$Z$61:$Z$108)+SUMIF('11.2. ДА за периода'!$B$61:$B$108,$B147,'11.2. ДА за периода'!AE$61:AE$108)+SUMIF('11.1.Амортиз.нови активи'!$B$61:$B$108,$B147,'11.1.Амортиз.нови активи'!AE$61:AE$108)</f>
        <v>0</v>
      </c>
      <c r="AF147" s="2972">
        <f>$Z147-SUMIF('11.2. ДА за периода'!$B$61:$B$108,$B147,'11.2. ДА за периода'!$Z$61:$Z$108)+SUMIF('11.2. ДА за периода'!$B$61:$B$108,$B147,'11.2. ДА за периода'!AF$61:AF$108)+SUMIF('11.1.Амортиз.нови активи'!$B$61:$B$108,$B147,'11.1.Амортиз.нови активи'!AF$61:AF$108)</f>
        <v>0</v>
      </c>
      <c r="AG147" s="448"/>
      <c r="AH147" s="2971">
        <f>$AG147-SUMIF('11.2. ДА за периода'!$B$61:$B$108,$B147,'11.2. ДА за периода'!$AG$61:$AG$108)+SUMIF('11.2. ДА за периода'!$B$61:$B$108,$B147,'11.2. ДА за периода'!AH$61:AH$108)+SUMIF('11.1.Амортиз.нови активи'!$B$61:$B$108,$B147,'11.1.Амортиз.нови активи'!AH$61:AH$108)</f>
        <v>0</v>
      </c>
      <c r="AI147" s="1226">
        <f>$AG147-SUMIF('11.2. ДА за периода'!$B$61:$B$108,$B147,'11.2. ДА за периода'!$AG$61:$AG$108)+SUMIF('11.2. ДА за периода'!$B$61:$B$108,$B147,'11.2. ДА за периода'!AI$61:AI$108)+SUMIF('11.1.Амортиз.нови активи'!$B$61:$B$108,$B147,'11.1.Амортиз.нови активи'!AI$61:AI$108)</f>
        <v>0</v>
      </c>
      <c r="AJ147" s="1226">
        <f>$AG147-SUMIF('11.2. ДА за периода'!$B$61:$B$108,$B147,'11.2. ДА за периода'!$AG$61:$AG$108)+SUMIF('11.2. ДА за периода'!$B$61:$B$108,$B147,'11.2. ДА за периода'!AJ$61:AJ$108)+SUMIF('11.1.Амортиз.нови активи'!$B$61:$B$108,$B147,'11.1.Амортиз.нови активи'!AJ$61:AJ$108)</f>
        <v>0</v>
      </c>
      <c r="AK147" s="1226">
        <f>$AG147-SUMIF('11.2. ДА за периода'!$B$61:$B$108,$B147,'11.2. ДА за периода'!$AG$61:$AG$108)+SUMIF('11.2. ДА за периода'!$B$61:$B$108,$B147,'11.2. ДА за периода'!AK$61:AK$108)+SUMIF('11.1.Амортиз.нови активи'!$B$61:$B$108,$B147,'11.1.Амортиз.нови активи'!AK$61:AK$108)</f>
        <v>0</v>
      </c>
      <c r="AL147" s="1226">
        <f>$AG147-SUMIF('11.2. ДА за периода'!$B$61:$B$108,$B147,'11.2. ДА за периода'!$AG$61:$AG$108)+SUMIF('11.2. ДА за периода'!$B$61:$B$108,$B147,'11.2. ДА за периода'!AL$61:AL$108)+SUMIF('11.1.Амортиз.нови активи'!$B$61:$B$108,$B147,'11.1.Амортиз.нови активи'!AL$61:AL$108)</f>
        <v>0</v>
      </c>
      <c r="AM147" s="2972">
        <f>$AG147-SUMIF('11.2. ДА за периода'!$B$61:$B$108,$B147,'11.2. ДА за периода'!$AG$61:$AG$108)+SUMIF('11.2. ДА за периода'!$B$61:$B$108,$B147,'11.2. ДА за периода'!AM$61:AM$108)+SUMIF('11.1.Амортиз.нови активи'!$B$61:$B$108,$B147,'11.1.Амортиз.нови активи'!AM$61:AM$108)</f>
        <v>0</v>
      </c>
      <c r="AN147" s="2860"/>
      <c r="AO147" s="2898"/>
      <c r="AP147" s="1426"/>
    </row>
    <row r="148" spans="1:42" s="1422" customFormat="1">
      <c r="A148" s="2920">
        <v>17</v>
      </c>
      <c r="B148" s="2863">
        <v>2040208</v>
      </c>
      <c r="C148" s="2864">
        <v>0.04</v>
      </c>
      <c r="D148" s="2899" t="s">
        <v>428</v>
      </c>
      <c r="E148" s="448">
        <v>0</v>
      </c>
      <c r="F148" s="2971">
        <f>$E148-SUMIF('11.2. ДА за периода'!$B$61:$B$108,$B148,'11.2. ДА за периода'!$E$61:$E$108)+SUMIF('11.2. ДА за периода'!$B$61:$B$108,$B148,'11.2. ДА за периода'!F$61:F$108)+SUMIF('11.1.Амортиз.нови активи'!$B$61:$B$108,$B148,'11.1.Амортиз.нови активи'!F$61:F$108)+('11.1.Амортиз.нови активи'!F$110*SUMIF('11.1.Амортиз.нови активи'!$B$61:$B$108,$B148,'11.1.Амортиз.нови активи'!AO$61:AO$108))</f>
        <v>0</v>
      </c>
      <c r="G148" s="1226">
        <f>$E148-SUMIF('11.2. ДА за периода'!$B$61:$B$108,$B148,'11.2. ДА за периода'!$E$61:$E$108)+SUMIF('11.2. ДА за периода'!$B$61:$B$108,$B148,'11.2. ДА за периода'!G$61:G$108)+SUMIF('11.1.Амортиз.нови активи'!$B$61:$B$108,$B148,'11.1.Амортиз.нови активи'!G$61:G$108)+('11.1.Амортиз.нови активи'!G$110*SUMIF('11.1.Амортиз.нови активи'!$B$61:$B$108,$B148,'11.1.Амортиз.нови активи'!AP$61:AP$108))</f>
        <v>0</v>
      </c>
      <c r="H148" s="1226">
        <f>$E148-SUMIF('11.2. ДА за периода'!$B$61:$B$108,$B148,'11.2. ДА за периода'!$E$61:$E$108)+SUMIF('11.2. ДА за периода'!$B$61:$B$108,$B148,'11.2. ДА за периода'!H$61:H$108)+SUMIF('11.1.Амортиз.нови активи'!$B$61:$B$108,$B148,'11.1.Амортиз.нови активи'!H$61:H$108)+('11.1.Амортиз.нови активи'!H$110*SUMIF('11.1.Амортиз.нови активи'!$B$61:$B$108,$B148,'11.1.Амортиз.нови активи'!AQ$61:AQ$108))</f>
        <v>0</v>
      </c>
      <c r="I148" s="1226">
        <f>$E148-SUMIF('11.2. ДА за периода'!$B$61:$B$108,$B148,'11.2. ДА за периода'!$E$61:$E$108)+SUMIF('11.2. ДА за периода'!$B$61:$B$108,$B148,'11.2. ДА за периода'!I$61:I$108)+SUMIF('11.1.Амортиз.нови активи'!$B$61:$B$108,$B148,'11.1.Амортиз.нови активи'!I$61:I$108)+('11.1.Амортиз.нови активи'!I$110*SUMIF('11.1.Амортиз.нови активи'!$B$61:$B$108,$B148,'11.1.Амортиз.нови активи'!AR$61:AR$108))</f>
        <v>0</v>
      </c>
      <c r="J148" s="1226">
        <f>$E148-SUMIF('11.2. ДА за периода'!$B$61:$B$108,$B148,'11.2. ДА за периода'!$E$61:$E$108)+SUMIF('11.2. ДА за периода'!$B$61:$B$108,$B148,'11.2. ДА за периода'!J$61:J$108)+SUMIF('11.1.Амортиз.нови активи'!$B$61:$B$108,$B148,'11.1.Амортиз.нови активи'!J$61:J$108)+('11.1.Амортиз.нови активи'!J$110*SUMIF('11.1.Амортиз.нови активи'!$B$61:$B$108,$B148,'11.1.Амортиз.нови активи'!AS$61:AS$108))</f>
        <v>0</v>
      </c>
      <c r="K148" s="1226">
        <f>$E148-SUMIF('11.2. ДА за периода'!$B$61:$B$108,$B148,'11.2. ДА за периода'!$E$61:$E$108)+SUMIF('11.2. ДА за периода'!$B$61:$B$108,$B148,'11.2. ДА за периода'!K$61:K$108)+SUMIF('11.1.Амортиз.нови активи'!$B$61:$B$108,$B148,'11.1.Амортиз.нови активи'!K$61:K$108)+('11.1.Амортиз.нови активи'!K$110*SUMIF('11.1.Амортиз.нови активи'!$B$61:$B$108,$B148,'11.1.Амортиз.нови активи'!AT$61:AT$108))</f>
        <v>0</v>
      </c>
      <c r="L148" s="448">
        <v>0</v>
      </c>
      <c r="M148" s="2971">
        <f>$L148-SUMIF('11.2. ДА за периода'!$B$61:$B$108,$B148,'11.2. ДА за периода'!$L$61:$L$108)+SUMIF('11.2. ДА за периода'!$B$61:$B$108,$B148,'11.2. ДА за периода'!M$61:M$108)+SUMIF('11.1.Амортиз.нови активи'!$B$61:$B$108,$B148,'11.1.Амортиз.нови активи'!M$61:M$108)+('11.1.Амортиз.нови активи'!F$111*SUMIF('11.1.Амортиз.нови активи'!$B$61:$B$108,$B148,'11.1.Амортиз.нови активи'!AO$61:AO$108))</f>
        <v>0</v>
      </c>
      <c r="N148" s="1226">
        <f>$L148-SUMIF('11.2. ДА за периода'!$B$61:$B$108,$B148,'11.2. ДА за периода'!$L$61:$L$108)+SUMIF('11.2. ДА за периода'!$B$61:$B$108,$B148,'11.2. ДА за периода'!N$61:N$108)+SUMIF('11.1.Амортиз.нови активи'!$B$61:$B$108,$B148,'11.1.Амортиз.нови активи'!N$61:N$108)+('11.1.Амортиз.нови активи'!G$111*SUMIF('11.1.Амортиз.нови активи'!$B$61:$B$108,$B148,'11.1.Амортиз.нови активи'!AP$61:AP$108))</f>
        <v>0</v>
      </c>
      <c r="O148" s="1226">
        <f>$L148-SUMIF('11.2. ДА за периода'!$B$61:$B$108,$B148,'11.2. ДА за периода'!$L$61:$L$108)+SUMIF('11.2. ДА за периода'!$B$61:$B$108,$B148,'11.2. ДА за периода'!O$61:O$108)+SUMIF('11.1.Амортиз.нови активи'!$B$61:$B$108,$B148,'11.1.Амортиз.нови активи'!O$61:O$108)+('11.1.Амортиз.нови активи'!H$111*SUMIF('11.1.Амортиз.нови активи'!$B$61:$B$108,$B148,'11.1.Амортиз.нови активи'!AQ$61:AQ$108))</f>
        <v>0</v>
      </c>
      <c r="P148" s="1226">
        <f>$L148-SUMIF('11.2. ДА за периода'!$B$61:$B$108,$B148,'11.2. ДА за периода'!$L$61:$L$108)+SUMIF('11.2. ДА за периода'!$B$61:$B$108,$B148,'11.2. ДА за периода'!P$61:P$108)+SUMIF('11.1.Амортиз.нови активи'!$B$61:$B$108,$B148,'11.1.Амортиз.нови активи'!P$61:P$108)+('11.1.Амортиз.нови активи'!I$111*SUMIF('11.1.Амортиз.нови активи'!$B$61:$B$108,$B148,'11.1.Амортиз.нови активи'!AR$61:AR$108))</f>
        <v>0</v>
      </c>
      <c r="Q148" s="1226">
        <f>$L148-SUMIF('11.2. ДА за периода'!$B$61:$B$108,$B148,'11.2. ДА за периода'!$L$61:$L$108)+SUMIF('11.2. ДА за периода'!$B$61:$B$108,$B148,'11.2. ДА за периода'!Q$61:Q$108)+SUMIF('11.1.Амортиз.нови активи'!$B$61:$B$108,$B148,'11.1.Амортиз.нови активи'!Q$61:Q$108)+('11.1.Амортиз.нови активи'!J$111*SUMIF('11.1.Амортиз.нови активи'!$B$61:$B$108,$B148,'11.1.Амортиз.нови активи'!AS$61:AS$108))</f>
        <v>0</v>
      </c>
      <c r="R148" s="2972">
        <f>$L148-SUMIF('11.2. ДА за периода'!$B$61:$B$108,$B148,'11.2. ДА за периода'!$L$61:$L$108)+SUMIF('11.2. ДА за периода'!$B$61:$B$108,$B148,'11.2. ДА за периода'!R$61:R$108)+SUMIF('11.1.Амортиз.нови активи'!$B$61:$B$108,$B148,'11.1.Амортиз.нови активи'!R$61:R$108)+('11.1.Амортиз.нови активи'!K$111*SUMIF('11.1.Амортиз.нови активи'!$B$61:$B$108,$B148,'11.1.Амортиз.нови активи'!AT$61:AT$108))</f>
        <v>0</v>
      </c>
      <c r="S148" s="448">
        <v>0</v>
      </c>
      <c r="T148" s="2971">
        <f>$S148-SUMIF('11.2. ДА за периода'!$B$61:$B$108,$B148,'11.2. ДА за периода'!$S$61:$S$108)+SUMIF('11.2. ДА за периода'!$B$61:$B$108,$B148,'11.2. ДА за периода'!T$61:T$108)+SUMIF('11.1.Амортиз.нови активи'!$B$61:$B$108,$B148,'11.1.Амортиз.нови активи'!T$61:T$108)+('11.1.Амортиз.нови активи'!F$112*SUMIF('11.1.Амортиз.нови активи'!$B$61:$B$108,$B148,'11.1.Амортиз.нови активи'!AO$61:AO$108))</f>
        <v>0</v>
      </c>
      <c r="U148" s="1226">
        <f>$S148-SUMIF('11.2. ДА за периода'!$B$61:$B$108,$B148,'11.2. ДА за периода'!$S$61:$S$108)+SUMIF('11.2. ДА за периода'!$B$61:$B$108,$B148,'11.2. ДА за периода'!U$61:U$108)+SUMIF('11.1.Амортиз.нови активи'!$B$61:$B$108,$B148,'11.1.Амортиз.нови активи'!U$61:U$108)+('11.1.Амортиз.нови активи'!G$112*SUMIF('11.1.Амортиз.нови активи'!$B$61:$B$108,$B148,'11.1.Амортиз.нови активи'!AP$61:AP$108))</f>
        <v>0</v>
      </c>
      <c r="V148" s="1226">
        <f>$S148-SUMIF('11.2. ДА за периода'!$B$61:$B$108,$B148,'11.2. ДА за периода'!$S$61:$S$108)+SUMIF('11.2. ДА за периода'!$B$61:$B$108,$B148,'11.2. ДА за периода'!V$61:V$108)+SUMIF('11.1.Амортиз.нови активи'!$B$61:$B$108,$B148,'11.1.Амортиз.нови активи'!V$61:V$108)+('11.1.Амортиз.нови активи'!H$112*SUMIF('11.1.Амортиз.нови активи'!$B$61:$B$108,$B148,'11.1.Амортиз.нови активи'!AQ$61:AQ$108))</f>
        <v>0</v>
      </c>
      <c r="W148" s="1226">
        <f>$S148-SUMIF('11.2. ДА за периода'!$B$61:$B$108,$B148,'11.2. ДА за периода'!$S$61:$S$108)+SUMIF('11.2. ДА за периода'!$B$61:$B$108,$B148,'11.2. ДА за периода'!W$61:W$108)+SUMIF('11.1.Амортиз.нови активи'!$B$61:$B$108,$B148,'11.1.Амортиз.нови активи'!W$61:W$108)+('11.1.Амортиз.нови активи'!I$112*SUMIF('11.1.Амортиз.нови активи'!$B$61:$B$108,$B148,'11.1.Амортиз.нови активи'!AR$61:AR$108))</f>
        <v>0</v>
      </c>
      <c r="X148" s="1226">
        <f>$S148-SUMIF('11.2. ДА за периода'!$B$61:$B$108,$B148,'11.2. ДА за периода'!$S$61:$S$108)+SUMIF('11.2. ДА за периода'!$B$61:$B$108,$B148,'11.2. ДА за периода'!X$61:X$108)+SUMIF('11.1.Амортиз.нови активи'!$B$61:$B$108,$B148,'11.1.Амортиз.нови активи'!X$61:X$108)+('11.1.Амортиз.нови активи'!J$112*SUMIF('11.1.Амортиз.нови активи'!$B$61:$B$108,$B148,'11.1.Амортиз.нови активи'!AS$61:AS$108))</f>
        <v>0</v>
      </c>
      <c r="Y148" s="2972">
        <f>$S148-SUMIF('11.2. ДА за периода'!$B$61:$B$108,$B148,'11.2. ДА за периода'!$S$61:$S$108)+SUMIF('11.2. ДА за периода'!$B$61:$B$108,$B148,'11.2. ДА за периода'!Y$61:Y$108)+SUMIF('11.1.Амортиз.нови активи'!$B$61:$B$108,$B148,'11.1.Амортиз.нови активи'!Y$61:Y$108)+('11.1.Амортиз.нови активи'!K$112*SUMIF('11.1.Амортиз.нови активи'!$B$61:$B$108,$B148,'11.1.Амортиз.нови активи'!AT$61:AT$108))</f>
        <v>0</v>
      </c>
      <c r="Z148" s="448">
        <v>0</v>
      </c>
      <c r="AA148" s="2971">
        <f>$Z148-SUMIF('11.2. ДА за периода'!$B$61:$B$108,$B148,'11.2. ДА за периода'!$Z$61:$Z$108)+SUMIF('11.2. ДА за периода'!$B$61:$B$108,$B148,'11.2. ДА за периода'!AA$61:AA$108)+SUMIF('11.1.Амортиз.нови активи'!$B$61:$B$108,$B148,'11.1.Амортиз.нови активи'!AA$61:AA$108)</f>
        <v>0</v>
      </c>
      <c r="AB148" s="1226">
        <f>$Z148-SUMIF('11.2. ДА за периода'!$B$61:$B$108,$B148,'11.2. ДА за периода'!$Z$61:$Z$108)+SUMIF('11.2. ДА за периода'!$B$61:$B$108,$B148,'11.2. ДА за периода'!AB$61:AB$108)+SUMIF('11.1.Амортиз.нови активи'!$B$61:$B$108,$B148,'11.1.Амортиз.нови активи'!AB$61:AB$108)</f>
        <v>0</v>
      </c>
      <c r="AC148" s="1226">
        <f>$Z148-SUMIF('11.2. ДА за периода'!$B$61:$B$108,$B148,'11.2. ДА за периода'!$Z$61:$Z$108)+SUMIF('11.2. ДА за периода'!$B$61:$B$108,$B148,'11.2. ДА за периода'!AC$61:AC$108)+SUMIF('11.1.Амортиз.нови активи'!$B$61:$B$108,$B148,'11.1.Амортиз.нови активи'!AC$61:AC$108)</f>
        <v>0</v>
      </c>
      <c r="AD148" s="1226">
        <f>$Z148-SUMIF('11.2. ДА за периода'!$B$61:$B$108,$B148,'11.2. ДА за периода'!$Z$61:$Z$108)+SUMIF('11.2. ДА за периода'!$B$61:$B$108,$B148,'11.2. ДА за периода'!AD$61:AD$108)+SUMIF('11.1.Амортиз.нови активи'!$B$61:$B$108,$B148,'11.1.Амортиз.нови активи'!AD$61:AD$108)</f>
        <v>0</v>
      </c>
      <c r="AE148" s="1226">
        <f>$Z148-SUMIF('11.2. ДА за периода'!$B$61:$B$108,$B148,'11.2. ДА за периода'!$Z$61:$Z$108)+SUMIF('11.2. ДА за периода'!$B$61:$B$108,$B148,'11.2. ДА за периода'!AE$61:AE$108)+SUMIF('11.1.Амортиз.нови активи'!$B$61:$B$108,$B148,'11.1.Амортиз.нови активи'!AE$61:AE$108)</f>
        <v>0</v>
      </c>
      <c r="AF148" s="2972">
        <f>$Z148-SUMIF('11.2. ДА за периода'!$B$61:$B$108,$B148,'11.2. ДА за периода'!$Z$61:$Z$108)+SUMIF('11.2. ДА за периода'!$B$61:$B$108,$B148,'11.2. ДА за периода'!AF$61:AF$108)+SUMIF('11.1.Амортиз.нови активи'!$B$61:$B$108,$B148,'11.1.Амортиз.нови активи'!AF$61:AF$108)</f>
        <v>0</v>
      </c>
      <c r="AG148" s="448"/>
      <c r="AH148" s="2971">
        <f>$AG148-SUMIF('11.2. ДА за периода'!$B$61:$B$108,$B148,'11.2. ДА за периода'!$AG$61:$AG$108)+SUMIF('11.2. ДА за периода'!$B$61:$B$108,$B148,'11.2. ДА за периода'!AH$61:AH$108)+SUMIF('11.1.Амортиз.нови активи'!$B$61:$B$108,$B148,'11.1.Амортиз.нови активи'!AH$61:AH$108)</f>
        <v>0</v>
      </c>
      <c r="AI148" s="1226">
        <f>$AG148-SUMIF('11.2. ДА за периода'!$B$61:$B$108,$B148,'11.2. ДА за периода'!$AG$61:$AG$108)+SUMIF('11.2. ДА за периода'!$B$61:$B$108,$B148,'11.2. ДА за периода'!AI$61:AI$108)+SUMIF('11.1.Амортиз.нови активи'!$B$61:$B$108,$B148,'11.1.Амортиз.нови активи'!AI$61:AI$108)</f>
        <v>0</v>
      </c>
      <c r="AJ148" s="1226">
        <f>$AG148-SUMIF('11.2. ДА за периода'!$B$61:$B$108,$B148,'11.2. ДА за периода'!$AG$61:$AG$108)+SUMIF('11.2. ДА за периода'!$B$61:$B$108,$B148,'11.2. ДА за периода'!AJ$61:AJ$108)+SUMIF('11.1.Амортиз.нови активи'!$B$61:$B$108,$B148,'11.1.Амортиз.нови активи'!AJ$61:AJ$108)</f>
        <v>0</v>
      </c>
      <c r="AK148" s="1226">
        <f>$AG148-SUMIF('11.2. ДА за периода'!$B$61:$B$108,$B148,'11.2. ДА за периода'!$AG$61:$AG$108)+SUMIF('11.2. ДА за периода'!$B$61:$B$108,$B148,'11.2. ДА за периода'!AK$61:AK$108)+SUMIF('11.1.Амортиз.нови активи'!$B$61:$B$108,$B148,'11.1.Амортиз.нови активи'!AK$61:AK$108)</f>
        <v>0</v>
      </c>
      <c r="AL148" s="1226">
        <f>$AG148-SUMIF('11.2. ДА за периода'!$B$61:$B$108,$B148,'11.2. ДА за периода'!$AG$61:$AG$108)+SUMIF('11.2. ДА за периода'!$B$61:$B$108,$B148,'11.2. ДА за периода'!AL$61:AL$108)+SUMIF('11.1.Амортиз.нови активи'!$B$61:$B$108,$B148,'11.1.Амортиз.нови активи'!AL$61:AL$108)</f>
        <v>0</v>
      </c>
      <c r="AM148" s="2972">
        <f>$AG148-SUMIF('11.2. ДА за периода'!$B$61:$B$108,$B148,'11.2. ДА за периода'!$AG$61:$AG$108)+SUMIF('11.2. ДА за периода'!$B$61:$B$108,$B148,'11.2. ДА за периода'!AM$61:AM$108)+SUMIF('11.1.Амортиз.нови активи'!$B$61:$B$108,$B148,'11.1.Амортиз.нови активи'!AM$61:AM$108)</f>
        <v>0</v>
      </c>
      <c r="AN148" s="2860"/>
      <c r="AO148" s="2898"/>
      <c r="AP148" s="1426"/>
    </row>
    <row r="149" spans="1:42" s="1422" customFormat="1">
      <c r="A149" s="2920">
        <v>18</v>
      </c>
      <c r="B149" s="2921" t="s">
        <v>1061</v>
      </c>
      <c r="C149" s="2864">
        <v>0.04</v>
      </c>
      <c r="D149" s="2918" t="s">
        <v>439</v>
      </c>
      <c r="E149" s="448">
        <v>0</v>
      </c>
      <c r="F149" s="2971">
        <f>$E149-SUMIF('11.2. ДА за периода'!$B$61:$B$108,$B149,'11.2. ДА за периода'!$E$61:$E$108)+SUMIF('11.2. ДА за периода'!$B$61:$B$108,$B149,'11.2. ДА за периода'!F$61:F$108)+SUMIF('11.1.Амортиз.нови активи'!$B$61:$B$108,$B149,'11.1.Амортиз.нови активи'!F$61:F$108)+('11.1.Амортиз.нови активи'!F$110*SUMIF('11.1.Амортиз.нови активи'!$B$61:$B$108,$B149,'11.1.Амортиз.нови активи'!AO$61:AO$108))</f>
        <v>0</v>
      </c>
      <c r="G149" s="1226">
        <f>$E149-SUMIF('11.2. ДА за периода'!$B$61:$B$108,$B149,'11.2. ДА за периода'!$E$61:$E$108)+SUMIF('11.2. ДА за периода'!$B$61:$B$108,$B149,'11.2. ДА за периода'!G$61:G$108)+SUMIF('11.1.Амортиз.нови активи'!$B$61:$B$108,$B149,'11.1.Амортиз.нови активи'!G$61:G$108)+('11.1.Амортиз.нови активи'!G$110*SUMIF('11.1.Амортиз.нови активи'!$B$61:$B$108,$B149,'11.1.Амортиз.нови активи'!AP$61:AP$108))</f>
        <v>0</v>
      </c>
      <c r="H149" s="1226">
        <f>$E149-SUMIF('11.2. ДА за периода'!$B$61:$B$108,$B149,'11.2. ДА за периода'!$E$61:$E$108)+SUMIF('11.2. ДА за периода'!$B$61:$B$108,$B149,'11.2. ДА за периода'!H$61:H$108)+SUMIF('11.1.Амортиз.нови активи'!$B$61:$B$108,$B149,'11.1.Амортиз.нови активи'!H$61:H$108)+('11.1.Амортиз.нови активи'!H$110*SUMIF('11.1.Амортиз.нови активи'!$B$61:$B$108,$B149,'11.1.Амортиз.нови активи'!AQ$61:AQ$108))</f>
        <v>0</v>
      </c>
      <c r="I149" s="1226">
        <f>$E149-SUMIF('11.2. ДА за периода'!$B$61:$B$108,$B149,'11.2. ДА за периода'!$E$61:$E$108)+SUMIF('11.2. ДА за периода'!$B$61:$B$108,$B149,'11.2. ДА за периода'!I$61:I$108)+SUMIF('11.1.Амортиз.нови активи'!$B$61:$B$108,$B149,'11.1.Амортиз.нови активи'!I$61:I$108)+('11.1.Амортиз.нови активи'!I$110*SUMIF('11.1.Амортиз.нови активи'!$B$61:$B$108,$B149,'11.1.Амортиз.нови активи'!AR$61:AR$108))</f>
        <v>0</v>
      </c>
      <c r="J149" s="1226">
        <f>$E149-SUMIF('11.2. ДА за периода'!$B$61:$B$108,$B149,'11.2. ДА за периода'!$E$61:$E$108)+SUMIF('11.2. ДА за периода'!$B$61:$B$108,$B149,'11.2. ДА за периода'!J$61:J$108)+SUMIF('11.1.Амортиз.нови активи'!$B$61:$B$108,$B149,'11.1.Амортиз.нови активи'!J$61:J$108)+('11.1.Амортиз.нови активи'!J$110*SUMIF('11.1.Амортиз.нови активи'!$B$61:$B$108,$B149,'11.1.Амортиз.нови активи'!AS$61:AS$108))</f>
        <v>0</v>
      </c>
      <c r="K149" s="1226">
        <f>$E149-SUMIF('11.2. ДА за периода'!$B$61:$B$108,$B149,'11.2. ДА за периода'!$E$61:$E$108)+SUMIF('11.2. ДА за периода'!$B$61:$B$108,$B149,'11.2. ДА за периода'!K$61:K$108)+SUMIF('11.1.Амортиз.нови активи'!$B$61:$B$108,$B149,'11.1.Амортиз.нови активи'!K$61:K$108)+('11.1.Амортиз.нови активи'!K$110*SUMIF('11.1.Амортиз.нови активи'!$B$61:$B$108,$B149,'11.1.Амортиз.нови активи'!AT$61:AT$108))</f>
        <v>0</v>
      </c>
      <c r="L149" s="448">
        <v>0</v>
      </c>
      <c r="M149" s="2971">
        <f>$L149-SUMIF('11.2. ДА за периода'!$B$61:$B$108,$B149,'11.2. ДА за периода'!$L$61:$L$108)+SUMIF('11.2. ДА за периода'!$B$61:$B$108,$B149,'11.2. ДА за периода'!M$61:M$108)+SUMIF('11.1.Амортиз.нови активи'!$B$61:$B$108,$B149,'11.1.Амортиз.нови активи'!M$61:M$108)+('11.1.Амортиз.нови активи'!F$111*SUMIF('11.1.Амортиз.нови активи'!$B$61:$B$108,$B149,'11.1.Амортиз.нови активи'!AO$61:AO$108))</f>
        <v>0</v>
      </c>
      <c r="N149" s="1226">
        <f>$L149-SUMIF('11.2. ДА за периода'!$B$61:$B$108,$B149,'11.2. ДА за периода'!$L$61:$L$108)+SUMIF('11.2. ДА за периода'!$B$61:$B$108,$B149,'11.2. ДА за периода'!N$61:N$108)+SUMIF('11.1.Амортиз.нови активи'!$B$61:$B$108,$B149,'11.1.Амортиз.нови активи'!N$61:N$108)+('11.1.Амортиз.нови активи'!G$111*SUMIF('11.1.Амортиз.нови активи'!$B$61:$B$108,$B149,'11.1.Амортиз.нови активи'!AP$61:AP$108))</f>
        <v>0</v>
      </c>
      <c r="O149" s="1226">
        <f>$L149-SUMIF('11.2. ДА за периода'!$B$61:$B$108,$B149,'11.2. ДА за периода'!$L$61:$L$108)+SUMIF('11.2. ДА за периода'!$B$61:$B$108,$B149,'11.2. ДА за периода'!O$61:O$108)+SUMIF('11.1.Амортиз.нови активи'!$B$61:$B$108,$B149,'11.1.Амортиз.нови активи'!O$61:O$108)+('11.1.Амортиз.нови активи'!H$111*SUMIF('11.1.Амортиз.нови активи'!$B$61:$B$108,$B149,'11.1.Амортиз.нови активи'!AQ$61:AQ$108))</f>
        <v>0</v>
      </c>
      <c r="P149" s="1226">
        <f>$L149-SUMIF('11.2. ДА за периода'!$B$61:$B$108,$B149,'11.2. ДА за периода'!$L$61:$L$108)+SUMIF('11.2. ДА за периода'!$B$61:$B$108,$B149,'11.2. ДА за периода'!P$61:P$108)+SUMIF('11.1.Амортиз.нови активи'!$B$61:$B$108,$B149,'11.1.Амортиз.нови активи'!P$61:P$108)+('11.1.Амортиз.нови активи'!I$111*SUMIF('11.1.Амортиз.нови активи'!$B$61:$B$108,$B149,'11.1.Амортиз.нови активи'!AR$61:AR$108))</f>
        <v>0</v>
      </c>
      <c r="Q149" s="1226">
        <f>$L149-SUMIF('11.2. ДА за периода'!$B$61:$B$108,$B149,'11.2. ДА за периода'!$L$61:$L$108)+SUMIF('11.2. ДА за периода'!$B$61:$B$108,$B149,'11.2. ДА за периода'!Q$61:Q$108)+SUMIF('11.1.Амортиз.нови активи'!$B$61:$B$108,$B149,'11.1.Амортиз.нови активи'!Q$61:Q$108)+('11.1.Амортиз.нови активи'!J$111*SUMIF('11.1.Амортиз.нови активи'!$B$61:$B$108,$B149,'11.1.Амортиз.нови активи'!AS$61:AS$108))</f>
        <v>0</v>
      </c>
      <c r="R149" s="2972">
        <f>$L149-SUMIF('11.2. ДА за периода'!$B$61:$B$108,$B149,'11.2. ДА за периода'!$L$61:$L$108)+SUMIF('11.2. ДА за периода'!$B$61:$B$108,$B149,'11.2. ДА за периода'!R$61:R$108)+SUMIF('11.1.Амортиз.нови активи'!$B$61:$B$108,$B149,'11.1.Амортиз.нови активи'!R$61:R$108)+('11.1.Амортиз.нови активи'!K$111*SUMIF('11.1.Амортиз.нови активи'!$B$61:$B$108,$B149,'11.1.Амортиз.нови активи'!AT$61:AT$108))</f>
        <v>0</v>
      </c>
      <c r="S149" s="448">
        <v>0</v>
      </c>
      <c r="T149" s="2971">
        <f>$S149-SUMIF('11.2. ДА за периода'!$B$61:$B$108,$B149,'11.2. ДА за периода'!$S$61:$S$108)+SUMIF('11.2. ДА за периода'!$B$61:$B$108,$B149,'11.2. ДА за периода'!T$61:T$108)+SUMIF('11.1.Амортиз.нови активи'!$B$61:$B$108,$B149,'11.1.Амортиз.нови активи'!T$61:T$108)+('11.1.Амортиз.нови активи'!F$112*SUMIF('11.1.Амортиз.нови активи'!$B$61:$B$108,$B149,'11.1.Амортиз.нови активи'!AO$61:AO$108))</f>
        <v>0</v>
      </c>
      <c r="U149" s="1226">
        <f>$S149-SUMIF('11.2. ДА за периода'!$B$61:$B$108,$B149,'11.2. ДА за периода'!$S$61:$S$108)+SUMIF('11.2. ДА за периода'!$B$61:$B$108,$B149,'11.2. ДА за периода'!U$61:U$108)+SUMIF('11.1.Амортиз.нови активи'!$B$61:$B$108,$B149,'11.1.Амортиз.нови активи'!U$61:U$108)+('11.1.Амортиз.нови активи'!G$112*SUMIF('11.1.Амортиз.нови активи'!$B$61:$B$108,$B149,'11.1.Амортиз.нови активи'!AP$61:AP$108))</f>
        <v>0</v>
      </c>
      <c r="V149" s="1226">
        <f>$S149-SUMIF('11.2. ДА за периода'!$B$61:$B$108,$B149,'11.2. ДА за периода'!$S$61:$S$108)+SUMIF('11.2. ДА за периода'!$B$61:$B$108,$B149,'11.2. ДА за периода'!V$61:V$108)+SUMIF('11.1.Амортиз.нови активи'!$B$61:$B$108,$B149,'11.1.Амортиз.нови активи'!V$61:V$108)+('11.1.Амортиз.нови активи'!H$112*SUMIF('11.1.Амортиз.нови активи'!$B$61:$B$108,$B149,'11.1.Амортиз.нови активи'!AQ$61:AQ$108))</f>
        <v>0</v>
      </c>
      <c r="W149" s="1226">
        <f>$S149-SUMIF('11.2. ДА за периода'!$B$61:$B$108,$B149,'11.2. ДА за периода'!$S$61:$S$108)+SUMIF('11.2. ДА за периода'!$B$61:$B$108,$B149,'11.2. ДА за периода'!W$61:W$108)+SUMIF('11.1.Амортиз.нови активи'!$B$61:$B$108,$B149,'11.1.Амортиз.нови активи'!W$61:W$108)+('11.1.Амортиз.нови активи'!I$112*SUMIF('11.1.Амортиз.нови активи'!$B$61:$B$108,$B149,'11.1.Амортиз.нови активи'!AR$61:AR$108))</f>
        <v>0</v>
      </c>
      <c r="X149" s="1226">
        <f>$S149-SUMIF('11.2. ДА за периода'!$B$61:$B$108,$B149,'11.2. ДА за периода'!$S$61:$S$108)+SUMIF('11.2. ДА за периода'!$B$61:$B$108,$B149,'11.2. ДА за периода'!X$61:X$108)+SUMIF('11.1.Амортиз.нови активи'!$B$61:$B$108,$B149,'11.1.Амортиз.нови активи'!X$61:X$108)+('11.1.Амортиз.нови активи'!J$112*SUMIF('11.1.Амортиз.нови активи'!$B$61:$B$108,$B149,'11.1.Амортиз.нови активи'!AS$61:AS$108))</f>
        <v>0</v>
      </c>
      <c r="Y149" s="2972">
        <f>$S149-SUMIF('11.2. ДА за периода'!$B$61:$B$108,$B149,'11.2. ДА за периода'!$S$61:$S$108)+SUMIF('11.2. ДА за периода'!$B$61:$B$108,$B149,'11.2. ДА за периода'!Y$61:Y$108)+SUMIF('11.1.Амортиз.нови активи'!$B$61:$B$108,$B149,'11.1.Амортиз.нови активи'!Y$61:Y$108)+('11.1.Амортиз.нови активи'!K$112*SUMIF('11.1.Амортиз.нови активи'!$B$61:$B$108,$B149,'11.1.Амортиз.нови активи'!AT$61:AT$108))</f>
        <v>0</v>
      </c>
      <c r="Z149" s="448">
        <v>0</v>
      </c>
      <c r="AA149" s="2971">
        <f>$Z149-SUMIF('11.2. ДА за периода'!$B$61:$B$108,$B149,'11.2. ДА за периода'!$Z$61:$Z$108)+SUMIF('11.2. ДА за периода'!$B$61:$B$108,$B149,'11.2. ДА за периода'!AA$61:AA$108)+SUMIF('11.1.Амортиз.нови активи'!$B$61:$B$108,$B149,'11.1.Амортиз.нови активи'!AA$61:AA$108)</f>
        <v>0</v>
      </c>
      <c r="AB149" s="1226">
        <f>$Z149-SUMIF('11.2. ДА за периода'!$B$61:$B$108,$B149,'11.2. ДА за периода'!$Z$61:$Z$108)+SUMIF('11.2. ДА за периода'!$B$61:$B$108,$B149,'11.2. ДА за периода'!AB$61:AB$108)+SUMIF('11.1.Амортиз.нови активи'!$B$61:$B$108,$B149,'11.1.Амортиз.нови активи'!AB$61:AB$108)</f>
        <v>0</v>
      </c>
      <c r="AC149" s="1226">
        <f>$Z149-SUMIF('11.2. ДА за периода'!$B$61:$B$108,$B149,'11.2. ДА за периода'!$Z$61:$Z$108)+SUMIF('11.2. ДА за периода'!$B$61:$B$108,$B149,'11.2. ДА за периода'!AC$61:AC$108)+SUMIF('11.1.Амортиз.нови активи'!$B$61:$B$108,$B149,'11.1.Амортиз.нови активи'!AC$61:AC$108)</f>
        <v>0</v>
      </c>
      <c r="AD149" s="1226">
        <f>$Z149-SUMIF('11.2. ДА за периода'!$B$61:$B$108,$B149,'11.2. ДА за периода'!$Z$61:$Z$108)+SUMIF('11.2. ДА за периода'!$B$61:$B$108,$B149,'11.2. ДА за периода'!AD$61:AD$108)+SUMIF('11.1.Амортиз.нови активи'!$B$61:$B$108,$B149,'11.1.Амортиз.нови активи'!AD$61:AD$108)</f>
        <v>0</v>
      </c>
      <c r="AE149" s="1226">
        <f>$Z149-SUMIF('11.2. ДА за периода'!$B$61:$B$108,$B149,'11.2. ДА за периода'!$Z$61:$Z$108)+SUMIF('11.2. ДА за периода'!$B$61:$B$108,$B149,'11.2. ДА за периода'!AE$61:AE$108)+SUMIF('11.1.Амортиз.нови активи'!$B$61:$B$108,$B149,'11.1.Амортиз.нови активи'!AE$61:AE$108)</f>
        <v>0</v>
      </c>
      <c r="AF149" s="2972">
        <f>$Z149-SUMIF('11.2. ДА за периода'!$B$61:$B$108,$B149,'11.2. ДА за периода'!$Z$61:$Z$108)+SUMIF('11.2. ДА за периода'!$B$61:$B$108,$B149,'11.2. ДА за периода'!AF$61:AF$108)+SUMIF('11.1.Амортиз.нови активи'!$B$61:$B$108,$B149,'11.1.Амортиз.нови активи'!AF$61:AF$108)</f>
        <v>0</v>
      </c>
      <c r="AG149" s="448"/>
      <c r="AH149" s="2971">
        <f>$AG149-SUMIF('11.2. ДА за периода'!$B$61:$B$108,$B149,'11.2. ДА за периода'!$AG$61:$AG$108)+SUMIF('11.2. ДА за периода'!$B$61:$B$108,$B149,'11.2. ДА за периода'!AH$61:AH$108)+SUMIF('11.1.Амортиз.нови активи'!$B$61:$B$108,$B149,'11.1.Амортиз.нови активи'!AH$61:AH$108)</f>
        <v>0</v>
      </c>
      <c r="AI149" s="1226">
        <f>$AG149-SUMIF('11.2. ДА за периода'!$B$61:$B$108,$B149,'11.2. ДА за периода'!$AG$61:$AG$108)+SUMIF('11.2. ДА за периода'!$B$61:$B$108,$B149,'11.2. ДА за периода'!AI$61:AI$108)+SUMIF('11.1.Амортиз.нови активи'!$B$61:$B$108,$B149,'11.1.Амортиз.нови активи'!AI$61:AI$108)</f>
        <v>0</v>
      </c>
      <c r="AJ149" s="1226">
        <f>$AG149-SUMIF('11.2. ДА за периода'!$B$61:$B$108,$B149,'11.2. ДА за периода'!$AG$61:$AG$108)+SUMIF('11.2. ДА за периода'!$B$61:$B$108,$B149,'11.2. ДА за периода'!AJ$61:AJ$108)+SUMIF('11.1.Амортиз.нови активи'!$B$61:$B$108,$B149,'11.1.Амортиз.нови активи'!AJ$61:AJ$108)</f>
        <v>0</v>
      </c>
      <c r="AK149" s="1226">
        <f>$AG149-SUMIF('11.2. ДА за периода'!$B$61:$B$108,$B149,'11.2. ДА за периода'!$AG$61:$AG$108)+SUMIF('11.2. ДА за периода'!$B$61:$B$108,$B149,'11.2. ДА за периода'!AK$61:AK$108)+SUMIF('11.1.Амортиз.нови активи'!$B$61:$B$108,$B149,'11.1.Амортиз.нови активи'!AK$61:AK$108)</f>
        <v>0</v>
      </c>
      <c r="AL149" s="1226">
        <f>$AG149-SUMIF('11.2. ДА за периода'!$B$61:$B$108,$B149,'11.2. ДА за периода'!$AG$61:$AG$108)+SUMIF('11.2. ДА за периода'!$B$61:$B$108,$B149,'11.2. ДА за периода'!AL$61:AL$108)+SUMIF('11.1.Амортиз.нови активи'!$B$61:$B$108,$B149,'11.1.Амортиз.нови активи'!AL$61:AL$108)</f>
        <v>0</v>
      </c>
      <c r="AM149" s="2972">
        <f>$AG149-SUMIF('11.2. ДА за периода'!$B$61:$B$108,$B149,'11.2. ДА за периода'!$AG$61:$AG$108)+SUMIF('11.2. ДА за периода'!$B$61:$B$108,$B149,'11.2. ДА за периода'!AM$61:AM$108)+SUMIF('11.1.Амортиз.нови активи'!$B$61:$B$108,$B149,'11.1.Амортиз.нови активи'!AM$61:AM$108)</f>
        <v>0</v>
      </c>
      <c r="AN149" s="2860"/>
      <c r="AO149" s="2898"/>
      <c r="AP149" s="1426"/>
    </row>
    <row r="150" spans="1:42" s="1422" customFormat="1" ht="24.75" thickBot="1">
      <c r="A150" s="2920">
        <v>19</v>
      </c>
      <c r="B150" s="2863">
        <v>215</v>
      </c>
      <c r="C150" s="2869">
        <v>0.2</v>
      </c>
      <c r="D150" s="2899" t="s">
        <v>685</v>
      </c>
      <c r="E150" s="448">
        <v>1</v>
      </c>
      <c r="F150" s="2971">
        <f>$E150-SUMIF('11.2. ДА за периода'!$B$61:$B$108,$B150,'11.2. ДА за периода'!$E$61:$E$108)+SUMIF('11.2. ДА за периода'!$B$61:$B$108,$B150,'11.2. ДА за периода'!F$61:F$108)+SUMIF('11.1.Амортиз.нови активи'!$B$61:$B$108,$B150,'11.1.Амортиз.нови активи'!F$61:F$108)+('11.1.Амортиз.нови активи'!F$110*SUMIF('11.1.Амортиз.нови активи'!$B$61:$B$108,$B150,'11.1.Амортиз.нови активи'!AO$61:AO$108))</f>
        <v>1</v>
      </c>
      <c r="G150" s="1226">
        <f>$E150-SUMIF('11.2. ДА за периода'!$B$61:$B$108,$B150,'11.2. ДА за периода'!$E$61:$E$108)+SUMIF('11.2. ДА за периода'!$B$61:$B$108,$B150,'11.2. ДА за периода'!G$61:G$108)+SUMIF('11.1.Амортиз.нови активи'!$B$61:$B$108,$B150,'11.1.Амортиз.нови активи'!G$61:G$108)+('11.1.Амортиз.нови активи'!G$110*SUMIF('11.1.Амортиз.нови активи'!$B$61:$B$108,$B150,'11.1.Амортиз.нови активи'!AP$61:AP$108))</f>
        <v>8.6434278896464569</v>
      </c>
      <c r="H150" s="1226">
        <f>$E150-SUMIF('11.2. ДА за периода'!$B$61:$B$108,$B150,'11.2. ДА за периода'!$E$61:$E$108)+SUMIF('11.2. ДА за периода'!$B$61:$B$108,$B150,'11.2. ДА за периода'!H$61:H$108)+SUMIF('11.1.Амортиз.нови активи'!$B$61:$B$108,$B150,'11.1.Амортиз.нови активи'!H$61:H$108)+('11.1.Амортиз.нови активи'!H$110*SUMIF('11.1.Амортиз.нови активи'!$B$61:$B$108,$B150,'11.1.Амортиз.нови активи'!AQ$61:AQ$108))</f>
        <v>13.052537205078517</v>
      </c>
      <c r="I150" s="1226">
        <f>$E150-SUMIF('11.2. ДА за периода'!$B$61:$B$108,$B150,'11.2. ДА за периода'!$E$61:$E$108)+SUMIF('11.2. ДА за периода'!$B$61:$B$108,$B150,'11.2. ДА за периода'!I$61:I$108)+SUMIF('11.1.Амортиз.нови активи'!$B$61:$B$108,$B150,'11.1.Амортиз.нови активи'!I$61:I$108)+('11.1.Амортиз.нови активи'!I$110*SUMIF('11.1.Амортиз.нови активи'!$B$61:$B$108,$B150,'11.1.Амортиз.нови активи'!AR$61:AR$108))</f>
        <v>8.9718760780865185</v>
      </c>
      <c r="J150" s="1226">
        <f>$E150-SUMIF('11.2. ДА за периода'!$B$61:$B$108,$B150,'11.2. ДА за периода'!$E$61:$E$108)+SUMIF('11.2. ДА за периода'!$B$61:$B$108,$B150,'11.2. ДА за периода'!J$61:J$108)+SUMIF('11.1.Амортиз.нови активи'!$B$61:$B$108,$B150,'11.1.Амортиз.нови активи'!J$61:J$108)+('11.1.Амортиз.нови активи'!J$110*SUMIF('11.1.Амортиз.нови активи'!$B$61:$B$108,$B150,'11.1.Амортиз.нови активи'!AS$61:AS$108))</f>
        <v>10.027171948266444</v>
      </c>
      <c r="K150" s="1226">
        <f>$E150-SUMIF('11.2. ДА за периода'!$B$61:$B$108,$B150,'11.2. ДА за периода'!$E$61:$E$108)+SUMIF('11.2. ДА за периода'!$B$61:$B$108,$B150,'11.2. ДА за периода'!K$61:K$108)+SUMIF('11.1.Амортиз.нови активи'!$B$61:$B$108,$B150,'11.1.Амортиз.нови активи'!K$61:K$108)+('11.1.Амортиз.нови активи'!K$110*SUMIF('11.1.Амортиз.нови активи'!$B$61:$B$108,$B150,'11.1.Амортиз.нови активи'!AT$61:AT$108))</f>
        <v>1.0527241565012329</v>
      </c>
      <c r="L150" s="448">
        <v>0</v>
      </c>
      <c r="M150" s="2988">
        <f>$L150-SUMIF('11.2. ДА за периода'!$B$61:$B$108,$B150,'11.2. ДА за периода'!$L$61:$L$108)+SUMIF('11.2. ДА за периода'!$B$61:$B$108,$B150,'11.2. ДА за периода'!M$61:M$108)+SUMIF('11.1.Амортиз.нови активи'!$B$61:$B$108,$B150,'11.1.Амортиз.нови активи'!M$61:M$108)+('11.1.Амортиз.нови активи'!F$111*SUMIF('11.1.Амортиз.нови активи'!$B$61:$B$108,$B150,'11.1.Амортиз.нови активи'!AO$61:AO$108))</f>
        <v>0</v>
      </c>
      <c r="N150" s="1228">
        <f>$L150-SUMIF('11.2. ДА за периода'!$B$61:$B$108,$B150,'11.2. ДА за периода'!$L$61:$L$108)+SUMIF('11.2. ДА за периода'!$B$61:$B$108,$B150,'11.2. ДА за периода'!N$61:N$108)+SUMIF('11.1.Амортиз.нови активи'!$B$61:$B$108,$B150,'11.1.Амортиз.нови активи'!N$61:N$108)+('11.1.Амортиз.нови активи'!G$111*SUMIF('11.1.Амортиз.нови активи'!$B$61:$B$108,$B150,'11.1.Амортиз.нови активи'!AP$61:AP$108))</f>
        <v>0.95574370209754833</v>
      </c>
      <c r="O150" s="1228">
        <f>$L150-SUMIF('11.2. ДА за периода'!$B$61:$B$108,$B150,'11.2. ДА за периода'!$L$61:$L$108)+SUMIF('11.2. ДА за периода'!$B$61:$B$108,$B150,'11.2. ДА за периода'!O$61:O$108)+SUMIF('11.1.Амортиз.нови активи'!$B$61:$B$108,$B150,'11.1.Амортиз.нови активи'!O$61:O$108)+('11.1.Амортиз.нови активи'!H$111*SUMIF('11.1.Амортиз.нови активи'!$B$61:$B$108,$B150,'11.1.Амортиз.нови активи'!AQ$61:AQ$108))</f>
        <v>4.3608868634404248</v>
      </c>
      <c r="P150" s="1228">
        <f>$L150-SUMIF('11.2. ДА за периода'!$B$61:$B$108,$B150,'11.2. ДА за периода'!$L$61:$L$108)+SUMIF('11.2. ДА за периода'!$B$61:$B$108,$B150,'11.2. ДА за периода'!P$61:P$108)+SUMIF('11.1.Амортиз.нови активи'!$B$61:$B$108,$B150,'11.1.Амортиз.нови активи'!P$61:P$108)+('11.1.Амортиз.нови активи'!I$111*SUMIF('11.1.Амортиз.нови активи'!$B$61:$B$108,$B150,'11.1.Амортиз.нови активи'!AR$61:AR$108))</f>
        <v>5.4153017105556378</v>
      </c>
      <c r="Q150" s="1228">
        <f>$L150-SUMIF('11.2. ДА за периода'!$B$61:$B$108,$B150,'11.2. ДА за периода'!$L$61:$L$108)+SUMIF('11.2. ДА за периода'!$B$61:$B$108,$B150,'11.2. ДА за периода'!Q$61:Q$108)+SUMIF('11.1.Амортиз.нови активи'!$B$61:$B$108,$B150,'11.1.Амортиз.нови активи'!Q$61:Q$108)+('11.1.Амортиз.нови активи'!J$111*SUMIF('11.1.Амортиз.нови активи'!$B$61:$B$108,$B150,'11.1.Амортиз.нови активи'!AS$61:AS$108))</f>
        <v>5.4406574335717579</v>
      </c>
      <c r="R150" s="2989">
        <f>$L150-SUMIF('11.2. ДА за периода'!$B$61:$B$108,$B150,'11.2. ДА за периода'!$L$61:$L$108)+SUMIF('11.2. ДА за периода'!$B$61:$B$108,$B150,'11.2. ДА за периода'!R$61:R$108)+SUMIF('11.1.Амортиз.нови активи'!$B$61:$B$108,$B150,'11.1.Амортиз.нови активи'!R$61:R$108)+('11.1.Амортиз.нови активи'!K$111*SUMIF('11.1.Амортиз.нови активи'!$B$61:$B$108,$B150,'11.1.Амортиз.нови активи'!AT$61:AT$108))</f>
        <v>5.4761597626670779</v>
      </c>
      <c r="S150" s="448">
        <v>0</v>
      </c>
      <c r="T150" s="2971">
        <f>$S150-SUMIF('11.2. ДА за периода'!$B$61:$B$108,$B150,'11.2. ДА за периода'!$S$61:$S$108)+SUMIF('11.2. ДА за периода'!$B$61:$B$108,$B150,'11.2. ДА за периода'!T$61:T$108)+SUMIF('11.1.Амортиз.нови активи'!$B$61:$B$108,$B150,'11.1.Амортиз.нови активи'!T$61:T$108)+('11.1.Амортиз.нови активи'!F$112*SUMIF('11.1.Амортиз.нови активи'!$B$61:$B$108,$B150,'11.1.Амортиз.нови активи'!AO$61:AO$108))</f>
        <v>0</v>
      </c>
      <c r="U150" s="1226">
        <f>$S150-SUMIF('11.2. ДА за периода'!$B$61:$B$108,$B150,'11.2. ДА за периода'!$S$61:$S$108)+SUMIF('11.2. ДА за периода'!$B$61:$B$108,$B150,'11.2. ДА за периода'!U$61:U$108)+SUMIF('11.1.Амортиз.нови активи'!$B$61:$B$108,$B150,'11.1.Амортиз.нови активи'!U$61:U$108)+('11.1.Амортиз.нови активи'!G$112*SUMIF('11.1.Амортиз.нови активи'!$B$61:$B$108,$B150,'11.1.Амортиз.нови активи'!AP$61:AP$108))</f>
        <v>2.1635284082559938</v>
      </c>
      <c r="V150" s="1226">
        <f>$S150-SUMIF('11.2. ДА за периода'!$B$61:$B$108,$B150,'11.2. ДА за периода'!$S$61:$S$108)+SUMIF('11.2. ДА за периода'!$B$61:$B$108,$B150,'11.2. ДА за периода'!V$61:V$108)+SUMIF('11.1.Амортиз.нови активи'!$B$61:$B$108,$B150,'11.1.Амортиз.нови активи'!V$61:V$108)+('11.1.Амортиз.нови активи'!H$112*SUMIF('11.1.Амортиз.нови активи'!$B$61:$B$108,$B150,'11.1.Амортиз.нови активи'!AQ$61:AQ$108))</f>
        <v>5.511975931481059</v>
      </c>
      <c r="W150" s="1226">
        <f>$S150-SUMIF('11.2. ДА за периода'!$B$61:$B$108,$B150,'11.2. ДА за периода'!$S$61:$S$108)+SUMIF('11.2. ДА за периода'!$B$61:$B$108,$B150,'11.2. ДА за периода'!W$61:W$108)+SUMIF('11.1.Амортиз.нови активи'!$B$61:$B$108,$B150,'11.1.Амортиз.нови активи'!W$61:W$108)+('11.1.Амортиз.нови активи'!I$112*SUMIF('11.1.Амортиз.нови активи'!$B$61:$B$108,$B150,'11.1.Амортиз.нови активи'!AR$61:AR$108))</f>
        <v>5.3382222113578406</v>
      </c>
      <c r="X150" s="1226">
        <f>$S150-SUMIF('11.2. ДА за периода'!$B$61:$B$108,$B150,'11.2. ДА за периода'!$S$61:$S$108)+SUMIF('11.2. ДА за периода'!$B$61:$B$108,$B150,'11.2. ДА за периода'!X$61:X$108)+SUMIF('11.1.Амортиз.нови активи'!$B$61:$B$108,$B150,'11.1.Амортиз.нови активи'!X$61:X$108)+('11.1.Амортиз.нови активи'!J$112*SUMIF('11.1.Амортиз.нови активи'!$B$61:$B$108,$B150,'11.1.Амортиз.нови активи'!AS$61:AS$108))</f>
        <v>5.0575706181617992</v>
      </c>
      <c r="Y150" s="2972">
        <f>$S150-SUMIF('11.2. ДА за периода'!$B$61:$B$108,$B150,'11.2. ДА за периода'!$S$61:$S$108)+SUMIF('11.2. ДА за периода'!$B$61:$B$108,$B150,'11.2. ДА за периода'!Y$61:Y$108)+SUMIF('11.1.Амортиз.нови активи'!$B$61:$B$108,$B150,'11.1.Амортиз.нови активи'!Y$61:Y$108)+('11.1.Амортиз.нови активи'!K$112*SUMIF('11.1.Амортиз.нови активи'!$B$61:$B$108,$B150,'11.1.Амортиз.нови активи'!AT$61:AT$108))</f>
        <v>4.796516080831692</v>
      </c>
      <c r="Z150" s="448">
        <v>0</v>
      </c>
      <c r="AA150" s="2971">
        <f>$Z150-SUMIF('11.2. ДА за периода'!$B$61:$B$108,$B150,'11.2. ДА за периода'!$Z$61:$Z$108)+SUMIF('11.2. ДА за периода'!$B$61:$B$108,$B150,'11.2. ДА за периода'!AA$61:AA$108)+SUMIF('11.1.Амортиз.нови активи'!$B$61:$B$108,$B150,'11.1.Амортиз.нови активи'!AA$61:AA$108)</f>
        <v>0</v>
      </c>
      <c r="AB150" s="1226">
        <f>$Z150-SUMIF('11.2. ДА за периода'!$B$61:$B$108,$B150,'11.2. ДА за периода'!$Z$61:$Z$108)+SUMIF('11.2. ДА за периода'!$B$61:$B$108,$B150,'11.2. ДА за периода'!AB$61:AB$108)+SUMIF('11.1.Амортиз.нови активи'!$B$61:$B$108,$B150,'11.1.Амортиз.нови активи'!AB$61:AB$108)</f>
        <v>0</v>
      </c>
      <c r="AC150" s="1226">
        <f>$Z150-SUMIF('11.2. ДА за периода'!$B$61:$B$108,$B150,'11.2. ДА за периода'!$Z$61:$Z$108)+SUMIF('11.2. ДА за периода'!$B$61:$B$108,$B150,'11.2. ДА за периода'!AC$61:AC$108)+SUMIF('11.1.Амортиз.нови активи'!$B$61:$B$108,$B150,'11.1.Амортиз.нови активи'!AC$61:AC$108)</f>
        <v>0</v>
      </c>
      <c r="AD150" s="1226">
        <f>$Z150-SUMIF('11.2. ДА за периода'!$B$61:$B$108,$B150,'11.2. ДА за периода'!$Z$61:$Z$108)+SUMIF('11.2. ДА за периода'!$B$61:$B$108,$B150,'11.2. ДА за периода'!AD$61:AD$108)+SUMIF('11.1.Амортиз.нови активи'!$B$61:$B$108,$B150,'11.1.Амортиз.нови активи'!AD$61:AD$108)</f>
        <v>0</v>
      </c>
      <c r="AE150" s="1226">
        <f>$Z150-SUMIF('11.2. ДА за периода'!$B$61:$B$108,$B150,'11.2. ДА за периода'!$Z$61:$Z$108)+SUMIF('11.2. ДА за периода'!$B$61:$B$108,$B150,'11.2. ДА за периода'!AE$61:AE$108)+SUMIF('11.1.Амортиз.нови активи'!$B$61:$B$108,$B150,'11.1.Амортиз.нови активи'!AE$61:AE$108)</f>
        <v>0</v>
      </c>
      <c r="AF150" s="2972">
        <f>$Z150-SUMIF('11.2. ДА за периода'!$B$61:$B$108,$B150,'11.2. ДА за периода'!$Z$61:$Z$108)+SUMIF('11.2. ДА за периода'!$B$61:$B$108,$B150,'11.2. ДА за периода'!AF$61:AF$108)+SUMIF('11.1.Амортиз.нови активи'!$B$61:$B$108,$B150,'11.1.Амортиз.нови активи'!AF$61:AF$108)</f>
        <v>0</v>
      </c>
      <c r="AG150" s="448"/>
      <c r="AH150" s="2971">
        <f>$AG150-SUMIF('11.2. ДА за периода'!$B$61:$B$108,$B150,'11.2. ДА за периода'!$AG$61:$AG$108)+SUMIF('11.2. ДА за периода'!$B$61:$B$108,$B150,'11.2. ДА за периода'!AH$61:AH$108)+SUMIF('11.1.Амортиз.нови активи'!$B$61:$B$108,$B150,'11.1.Амортиз.нови активи'!AH$61:AH$108)</f>
        <v>0</v>
      </c>
      <c r="AI150" s="1226">
        <f>$AG150-SUMIF('11.2. ДА за периода'!$B$61:$B$108,$B150,'11.2. ДА за периода'!$AG$61:$AG$108)+SUMIF('11.2. ДА за периода'!$B$61:$B$108,$B150,'11.2. ДА за периода'!AI$61:AI$108)+SUMIF('11.1.Амортиз.нови активи'!$B$61:$B$108,$B150,'11.1.Амортиз.нови активи'!AI$61:AI$108)</f>
        <v>0</v>
      </c>
      <c r="AJ150" s="1226">
        <f>$AG150-SUMIF('11.2. ДА за периода'!$B$61:$B$108,$B150,'11.2. ДА за периода'!$AG$61:$AG$108)+SUMIF('11.2. ДА за периода'!$B$61:$B$108,$B150,'11.2. ДА за периода'!AJ$61:AJ$108)+SUMIF('11.1.Амортиз.нови активи'!$B$61:$B$108,$B150,'11.1.Амортиз.нови активи'!AJ$61:AJ$108)</f>
        <v>0</v>
      </c>
      <c r="AK150" s="1226">
        <f>$AG150-SUMIF('11.2. ДА за периода'!$B$61:$B$108,$B150,'11.2. ДА за периода'!$AG$61:$AG$108)+SUMIF('11.2. ДА за периода'!$B$61:$B$108,$B150,'11.2. ДА за периода'!AK$61:AK$108)+SUMIF('11.1.Амортиз.нови активи'!$B$61:$B$108,$B150,'11.1.Амортиз.нови активи'!AK$61:AK$108)</f>
        <v>0</v>
      </c>
      <c r="AL150" s="1226">
        <f>$AG150-SUMIF('11.2. ДА за периода'!$B$61:$B$108,$B150,'11.2. ДА за периода'!$AG$61:$AG$108)+SUMIF('11.2. ДА за периода'!$B$61:$B$108,$B150,'11.2. ДА за периода'!AL$61:AL$108)+SUMIF('11.1.Амортиз.нови активи'!$B$61:$B$108,$B150,'11.1.Амортиз.нови активи'!AL$61:AL$108)</f>
        <v>0</v>
      </c>
      <c r="AM150" s="2972">
        <f>$AG150-SUMIF('11.2. ДА за периода'!$B$61:$B$108,$B150,'11.2. ДА за периода'!$AG$61:$AG$108)+SUMIF('11.2. ДА за периода'!$B$61:$B$108,$B150,'11.2. ДА за периода'!AM$61:AM$108)+SUMIF('11.1.Амортиз.нови активи'!$B$61:$B$108,$B150,'11.1.Амортиз.нови активи'!AM$61:AM$108)</f>
        <v>0</v>
      </c>
      <c r="AN150" s="2860"/>
      <c r="AO150" s="2898"/>
      <c r="AP150" s="1426"/>
    </row>
    <row r="151" spans="1:42" s="1422" customFormat="1" ht="13.5" thickBot="1">
      <c r="A151" s="4440" t="s">
        <v>224</v>
      </c>
      <c r="B151" s="2886"/>
      <c r="C151" s="2886"/>
      <c r="D151" s="2849" t="s">
        <v>225</v>
      </c>
      <c r="E151" s="1343">
        <f t="shared" ref="E151:AM151" si="67">SUM(E152:E170)</f>
        <v>180.2</v>
      </c>
      <c r="F151" s="2986">
        <f t="shared" si="67"/>
        <v>286.04308721295388</v>
      </c>
      <c r="G151" s="1237">
        <f t="shared" si="67"/>
        <v>429.39576843522951</v>
      </c>
      <c r="H151" s="1237">
        <f t="shared" si="67"/>
        <v>625.421207316812</v>
      </c>
      <c r="I151" s="1238">
        <f t="shared" si="67"/>
        <v>855.58752949513314</v>
      </c>
      <c r="J151" s="1237">
        <f t="shared" si="67"/>
        <v>1102.1499209547906</v>
      </c>
      <c r="K151" s="1237">
        <f t="shared" si="67"/>
        <v>1353.8361115576879</v>
      </c>
      <c r="L151" s="1343">
        <f t="shared" si="67"/>
        <v>7</v>
      </c>
      <c r="M151" s="2986">
        <f t="shared" si="67"/>
        <v>11.362073660451424</v>
      </c>
      <c r="N151" s="1237">
        <f t="shared" si="67"/>
        <v>23.149891656475344</v>
      </c>
      <c r="O151" s="1237">
        <f t="shared" si="67"/>
        <v>76.574308130986168</v>
      </c>
      <c r="P151" s="1238">
        <f t="shared" si="67"/>
        <v>164.93476284875825</v>
      </c>
      <c r="Q151" s="1237">
        <f t="shared" si="67"/>
        <v>255.56453112533572</v>
      </c>
      <c r="R151" s="1237">
        <f t="shared" si="67"/>
        <v>348.12848920830515</v>
      </c>
      <c r="S151" s="1343">
        <f t="shared" si="67"/>
        <v>7.5</v>
      </c>
      <c r="T151" s="2986">
        <f t="shared" si="67"/>
        <v>10.935309126594701</v>
      </c>
      <c r="U151" s="1237">
        <f t="shared" si="67"/>
        <v>39.693189908295118</v>
      </c>
      <c r="V151" s="1237">
        <f t="shared" si="67"/>
        <v>117.08872455220191</v>
      </c>
      <c r="W151" s="1238">
        <f t="shared" si="67"/>
        <v>218.6924376561085</v>
      </c>
      <c r="X151" s="1237">
        <f t="shared" si="67"/>
        <v>322.02076791987383</v>
      </c>
      <c r="Y151" s="2987">
        <f t="shared" si="67"/>
        <v>425.88310923400689</v>
      </c>
      <c r="Z151" s="1343">
        <f t="shared" si="67"/>
        <v>0</v>
      </c>
      <c r="AA151" s="2986">
        <f t="shared" si="67"/>
        <v>0</v>
      </c>
      <c r="AB151" s="1237">
        <f t="shared" si="67"/>
        <v>0</v>
      </c>
      <c r="AC151" s="1237">
        <f t="shared" si="67"/>
        <v>0</v>
      </c>
      <c r="AD151" s="1238">
        <f t="shared" si="67"/>
        <v>0</v>
      </c>
      <c r="AE151" s="1237">
        <f t="shared" si="67"/>
        <v>0</v>
      </c>
      <c r="AF151" s="2987">
        <f t="shared" si="67"/>
        <v>0</v>
      </c>
      <c r="AG151" s="1343">
        <f t="shared" si="67"/>
        <v>0</v>
      </c>
      <c r="AH151" s="2986">
        <f t="shared" si="67"/>
        <v>0</v>
      </c>
      <c r="AI151" s="1237">
        <f t="shared" si="67"/>
        <v>0</v>
      </c>
      <c r="AJ151" s="1237">
        <f t="shared" si="67"/>
        <v>0</v>
      </c>
      <c r="AK151" s="1238">
        <f t="shared" si="67"/>
        <v>0</v>
      </c>
      <c r="AL151" s="1237">
        <f t="shared" si="67"/>
        <v>0</v>
      </c>
      <c r="AM151" s="2987">
        <f t="shared" si="67"/>
        <v>0</v>
      </c>
      <c r="AN151" s="2855"/>
      <c r="AO151" s="2898"/>
      <c r="AP151" s="1426"/>
    </row>
    <row r="152" spans="1:42" s="1422" customFormat="1">
      <c r="A152" s="2862">
        <v>1</v>
      </c>
      <c r="B152" s="2856">
        <v>20102</v>
      </c>
      <c r="C152" s="2880">
        <v>0</v>
      </c>
      <c r="D152" s="2910" t="s">
        <v>564</v>
      </c>
      <c r="E152" s="448">
        <v>0</v>
      </c>
      <c r="F152" s="2959">
        <f t="shared" ref="F152:K155" si="68">E152+F132</f>
        <v>0</v>
      </c>
      <c r="G152" s="2957">
        <f t="shared" si="68"/>
        <v>0</v>
      </c>
      <c r="H152" s="2957">
        <f t="shared" si="68"/>
        <v>0</v>
      </c>
      <c r="I152" s="2957">
        <f t="shared" si="68"/>
        <v>0</v>
      </c>
      <c r="J152" s="2957">
        <f t="shared" si="68"/>
        <v>0</v>
      </c>
      <c r="K152" s="2958">
        <f t="shared" si="68"/>
        <v>0</v>
      </c>
      <c r="L152" s="448">
        <v>0</v>
      </c>
      <c r="M152" s="2959">
        <f t="shared" ref="M152:R167" si="69">L152+M132</f>
        <v>0</v>
      </c>
      <c r="N152" s="2957">
        <f t="shared" si="69"/>
        <v>0</v>
      </c>
      <c r="O152" s="2957">
        <f t="shared" si="69"/>
        <v>0</v>
      </c>
      <c r="P152" s="2957">
        <f t="shared" si="69"/>
        <v>0</v>
      </c>
      <c r="Q152" s="2957">
        <f t="shared" si="69"/>
        <v>0</v>
      </c>
      <c r="R152" s="2958">
        <f t="shared" si="69"/>
        <v>0</v>
      </c>
      <c r="S152" s="448">
        <v>0</v>
      </c>
      <c r="T152" s="2959">
        <f t="shared" ref="T152:Y167" si="70">S152+T132</f>
        <v>0</v>
      </c>
      <c r="U152" s="2957">
        <f t="shared" si="70"/>
        <v>0</v>
      </c>
      <c r="V152" s="2957">
        <f t="shared" si="70"/>
        <v>0</v>
      </c>
      <c r="W152" s="2957">
        <f t="shared" si="70"/>
        <v>0</v>
      </c>
      <c r="X152" s="2957">
        <f t="shared" si="70"/>
        <v>0</v>
      </c>
      <c r="Y152" s="2958">
        <f t="shared" si="70"/>
        <v>0</v>
      </c>
      <c r="Z152" s="448">
        <v>0</v>
      </c>
      <c r="AA152" s="2959">
        <f t="shared" ref="AA152:AF167" si="71">Z152+AA132</f>
        <v>0</v>
      </c>
      <c r="AB152" s="2957">
        <f t="shared" si="71"/>
        <v>0</v>
      </c>
      <c r="AC152" s="2957">
        <f t="shared" si="71"/>
        <v>0</v>
      </c>
      <c r="AD152" s="2957">
        <f t="shared" si="71"/>
        <v>0</v>
      </c>
      <c r="AE152" s="2957">
        <f t="shared" si="71"/>
        <v>0</v>
      </c>
      <c r="AF152" s="2958">
        <f t="shared" si="71"/>
        <v>0</v>
      </c>
      <c r="AG152" s="448"/>
      <c r="AH152" s="2959">
        <f t="shared" ref="AH152:AM167" si="72">AG152+AH132</f>
        <v>0</v>
      </c>
      <c r="AI152" s="2957">
        <f t="shared" si="72"/>
        <v>0</v>
      </c>
      <c r="AJ152" s="2957">
        <f t="shared" si="72"/>
        <v>0</v>
      </c>
      <c r="AK152" s="2957">
        <f t="shared" si="72"/>
        <v>0</v>
      </c>
      <c r="AL152" s="2957">
        <f t="shared" si="72"/>
        <v>0</v>
      </c>
      <c r="AM152" s="2958">
        <f t="shared" si="72"/>
        <v>0</v>
      </c>
      <c r="AN152" s="2860"/>
      <c r="AO152" s="2898"/>
      <c r="AP152" s="1426"/>
    </row>
    <row r="153" spans="1:42" s="1422" customFormat="1">
      <c r="A153" s="2862">
        <v>2</v>
      </c>
      <c r="B153" s="2863">
        <v>20202</v>
      </c>
      <c r="C153" s="2864">
        <v>0.03</v>
      </c>
      <c r="D153" s="2918" t="s">
        <v>431</v>
      </c>
      <c r="E153" s="448">
        <v>1</v>
      </c>
      <c r="F153" s="1325">
        <f t="shared" si="68"/>
        <v>1.2529300000000001</v>
      </c>
      <c r="G153" s="1321">
        <f t="shared" si="68"/>
        <v>1.5058600000000002</v>
      </c>
      <c r="H153" s="1321">
        <f t="shared" si="68"/>
        <v>1.7587900000000003</v>
      </c>
      <c r="I153" s="1321">
        <f t="shared" si="68"/>
        <v>2.0117200000000004</v>
      </c>
      <c r="J153" s="1321">
        <f t="shared" si="68"/>
        <v>2.2646500000000005</v>
      </c>
      <c r="K153" s="1326">
        <f t="shared" si="68"/>
        <v>2.5175800000000006</v>
      </c>
      <c r="L153" s="448">
        <v>0</v>
      </c>
      <c r="M153" s="1325">
        <f t="shared" si="69"/>
        <v>0</v>
      </c>
      <c r="N153" s="1321">
        <f t="shared" si="69"/>
        <v>0</v>
      </c>
      <c r="O153" s="1321">
        <f t="shared" si="69"/>
        <v>0</v>
      </c>
      <c r="P153" s="1321">
        <f t="shared" si="69"/>
        <v>0</v>
      </c>
      <c r="Q153" s="1321">
        <f t="shared" si="69"/>
        <v>0</v>
      </c>
      <c r="R153" s="1326">
        <f t="shared" si="69"/>
        <v>0</v>
      </c>
      <c r="S153" s="448">
        <v>1</v>
      </c>
      <c r="T153" s="1325">
        <f t="shared" si="70"/>
        <v>1</v>
      </c>
      <c r="U153" s="1321">
        <f t="shared" si="70"/>
        <v>1</v>
      </c>
      <c r="V153" s="1321">
        <f t="shared" si="70"/>
        <v>1</v>
      </c>
      <c r="W153" s="1321">
        <f t="shared" si="70"/>
        <v>1</v>
      </c>
      <c r="X153" s="1321">
        <f t="shared" si="70"/>
        <v>1</v>
      </c>
      <c r="Y153" s="1326">
        <f t="shared" si="70"/>
        <v>1</v>
      </c>
      <c r="Z153" s="448">
        <v>0</v>
      </c>
      <c r="AA153" s="1325">
        <f t="shared" si="71"/>
        <v>0</v>
      </c>
      <c r="AB153" s="1321">
        <f t="shared" si="71"/>
        <v>0</v>
      </c>
      <c r="AC153" s="1321">
        <f t="shared" si="71"/>
        <v>0</v>
      </c>
      <c r="AD153" s="1321">
        <f t="shared" si="71"/>
        <v>0</v>
      </c>
      <c r="AE153" s="1321">
        <f t="shared" si="71"/>
        <v>0</v>
      </c>
      <c r="AF153" s="1326">
        <f t="shared" si="71"/>
        <v>0</v>
      </c>
      <c r="AG153" s="448"/>
      <c r="AH153" s="1325">
        <f t="shared" si="72"/>
        <v>0</v>
      </c>
      <c r="AI153" s="1321">
        <f t="shared" si="72"/>
        <v>0</v>
      </c>
      <c r="AJ153" s="1321">
        <f t="shared" si="72"/>
        <v>0</v>
      </c>
      <c r="AK153" s="1321">
        <f t="shared" si="72"/>
        <v>0</v>
      </c>
      <c r="AL153" s="1321">
        <f t="shared" si="72"/>
        <v>0</v>
      </c>
      <c r="AM153" s="1326">
        <f t="shared" si="72"/>
        <v>0</v>
      </c>
      <c r="AN153" s="2860"/>
      <c r="AO153" s="2898"/>
      <c r="AP153" s="1426"/>
    </row>
    <row r="154" spans="1:42" s="1422" customFormat="1">
      <c r="A154" s="2862">
        <v>3</v>
      </c>
      <c r="B154" s="2863">
        <v>2030401</v>
      </c>
      <c r="C154" s="2869">
        <v>0.1</v>
      </c>
      <c r="D154" s="2899" t="s">
        <v>1039</v>
      </c>
      <c r="E154" s="448">
        <v>27</v>
      </c>
      <c r="F154" s="1325">
        <f t="shared" si="68"/>
        <v>37.582799999999999</v>
      </c>
      <c r="G154" s="1321">
        <f t="shared" si="68"/>
        <v>48.165599999999998</v>
      </c>
      <c r="H154" s="1321">
        <f t="shared" si="68"/>
        <v>58.748399999999997</v>
      </c>
      <c r="I154" s="1321">
        <f t="shared" si="68"/>
        <v>69.331199999999995</v>
      </c>
      <c r="J154" s="1321">
        <f t="shared" si="68"/>
        <v>79.914000000000001</v>
      </c>
      <c r="K154" s="1326">
        <f t="shared" si="68"/>
        <v>90.496800000000007</v>
      </c>
      <c r="L154" s="448">
        <v>0</v>
      </c>
      <c r="M154" s="1325">
        <f t="shared" si="69"/>
        <v>0</v>
      </c>
      <c r="N154" s="1321">
        <f t="shared" si="69"/>
        <v>0</v>
      </c>
      <c r="O154" s="1321">
        <f t="shared" si="69"/>
        <v>0</v>
      </c>
      <c r="P154" s="1321">
        <f t="shared" si="69"/>
        <v>0</v>
      </c>
      <c r="Q154" s="1321">
        <f t="shared" si="69"/>
        <v>0</v>
      </c>
      <c r="R154" s="1326">
        <f t="shared" si="69"/>
        <v>0</v>
      </c>
      <c r="S154" s="448">
        <v>3.5</v>
      </c>
      <c r="T154" s="1325">
        <f t="shared" si="70"/>
        <v>4.95</v>
      </c>
      <c r="U154" s="1321">
        <f t="shared" si="70"/>
        <v>6.4</v>
      </c>
      <c r="V154" s="1321">
        <f t="shared" si="70"/>
        <v>7.8500000000000005</v>
      </c>
      <c r="W154" s="1321">
        <f t="shared" si="70"/>
        <v>9.3000000000000007</v>
      </c>
      <c r="X154" s="1321">
        <f t="shared" si="70"/>
        <v>10.75</v>
      </c>
      <c r="Y154" s="1326">
        <f t="shared" si="70"/>
        <v>12.2</v>
      </c>
      <c r="Z154" s="448">
        <v>0</v>
      </c>
      <c r="AA154" s="1325">
        <f t="shared" si="71"/>
        <v>0</v>
      </c>
      <c r="AB154" s="1321">
        <f t="shared" si="71"/>
        <v>0</v>
      </c>
      <c r="AC154" s="1321">
        <f t="shared" si="71"/>
        <v>0</v>
      </c>
      <c r="AD154" s="1321">
        <f t="shared" si="71"/>
        <v>0</v>
      </c>
      <c r="AE154" s="1321">
        <f t="shared" si="71"/>
        <v>0</v>
      </c>
      <c r="AF154" s="1326">
        <f t="shared" si="71"/>
        <v>0</v>
      </c>
      <c r="AG154" s="448"/>
      <c r="AH154" s="1325">
        <f t="shared" si="72"/>
        <v>0</v>
      </c>
      <c r="AI154" s="1321">
        <f t="shared" si="72"/>
        <v>0</v>
      </c>
      <c r="AJ154" s="1321">
        <f t="shared" si="72"/>
        <v>0</v>
      </c>
      <c r="AK154" s="1321">
        <f t="shared" si="72"/>
        <v>0</v>
      </c>
      <c r="AL154" s="1321">
        <f t="shared" si="72"/>
        <v>0</v>
      </c>
      <c r="AM154" s="1326">
        <f t="shared" si="72"/>
        <v>0</v>
      </c>
      <c r="AN154" s="2860"/>
      <c r="AO154" s="2898"/>
      <c r="AP154" s="1426"/>
    </row>
    <row r="155" spans="1:42" s="1422" customFormat="1">
      <c r="A155" s="2862">
        <v>4</v>
      </c>
      <c r="B155" s="2863">
        <v>2030402</v>
      </c>
      <c r="C155" s="2869">
        <v>0.1</v>
      </c>
      <c r="D155" s="2899" t="s">
        <v>434</v>
      </c>
      <c r="E155" s="448">
        <v>1</v>
      </c>
      <c r="F155" s="1325">
        <f>E155+F135</f>
        <v>1</v>
      </c>
      <c r="G155" s="1321">
        <f t="shared" si="68"/>
        <v>1</v>
      </c>
      <c r="H155" s="1321">
        <f t="shared" si="68"/>
        <v>1</v>
      </c>
      <c r="I155" s="1321">
        <f t="shared" si="68"/>
        <v>1</v>
      </c>
      <c r="J155" s="1321">
        <f t="shared" si="68"/>
        <v>1</v>
      </c>
      <c r="K155" s="1326">
        <f t="shared" si="68"/>
        <v>1</v>
      </c>
      <c r="L155" s="448">
        <v>0</v>
      </c>
      <c r="M155" s="1325">
        <f t="shared" si="69"/>
        <v>0</v>
      </c>
      <c r="N155" s="1321">
        <f t="shared" si="69"/>
        <v>0</v>
      </c>
      <c r="O155" s="1321">
        <f t="shared" si="69"/>
        <v>0</v>
      </c>
      <c r="P155" s="1321">
        <f t="shared" si="69"/>
        <v>0</v>
      </c>
      <c r="Q155" s="1321">
        <f t="shared" si="69"/>
        <v>0</v>
      </c>
      <c r="R155" s="1326">
        <f t="shared" si="69"/>
        <v>0</v>
      </c>
      <c r="S155" s="448">
        <v>0</v>
      </c>
      <c r="T155" s="1325">
        <f t="shared" si="70"/>
        <v>0</v>
      </c>
      <c r="U155" s="1321">
        <f t="shared" si="70"/>
        <v>0</v>
      </c>
      <c r="V155" s="1321">
        <f t="shared" si="70"/>
        <v>0</v>
      </c>
      <c r="W155" s="1321">
        <f t="shared" si="70"/>
        <v>0</v>
      </c>
      <c r="X155" s="1321">
        <f t="shared" si="70"/>
        <v>0</v>
      </c>
      <c r="Y155" s="1326">
        <f t="shared" si="70"/>
        <v>0</v>
      </c>
      <c r="Z155" s="448">
        <v>0</v>
      </c>
      <c r="AA155" s="1325">
        <f t="shared" si="71"/>
        <v>0</v>
      </c>
      <c r="AB155" s="1321">
        <f t="shared" si="71"/>
        <v>0</v>
      </c>
      <c r="AC155" s="1321">
        <f t="shared" si="71"/>
        <v>0</v>
      </c>
      <c r="AD155" s="1321">
        <f t="shared" si="71"/>
        <v>0</v>
      </c>
      <c r="AE155" s="1321">
        <f t="shared" si="71"/>
        <v>0</v>
      </c>
      <c r="AF155" s="1326">
        <f t="shared" si="71"/>
        <v>0</v>
      </c>
      <c r="AG155" s="448"/>
      <c r="AH155" s="1325">
        <f t="shared" si="72"/>
        <v>0</v>
      </c>
      <c r="AI155" s="1321">
        <f t="shared" si="72"/>
        <v>0</v>
      </c>
      <c r="AJ155" s="1321">
        <f t="shared" si="72"/>
        <v>0</v>
      </c>
      <c r="AK155" s="1321">
        <f t="shared" si="72"/>
        <v>0</v>
      </c>
      <c r="AL155" s="1321">
        <f t="shared" si="72"/>
        <v>0</v>
      </c>
      <c r="AM155" s="1326">
        <f t="shared" si="72"/>
        <v>0</v>
      </c>
      <c r="AN155" s="2860"/>
      <c r="AO155" s="2898"/>
      <c r="AP155" s="1426"/>
    </row>
    <row r="156" spans="1:42" s="1422" customFormat="1">
      <c r="A156" s="2862">
        <v>5</v>
      </c>
      <c r="B156" s="2863">
        <v>2030501</v>
      </c>
      <c r="C156" s="2869">
        <v>0.1</v>
      </c>
      <c r="D156" s="2899" t="s">
        <v>413</v>
      </c>
      <c r="E156" s="448">
        <v>49</v>
      </c>
      <c r="F156" s="1325">
        <f t="shared" ref="F156:K170" si="73">E156+F136</f>
        <v>76.329257212953877</v>
      </c>
      <c r="G156" s="1321">
        <f t="shared" si="73"/>
        <v>108.36737054558307</v>
      </c>
      <c r="H156" s="1321">
        <f t="shared" si="73"/>
        <v>143.43003222208694</v>
      </c>
      <c r="I156" s="1321">
        <f t="shared" si="73"/>
        <v>182.65244832232179</v>
      </c>
      <c r="J156" s="1321">
        <f t="shared" si="73"/>
        <v>227.20063783371259</v>
      </c>
      <c r="K156" s="1326">
        <f t="shared" si="73"/>
        <v>277.32707428010895</v>
      </c>
      <c r="L156" s="448">
        <v>0</v>
      </c>
      <c r="M156" s="1325">
        <f t="shared" si="69"/>
        <v>0.14043366045142294</v>
      </c>
      <c r="N156" s="1321">
        <f t="shared" si="69"/>
        <v>0.99746795437779279</v>
      </c>
      <c r="O156" s="1321">
        <f t="shared" si="69"/>
        <v>4.2097475654481897</v>
      </c>
      <c r="P156" s="1321">
        <f t="shared" si="69"/>
        <v>9.6548405726646216</v>
      </c>
      <c r="Q156" s="1321">
        <f t="shared" si="69"/>
        <v>16.488891415670285</v>
      </c>
      <c r="R156" s="1326">
        <f t="shared" si="69"/>
        <v>24.649629735972585</v>
      </c>
      <c r="S156" s="448">
        <v>0</v>
      </c>
      <c r="T156" s="1325">
        <f t="shared" si="70"/>
        <v>1.5309126594700684E-2</v>
      </c>
      <c r="U156" s="1321">
        <f t="shared" si="70"/>
        <v>1.9551615000391283</v>
      </c>
      <c r="V156" s="1321">
        <f t="shared" si="70"/>
        <v>6.0152202124648593</v>
      </c>
      <c r="W156" s="1321">
        <f t="shared" si="70"/>
        <v>11.382711105013579</v>
      </c>
      <c r="X156" s="1321">
        <f t="shared" si="70"/>
        <v>17.735470750617104</v>
      </c>
      <c r="Y156" s="1326">
        <f t="shared" si="70"/>
        <v>24.883295983918462</v>
      </c>
      <c r="Z156" s="448">
        <v>0</v>
      </c>
      <c r="AA156" s="1325">
        <f t="shared" si="71"/>
        <v>0</v>
      </c>
      <c r="AB156" s="1321">
        <f t="shared" si="71"/>
        <v>0</v>
      </c>
      <c r="AC156" s="1321">
        <f t="shared" si="71"/>
        <v>0</v>
      </c>
      <c r="AD156" s="1321">
        <f t="shared" si="71"/>
        <v>0</v>
      </c>
      <c r="AE156" s="1321">
        <f t="shared" si="71"/>
        <v>0</v>
      </c>
      <c r="AF156" s="1326">
        <f t="shared" si="71"/>
        <v>0</v>
      </c>
      <c r="AG156" s="448"/>
      <c r="AH156" s="1325">
        <f t="shared" si="72"/>
        <v>0</v>
      </c>
      <c r="AI156" s="1321">
        <f t="shared" si="72"/>
        <v>0</v>
      </c>
      <c r="AJ156" s="1321">
        <f t="shared" si="72"/>
        <v>0</v>
      </c>
      <c r="AK156" s="1321">
        <f t="shared" si="72"/>
        <v>0</v>
      </c>
      <c r="AL156" s="1321">
        <f t="shared" si="72"/>
        <v>0</v>
      </c>
      <c r="AM156" s="1326">
        <f t="shared" si="72"/>
        <v>0</v>
      </c>
      <c r="AN156" s="2860"/>
      <c r="AO156" s="2898"/>
      <c r="AP156" s="1426"/>
    </row>
    <row r="157" spans="1:42" s="1422" customFormat="1" ht="24">
      <c r="A157" s="2862">
        <v>6</v>
      </c>
      <c r="B157" s="2863">
        <v>2030502</v>
      </c>
      <c r="C157" s="2869">
        <v>0.1</v>
      </c>
      <c r="D157" s="2899" t="s">
        <v>702</v>
      </c>
      <c r="E157" s="448">
        <v>21</v>
      </c>
      <c r="F157" s="1325">
        <f t="shared" si="73"/>
        <v>41.193100000000001</v>
      </c>
      <c r="G157" s="1321">
        <f t="shared" si="73"/>
        <v>66.786200000000008</v>
      </c>
      <c r="H157" s="1321">
        <f t="shared" si="73"/>
        <v>96.679300000000012</v>
      </c>
      <c r="I157" s="1321">
        <f t="shared" si="73"/>
        <v>130.87240000000003</v>
      </c>
      <c r="J157" s="1321">
        <f t="shared" si="73"/>
        <v>169.36550000000003</v>
      </c>
      <c r="K157" s="1326">
        <f t="shared" si="73"/>
        <v>212.15860000000004</v>
      </c>
      <c r="L157" s="448">
        <v>0</v>
      </c>
      <c r="M157" s="1325">
        <f t="shared" si="69"/>
        <v>0</v>
      </c>
      <c r="N157" s="1321">
        <f t="shared" si="69"/>
        <v>0</v>
      </c>
      <c r="O157" s="1321">
        <f t="shared" si="69"/>
        <v>0</v>
      </c>
      <c r="P157" s="1321">
        <f t="shared" si="69"/>
        <v>0</v>
      </c>
      <c r="Q157" s="1321">
        <f t="shared" si="69"/>
        <v>0</v>
      </c>
      <c r="R157" s="1326">
        <f t="shared" si="69"/>
        <v>0</v>
      </c>
      <c r="S157" s="448">
        <v>0</v>
      </c>
      <c r="T157" s="1325">
        <f t="shared" si="70"/>
        <v>0</v>
      </c>
      <c r="U157" s="1321">
        <f t="shared" si="70"/>
        <v>0</v>
      </c>
      <c r="V157" s="1321">
        <f t="shared" si="70"/>
        <v>0</v>
      </c>
      <c r="W157" s="1321">
        <f t="shared" si="70"/>
        <v>0</v>
      </c>
      <c r="X157" s="1321">
        <f t="shared" si="70"/>
        <v>0</v>
      </c>
      <c r="Y157" s="1326">
        <f t="shared" si="70"/>
        <v>0</v>
      </c>
      <c r="Z157" s="448">
        <v>0</v>
      </c>
      <c r="AA157" s="1325">
        <f t="shared" si="71"/>
        <v>0</v>
      </c>
      <c r="AB157" s="1321">
        <f t="shared" si="71"/>
        <v>0</v>
      </c>
      <c r="AC157" s="1321">
        <f t="shared" si="71"/>
        <v>0</v>
      </c>
      <c r="AD157" s="1321">
        <f t="shared" si="71"/>
        <v>0</v>
      </c>
      <c r="AE157" s="1321">
        <f t="shared" si="71"/>
        <v>0</v>
      </c>
      <c r="AF157" s="1326">
        <f t="shared" si="71"/>
        <v>0</v>
      </c>
      <c r="AG157" s="448"/>
      <c r="AH157" s="1325">
        <f t="shared" si="72"/>
        <v>0</v>
      </c>
      <c r="AI157" s="1321">
        <f t="shared" si="72"/>
        <v>0</v>
      </c>
      <c r="AJ157" s="1321">
        <f t="shared" si="72"/>
        <v>0</v>
      </c>
      <c r="AK157" s="1321">
        <f t="shared" si="72"/>
        <v>0</v>
      </c>
      <c r="AL157" s="1321">
        <f t="shared" si="72"/>
        <v>0</v>
      </c>
      <c r="AM157" s="1326">
        <f t="shared" si="72"/>
        <v>0</v>
      </c>
      <c r="AN157" s="2860"/>
      <c r="AO157" s="2898"/>
      <c r="AP157" s="1426"/>
    </row>
    <row r="158" spans="1:42" s="1422" customFormat="1">
      <c r="A158" s="2862">
        <v>7</v>
      </c>
      <c r="B158" s="2863">
        <v>2030503</v>
      </c>
      <c r="C158" s="2869">
        <v>0.1</v>
      </c>
      <c r="D158" s="2899" t="s">
        <v>720</v>
      </c>
      <c r="E158" s="448">
        <v>11</v>
      </c>
      <c r="F158" s="1325">
        <f t="shared" si="73"/>
        <v>20.5367</v>
      </c>
      <c r="G158" s="1321">
        <f t="shared" si="73"/>
        <v>30.673400000000001</v>
      </c>
      <c r="H158" s="1321">
        <f t="shared" si="73"/>
        <v>41.060100000000006</v>
      </c>
      <c r="I158" s="1321">
        <f t="shared" si="73"/>
        <v>51.94680000000001</v>
      </c>
      <c r="J158" s="1321">
        <f t="shared" si="73"/>
        <v>63.333500000000015</v>
      </c>
      <c r="K158" s="1326">
        <f t="shared" si="73"/>
        <v>75.22020000000002</v>
      </c>
      <c r="L158" s="448">
        <v>0</v>
      </c>
      <c r="M158" s="1325">
        <f t="shared" si="69"/>
        <v>0</v>
      </c>
      <c r="N158" s="1321">
        <f t="shared" si="69"/>
        <v>0</v>
      </c>
      <c r="O158" s="1321">
        <f t="shared" si="69"/>
        <v>0.5</v>
      </c>
      <c r="P158" s="1321">
        <f t="shared" si="69"/>
        <v>1.8</v>
      </c>
      <c r="Q158" s="1321">
        <f t="shared" si="69"/>
        <v>3.4000000000000004</v>
      </c>
      <c r="R158" s="1326">
        <f t="shared" si="69"/>
        <v>5</v>
      </c>
      <c r="S158" s="448">
        <v>0</v>
      </c>
      <c r="T158" s="1325">
        <f t="shared" si="70"/>
        <v>0</v>
      </c>
      <c r="U158" s="1321">
        <f t="shared" si="70"/>
        <v>0</v>
      </c>
      <c r="V158" s="1321">
        <f t="shared" si="70"/>
        <v>0</v>
      </c>
      <c r="W158" s="1321">
        <f t="shared" si="70"/>
        <v>0</v>
      </c>
      <c r="X158" s="1321">
        <f t="shared" si="70"/>
        <v>0</v>
      </c>
      <c r="Y158" s="1326">
        <f t="shared" si="70"/>
        <v>0</v>
      </c>
      <c r="Z158" s="448">
        <v>0</v>
      </c>
      <c r="AA158" s="1325">
        <f t="shared" si="71"/>
        <v>0</v>
      </c>
      <c r="AB158" s="1321">
        <f t="shared" si="71"/>
        <v>0</v>
      </c>
      <c r="AC158" s="1321">
        <f t="shared" si="71"/>
        <v>0</v>
      </c>
      <c r="AD158" s="1321">
        <f t="shared" si="71"/>
        <v>0</v>
      </c>
      <c r="AE158" s="1321">
        <f t="shared" si="71"/>
        <v>0</v>
      </c>
      <c r="AF158" s="1326">
        <f t="shared" si="71"/>
        <v>0</v>
      </c>
      <c r="AG158" s="448"/>
      <c r="AH158" s="1325">
        <f t="shared" si="72"/>
        <v>0</v>
      </c>
      <c r="AI158" s="1321">
        <f t="shared" si="72"/>
        <v>0</v>
      </c>
      <c r="AJ158" s="1321">
        <f t="shared" si="72"/>
        <v>0</v>
      </c>
      <c r="AK158" s="1321">
        <f t="shared" si="72"/>
        <v>0</v>
      </c>
      <c r="AL158" s="1321">
        <f t="shared" si="72"/>
        <v>0</v>
      </c>
      <c r="AM158" s="1326">
        <f t="shared" si="72"/>
        <v>0</v>
      </c>
      <c r="AN158" s="2860"/>
      <c r="AO158" s="2898"/>
      <c r="AP158" s="1426"/>
    </row>
    <row r="159" spans="1:42" s="1422" customFormat="1">
      <c r="A159" s="2862">
        <v>8</v>
      </c>
      <c r="B159" s="2863">
        <v>2040101</v>
      </c>
      <c r="C159" s="2919">
        <v>0.1</v>
      </c>
      <c r="D159" s="2893" t="s">
        <v>1024</v>
      </c>
      <c r="E159" s="448">
        <v>7</v>
      </c>
      <c r="F159" s="1325">
        <f t="shared" si="73"/>
        <v>9</v>
      </c>
      <c r="G159" s="1321">
        <f t="shared" si="73"/>
        <v>11</v>
      </c>
      <c r="H159" s="1321">
        <f t="shared" si="73"/>
        <v>13</v>
      </c>
      <c r="I159" s="1321">
        <f t="shared" si="73"/>
        <v>15</v>
      </c>
      <c r="J159" s="1321">
        <f t="shared" si="73"/>
        <v>17</v>
      </c>
      <c r="K159" s="1326">
        <f t="shared" si="73"/>
        <v>19</v>
      </c>
      <c r="L159" s="448">
        <v>0</v>
      </c>
      <c r="M159" s="1325">
        <f t="shared" si="69"/>
        <v>0</v>
      </c>
      <c r="N159" s="1321">
        <f t="shared" si="69"/>
        <v>0</v>
      </c>
      <c r="O159" s="1321">
        <f t="shared" si="69"/>
        <v>0</v>
      </c>
      <c r="P159" s="1321">
        <f t="shared" si="69"/>
        <v>0</v>
      </c>
      <c r="Q159" s="1321">
        <f t="shared" si="69"/>
        <v>0</v>
      </c>
      <c r="R159" s="1326">
        <f t="shared" si="69"/>
        <v>0</v>
      </c>
      <c r="S159" s="448">
        <v>0</v>
      </c>
      <c r="T159" s="1325">
        <f t="shared" si="70"/>
        <v>0.4</v>
      </c>
      <c r="U159" s="1321">
        <f t="shared" si="70"/>
        <v>0.8</v>
      </c>
      <c r="V159" s="1321">
        <f t="shared" si="70"/>
        <v>1.2000000000000002</v>
      </c>
      <c r="W159" s="1321">
        <f t="shared" si="70"/>
        <v>1.6</v>
      </c>
      <c r="X159" s="1321">
        <f t="shared" si="70"/>
        <v>2</v>
      </c>
      <c r="Y159" s="1326">
        <f t="shared" si="70"/>
        <v>2.4</v>
      </c>
      <c r="Z159" s="448">
        <v>0</v>
      </c>
      <c r="AA159" s="1325">
        <f t="shared" si="71"/>
        <v>0</v>
      </c>
      <c r="AB159" s="1321">
        <f t="shared" si="71"/>
        <v>0</v>
      </c>
      <c r="AC159" s="1321">
        <f t="shared" si="71"/>
        <v>0</v>
      </c>
      <c r="AD159" s="1321">
        <f t="shared" si="71"/>
        <v>0</v>
      </c>
      <c r="AE159" s="1321">
        <f t="shared" si="71"/>
        <v>0</v>
      </c>
      <c r="AF159" s="1326">
        <f t="shared" si="71"/>
        <v>0</v>
      </c>
      <c r="AG159" s="448"/>
      <c r="AH159" s="1325">
        <f t="shared" si="72"/>
        <v>0</v>
      </c>
      <c r="AI159" s="1321">
        <f t="shared" si="72"/>
        <v>0</v>
      </c>
      <c r="AJ159" s="1321">
        <f t="shared" si="72"/>
        <v>0</v>
      </c>
      <c r="AK159" s="1321">
        <f t="shared" si="72"/>
        <v>0</v>
      </c>
      <c r="AL159" s="1321">
        <f t="shared" si="72"/>
        <v>0</v>
      </c>
      <c r="AM159" s="1326">
        <f t="shared" si="72"/>
        <v>0</v>
      </c>
      <c r="AN159" s="2860"/>
      <c r="AO159" s="2898"/>
      <c r="AP159" s="1426"/>
    </row>
    <row r="160" spans="1:42" s="1422" customFormat="1">
      <c r="A160" s="2920">
        <v>9</v>
      </c>
      <c r="B160" s="2863">
        <v>2040102</v>
      </c>
      <c r="C160" s="2919">
        <v>0.04</v>
      </c>
      <c r="D160" s="2893" t="s">
        <v>437</v>
      </c>
      <c r="E160" s="448">
        <v>0</v>
      </c>
      <c r="F160" s="1325">
        <f t="shared" si="73"/>
        <v>0</v>
      </c>
      <c r="G160" s="1321">
        <f t="shared" si="73"/>
        <v>0</v>
      </c>
      <c r="H160" s="1321">
        <f t="shared" si="73"/>
        <v>0</v>
      </c>
      <c r="I160" s="1321">
        <f t="shared" si="73"/>
        <v>0</v>
      </c>
      <c r="J160" s="1321">
        <f t="shared" si="73"/>
        <v>0</v>
      </c>
      <c r="K160" s="1326">
        <f t="shared" si="73"/>
        <v>0</v>
      </c>
      <c r="L160" s="448">
        <v>0</v>
      </c>
      <c r="M160" s="1325">
        <f t="shared" si="69"/>
        <v>0</v>
      </c>
      <c r="N160" s="1321">
        <f t="shared" si="69"/>
        <v>0</v>
      </c>
      <c r="O160" s="1321">
        <f t="shared" si="69"/>
        <v>0</v>
      </c>
      <c r="P160" s="1321">
        <f t="shared" si="69"/>
        <v>0</v>
      </c>
      <c r="Q160" s="1321">
        <f t="shared" si="69"/>
        <v>0</v>
      </c>
      <c r="R160" s="1326">
        <f t="shared" si="69"/>
        <v>0</v>
      </c>
      <c r="S160" s="448">
        <v>0</v>
      </c>
      <c r="T160" s="1325">
        <f t="shared" si="70"/>
        <v>0</v>
      </c>
      <c r="U160" s="1321">
        <f t="shared" si="70"/>
        <v>0</v>
      </c>
      <c r="V160" s="1321">
        <f t="shared" si="70"/>
        <v>0</v>
      </c>
      <c r="W160" s="1321">
        <f t="shared" si="70"/>
        <v>0</v>
      </c>
      <c r="X160" s="1321">
        <f t="shared" si="70"/>
        <v>0</v>
      </c>
      <c r="Y160" s="1326">
        <f t="shared" si="70"/>
        <v>0</v>
      </c>
      <c r="Z160" s="448">
        <v>0</v>
      </c>
      <c r="AA160" s="1325">
        <f t="shared" si="71"/>
        <v>0</v>
      </c>
      <c r="AB160" s="1321">
        <f t="shared" si="71"/>
        <v>0</v>
      </c>
      <c r="AC160" s="1321">
        <f t="shared" si="71"/>
        <v>0</v>
      </c>
      <c r="AD160" s="1321">
        <f t="shared" si="71"/>
        <v>0</v>
      </c>
      <c r="AE160" s="1321">
        <f t="shared" si="71"/>
        <v>0</v>
      </c>
      <c r="AF160" s="1326">
        <f t="shared" si="71"/>
        <v>0</v>
      </c>
      <c r="AG160" s="448"/>
      <c r="AH160" s="1325">
        <f t="shared" si="72"/>
        <v>0</v>
      </c>
      <c r="AI160" s="1321">
        <f t="shared" si="72"/>
        <v>0</v>
      </c>
      <c r="AJ160" s="1321">
        <f t="shared" si="72"/>
        <v>0</v>
      </c>
      <c r="AK160" s="1321">
        <f t="shared" si="72"/>
        <v>0</v>
      </c>
      <c r="AL160" s="1321">
        <f t="shared" si="72"/>
        <v>0</v>
      </c>
      <c r="AM160" s="1326">
        <f t="shared" si="72"/>
        <v>0</v>
      </c>
      <c r="AN160" s="2860"/>
      <c r="AO160" s="2898"/>
      <c r="AP160" s="1426"/>
    </row>
    <row r="161" spans="1:42" s="1422" customFormat="1">
      <c r="A161" s="2920">
        <v>10</v>
      </c>
      <c r="B161" s="2863">
        <v>2040201</v>
      </c>
      <c r="C161" s="2864">
        <v>0.02</v>
      </c>
      <c r="D161" s="2894" t="s">
        <v>746</v>
      </c>
      <c r="E161" s="448">
        <v>0</v>
      </c>
      <c r="F161" s="1325">
        <f t="shared" si="73"/>
        <v>6.3E-2</v>
      </c>
      <c r="G161" s="1321">
        <f t="shared" si="73"/>
        <v>0.189</v>
      </c>
      <c r="H161" s="1321">
        <f t="shared" si="73"/>
        <v>0.315</v>
      </c>
      <c r="I161" s="1321">
        <f t="shared" si="73"/>
        <v>0.441</v>
      </c>
      <c r="J161" s="1321">
        <f t="shared" si="73"/>
        <v>0.56699999999999995</v>
      </c>
      <c r="K161" s="1326">
        <f t="shared" si="73"/>
        <v>0.69299999999999995</v>
      </c>
      <c r="L161" s="448">
        <v>0</v>
      </c>
      <c r="M161" s="1325">
        <f t="shared" si="69"/>
        <v>0</v>
      </c>
      <c r="N161" s="1321">
        <f t="shared" si="69"/>
        <v>0</v>
      </c>
      <c r="O161" s="1321">
        <f t="shared" si="69"/>
        <v>0</v>
      </c>
      <c r="P161" s="1321">
        <f t="shared" si="69"/>
        <v>0</v>
      </c>
      <c r="Q161" s="1321">
        <f t="shared" si="69"/>
        <v>0</v>
      </c>
      <c r="R161" s="1326">
        <f t="shared" si="69"/>
        <v>0</v>
      </c>
      <c r="S161" s="448">
        <v>0</v>
      </c>
      <c r="T161" s="1325">
        <f t="shared" si="70"/>
        <v>0</v>
      </c>
      <c r="U161" s="1321">
        <f t="shared" si="70"/>
        <v>0</v>
      </c>
      <c r="V161" s="1321">
        <f t="shared" si="70"/>
        <v>0</v>
      </c>
      <c r="W161" s="1321">
        <f t="shared" si="70"/>
        <v>0</v>
      </c>
      <c r="X161" s="1321">
        <f t="shared" si="70"/>
        <v>0</v>
      </c>
      <c r="Y161" s="1326">
        <f t="shared" si="70"/>
        <v>0</v>
      </c>
      <c r="Z161" s="448">
        <v>0</v>
      </c>
      <c r="AA161" s="1325">
        <f t="shared" si="71"/>
        <v>0</v>
      </c>
      <c r="AB161" s="1321">
        <f t="shared" si="71"/>
        <v>0</v>
      </c>
      <c r="AC161" s="1321">
        <f t="shared" si="71"/>
        <v>0</v>
      </c>
      <c r="AD161" s="1321">
        <f t="shared" si="71"/>
        <v>0</v>
      </c>
      <c r="AE161" s="1321">
        <f t="shared" si="71"/>
        <v>0</v>
      </c>
      <c r="AF161" s="1326">
        <f t="shared" si="71"/>
        <v>0</v>
      </c>
      <c r="AG161" s="448"/>
      <c r="AH161" s="1325">
        <f t="shared" si="72"/>
        <v>0</v>
      </c>
      <c r="AI161" s="1321">
        <f t="shared" si="72"/>
        <v>0</v>
      </c>
      <c r="AJ161" s="1321">
        <f t="shared" si="72"/>
        <v>0</v>
      </c>
      <c r="AK161" s="1321">
        <f t="shared" si="72"/>
        <v>0</v>
      </c>
      <c r="AL161" s="1321">
        <f t="shared" si="72"/>
        <v>0</v>
      </c>
      <c r="AM161" s="1326">
        <f t="shared" si="72"/>
        <v>0</v>
      </c>
      <c r="AN161" s="2860"/>
      <c r="AO161" s="2898"/>
      <c r="AP161" s="1426"/>
    </row>
    <row r="162" spans="1:42" s="1422" customFormat="1">
      <c r="A162" s="2920">
        <v>11</v>
      </c>
      <c r="B162" s="2863">
        <v>2040202</v>
      </c>
      <c r="C162" s="2864">
        <v>0.02</v>
      </c>
      <c r="D162" s="2894" t="s">
        <v>747</v>
      </c>
      <c r="E162" s="448">
        <v>0</v>
      </c>
      <c r="F162" s="1325">
        <f t="shared" si="73"/>
        <v>1.7080000000000001E-2</v>
      </c>
      <c r="G162" s="1321">
        <f t="shared" si="73"/>
        <v>5.6160000000000002E-2</v>
      </c>
      <c r="H162" s="1321">
        <f t="shared" si="73"/>
        <v>0.11524000000000001</v>
      </c>
      <c r="I162" s="1321">
        <f t="shared" si="73"/>
        <v>0.19431999999999999</v>
      </c>
      <c r="J162" s="1321">
        <f t="shared" si="73"/>
        <v>0.29339999999999999</v>
      </c>
      <c r="K162" s="1326">
        <f t="shared" si="73"/>
        <v>0.41248000000000001</v>
      </c>
      <c r="L162" s="448">
        <v>0</v>
      </c>
      <c r="M162" s="1325">
        <f t="shared" si="69"/>
        <v>0</v>
      </c>
      <c r="N162" s="1321">
        <f t="shared" si="69"/>
        <v>0</v>
      </c>
      <c r="O162" s="1321">
        <f t="shared" si="69"/>
        <v>0</v>
      </c>
      <c r="P162" s="1321">
        <f t="shared" si="69"/>
        <v>0</v>
      </c>
      <c r="Q162" s="1321">
        <f t="shared" si="69"/>
        <v>0</v>
      </c>
      <c r="R162" s="1326">
        <f t="shared" si="69"/>
        <v>0</v>
      </c>
      <c r="S162" s="448">
        <v>0</v>
      </c>
      <c r="T162" s="1325">
        <f t="shared" si="70"/>
        <v>0</v>
      </c>
      <c r="U162" s="1321">
        <f t="shared" si="70"/>
        <v>0</v>
      </c>
      <c r="V162" s="1321">
        <f t="shared" si="70"/>
        <v>0</v>
      </c>
      <c r="W162" s="1321">
        <f t="shared" si="70"/>
        <v>0</v>
      </c>
      <c r="X162" s="1321">
        <f t="shared" si="70"/>
        <v>0</v>
      </c>
      <c r="Y162" s="1326">
        <f t="shared" si="70"/>
        <v>0</v>
      </c>
      <c r="Z162" s="448">
        <v>0</v>
      </c>
      <c r="AA162" s="1325">
        <f t="shared" si="71"/>
        <v>0</v>
      </c>
      <c r="AB162" s="1321">
        <f t="shared" si="71"/>
        <v>0</v>
      </c>
      <c r="AC162" s="1321">
        <f t="shared" si="71"/>
        <v>0</v>
      </c>
      <c r="AD162" s="1321">
        <f t="shared" si="71"/>
        <v>0</v>
      </c>
      <c r="AE162" s="1321">
        <f t="shared" si="71"/>
        <v>0</v>
      </c>
      <c r="AF162" s="1326">
        <f t="shared" si="71"/>
        <v>0</v>
      </c>
      <c r="AG162" s="448"/>
      <c r="AH162" s="1325">
        <f t="shared" si="72"/>
        <v>0</v>
      </c>
      <c r="AI162" s="1321">
        <f t="shared" si="72"/>
        <v>0</v>
      </c>
      <c r="AJ162" s="1321">
        <f t="shared" si="72"/>
        <v>0</v>
      </c>
      <c r="AK162" s="1321">
        <f t="shared" si="72"/>
        <v>0</v>
      </c>
      <c r="AL162" s="1321">
        <f t="shared" si="72"/>
        <v>0</v>
      </c>
      <c r="AM162" s="1326">
        <f t="shared" si="72"/>
        <v>0</v>
      </c>
      <c r="AN162" s="2860"/>
      <c r="AO162" s="2898"/>
      <c r="AP162" s="1426"/>
    </row>
    <row r="163" spans="1:42" s="1422" customFormat="1">
      <c r="A163" s="2920">
        <v>12</v>
      </c>
      <c r="B163" s="2863">
        <v>2040203</v>
      </c>
      <c r="C163" s="2864">
        <v>0.02</v>
      </c>
      <c r="D163" s="2894" t="s">
        <v>423</v>
      </c>
      <c r="E163" s="448">
        <v>0</v>
      </c>
      <c r="F163" s="1325">
        <f t="shared" si="73"/>
        <v>2.9459999999999997E-2</v>
      </c>
      <c r="G163" s="1321">
        <f t="shared" si="73"/>
        <v>5.8919999999999993E-2</v>
      </c>
      <c r="H163" s="1321">
        <f t="shared" si="73"/>
        <v>8.8379999999999986E-2</v>
      </c>
      <c r="I163" s="1321">
        <f t="shared" si="73"/>
        <v>0.11783999999999999</v>
      </c>
      <c r="J163" s="1321">
        <f t="shared" si="73"/>
        <v>0.14729999999999999</v>
      </c>
      <c r="K163" s="1326">
        <f t="shared" si="73"/>
        <v>0.17675999999999997</v>
      </c>
      <c r="L163" s="448">
        <v>0</v>
      </c>
      <c r="M163" s="1325">
        <f t="shared" si="69"/>
        <v>0</v>
      </c>
      <c r="N163" s="1321">
        <f t="shared" si="69"/>
        <v>0</v>
      </c>
      <c r="O163" s="1321">
        <f t="shared" si="69"/>
        <v>0</v>
      </c>
      <c r="P163" s="1321">
        <f t="shared" si="69"/>
        <v>0</v>
      </c>
      <c r="Q163" s="1321">
        <f t="shared" si="69"/>
        <v>0</v>
      </c>
      <c r="R163" s="1326">
        <f t="shared" si="69"/>
        <v>0</v>
      </c>
      <c r="S163" s="448">
        <v>0</v>
      </c>
      <c r="T163" s="1325">
        <f t="shared" si="70"/>
        <v>0</v>
      </c>
      <c r="U163" s="1321">
        <f t="shared" si="70"/>
        <v>0</v>
      </c>
      <c r="V163" s="1321">
        <f t="shared" si="70"/>
        <v>0</v>
      </c>
      <c r="W163" s="1321">
        <f t="shared" si="70"/>
        <v>0</v>
      </c>
      <c r="X163" s="1321">
        <f t="shared" si="70"/>
        <v>0</v>
      </c>
      <c r="Y163" s="1326">
        <f t="shared" si="70"/>
        <v>0</v>
      </c>
      <c r="Z163" s="448">
        <v>0</v>
      </c>
      <c r="AA163" s="1325">
        <f t="shared" si="71"/>
        <v>0</v>
      </c>
      <c r="AB163" s="1321">
        <f t="shared" si="71"/>
        <v>0</v>
      </c>
      <c r="AC163" s="1321">
        <f t="shared" si="71"/>
        <v>0</v>
      </c>
      <c r="AD163" s="1321">
        <f t="shared" si="71"/>
        <v>0</v>
      </c>
      <c r="AE163" s="1321">
        <f t="shared" si="71"/>
        <v>0</v>
      </c>
      <c r="AF163" s="1326">
        <f t="shared" si="71"/>
        <v>0</v>
      </c>
      <c r="AG163" s="448"/>
      <c r="AH163" s="1325">
        <f t="shared" si="72"/>
        <v>0</v>
      </c>
      <c r="AI163" s="1321">
        <f t="shared" si="72"/>
        <v>0</v>
      </c>
      <c r="AJ163" s="1321">
        <f t="shared" si="72"/>
        <v>0</v>
      </c>
      <c r="AK163" s="1321">
        <f t="shared" si="72"/>
        <v>0</v>
      </c>
      <c r="AL163" s="1321">
        <f t="shared" si="72"/>
        <v>0</v>
      </c>
      <c r="AM163" s="1326">
        <f t="shared" si="72"/>
        <v>0</v>
      </c>
      <c r="AN163" s="2860"/>
      <c r="AO163" s="2898"/>
      <c r="AP163" s="1426"/>
    </row>
    <row r="164" spans="1:42" s="1422" customFormat="1">
      <c r="A164" s="2920">
        <v>13</v>
      </c>
      <c r="B164" s="2863">
        <v>2040204</v>
      </c>
      <c r="C164" s="2864">
        <v>0.02</v>
      </c>
      <c r="D164" s="2893" t="s">
        <v>424</v>
      </c>
      <c r="E164" s="448">
        <v>0</v>
      </c>
      <c r="F164" s="1325">
        <f t="shared" si="73"/>
        <v>3.3400000000000001E-3</v>
      </c>
      <c r="G164" s="1321">
        <f t="shared" si="73"/>
        <v>6.6800000000000002E-3</v>
      </c>
      <c r="H164" s="1321">
        <f t="shared" si="73"/>
        <v>1.0020000000000001E-2</v>
      </c>
      <c r="I164" s="1321">
        <f t="shared" si="73"/>
        <v>1.336E-2</v>
      </c>
      <c r="J164" s="1321">
        <f t="shared" si="73"/>
        <v>1.67E-2</v>
      </c>
      <c r="K164" s="1326">
        <f t="shared" si="73"/>
        <v>2.0039999999999999E-2</v>
      </c>
      <c r="L164" s="448">
        <v>0</v>
      </c>
      <c r="M164" s="1325">
        <f t="shared" si="69"/>
        <v>0</v>
      </c>
      <c r="N164" s="1321">
        <f t="shared" si="69"/>
        <v>0</v>
      </c>
      <c r="O164" s="1321">
        <f t="shared" si="69"/>
        <v>0</v>
      </c>
      <c r="P164" s="1321">
        <f t="shared" si="69"/>
        <v>0</v>
      </c>
      <c r="Q164" s="1321">
        <f t="shared" si="69"/>
        <v>0</v>
      </c>
      <c r="R164" s="1326">
        <f t="shared" si="69"/>
        <v>0</v>
      </c>
      <c r="S164" s="448">
        <v>0</v>
      </c>
      <c r="T164" s="1325">
        <f t="shared" si="70"/>
        <v>0</v>
      </c>
      <c r="U164" s="1321">
        <f t="shared" si="70"/>
        <v>0</v>
      </c>
      <c r="V164" s="1321">
        <f t="shared" si="70"/>
        <v>0</v>
      </c>
      <c r="W164" s="1321">
        <f t="shared" si="70"/>
        <v>0</v>
      </c>
      <c r="X164" s="1321">
        <f t="shared" si="70"/>
        <v>0</v>
      </c>
      <c r="Y164" s="1326">
        <f t="shared" si="70"/>
        <v>0</v>
      </c>
      <c r="Z164" s="448">
        <v>0</v>
      </c>
      <c r="AA164" s="1325">
        <f t="shared" si="71"/>
        <v>0</v>
      </c>
      <c r="AB164" s="1321">
        <f t="shared" si="71"/>
        <v>0</v>
      </c>
      <c r="AC164" s="1321">
        <f t="shared" si="71"/>
        <v>0</v>
      </c>
      <c r="AD164" s="1321">
        <f t="shared" si="71"/>
        <v>0</v>
      </c>
      <c r="AE164" s="1321">
        <f t="shared" si="71"/>
        <v>0</v>
      </c>
      <c r="AF164" s="1326">
        <f t="shared" si="71"/>
        <v>0</v>
      </c>
      <c r="AG164" s="448"/>
      <c r="AH164" s="1325">
        <f t="shared" si="72"/>
        <v>0</v>
      </c>
      <c r="AI164" s="1321">
        <f t="shared" si="72"/>
        <v>0</v>
      </c>
      <c r="AJ164" s="1321">
        <f t="shared" si="72"/>
        <v>0</v>
      </c>
      <c r="AK164" s="1321">
        <f t="shared" si="72"/>
        <v>0</v>
      </c>
      <c r="AL164" s="1321">
        <f t="shared" si="72"/>
        <v>0</v>
      </c>
      <c r="AM164" s="1326">
        <f t="shared" si="72"/>
        <v>0</v>
      </c>
      <c r="AN164" s="2860"/>
      <c r="AO164" s="2898"/>
      <c r="AP164" s="1426"/>
    </row>
    <row r="165" spans="1:42" s="1422" customFormat="1">
      <c r="A165" s="2920">
        <v>14</v>
      </c>
      <c r="B165" s="2863">
        <v>2040205</v>
      </c>
      <c r="C165" s="2864">
        <v>0.02</v>
      </c>
      <c r="D165" s="2894" t="s">
        <v>425</v>
      </c>
      <c r="E165" s="448">
        <v>54</v>
      </c>
      <c r="F165" s="1325">
        <f t="shared" si="73"/>
        <v>83.915559999999999</v>
      </c>
      <c r="G165" s="1321">
        <f t="shared" si="73"/>
        <v>132.00342999999998</v>
      </c>
      <c r="H165" s="1321">
        <f t="shared" si="73"/>
        <v>208.84877999999998</v>
      </c>
      <c r="I165" s="1321">
        <f t="shared" si="73"/>
        <v>303.02429999999998</v>
      </c>
      <c r="J165" s="1321">
        <f t="shared" si="73"/>
        <v>401.63481999999999</v>
      </c>
      <c r="K165" s="1326">
        <f t="shared" si="73"/>
        <v>503.18534</v>
      </c>
      <c r="L165" s="448">
        <v>0</v>
      </c>
      <c r="M165" s="1325">
        <f t="shared" si="69"/>
        <v>0</v>
      </c>
      <c r="N165" s="1321">
        <f t="shared" si="69"/>
        <v>0</v>
      </c>
      <c r="O165" s="1321">
        <f t="shared" si="69"/>
        <v>0</v>
      </c>
      <c r="P165" s="1321">
        <f t="shared" si="69"/>
        <v>0</v>
      </c>
      <c r="Q165" s="1321">
        <f t="shared" si="69"/>
        <v>0</v>
      </c>
      <c r="R165" s="1326">
        <f t="shared" si="69"/>
        <v>0</v>
      </c>
      <c r="S165" s="448">
        <v>0</v>
      </c>
      <c r="T165" s="1325">
        <f t="shared" si="70"/>
        <v>0</v>
      </c>
      <c r="U165" s="1321">
        <f t="shared" si="70"/>
        <v>0</v>
      </c>
      <c r="V165" s="1321">
        <f t="shared" si="70"/>
        <v>0</v>
      </c>
      <c r="W165" s="1321">
        <f t="shared" si="70"/>
        <v>0</v>
      </c>
      <c r="X165" s="1321">
        <f t="shared" si="70"/>
        <v>0</v>
      </c>
      <c r="Y165" s="1326">
        <f t="shared" si="70"/>
        <v>0</v>
      </c>
      <c r="Z165" s="448">
        <v>0</v>
      </c>
      <c r="AA165" s="1325">
        <f t="shared" si="71"/>
        <v>0</v>
      </c>
      <c r="AB165" s="1321">
        <f t="shared" si="71"/>
        <v>0</v>
      </c>
      <c r="AC165" s="1321">
        <f t="shared" si="71"/>
        <v>0</v>
      </c>
      <c r="AD165" s="1321">
        <f t="shared" si="71"/>
        <v>0</v>
      </c>
      <c r="AE165" s="1321">
        <f t="shared" si="71"/>
        <v>0</v>
      </c>
      <c r="AF165" s="1326">
        <f t="shared" si="71"/>
        <v>0</v>
      </c>
      <c r="AG165" s="448"/>
      <c r="AH165" s="1325">
        <f t="shared" si="72"/>
        <v>0</v>
      </c>
      <c r="AI165" s="1321">
        <f t="shared" si="72"/>
        <v>0</v>
      </c>
      <c r="AJ165" s="1321">
        <f t="shared" si="72"/>
        <v>0</v>
      </c>
      <c r="AK165" s="1321">
        <f t="shared" si="72"/>
        <v>0</v>
      </c>
      <c r="AL165" s="1321">
        <f t="shared" si="72"/>
        <v>0</v>
      </c>
      <c r="AM165" s="1326">
        <f t="shared" si="72"/>
        <v>0</v>
      </c>
      <c r="AN165" s="2860"/>
      <c r="AO165" s="2898"/>
      <c r="AP165" s="1426"/>
    </row>
    <row r="166" spans="1:42" s="1422" customFormat="1">
      <c r="A166" s="2920">
        <v>15</v>
      </c>
      <c r="B166" s="2863">
        <v>2040206</v>
      </c>
      <c r="C166" s="2864">
        <v>0.02</v>
      </c>
      <c r="D166" s="2899" t="s">
        <v>426</v>
      </c>
      <c r="E166" s="448">
        <v>0</v>
      </c>
      <c r="F166" s="1325">
        <f t="shared" si="73"/>
        <v>1.6200000000000008E-3</v>
      </c>
      <c r="G166" s="1321">
        <f t="shared" si="73"/>
        <v>3.2400000000000016E-3</v>
      </c>
      <c r="H166" s="1321">
        <f t="shared" si="73"/>
        <v>4.8600000000000023E-3</v>
      </c>
      <c r="I166" s="1321">
        <f t="shared" si="73"/>
        <v>6.4800000000000031E-3</v>
      </c>
      <c r="J166" s="1321">
        <f t="shared" si="73"/>
        <v>8.100000000000003E-3</v>
      </c>
      <c r="K166" s="1326">
        <f t="shared" si="73"/>
        <v>9.7200000000000029E-3</v>
      </c>
      <c r="L166" s="448">
        <v>7</v>
      </c>
      <c r="M166" s="1325">
        <f t="shared" si="69"/>
        <v>11.221640000000001</v>
      </c>
      <c r="N166" s="1321">
        <f t="shared" si="69"/>
        <v>21.196680000000001</v>
      </c>
      <c r="O166" s="1321">
        <f t="shared" si="69"/>
        <v>62.021010000000004</v>
      </c>
      <c r="P166" s="1321">
        <f t="shared" si="69"/>
        <v>129.16723000000002</v>
      </c>
      <c r="Q166" s="1321">
        <f t="shared" si="69"/>
        <v>196.86845000000005</v>
      </c>
      <c r="R166" s="1326">
        <f t="shared" si="69"/>
        <v>265.14167000000009</v>
      </c>
      <c r="S166" s="448">
        <v>0</v>
      </c>
      <c r="T166" s="1325">
        <f t="shared" si="70"/>
        <v>0</v>
      </c>
      <c r="U166" s="1321">
        <f t="shared" si="70"/>
        <v>0</v>
      </c>
      <c r="V166" s="1321">
        <f t="shared" si="70"/>
        <v>0</v>
      </c>
      <c r="W166" s="1321">
        <f t="shared" si="70"/>
        <v>0</v>
      </c>
      <c r="X166" s="1321">
        <f t="shared" si="70"/>
        <v>0</v>
      </c>
      <c r="Y166" s="1326">
        <f t="shared" si="70"/>
        <v>0</v>
      </c>
      <c r="Z166" s="448">
        <v>0</v>
      </c>
      <c r="AA166" s="1325">
        <f t="shared" si="71"/>
        <v>0</v>
      </c>
      <c r="AB166" s="1321">
        <f t="shared" si="71"/>
        <v>0</v>
      </c>
      <c r="AC166" s="1321">
        <f t="shared" si="71"/>
        <v>0</v>
      </c>
      <c r="AD166" s="1321">
        <f t="shared" si="71"/>
        <v>0</v>
      </c>
      <c r="AE166" s="1321">
        <f t="shared" si="71"/>
        <v>0</v>
      </c>
      <c r="AF166" s="1326">
        <f t="shared" si="71"/>
        <v>0</v>
      </c>
      <c r="AG166" s="448"/>
      <c r="AH166" s="1325">
        <f t="shared" si="72"/>
        <v>0</v>
      </c>
      <c r="AI166" s="1321">
        <f t="shared" si="72"/>
        <v>0</v>
      </c>
      <c r="AJ166" s="1321">
        <f t="shared" si="72"/>
        <v>0</v>
      </c>
      <c r="AK166" s="1321">
        <f t="shared" si="72"/>
        <v>0</v>
      </c>
      <c r="AL166" s="1321">
        <f t="shared" si="72"/>
        <v>0</v>
      </c>
      <c r="AM166" s="1326">
        <f t="shared" si="72"/>
        <v>0</v>
      </c>
      <c r="AN166" s="2860"/>
      <c r="AO166" s="2898"/>
      <c r="AP166" s="1426"/>
    </row>
    <row r="167" spans="1:42" s="1422" customFormat="1" ht="24">
      <c r="A167" s="2920">
        <v>16</v>
      </c>
      <c r="B167" s="2863">
        <v>2040207</v>
      </c>
      <c r="C167" s="2864">
        <v>0.04</v>
      </c>
      <c r="D167" s="2899" t="s">
        <v>427</v>
      </c>
      <c r="E167" s="448">
        <v>7.2</v>
      </c>
      <c r="F167" s="1325">
        <f t="shared" si="73"/>
        <v>12.11824</v>
      </c>
      <c r="G167" s="1321">
        <f t="shared" si="73"/>
        <v>17.93648</v>
      </c>
      <c r="H167" s="1321">
        <f t="shared" si="73"/>
        <v>35.666340000000005</v>
      </c>
      <c r="I167" s="1321">
        <f t="shared" si="73"/>
        <v>65.307820000000007</v>
      </c>
      <c r="J167" s="1321">
        <f t="shared" si="73"/>
        <v>95.709300000000013</v>
      </c>
      <c r="K167" s="1326">
        <f t="shared" si="73"/>
        <v>126.87078000000002</v>
      </c>
      <c r="L167" s="448">
        <v>0</v>
      </c>
      <c r="M167" s="1325">
        <f t="shared" si="69"/>
        <v>0</v>
      </c>
      <c r="N167" s="1321">
        <f t="shared" si="69"/>
        <v>0</v>
      </c>
      <c r="O167" s="1321">
        <f t="shared" si="69"/>
        <v>4.5269200000000005</v>
      </c>
      <c r="P167" s="1321">
        <f t="shared" si="69"/>
        <v>13.580760000000001</v>
      </c>
      <c r="Q167" s="1321">
        <f t="shared" si="69"/>
        <v>22.634600000000002</v>
      </c>
      <c r="R167" s="1326">
        <f t="shared" si="69"/>
        <v>31.688440000000003</v>
      </c>
      <c r="S167" s="448">
        <v>3</v>
      </c>
      <c r="T167" s="1325">
        <f t="shared" si="70"/>
        <v>4.57</v>
      </c>
      <c r="U167" s="1321">
        <f t="shared" si="70"/>
        <v>27.374499999999998</v>
      </c>
      <c r="V167" s="1321">
        <f t="shared" si="70"/>
        <v>93.347999999999999</v>
      </c>
      <c r="W167" s="1321">
        <f t="shared" si="70"/>
        <v>182.39600000000002</v>
      </c>
      <c r="X167" s="1321">
        <f t="shared" si="70"/>
        <v>272.46400000000006</v>
      </c>
      <c r="Y167" s="1326">
        <f t="shared" si="70"/>
        <v>362.53200000000004</v>
      </c>
      <c r="Z167" s="448">
        <v>0</v>
      </c>
      <c r="AA167" s="1325">
        <f t="shared" si="71"/>
        <v>0</v>
      </c>
      <c r="AB167" s="1321">
        <f t="shared" si="71"/>
        <v>0</v>
      </c>
      <c r="AC167" s="1321">
        <f t="shared" si="71"/>
        <v>0</v>
      </c>
      <c r="AD167" s="1321">
        <f t="shared" si="71"/>
        <v>0</v>
      </c>
      <c r="AE167" s="1321">
        <f t="shared" si="71"/>
        <v>0</v>
      </c>
      <c r="AF167" s="1326">
        <f t="shared" si="71"/>
        <v>0</v>
      </c>
      <c r="AG167" s="448"/>
      <c r="AH167" s="1325">
        <f t="shared" si="72"/>
        <v>0</v>
      </c>
      <c r="AI167" s="1321">
        <f t="shared" si="72"/>
        <v>0</v>
      </c>
      <c r="AJ167" s="1321">
        <f t="shared" si="72"/>
        <v>0</v>
      </c>
      <c r="AK167" s="1321">
        <f t="shared" si="72"/>
        <v>0</v>
      </c>
      <c r="AL167" s="1321">
        <f t="shared" si="72"/>
        <v>0</v>
      </c>
      <c r="AM167" s="1326">
        <f t="shared" si="72"/>
        <v>0</v>
      </c>
      <c r="AN167" s="2860"/>
      <c r="AO167" s="2898"/>
      <c r="AP167" s="1426"/>
    </row>
    <row r="168" spans="1:42" s="1422" customFormat="1">
      <c r="A168" s="2920">
        <v>17</v>
      </c>
      <c r="B168" s="2863">
        <v>2040208</v>
      </c>
      <c r="C168" s="2864">
        <v>0.04</v>
      </c>
      <c r="D168" s="2899" t="s">
        <v>428</v>
      </c>
      <c r="E168" s="448">
        <v>0</v>
      </c>
      <c r="F168" s="1325">
        <f t="shared" si="73"/>
        <v>0</v>
      </c>
      <c r="G168" s="1321">
        <f t="shared" si="73"/>
        <v>0</v>
      </c>
      <c r="H168" s="1321">
        <f t="shared" si="73"/>
        <v>0</v>
      </c>
      <c r="I168" s="1321">
        <f t="shared" si="73"/>
        <v>0</v>
      </c>
      <c r="J168" s="1321">
        <f t="shared" si="73"/>
        <v>0</v>
      </c>
      <c r="K168" s="1326">
        <f t="shared" si="73"/>
        <v>0</v>
      </c>
      <c r="L168" s="448">
        <v>0</v>
      </c>
      <c r="M168" s="1325">
        <f t="shared" ref="M168:R170" si="74">L168+M148</f>
        <v>0</v>
      </c>
      <c r="N168" s="1321">
        <f t="shared" si="74"/>
        <v>0</v>
      </c>
      <c r="O168" s="1321">
        <f t="shared" si="74"/>
        <v>0</v>
      </c>
      <c r="P168" s="1321">
        <f t="shared" si="74"/>
        <v>0</v>
      </c>
      <c r="Q168" s="1321">
        <f t="shared" si="74"/>
        <v>0</v>
      </c>
      <c r="R168" s="1326">
        <f t="shared" si="74"/>
        <v>0</v>
      </c>
      <c r="S168" s="448">
        <v>0</v>
      </c>
      <c r="T168" s="1325">
        <f t="shared" ref="T168:Y170" si="75">S168+T148</f>
        <v>0</v>
      </c>
      <c r="U168" s="1321">
        <f t="shared" si="75"/>
        <v>0</v>
      </c>
      <c r="V168" s="1321">
        <f t="shared" si="75"/>
        <v>0</v>
      </c>
      <c r="W168" s="1321">
        <f t="shared" si="75"/>
        <v>0</v>
      </c>
      <c r="X168" s="1321">
        <f t="shared" si="75"/>
        <v>0</v>
      </c>
      <c r="Y168" s="1326">
        <f t="shared" si="75"/>
        <v>0</v>
      </c>
      <c r="Z168" s="448">
        <v>0</v>
      </c>
      <c r="AA168" s="1325">
        <f t="shared" ref="AA168:AF170" si="76">Z168+AA148</f>
        <v>0</v>
      </c>
      <c r="AB168" s="1321">
        <f t="shared" si="76"/>
        <v>0</v>
      </c>
      <c r="AC168" s="1321">
        <f t="shared" si="76"/>
        <v>0</v>
      </c>
      <c r="AD168" s="1321">
        <f t="shared" si="76"/>
        <v>0</v>
      </c>
      <c r="AE168" s="1321">
        <f t="shared" si="76"/>
        <v>0</v>
      </c>
      <c r="AF168" s="1326">
        <f t="shared" si="76"/>
        <v>0</v>
      </c>
      <c r="AG168" s="448"/>
      <c r="AH168" s="1325">
        <f t="shared" ref="AH168:AM170" si="77">AG168+AH148</f>
        <v>0</v>
      </c>
      <c r="AI168" s="1321">
        <f t="shared" si="77"/>
        <v>0</v>
      </c>
      <c r="AJ168" s="1321">
        <f t="shared" si="77"/>
        <v>0</v>
      </c>
      <c r="AK168" s="1321">
        <f t="shared" si="77"/>
        <v>0</v>
      </c>
      <c r="AL168" s="1321">
        <f t="shared" si="77"/>
        <v>0</v>
      </c>
      <c r="AM168" s="1326">
        <f t="shared" si="77"/>
        <v>0</v>
      </c>
      <c r="AN168" s="2860"/>
      <c r="AO168" s="2898"/>
      <c r="AP168" s="1426"/>
    </row>
    <row r="169" spans="1:42" s="1422" customFormat="1">
      <c r="A169" s="2920">
        <v>18</v>
      </c>
      <c r="B169" s="2921" t="s">
        <v>1061</v>
      </c>
      <c r="C169" s="2864">
        <v>0.04</v>
      </c>
      <c r="D169" s="2918" t="s">
        <v>439</v>
      </c>
      <c r="E169" s="448">
        <v>0</v>
      </c>
      <c r="F169" s="1325">
        <f t="shared" si="73"/>
        <v>0</v>
      </c>
      <c r="G169" s="1321">
        <f t="shared" si="73"/>
        <v>0</v>
      </c>
      <c r="H169" s="1321">
        <f t="shared" si="73"/>
        <v>0</v>
      </c>
      <c r="I169" s="1321">
        <f t="shared" si="73"/>
        <v>0</v>
      </c>
      <c r="J169" s="1321">
        <f t="shared" si="73"/>
        <v>0</v>
      </c>
      <c r="K169" s="1326">
        <f t="shared" si="73"/>
        <v>0</v>
      </c>
      <c r="L169" s="448">
        <v>0</v>
      </c>
      <c r="M169" s="1325">
        <f t="shared" si="74"/>
        <v>0</v>
      </c>
      <c r="N169" s="1321">
        <f t="shared" si="74"/>
        <v>0</v>
      </c>
      <c r="O169" s="1321">
        <f t="shared" si="74"/>
        <v>0</v>
      </c>
      <c r="P169" s="1321">
        <f t="shared" si="74"/>
        <v>0</v>
      </c>
      <c r="Q169" s="1321">
        <f t="shared" si="74"/>
        <v>0</v>
      </c>
      <c r="R169" s="1326">
        <f t="shared" si="74"/>
        <v>0</v>
      </c>
      <c r="S169" s="448">
        <v>0</v>
      </c>
      <c r="T169" s="1325">
        <f t="shared" si="75"/>
        <v>0</v>
      </c>
      <c r="U169" s="1321">
        <f t="shared" si="75"/>
        <v>0</v>
      </c>
      <c r="V169" s="1321">
        <f t="shared" si="75"/>
        <v>0</v>
      </c>
      <c r="W169" s="1321">
        <f t="shared" si="75"/>
        <v>0</v>
      </c>
      <c r="X169" s="1321">
        <f t="shared" si="75"/>
        <v>0</v>
      </c>
      <c r="Y169" s="1326">
        <f t="shared" si="75"/>
        <v>0</v>
      </c>
      <c r="Z169" s="448">
        <v>0</v>
      </c>
      <c r="AA169" s="1325">
        <f t="shared" si="76"/>
        <v>0</v>
      </c>
      <c r="AB169" s="1321">
        <f t="shared" si="76"/>
        <v>0</v>
      </c>
      <c r="AC169" s="1321">
        <f t="shared" si="76"/>
        <v>0</v>
      </c>
      <c r="AD169" s="1321">
        <f t="shared" si="76"/>
        <v>0</v>
      </c>
      <c r="AE169" s="1321">
        <f t="shared" si="76"/>
        <v>0</v>
      </c>
      <c r="AF169" s="1326">
        <f t="shared" si="76"/>
        <v>0</v>
      </c>
      <c r="AG169" s="448"/>
      <c r="AH169" s="1325">
        <f t="shared" si="77"/>
        <v>0</v>
      </c>
      <c r="AI169" s="1321">
        <f t="shared" si="77"/>
        <v>0</v>
      </c>
      <c r="AJ169" s="1321">
        <f t="shared" si="77"/>
        <v>0</v>
      </c>
      <c r="AK169" s="1321">
        <f t="shared" si="77"/>
        <v>0</v>
      </c>
      <c r="AL169" s="1321">
        <f t="shared" si="77"/>
        <v>0</v>
      </c>
      <c r="AM169" s="1326">
        <f t="shared" si="77"/>
        <v>0</v>
      </c>
      <c r="AN169" s="2860"/>
      <c r="AO169" s="2898"/>
      <c r="AP169" s="1426"/>
    </row>
    <row r="170" spans="1:42" s="1422" customFormat="1" ht="24.75" thickBot="1">
      <c r="A170" s="2920">
        <v>19</v>
      </c>
      <c r="B170" s="2863">
        <v>215</v>
      </c>
      <c r="C170" s="2869">
        <v>0.2</v>
      </c>
      <c r="D170" s="2899" t="s">
        <v>685</v>
      </c>
      <c r="E170" s="448">
        <v>2</v>
      </c>
      <c r="F170" s="2990">
        <f t="shared" si="73"/>
        <v>3</v>
      </c>
      <c r="G170" s="2991">
        <f t="shared" si="73"/>
        <v>11.643427889646457</v>
      </c>
      <c r="H170" s="2991">
        <f t="shared" si="73"/>
        <v>24.695965094724976</v>
      </c>
      <c r="I170" s="2991">
        <f t="shared" si="73"/>
        <v>33.667841172811492</v>
      </c>
      <c r="J170" s="2991">
        <f t="shared" si="73"/>
        <v>43.695013121077935</v>
      </c>
      <c r="K170" s="2992">
        <f t="shared" si="73"/>
        <v>44.747737277579169</v>
      </c>
      <c r="L170" s="448">
        <v>0</v>
      </c>
      <c r="M170" s="2990">
        <f t="shared" si="74"/>
        <v>0</v>
      </c>
      <c r="N170" s="2991">
        <f t="shared" si="74"/>
        <v>0.95574370209754833</v>
      </c>
      <c r="O170" s="2991">
        <f t="shared" si="74"/>
        <v>5.3166305655379729</v>
      </c>
      <c r="P170" s="2991">
        <f t="shared" si="74"/>
        <v>10.731932276093611</v>
      </c>
      <c r="Q170" s="2991">
        <f t="shared" si="74"/>
        <v>16.172589709665367</v>
      </c>
      <c r="R170" s="2992">
        <f t="shared" si="74"/>
        <v>21.648749472332444</v>
      </c>
      <c r="S170" s="448">
        <v>0</v>
      </c>
      <c r="T170" s="2990">
        <f t="shared" si="75"/>
        <v>0</v>
      </c>
      <c r="U170" s="2991">
        <f t="shared" si="75"/>
        <v>2.1635284082559938</v>
      </c>
      <c r="V170" s="2991">
        <f t="shared" si="75"/>
        <v>7.6755043397370528</v>
      </c>
      <c r="W170" s="2991">
        <f t="shared" si="75"/>
        <v>13.013726551094894</v>
      </c>
      <c r="X170" s="2991">
        <f t="shared" si="75"/>
        <v>18.071297169256695</v>
      </c>
      <c r="Y170" s="2992">
        <f t="shared" si="75"/>
        <v>22.867813250088389</v>
      </c>
      <c r="Z170" s="448">
        <v>0</v>
      </c>
      <c r="AA170" s="2990">
        <f t="shared" si="76"/>
        <v>0</v>
      </c>
      <c r="AB170" s="2991">
        <f t="shared" si="76"/>
        <v>0</v>
      </c>
      <c r="AC170" s="2991">
        <f t="shared" si="76"/>
        <v>0</v>
      </c>
      <c r="AD170" s="2991">
        <f t="shared" si="76"/>
        <v>0</v>
      </c>
      <c r="AE170" s="2991">
        <f t="shared" si="76"/>
        <v>0</v>
      </c>
      <c r="AF170" s="2992">
        <f t="shared" si="76"/>
        <v>0</v>
      </c>
      <c r="AG170" s="448"/>
      <c r="AH170" s="2990">
        <f t="shared" si="77"/>
        <v>0</v>
      </c>
      <c r="AI170" s="2991">
        <f t="shared" si="77"/>
        <v>0</v>
      </c>
      <c r="AJ170" s="2991">
        <f t="shared" si="77"/>
        <v>0</v>
      </c>
      <c r="AK170" s="2991">
        <f t="shared" si="77"/>
        <v>0</v>
      </c>
      <c r="AL170" s="2991">
        <f t="shared" si="77"/>
        <v>0</v>
      </c>
      <c r="AM170" s="2992">
        <f t="shared" si="77"/>
        <v>0</v>
      </c>
      <c r="AN170" s="2860"/>
      <c r="AO170" s="2898"/>
      <c r="AP170" s="1426"/>
    </row>
    <row r="171" spans="1:42" s="1422" customFormat="1" ht="13.5" thickBot="1">
      <c r="A171" s="4440" t="s">
        <v>226</v>
      </c>
      <c r="B171" s="2886"/>
      <c r="C171" s="2886"/>
      <c r="D171" s="2922" t="s">
        <v>227</v>
      </c>
      <c r="E171" s="1343">
        <f t="shared" ref="E171:AM171" si="78">SUM(E172:E190)</f>
        <v>1847.8</v>
      </c>
      <c r="F171" s="2986">
        <f t="shared" si="78"/>
        <v>2297.2075830283329</v>
      </c>
      <c r="G171" s="1237">
        <f t="shared" si="78"/>
        <v>3722.9615684727241</v>
      </c>
      <c r="H171" s="1237">
        <f t="shared" si="78"/>
        <v>5622.7007962578082</v>
      </c>
      <c r="I171" s="1238">
        <f t="shared" si="78"/>
        <v>5790.7011407461532</v>
      </c>
      <c r="J171" s="1237">
        <f t="shared" si="78"/>
        <v>5792.8054159531621</v>
      </c>
      <c r="K171" s="1237">
        <f t="shared" si="78"/>
        <v>5789.785892016931</v>
      </c>
      <c r="L171" s="1343">
        <f t="shared" si="78"/>
        <v>144</v>
      </c>
      <c r="M171" s="2986">
        <f t="shared" si="78"/>
        <v>241.46902553525902</v>
      </c>
      <c r="N171" s="1237">
        <f t="shared" si="78"/>
        <v>766.89687420590178</v>
      </c>
      <c r="O171" s="1237">
        <f t="shared" si="78"/>
        <v>3578.0741243980588</v>
      </c>
      <c r="P171" s="1238">
        <f t="shared" si="78"/>
        <v>3546.9803363469528</v>
      </c>
      <c r="Q171" s="1237">
        <f t="shared" si="78"/>
        <v>3507.9172347370422</v>
      </c>
      <c r="R171" s="1237">
        <f t="shared" si="78"/>
        <v>3468.3199433207396</v>
      </c>
      <c r="S171" s="1343">
        <f t="shared" si="78"/>
        <v>34.5</v>
      </c>
      <c r="T171" s="2986">
        <f t="shared" si="78"/>
        <v>37.482921436407977</v>
      </c>
      <c r="U171" s="1237">
        <f t="shared" si="78"/>
        <v>1121.3257073213742</v>
      </c>
      <c r="V171" s="1237">
        <f t="shared" si="78"/>
        <v>2170.3218393441339</v>
      </c>
      <c r="W171" s="1238">
        <f t="shared" si="78"/>
        <v>2143.3847929068938</v>
      </c>
      <c r="X171" s="1237">
        <f t="shared" si="78"/>
        <v>2063.7231293097952</v>
      </c>
      <c r="Y171" s="2987">
        <f t="shared" si="78"/>
        <v>1983.5274546623289</v>
      </c>
      <c r="Z171" s="1343">
        <f t="shared" si="78"/>
        <v>0</v>
      </c>
      <c r="AA171" s="2986">
        <f t="shared" si="78"/>
        <v>0</v>
      </c>
      <c r="AB171" s="1237">
        <f t="shared" si="78"/>
        <v>0</v>
      </c>
      <c r="AC171" s="1237">
        <f t="shared" si="78"/>
        <v>0</v>
      </c>
      <c r="AD171" s="1238">
        <f t="shared" si="78"/>
        <v>0</v>
      </c>
      <c r="AE171" s="1237">
        <f t="shared" si="78"/>
        <v>0</v>
      </c>
      <c r="AF171" s="2987">
        <f t="shared" si="78"/>
        <v>0</v>
      </c>
      <c r="AG171" s="1343">
        <f t="shared" si="78"/>
        <v>0</v>
      </c>
      <c r="AH171" s="2986">
        <f t="shared" si="78"/>
        <v>0</v>
      </c>
      <c r="AI171" s="1237">
        <f t="shared" si="78"/>
        <v>0</v>
      </c>
      <c r="AJ171" s="1237">
        <f t="shared" si="78"/>
        <v>0</v>
      </c>
      <c r="AK171" s="1238">
        <f t="shared" si="78"/>
        <v>0</v>
      </c>
      <c r="AL171" s="1237">
        <f t="shared" si="78"/>
        <v>0</v>
      </c>
      <c r="AM171" s="2987">
        <f t="shared" si="78"/>
        <v>0</v>
      </c>
      <c r="AN171" s="2855"/>
      <c r="AO171" s="2898"/>
      <c r="AP171" s="1426"/>
    </row>
    <row r="172" spans="1:42" s="1422" customFormat="1">
      <c r="A172" s="2862">
        <v>1</v>
      </c>
      <c r="B172" s="2856">
        <v>20102</v>
      </c>
      <c r="C172" s="2880">
        <v>0</v>
      </c>
      <c r="D172" s="2910" t="s">
        <v>564</v>
      </c>
      <c r="E172" s="2993">
        <f>E112-E152</f>
        <v>0</v>
      </c>
      <c r="F172" s="2959">
        <f t="shared" ref="F172:L187" si="79">F112-F152</f>
        <v>0</v>
      </c>
      <c r="G172" s="2957">
        <f t="shared" si="79"/>
        <v>0</v>
      </c>
      <c r="H172" s="2957">
        <f t="shared" si="79"/>
        <v>0</v>
      </c>
      <c r="I172" s="2957">
        <f t="shared" si="79"/>
        <v>0</v>
      </c>
      <c r="J172" s="2957">
        <f t="shared" si="79"/>
        <v>0</v>
      </c>
      <c r="K172" s="2958">
        <f t="shared" si="79"/>
        <v>0</v>
      </c>
      <c r="L172" s="2993">
        <f>L112-L152</f>
        <v>0</v>
      </c>
      <c r="M172" s="2959">
        <f t="shared" ref="M172:S187" si="80">M112-M152</f>
        <v>0</v>
      </c>
      <c r="N172" s="2957">
        <f t="shared" si="80"/>
        <v>0</v>
      </c>
      <c r="O172" s="2957">
        <f t="shared" si="80"/>
        <v>0</v>
      </c>
      <c r="P172" s="2957">
        <f t="shared" si="80"/>
        <v>0</v>
      </c>
      <c r="Q172" s="2957">
        <f t="shared" si="80"/>
        <v>0</v>
      </c>
      <c r="R172" s="2958">
        <f t="shared" si="80"/>
        <v>0</v>
      </c>
      <c r="S172" s="2993">
        <f>S112-S152</f>
        <v>0</v>
      </c>
      <c r="T172" s="2959">
        <f t="shared" ref="T172:Z187" si="81">T112-T152</f>
        <v>0</v>
      </c>
      <c r="U172" s="2957">
        <f t="shared" si="81"/>
        <v>0</v>
      </c>
      <c r="V172" s="2957">
        <f t="shared" si="81"/>
        <v>0</v>
      </c>
      <c r="W172" s="2957">
        <f t="shared" si="81"/>
        <v>0</v>
      </c>
      <c r="X172" s="2957">
        <f t="shared" si="81"/>
        <v>0</v>
      </c>
      <c r="Y172" s="2958">
        <f t="shared" si="81"/>
        <v>0</v>
      </c>
      <c r="Z172" s="2993">
        <f>Z112-Z152</f>
        <v>0</v>
      </c>
      <c r="AA172" s="2959">
        <f t="shared" ref="AA172:AM187" si="82">AA112-AA152</f>
        <v>0</v>
      </c>
      <c r="AB172" s="2957">
        <f t="shared" si="82"/>
        <v>0</v>
      </c>
      <c r="AC172" s="2957">
        <f t="shared" si="82"/>
        <v>0</v>
      </c>
      <c r="AD172" s="2957">
        <f t="shared" si="82"/>
        <v>0</v>
      </c>
      <c r="AE172" s="2957">
        <f t="shared" si="82"/>
        <v>0</v>
      </c>
      <c r="AF172" s="2958">
        <f t="shared" si="82"/>
        <v>0</v>
      </c>
      <c r="AG172" s="2993">
        <f>AG112-AG152</f>
        <v>0</v>
      </c>
      <c r="AH172" s="2959">
        <f t="shared" ref="AH172:AM173" si="83">AH112-AH152</f>
        <v>0</v>
      </c>
      <c r="AI172" s="2957">
        <f t="shared" si="83"/>
        <v>0</v>
      </c>
      <c r="AJ172" s="2957">
        <f t="shared" si="83"/>
        <v>0</v>
      </c>
      <c r="AK172" s="2957">
        <f t="shared" si="83"/>
        <v>0</v>
      </c>
      <c r="AL172" s="2957">
        <f t="shared" si="83"/>
        <v>0</v>
      </c>
      <c r="AM172" s="2958">
        <f t="shared" si="83"/>
        <v>0</v>
      </c>
      <c r="AN172" s="2860"/>
      <c r="AO172" s="2898"/>
      <c r="AP172" s="1426"/>
    </row>
    <row r="173" spans="1:42" s="1422" customFormat="1">
      <c r="A173" s="2862">
        <v>2</v>
      </c>
      <c r="B173" s="2863">
        <v>20202</v>
      </c>
      <c r="C173" s="2864">
        <v>0.03</v>
      </c>
      <c r="D173" s="2918" t="s">
        <v>431</v>
      </c>
      <c r="E173" s="2994">
        <f>E113-E153</f>
        <v>20</v>
      </c>
      <c r="F173" s="1325">
        <f t="shared" si="79"/>
        <v>19.747070000000001</v>
      </c>
      <c r="G173" s="1321">
        <f t="shared" si="79"/>
        <v>19.494140000000002</v>
      </c>
      <c r="H173" s="1321">
        <f t="shared" si="79"/>
        <v>19.241209999999999</v>
      </c>
      <c r="I173" s="1321">
        <f t="shared" si="79"/>
        <v>18.98828</v>
      </c>
      <c r="J173" s="1321">
        <f t="shared" si="79"/>
        <v>18.73535</v>
      </c>
      <c r="K173" s="1326">
        <f t="shared" si="79"/>
        <v>18.482419999999998</v>
      </c>
      <c r="L173" s="2994">
        <f>L113-L153</f>
        <v>0</v>
      </c>
      <c r="M173" s="1325">
        <f t="shared" si="80"/>
        <v>0</v>
      </c>
      <c r="N173" s="1321">
        <f t="shared" si="80"/>
        <v>0</v>
      </c>
      <c r="O173" s="1321">
        <f t="shared" si="80"/>
        <v>0</v>
      </c>
      <c r="P173" s="1321">
        <f t="shared" si="80"/>
        <v>0</v>
      </c>
      <c r="Q173" s="1321">
        <f t="shared" si="80"/>
        <v>0</v>
      </c>
      <c r="R173" s="1326">
        <f t="shared" si="80"/>
        <v>0</v>
      </c>
      <c r="S173" s="2994">
        <f>S113-S153</f>
        <v>2</v>
      </c>
      <c r="T173" s="1325">
        <f t="shared" si="81"/>
        <v>2</v>
      </c>
      <c r="U173" s="1321">
        <f t="shared" si="81"/>
        <v>2</v>
      </c>
      <c r="V173" s="1321">
        <f t="shared" si="81"/>
        <v>2</v>
      </c>
      <c r="W173" s="1321">
        <f t="shared" si="81"/>
        <v>2</v>
      </c>
      <c r="X173" s="1321">
        <f t="shared" si="81"/>
        <v>2</v>
      </c>
      <c r="Y173" s="1326">
        <f t="shared" si="81"/>
        <v>2</v>
      </c>
      <c r="Z173" s="2994">
        <f>Z113-Z153</f>
        <v>0</v>
      </c>
      <c r="AA173" s="1325">
        <f t="shared" si="82"/>
        <v>0</v>
      </c>
      <c r="AB173" s="1321">
        <f t="shared" si="82"/>
        <v>0</v>
      </c>
      <c r="AC173" s="1321">
        <f t="shared" si="82"/>
        <v>0</v>
      </c>
      <c r="AD173" s="1321">
        <f t="shared" si="82"/>
        <v>0</v>
      </c>
      <c r="AE173" s="1321">
        <f t="shared" si="82"/>
        <v>0</v>
      </c>
      <c r="AF173" s="1326">
        <f t="shared" si="82"/>
        <v>0</v>
      </c>
      <c r="AG173" s="2994">
        <f>AG113-AG153</f>
        <v>0</v>
      </c>
      <c r="AH173" s="1325">
        <f t="shared" si="83"/>
        <v>0</v>
      </c>
      <c r="AI173" s="1321">
        <f t="shared" si="83"/>
        <v>0</v>
      </c>
      <c r="AJ173" s="1321">
        <f t="shared" si="83"/>
        <v>0</v>
      </c>
      <c r="AK173" s="1321">
        <f t="shared" si="83"/>
        <v>0</v>
      </c>
      <c r="AL173" s="1321">
        <f t="shared" si="83"/>
        <v>0</v>
      </c>
      <c r="AM173" s="1326">
        <f t="shared" si="83"/>
        <v>0</v>
      </c>
      <c r="AN173" s="2860"/>
      <c r="AO173" s="2898"/>
      <c r="AP173" s="1426"/>
    </row>
    <row r="174" spans="1:42" s="1422" customFormat="1">
      <c r="A174" s="2862">
        <v>3</v>
      </c>
      <c r="B174" s="2863">
        <v>2030401</v>
      </c>
      <c r="C174" s="2869">
        <v>0.1</v>
      </c>
      <c r="D174" s="2899" t="s">
        <v>1039</v>
      </c>
      <c r="E174" s="2994">
        <f t="shared" ref="E174:T189" si="84">E114-E154</f>
        <v>83</v>
      </c>
      <c r="F174" s="1325">
        <f t="shared" si="79"/>
        <v>72.417200000000008</v>
      </c>
      <c r="G174" s="1321">
        <f t="shared" si="79"/>
        <v>61.834400000000002</v>
      </c>
      <c r="H174" s="1321">
        <f t="shared" si="79"/>
        <v>51.251600000000003</v>
      </c>
      <c r="I174" s="1321">
        <f t="shared" si="79"/>
        <v>40.668800000000005</v>
      </c>
      <c r="J174" s="1321">
        <f t="shared" si="79"/>
        <v>30.085999999999999</v>
      </c>
      <c r="K174" s="1326">
        <f t="shared" si="79"/>
        <v>19.503199999999993</v>
      </c>
      <c r="L174" s="2994">
        <f t="shared" si="79"/>
        <v>0</v>
      </c>
      <c r="M174" s="1325">
        <f t="shared" si="80"/>
        <v>0</v>
      </c>
      <c r="N174" s="1321">
        <f t="shared" si="80"/>
        <v>0</v>
      </c>
      <c r="O174" s="1321">
        <f t="shared" si="80"/>
        <v>0</v>
      </c>
      <c r="P174" s="1321">
        <f t="shared" si="80"/>
        <v>0</v>
      </c>
      <c r="Q174" s="1321">
        <f t="shared" si="80"/>
        <v>0</v>
      </c>
      <c r="R174" s="1326">
        <f t="shared" si="80"/>
        <v>0</v>
      </c>
      <c r="S174" s="2994">
        <f t="shared" si="80"/>
        <v>9.5</v>
      </c>
      <c r="T174" s="1325">
        <f t="shared" si="81"/>
        <v>8.0500000000000007</v>
      </c>
      <c r="U174" s="1321">
        <f t="shared" si="81"/>
        <v>6.6</v>
      </c>
      <c r="V174" s="1321">
        <f t="shared" si="81"/>
        <v>5.1499999999999995</v>
      </c>
      <c r="W174" s="1321">
        <f t="shared" si="81"/>
        <v>3.6999999999999993</v>
      </c>
      <c r="X174" s="1321">
        <f t="shared" si="81"/>
        <v>2.25</v>
      </c>
      <c r="Y174" s="1326">
        <f t="shared" si="81"/>
        <v>0.80000000000000071</v>
      </c>
      <c r="Z174" s="2994">
        <f t="shared" si="81"/>
        <v>0</v>
      </c>
      <c r="AA174" s="1325">
        <f t="shared" si="82"/>
        <v>0</v>
      </c>
      <c r="AB174" s="1321">
        <f t="shared" si="82"/>
        <v>0</v>
      </c>
      <c r="AC174" s="1321">
        <f t="shared" si="82"/>
        <v>0</v>
      </c>
      <c r="AD174" s="1321">
        <f t="shared" si="82"/>
        <v>0</v>
      </c>
      <c r="AE174" s="1321">
        <f t="shared" si="82"/>
        <v>0</v>
      </c>
      <c r="AF174" s="1326">
        <f t="shared" si="82"/>
        <v>0</v>
      </c>
      <c r="AG174" s="2994">
        <f t="shared" si="82"/>
        <v>0</v>
      </c>
      <c r="AH174" s="1325">
        <f t="shared" si="82"/>
        <v>0</v>
      </c>
      <c r="AI174" s="1321">
        <f t="shared" si="82"/>
        <v>0</v>
      </c>
      <c r="AJ174" s="1321">
        <f t="shared" si="82"/>
        <v>0</v>
      </c>
      <c r="AK174" s="1321">
        <f t="shared" si="82"/>
        <v>0</v>
      </c>
      <c r="AL174" s="1321">
        <f t="shared" si="82"/>
        <v>0</v>
      </c>
      <c r="AM174" s="1326">
        <f t="shared" si="82"/>
        <v>0</v>
      </c>
      <c r="AN174" s="2860"/>
      <c r="AO174" s="2898"/>
      <c r="AP174" s="1426"/>
    </row>
    <row r="175" spans="1:42" s="1422" customFormat="1">
      <c r="A175" s="2862">
        <v>4</v>
      </c>
      <c r="B175" s="2863">
        <v>2030402</v>
      </c>
      <c r="C175" s="2869">
        <v>0.1</v>
      </c>
      <c r="D175" s="2899" t="s">
        <v>434</v>
      </c>
      <c r="E175" s="2994">
        <f t="shared" si="84"/>
        <v>1</v>
      </c>
      <c r="F175" s="1325">
        <f t="shared" si="79"/>
        <v>1</v>
      </c>
      <c r="G175" s="1321">
        <f t="shared" si="79"/>
        <v>1</v>
      </c>
      <c r="H175" s="1321">
        <f t="shared" si="79"/>
        <v>1</v>
      </c>
      <c r="I175" s="1321">
        <f t="shared" si="79"/>
        <v>1</v>
      </c>
      <c r="J175" s="1321">
        <f t="shared" si="79"/>
        <v>1</v>
      </c>
      <c r="K175" s="1326">
        <f t="shared" si="79"/>
        <v>1</v>
      </c>
      <c r="L175" s="2994">
        <f t="shared" si="79"/>
        <v>0</v>
      </c>
      <c r="M175" s="1325">
        <f t="shared" si="80"/>
        <v>0</v>
      </c>
      <c r="N175" s="1321">
        <f t="shared" si="80"/>
        <v>0</v>
      </c>
      <c r="O175" s="1321">
        <f t="shared" si="80"/>
        <v>0</v>
      </c>
      <c r="P175" s="1321">
        <f t="shared" si="80"/>
        <v>0</v>
      </c>
      <c r="Q175" s="1321">
        <f t="shared" si="80"/>
        <v>0</v>
      </c>
      <c r="R175" s="1326">
        <f t="shared" si="80"/>
        <v>0</v>
      </c>
      <c r="S175" s="2994">
        <f t="shared" si="80"/>
        <v>0</v>
      </c>
      <c r="T175" s="1325">
        <f t="shared" si="81"/>
        <v>0</v>
      </c>
      <c r="U175" s="1321">
        <f t="shared" si="81"/>
        <v>0</v>
      </c>
      <c r="V175" s="1321">
        <f t="shared" si="81"/>
        <v>0</v>
      </c>
      <c r="W175" s="1321">
        <f t="shared" si="81"/>
        <v>0</v>
      </c>
      <c r="X175" s="1321">
        <f t="shared" si="81"/>
        <v>0</v>
      </c>
      <c r="Y175" s="1326">
        <f t="shared" si="81"/>
        <v>0</v>
      </c>
      <c r="Z175" s="2994">
        <f t="shared" si="81"/>
        <v>0</v>
      </c>
      <c r="AA175" s="1325">
        <f t="shared" si="82"/>
        <v>0</v>
      </c>
      <c r="AB175" s="1321">
        <f t="shared" si="82"/>
        <v>0</v>
      </c>
      <c r="AC175" s="1321">
        <f t="shared" si="82"/>
        <v>0</v>
      </c>
      <c r="AD175" s="1321">
        <f t="shared" si="82"/>
        <v>0</v>
      </c>
      <c r="AE175" s="1321">
        <f t="shared" si="82"/>
        <v>0</v>
      </c>
      <c r="AF175" s="1326">
        <f t="shared" si="82"/>
        <v>0</v>
      </c>
      <c r="AG175" s="2994">
        <f t="shared" si="82"/>
        <v>0</v>
      </c>
      <c r="AH175" s="1325">
        <f t="shared" si="82"/>
        <v>0</v>
      </c>
      <c r="AI175" s="1321">
        <f t="shared" si="82"/>
        <v>0</v>
      </c>
      <c r="AJ175" s="1321">
        <f t="shared" si="82"/>
        <v>0</v>
      </c>
      <c r="AK175" s="1321">
        <f t="shared" si="82"/>
        <v>0</v>
      </c>
      <c r="AL175" s="1321">
        <f t="shared" si="82"/>
        <v>0</v>
      </c>
      <c r="AM175" s="1326">
        <f t="shared" si="82"/>
        <v>0</v>
      </c>
      <c r="AN175" s="2860"/>
      <c r="AO175" s="2898"/>
      <c r="AP175" s="1426"/>
    </row>
    <row r="176" spans="1:42" s="1422" customFormat="1">
      <c r="A176" s="2862">
        <v>5</v>
      </c>
      <c r="B176" s="2863">
        <v>2030501</v>
      </c>
      <c r="C176" s="2869">
        <v>0.1</v>
      </c>
      <c r="D176" s="2899" t="s">
        <v>413</v>
      </c>
      <c r="E176" s="2994">
        <f t="shared" si="84"/>
        <v>190</v>
      </c>
      <c r="F176" s="1325">
        <f t="shared" si="79"/>
        <v>229.42141302833298</v>
      </c>
      <c r="G176" s="1321">
        <f t="shared" si="79"/>
        <v>228.38329969570378</v>
      </c>
      <c r="H176" s="1321">
        <f t="shared" si="79"/>
        <v>225.65397135253323</v>
      </c>
      <c r="I176" s="1321">
        <f t="shared" si="79"/>
        <v>218.7648885856317</v>
      </c>
      <c r="J176" s="1321">
        <f t="shared" si="79"/>
        <v>206.55003240757421</v>
      </c>
      <c r="K176" s="1326">
        <f t="shared" si="79"/>
        <v>188.75692929451117</v>
      </c>
      <c r="L176" s="2994">
        <f t="shared" si="79"/>
        <v>0</v>
      </c>
      <c r="M176" s="1325">
        <f t="shared" si="80"/>
        <v>6.6906655352590327</v>
      </c>
      <c r="N176" s="1321">
        <f t="shared" si="80"/>
        <v>26.833631241332665</v>
      </c>
      <c r="O176" s="1321">
        <f t="shared" si="80"/>
        <v>45.954684963595604</v>
      </c>
      <c r="P176" s="1321">
        <f t="shared" si="80"/>
        <v>62.842925289712497</v>
      </c>
      <c r="Q176" s="1321">
        <f t="shared" si="80"/>
        <v>78.342207780040169</v>
      </c>
      <c r="R176" s="1326">
        <f t="shared" si="80"/>
        <v>92.514802793071198</v>
      </c>
      <c r="S176" s="2994">
        <f t="shared" si="80"/>
        <v>0</v>
      </c>
      <c r="T176" s="1325">
        <f t="shared" si="81"/>
        <v>0.40292143640798028</v>
      </c>
      <c r="U176" s="1321">
        <f t="shared" si="81"/>
        <v>19.463069062963552</v>
      </c>
      <c r="V176" s="1321">
        <f t="shared" si="81"/>
        <v>37.736343683871148</v>
      </c>
      <c r="W176" s="1321">
        <f t="shared" si="81"/>
        <v>54.702186124655761</v>
      </c>
      <c r="X176" s="1321">
        <f t="shared" si="81"/>
        <v>70.682759812385569</v>
      </c>
      <c r="Y176" s="1326">
        <f t="shared" si="81"/>
        <v>85.868267912417537</v>
      </c>
      <c r="Z176" s="2994">
        <f t="shared" si="81"/>
        <v>0</v>
      </c>
      <c r="AA176" s="1325">
        <f t="shared" si="82"/>
        <v>0</v>
      </c>
      <c r="AB176" s="1321">
        <f t="shared" si="82"/>
        <v>0</v>
      </c>
      <c r="AC176" s="1321">
        <f t="shared" si="82"/>
        <v>0</v>
      </c>
      <c r="AD176" s="1321">
        <f t="shared" si="82"/>
        <v>0</v>
      </c>
      <c r="AE176" s="1321">
        <f t="shared" si="82"/>
        <v>0</v>
      </c>
      <c r="AF176" s="1326">
        <f t="shared" si="82"/>
        <v>0</v>
      </c>
      <c r="AG176" s="2994">
        <f t="shared" si="82"/>
        <v>0</v>
      </c>
      <c r="AH176" s="1325">
        <f t="shared" si="82"/>
        <v>0</v>
      </c>
      <c r="AI176" s="1321">
        <f t="shared" si="82"/>
        <v>0</v>
      </c>
      <c r="AJ176" s="1321">
        <f t="shared" si="82"/>
        <v>0</v>
      </c>
      <c r="AK176" s="1321">
        <f t="shared" si="82"/>
        <v>0</v>
      </c>
      <c r="AL176" s="1321">
        <f t="shared" si="82"/>
        <v>0</v>
      </c>
      <c r="AM176" s="1326">
        <f t="shared" si="82"/>
        <v>0</v>
      </c>
      <c r="AN176" s="2860"/>
      <c r="AO176" s="2898"/>
      <c r="AP176" s="1426"/>
    </row>
    <row r="177" spans="1:42" s="1422" customFormat="1" ht="24">
      <c r="A177" s="2862">
        <v>6</v>
      </c>
      <c r="B177" s="2863">
        <v>2030502</v>
      </c>
      <c r="C177" s="2869">
        <v>0.1</v>
      </c>
      <c r="D177" s="2899" t="s">
        <v>702</v>
      </c>
      <c r="E177" s="2994">
        <f t="shared" si="84"/>
        <v>196</v>
      </c>
      <c r="F177" s="1325">
        <f t="shared" si="79"/>
        <v>240.80689999999998</v>
      </c>
      <c r="G177" s="1321">
        <f t="shared" si="79"/>
        <v>258.21379999999999</v>
      </c>
      <c r="H177" s="1321">
        <f t="shared" si="79"/>
        <v>271.32069999999999</v>
      </c>
      <c r="I177" s="1321">
        <f t="shared" si="79"/>
        <v>280.12759999999997</v>
      </c>
      <c r="J177" s="1321">
        <f t="shared" si="79"/>
        <v>284.6345</v>
      </c>
      <c r="K177" s="1326">
        <f t="shared" si="79"/>
        <v>284.84139999999996</v>
      </c>
      <c r="L177" s="2994">
        <f t="shared" si="79"/>
        <v>0</v>
      </c>
      <c r="M177" s="1325">
        <f t="shared" si="80"/>
        <v>0</v>
      </c>
      <c r="N177" s="1321">
        <f t="shared" si="80"/>
        <v>0</v>
      </c>
      <c r="O177" s="1321">
        <f t="shared" si="80"/>
        <v>0</v>
      </c>
      <c r="P177" s="1321">
        <f t="shared" si="80"/>
        <v>0</v>
      </c>
      <c r="Q177" s="1321">
        <f t="shared" si="80"/>
        <v>0</v>
      </c>
      <c r="R177" s="1326">
        <f t="shared" si="80"/>
        <v>0</v>
      </c>
      <c r="S177" s="2994">
        <f t="shared" si="80"/>
        <v>0</v>
      </c>
      <c r="T177" s="1325">
        <f t="shared" si="81"/>
        <v>0</v>
      </c>
      <c r="U177" s="1321">
        <f t="shared" si="81"/>
        <v>0</v>
      </c>
      <c r="V177" s="1321">
        <f t="shared" si="81"/>
        <v>0</v>
      </c>
      <c r="W177" s="1321">
        <f t="shared" si="81"/>
        <v>0</v>
      </c>
      <c r="X177" s="1321">
        <f t="shared" si="81"/>
        <v>0</v>
      </c>
      <c r="Y177" s="1326">
        <f t="shared" si="81"/>
        <v>0</v>
      </c>
      <c r="Z177" s="2994">
        <f t="shared" si="81"/>
        <v>0</v>
      </c>
      <c r="AA177" s="1325">
        <f t="shared" si="82"/>
        <v>0</v>
      </c>
      <c r="AB177" s="1321">
        <f t="shared" si="82"/>
        <v>0</v>
      </c>
      <c r="AC177" s="1321">
        <f t="shared" si="82"/>
        <v>0</v>
      </c>
      <c r="AD177" s="1321">
        <f t="shared" si="82"/>
        <v>0</v>
      </c>
      <c r="AE177" s="1321">
        <f t="shared" si="82"/>
        <v>0</v>
      </c>
      <c r="AF177" s="1326">
        <f t="shared" si="82"/>
        <v>0</v>
      </c>
      <c r="AG177" s="2994">
        <f t="shared" si="82"/>
        <v>0</v>
      </c>
      <c r="AH177" s="1325">
        <f t="shared" si="82"/>
        <v>0</v>
      </c>
      <c r="AI177" s="1321">
        <f t="shared" si="82"/>
        <v>0</v>
      </c>
      <c r="AJ177" s="1321">
        <f t="shared" si="82"/>
        <v>0</v>
      </c>
      <c r="AK177" s="1321">
        <f t="shared" si="82"/>
        <v>0</v>
      </c>
      <c r="AL177" s="1321">
        <f t="shared" si="82"/>
        <v>0</v>
      </c>
      <c r="AM177" s="1326">
        <f t="shared" si="82"/>
        <v>0</v>
      </c>
      <c r="AN177" s="2860"/>
      <c r="AO177" s="2898"/>
      <c r="AP177" s="1426"/>
    </row>
    <row r="178" spans="1:42" s="1422" customFormat="1">
      <c r="A178" s="2862">
        <v>7</v>
      </c>
      <c r="B178" s="2863">
        <v>2030503</v>
      </c>
      <c r="C178" s="2869">
        <v>0.1</v>
      </c>
      <c r="D178" s="2899" t="s">
        <v>720</v>
      </c>
      <c r="E178" s="2994">
        <f t="shared" si="84"/>
        <v>29</v>
      </c>
      <c r="F178" s="1325">
        <f t="shared" si="79"/>
        <v>31.4633</v>
      </c>
      <c r="G178" s="1321">
        <f t="shared" si="79"/>
        <v>21.326599999999999</v>
      </c>
      <c r="H178" s="1321">
        <f t="shared" si="79"/>
        <v>15.939899999999994</v>
      </c>
      <c r="I178" s="1321">
        <f t="shared" si="79"/>
        <v>10.05319999999999</v>
      </c>
      <c r="J178" s="1321">
        <f t="shared" si="79"/>
        <v>3.666499999999985</v>
      </c>
      <c r="K178" s="1326">
        <f t="shared" si="79"/>
        <v>-3.2202000000000197</v>
      </c>
      <c r="L178" s="2994">
        <f t="shared" si="79"/>
        <v>0</v>
      </c>
      <c r="M178" s="1325">
        <f t="shared" si="80"/>
        <v>0</v>
      </c>
      <c r="N178" s="1321">
        <f t="shared" si="80"/>
        <v>0</v>
      </c>
      <c r="O178" s="1321">
        <f t="shared" si="80"/>
        <v>9.5</v>
      </c>
      <c r="P178" s="1321">
        <f t="shared" si="80"/>
        <v>14.2</v>
      </c>
      <c r="Q178" s="1321">
        <f t="shared" si="80"/>
        <v>12.6</v>
      </c>
      <c r="R178" s="1326">
        <f t="shared" si="80"/>
        <v>11</v>
      </c>
      <c r="S178" s="2994">
        <f t="shared" si="80"/>
        <v>0</v>
      </c>
      <c r="T178" s="1325">
        <f t="shared" si="81"/>
        <v>0</v>
      </c>
      <c r="U178" s="1321">
        <f t="shared" si="81"/>
        <v>0</v>
      </c>
      <c r="V178" s="1321">
        <f t="shared" si="81"/>
        <v>0</v>
      </c>
      <c r="W178" s="1321">
        <f t="shared" si="81"/>
        <v>0</v>
      </c>
      <c r="X178" s="1321">
        <f t="shared" si="81"/>
        <v>0</v>
      </c>
      <c r="Y178" s="1326">
        <f t="shared" si="81"/>
        <v>0</v>
      </c>
      <c r="Z178" s="2994">
        <f t="shared" si="81"/>
        <v>0</v>
      </c>
      <c r="AA178" s="1325">
        <f t="shared" si="82"/>
        <v>0</v>
      </c>
      <c r="AB178" s="1321">
        <f t="shared" si="82"/>
        <v>0</v>
      </c>
      <c r="AC178" s="1321">
        <f t="shared" si="82"/>
        <v>0</v>
      </c>
      <c r="AD178" s="1321">
        <f t="shared" si="82"/>
        <v>0</v>
      </c>
      <c r="AE178" s="1321">
        <f t="shared" si="82"/>
        <v>0</v>
      </c>
      <c r="AF178" s="1326">
        <f t="shared" si="82"/>
        <v>0</v>
      </c>
      <c r="AG178" s="2994">
        <f t="shared" si="82"/>
        <v>0</v>
      </c>
      <c r="AH178" s="1325">
        <f t="shared" si="82"/>
        <v>0</v>
      </c>
      <c r="AI178" s="1321">
        <f t="shared" si="82"/>
        <v>0</v>
      </c>
      <c r="AJ178" s="1321">
        <f t="shared" si="82"/>
        <v>0</v>
      </c>
      <c r="AK178" s="1321">
        <f t="shared" si="82"/>
        <v>0</v>
      </c>
      <c r="AL178" s="1321">
        <f t="shared" si="82"/>
        <v>0</v>
      </c>
      <c r="AM178" s="1326">
        <f t="shared" si="82"/>
        <v>0</v>
      </c>
      <c r="AN178" s="2860"/>
      <c r="AO178" s="2898"/>
      <c r="AP178" s="1426"/>
    </row>
    <row r="179" spans="1:42" s="1422" customFormat="1">
      <c r="A179" s="2862">
        <v>8</v>
      </c>
      <c r="B179" s="2863">
        <v>2040101</v>
      </c>
      <c r="C179" s="2919">
        <v>0.1</v>
      </c>
      <c r="D179" s="2893" t="s">
        <v>1024</v>
      </c>
      <c r="E179" s="2994">
        <f t="shared" si="84"/>
        <v>16</v>
      </c>
      <c r="F179" s="1325">
        <f t="shared" si="79"/>
        <v>14</v>
      </c>
      <c r="G179" s="1321">
        <f t="shared" si="79"/>
        <v>12</v>
      </c>
      <c r="H179" s="1321">
        <f t="shared" si="79"/>
        <v>10</v>
      </c>
      <c r="I179" s="1321">
        <f t="shared" si="79"/>
        <v>8</v>
      </c>
      <c r="J179" s="1321">
        <f t="shared" si="79"/>
        <v>6</v>
      </c>
      <c r="K179" s="1326">
        <f t="shared" si="79"/>
        <v>4</v>
      </c>
      <c r="L179" s="2994">
        <f t="shared" si="79"/>
        <v>0</v>
      </c>
      <c r="M179" s="1325">
        <f t="shared" si="80"/>
        <v>0</v>
      </c>
      <c r="N179" s="1321">
        <f t="shared" si="80"/>
        <v>0</v>
      </c>
      <c r="O179" s="1321">
        <f t="shared" si="80"/>
        <v>0</v>
      </c>
      <c r="P179" s="1321">
        <f t="shared" si="80"/>
        <v>0</v>
      </c>
      <c r="Q179" s="1321">
        <f t="shared" si="80"/>
        <v>0</v>
      </c>
      <c r="R179" s="1326">
        <f t="shared" si="80"/>
        <v>0</v>
      </c>
      <c r="S179" s="2994">
        <f t="shared" si="80"/>
        <v>2</v>
      </c>
      <c r="T179" s="1325">
        <f t="shared" si="81"/>
        <v>1.6</v>
      </c>
      <c r="U179" s="1321">
        <f t="shared" si="81"/>
        <v>1.2</v>
      </c>
      <c r="V179" s="1321">
        <f t="shared" si="81"/>
        <v>0.79999999999999982</v>
      </c>
      <c r="W179" s="1321">
        <f t="shared" si="81"/>
        <v>0.39999999999999991</v>
      </c>
      <c r="X179" s="1321">
        <f t="shared" si="81"/>
        <v>0</v>
      </c>
      <c r="Y179" s="1326">
        <f t="shared" si="81"/>
        <v>-0.39999999999999991</v>
      </c>
      <c r="Z179" s="2994">
        <f t="shared" si="81"/>
        <v>0</v>
      </c>
      <c r="AA179" s="1325">
        <f t="shared" si="82"/>
        <v>0</v>
      </c>
      <c r="AB179" s="1321">
        <f t="shared" si="82"/>
        <v>0</v>
      </c>
      <c r="AC179" s="1321">
        <f t="shared" si="82"/>
        <v>0</v>
      </c>
      <c r="AD179" s="1321">
        <f t="shared" si="82"/>
        <v>0</v>
      </c>
      <c r="AE179" s="1321">
        <f t="shared" si="82"/>
        <v>0</v>
      </c>
      <c r="AF179" s="1326">
        <f t="shared" si="82"/>
        <v>0</v>
      </c>
      <c r="AG179" s="2994">
        <f t="shared" si="82"/>
        <v>0</v>
      </c>
      <c r="AH179" s="1325">
        <f t="shared" si="82"/>
        <v>0</v>
      </c>
      <c r="AI179" s="1321">
        <f t="shared" si="82"/>
        <v>0</v>
      </c>
      <c r="AJ179" s="1321">
        <f t="shared" si="82"/>
        <v>0</v>
      </c>
      <c r="AK179" s="1321">
        <f t="shared" si="82"/>
        <v>0</v>
      </c>
      <c r="AL179" s="1321">
        <f t="shared" si="82"/>
        <v>0</v>
      </c>
      <c r="AM179" s="1326">
        <f t="shared" si="82"/>
        <v>0</v>
      </c>
      <c r="AN179" s="2860"/>
      <c r="AO179" s="2898"/>
      <c r="AP179" s="1426"/>
    </row>
    <row r="180" spans="1:42" s="1422" customFormat="1">
      <c r="A180" s="2920">
        <v>9</v>
      </c>
      <c r="B180" s="2863">
        <v>2040102</v>
      </c>
      <c r="C180" s="2919">
        <v>0.04</v>
      </c>
      <c r="D180" s="2893" t="s">
        <v>437</v>
      </c>
      <c r="E180" s="2994">
        <f t="shared" si="84"/>
        <v>0</v>
      </c>
      <c r="F180" s="1325">
        <f t="shared" si="79"/>
        <v>0</v>
      </c>
      <c r="G180" s="1321">
        <f t="shared" si="79"/>
        <v>0</v>
      </c>
      <c r="H180" s="1321">
        <f t="shared" si="79"/>
        <v>0</v>
      </c>
      <c r="I180" s="1321">
        <f t="shared" si="79"/>
        <v>0</v>
      </c>
      <c r="J180" s="1321">
        <f t="shared" si="79"/>
        <v>0</v>
      </c>
      <c r="K180" s="1326">
        <f t="shared" si="79"/>
        <v>0</v>
      </c>
      <c r="L180" s="2994">
        <f t="shared" si="79"/>
        <v>0</v>
      </c>
      <c r="M180" s="1325">
        <f t="shared" si="80"/>
        <v>0</v>
      </c>
      <c r="N180" s="1321">
        <f t="shared" si="80"/>
        <v>0</v>
      </c>
      <c r="O180" s="1321">
        <f t="shared" si="80"/>
        <v>0</v>
      </c>
      <c r="P180" s="1321">
        <f t="shared" si="80"/>
        <v>0</v>
      </c>
      <c r="Q180" s="1321">
        <f t="shared" si="80"/>
        <v>0</v>
      </c>
      <c r="R180" s="1326">
        <f t="shared" si="80"/>
        <v>0</v>
      </c>
      <c r="S180" s="2994">
        <f t="shared" si="80"/>
        <v>0</v>
      </c>
      <c r="T180" s="1325">
        <f t="shared" si="81"/>
        <v>0</v>
      </c>
      <c r="U180" s="1321">
        <f t="shared" si="81"/>
        <v>0</v>
      </c>
      <c r="V180" s="1321">
        <f t="shared" si="81"/>
        <v>0</v>
      </c>
      <c r="W180" s="1321">
        <f t="shared" si="81"/>
        <v>0</v>
      </c>
      <c r="X180" s="1321">
        <f t="shared" si="81"/>
        <v>0</v>
      </c>
      <c r="Y180" s="1326">
        <f t="shared" si="81"/>
        <v>0</v>
      </c>
      <c r="Z180" s="2994">
        <f t="shared" si="81"/>
        <v>0</v>
      </c>
      <c r="AA180" s="1325">
        <f t="shared" si="82"/>
        <v>0</v>
      </c>
      <c r="AB180" s="1321">
        <f t="shared" si="82"/>
        <v>0</v>
      </c>
      <c r="AC180" s="1321">
        <f t="shared" si="82"/>
        <v>0</v>
      </c>
      <c r="AD180" s="1321">
        <f t="shared" si="82"/>
        <v>0</v>
      </c>
      <c r="AE180" s="1321">
        <f t="shared" si="82"/>
        <v>0</v>
      </c>
      <c r="AF180" s="1326">
        <f t="shared" si="82"/>
        <v>0</v>
      </c>
      <c r="AG180" s="2994">
        <f t="shared" si="82"/>
        <v>0</v>
      </c>
      <c r="AH180" s="1325">
        <f t="shared" si="82"/>
        <v>0</v>
      </c>
      <c r="AI180" s="1321">
        <f t="shared" si="82"/>
        <v>0</v>
      </c>
      <c r="AJ180" s="1321">
        <f t="shared" si="82"/>
        <v>0</v>
      </c>
      <c r="AK180" s="1321">
        <f t="shared" si="82"/>
        <v>0</v>
      </c>
      <c r="AL180" s="1321">
        <f t="shared" si="82"/>
        <v>0</v>
      </c>
      <c r="AM180" s="1326">
        <f t="shared" si="82"/>
        <v>0</v>
      </c>
      <c r="AN180" s="2860"/>
      <c r="AO180" s="2898"/>
      <c r="AP180" s="1426"/>
    </row>
    <row r="181" spans="1:42" s="1422" customFormat="1">
      <c r="A181" s="2920">
        <v>10</v>
      </c>
      <c r="B181" s="2863">
        <v>2040201</v>
      </c>
      <c r="C181" s="2864">
        <v>0.02</v>
      </c>
      <c r="D181" s="2894" t="s">
        <v>746</v>
      </c>
      <c r="E181" s="2994">
        <f t="shared" si="84"/>
        <v>0</v>
      </c>
      <c r="F181" s="1325">
        <f t="shared" si="79"/>
        <v>6.2370000000000001</v>
      </c>
      <c r="G181" s="1321">
        <f t="shared" si="79"/>
        <v>6.1109999999999998</v>
      </c>
      <c r="H181" s="1321">
        <f t="shared" si="79"/>
        <v>5.9849999999999994</v>
      </c>
      <c r="I181" s="1321">
        <f t="shared" si="79"/>
        <v>5.859</v>
      </c>
      <c r="J181" s="1321">
        <f t="shared" si="79"/>
        <v>5.7329999999999997</v>
      </c>
      <c r="K181" s="1326">
        <f t="shared" si="79"/>
        <v>5.6070000000000002</v>
      </c>
      <c r="L181" s="2994">
        <f t="shared" si="79"/>
        <v>0</v>
      </c>
      <c r="M181" s="1325">
        <f t="shared" si="80"/>
        <v>0</v>
      </c>
      <c r="N181" s="1321">
        <f t="shared" si="80"/>
        <v>0</v>
      </c>
      <c r="O181" s="1321">
        <f t="shared" si="80"/>
        <v>0</v>
      </c>
      <c r="P181" s="1321">
        <f t="shared" si="80"/>
        <v>0</v>
      </c>
      <c r="Q181" s="1321">
        <f t="shared" si="80"/>
        <v>0</v>
      </c>
      <c r="R181" s="1326">
        <f t="shared" si="80"/>
        <v>0</v>
      </c>
      <c r="S181" s="2994">
        <f t="shared" si="80"/>
        <v>0</v>
      </c>
      <c r="T181" s="1325">
        <f t="shared" si="81"/>
        <v>0</v>
      </c>
      <c r="U181" s="1321">
        <f t="shared" si="81"/>
        <v>0</v>
      </c>
      <c r="V181" s="1321">
        <f t="shared" si="81"/>
        <v>0</v>
      </c>
      <c r="W181" s="1321">
        <f t="shared" si="81"/>
        <v>0</v>
      </c>
      <c r="X181" s="1321">
        <f t="shared" si="81"/>
        <v>0</v>
      </c>
      <c r="Y181" s="1326">
        <f t="shared" si="81"/>
        <v>0</v>
      </c>
      <c r="Z181" s="2994">
        <f t="shared" si="81"/>
        <v>0</v>
      </c>
      <c r="AA181" s="1325">
        <f t="shared" si="82"/>
        <v>0</v>
      </c>
      <c r="AB181" s="1321">
        <f t="shared" si="82"/>
        <v>0</v>
      </c>
      <c r="AC181" s="1321">
        <f t="shared" si="82"/>
        <v>0</v>
      </c>
      <c r="AD181" s="1321">
        <f t="shared" si="82"/>
        <v>0</v>
      </c>
      <c r="AE181" s="1321">
        <f t="shared" si="82"/>
        <v>0</v>
      </c>
      <c r="AF181" s="1326">
        <f t="shared" si="82"/>
        <v>0</v>
      </c>
      <c r="AG181" s="2994">
        <f t="shared" si="82"/>
        <v>0</v>
      </c>
      <c r="AH181" s="1325">
        <f t="shared" si="82"/>
        <v>0</v>
      </c>
      <c r="AI181" s="1321">
        <f t="shared" si="82"/>
        <v>0</v>
      </c>
      <c r="AJ181" s="1321">
        <f t="shared" si="82"/>
        <v>0</v>
      </c>
      <c r="AK181" s="1321">
        <f t="shared" si="82"/>
        <v>0</v>
      </c>
      <c r="AL181" s="1321">
        <f t="shared" si="82"/>
        <v>0</v>
      </c>
      <c r="AM181" s="1326">
        <f t="shared" si="82"/>
        <v>0</v>
      </c>
      <c r="AN181" s="2860"/>
      <c r="AO181" s="2898"/>
      <c r="AP181" s="1426"/>
    </row>
    <row r="182" spans="1:42" s="1422" customFormat="1">
      <c r="A182" s="2920">
        <v>11</v>
      </c>
      <c r="B182" s="2863">
        <v>2040202</v>
      </c>
      <c r="C182" s="2864">
        <v>0.02</v>
      </c>
      <c r="D182" s="2894" t="s">
        <v>747</v>
      </c>
      <c r="E182" s="2994">
        <f t="shared" si="84"/>
        <v>8</v>
      </c>
      <c r="F182" s="1325">
        <f t="shared" si="79"/>
        <v>9.1829199999999993</v>
      </c>
      <c r="G182" s="1321">
        <f t="shared" si="79"/>
        <v>10.143839999999999</v>
      </c>
      <c r="H182" s="1321">
        <f t="shared" si="79"/>
        <v>11.084759999999999</v>
      </c>
      <c r="I182" s="1321">
        <f t="shared" si="79"/>
        <v>12.00568</v>
      </c>
      <c r="J182" s="1321">
        <f t="shared" si="79"/>
        <v>12.906599999999999</v>
      </c>
      <c r="K182" s="1326">
        <f t="shared" si="79"/>
        <v>13.787519999999999</v>
      </c>
      <c r="L182" s="2994">
        <f t="shared" si="79"/>
        <v>0</v>
      </c>
      <c r="M182" s="1325">
        <f t="shared" si="80"/>
        <v>0</v>
      </c>
      <c r="N182" s="1321">
        <f t="shared" si="80"/>
        <v>0</v>
      </c>
      <c r="O182" s="1321">
        <f t="shared" si="80"/>
        <v>0</v>
      </c>
      <c r="P182" s="1321">
        <f t="shared" si="80"/>
        <v>0</v>
      </c>
      <c r="Q182" s="1321">
        <f t="shared" si="80"/>
        <v>0</v>
      </c>
      <c r="R182" s="1326">
        <f t="shared" si="80"/>
        <v>0</v>
      </c>
      <c r="S182" s="2994">
        <f t="shared" si="80"/>
        <v>0</v>
      </c>
      <c r="T182" s="1325">
        <f t="shared" si="81"/>
        <v>0</v>
      </c>
      <c r="U182" s="1321">
        <f t="shared" si="81"/>
        <v>0</v>
      </c>
      <c r="V182" s="1321">
        <f t="shared" si="81"/>
        <v>0</v>
      </c>
      <c r="W182" s="1321">
        <f t="shared" si="81"/>
        <v>0</v>
      </c>
      <c r="X182" s="1321">
        <f t="shared" si="81"/>
        <v>0</v>
      </c>
      <c r="Y182" s="1326">
        <f t="shared" si="81"/>
        <v>0</v>
      </c>
      <c r="Z182" s="2994">
        <f t="shared" si="81"/>
        <v>0</v>
      </c>
      <c r="AA182" s="1325">
        <f t="shared" si="82"/>
        <v>0</v>
      </c>
      <c r="AB182" s="1321">
        <f t="shared" si="82"/>
        <v>0</v>
      </c>
      <c r="AC182" s="1321">
        <f t="shared" si="82"/>
        <v>0</v>
      </c>
      <c r="AD182" s="1321">
        <f t="shared" si="82"/>
        <v>0</v>
      </c>
      <c r="AE182" s="1321">
        <f t="shared" si="82"/>
        <v>0</v>
      </c>
      <c r="AF182" s="1326">
        <f t="shared" si="82"/>
        <v>0</v>
      </c>
      <c r="AG182" s="2994">
        <f t="shared" si="82"/>
        <v>0</v>
      </c>
      <c r="AH182" s="1325">
        <f t="shared" si="82"/>
        <v>0</v>
      </c>
      <c r="AI182" s="1321">
        <f t="shared" si="82"/>
        <v>0</v>
      </c>
      <c r="AJ182" s="1321">
        <f t="shared" si="82"/>
        <v>0</v>
      </c>
      <c r="AK182" s="1321">
        <f t="shared" si="82"/>
        <v>0</v>
      </c>
      <c r="AL182" s="1321">
        <f t="shared" si="82"/>
        <v>0</v>
      </c>
      <c r="AM182" s="1326">
        <f t="shared" si="82"/>
        <v>0</v>
      </c>
      <c r="AN182" s="2860"/>
      <c r="AO182" s="2898"/>
      <c r="AP182" s="1426"/>
    </row>
    <row r="183" spans="1:42" s="1422" customFormat="1">
      <c r="A183" s="2920">
        <v>12</v>
      </c>
      <c r="B183" s="2863">
        <v>2040203</v>
      </c>
      <c r="C183" s="2864">
        <v>0.02</v>
      </c>
      <c r="D183" s="2894" t="s">
        <v>423</v>
      </c>
      <c r="E183" s="2994">
        <f t="shared" si="84"/>
        <v>4</v>
      </c>
      <c r="F183" s="1325">
        <f t="shared" si="79"/>
        <v>3.9705400000000002</v>
      </c>
      <c r="G183" s="1321">
        <f t="shared" si="79"/>
        <v>3.9410799999999999</v>
      </c>
      <c r="H183" s="1321">
        <f t="shared" si="79"/>
        <v>3.9116200000000001</v>
      </c>
      <c r="I183" s="1321">
        <f t="shared" si="79"/>
        <v>3.8821599999999998</v>
      </c>
      <c r="J183" s="1321">
        <f t="shared" si="79"/>
        <v>3.8527</v>
      </c>
      <c r="K183" s="1326">
        <f t="shared" si="79"/>
        <v>3.8232400000000002</v>
      </c>
      <c r="L183" s="2994">
        <f t="shared" si="79"/>
        <v>0</v>
      </c>
      <c r="M183" s="1325">
        <f t="shared" si="80"/>
        <v>0</v>
      </c>
      <c r="N183" s="1321">
        <f t="shared" si="80"/>
        <v>0</v>
      </c>
      <c r="O183" s="1321">
        <f t="shared" si="80"/>
        <v>0</v>
      </c>
      <c r="P183" s="1321">
        <f t="shared" si="80"/>
        <v>0</v>
      </c>
      <c r="Q183" s="1321">
        <f t="shared" si="80"/>
        <v>0</v>
      </c>
      <c r="R183" s="1326">
        <f t="shared" si="80"/>
        <v>0</v>
      </c>
      <c r="S183" s="2994">
        <f t="shared" si="80"/>
        <v>0</v>
      </c>
      <c r="T183" s="1325">
        <f t="shared" si="81"/>
        <v>0</v>
      </c>
      <c r="U183" s="1321">
        <f t="shared" si="81"/>
        <v>0</v>
      </c>
      <c r="V183" s="1321">
        <f t="shared" si="81"/>
        <v>0</v>
      </c>
      <c r="W183" s="1321">
        <f t="shared" si="81"/>
        <v>0</v>
      </c>
      <c r="X183" s="1321">
        <f t="shared" si="81"/>
        <v>0</v>
      </c>
      <c r="Y183" s="1326">
        <f t="shared" si="81"/>
        <v>0</v>
      </c>
      <c r="Z183" s="2994">
        <f t="shared" si="81"/>
        <v>0</v>
      </c>
      <c r="AA183" s="1325">
        <f t="shared" si="82"/>
        <v>0</v>
      </c>
      <c r="AB183" s="1321">
        <f t="shared" si="82"/>
        <v>0</v>
      </c>
      <c r="AC183" s="1321">
        <f t="shared" si="82"/>
        <v>0</v>
      </c>
      <c r="AD183" s="1321">
        <f t="shared" si="82"/>
        <v>0</v>
      </c>
      <c r="AE183" s="1321">
        <f t="shared" si="82"/>
        <v>0</v>
      </c>
      <c r="AF183" s="1326">
        <f t="shared" si="82"/>
        <v>0</v>
      </c>
      <c r="AG183" s="2994">
        <f t="shared" si="82"/>
        <v>0</v>
      </c>
      <c r="AH183" s="1325">
        <f t="shared" si="82"/>
        <v>0</v>
      </c>
      <c r="AI183" s="1321">
        <f t="shared" si="82"/>
        <v>0</v>
      </c>
      <c r="AJ183" s="1321">
        <f t="shared" si="82"/>
        <v>0</v>
      </c>
      <c r="AK183" s="1321">
        <f t="shared" si="82"/>
        <v>0</v>
      </c>
      <c r="AL183" s="1321">
        <f t="shared" si="82"/>
        <v>0</v>
      </c>
      <c r="AM183" s="1326">
        <f t="shared" si="82"/>
        <v>0</v>
      </c>
      <c r="AN183" s="2860"/>
      <c r="AO183" s="2898"/>
      <c r="AP183" s="1426"/>
    </row>
    <row r="184" spans="1:42" s="1422" customFormat="1">
      <c r="A184" s="2920">
        <v>13</v>
      </c>
      <c r="B184" s="2863">
        <v>2040204</v>
      </c>
      <c r="C184" s="2864">
        <v>0.02</v>
      </c>
      <c r="D184" s="2893" t="s">
        <v>424</v>
      </c>
      <c r="E184" s="2994">
        <f t="shared" si="84"/>
        <v>4</v>
      </c>
      <c r="F184" s="1325">
        <f t="shared" si="79"/>
        <v>3.9966599999999999</v>
      </c>
      <c r="G184" s="1321">
        <f t="shared" si="79"/>
        <v>3.9933200000000002</v>
      </c>
      <c r="H184" s="1321">
        <f t="shared" si="79"/>
        <v>3.9899800000000001</v>
      </c>
      <c r="I184" s="1321">
        <f t="shared" si="79"/>
        <v>3.98664</v>
      </c>
      <c r="J184" s="1321">
        <f t="shared" si="79"/>
        <v>3.9832999999999998</v>
      </c>
      <c r="K184" s="1326">
        <f t="shared" si="79"/>
        <v>3.9799600000000002</v>
      </c>
      <c r="L184" s="2994">
        <f t="shared" si="79"/>
        <v>0</v>
      </c>
      <c r="M184" s="1325">
        <f t="shared" si="80"/>
        <v>0</v>
      </c>
      <c r="N184" s="1321">
        <f t="shared" si="80"/>
        <v>0</v>
      </c>
      <c r="O184" s="1321">
        <f t="shared" si="80"/>
        <v>0</v>
      </c>
      <c r="P184" s="1321">
        <f t="shared" si="80"/>
        <v>0</v>
      </c>
      <c r="Q184" s="1321">
        <f t="shared" si="80"/>
        <v>0</v>
      </c>
      <c r="R184" s="1326">
        <f t="shared" si="80"/>
        <v>0</v>
      </c>
      <c r="S184" s="2994">
        <f t="shared" si="80"/>
        <v>0</v>
      </c>
      <c r="T184" s="1325">
        <f t="shared" si="81"/>
        <v>0</v>
      </c>
      <c r="U184" s="1321">
        <f t="shared" si="81"/>
        <v>0</v>
      </c>
      <c r="V184" s="1321">
        <f t="shared" si="81"/>
        <v>0</v>
      </c>
      <c r="W184" s="1321">
        <f t="shared" si="81"/>
        <v>0</v>
      </c>
      <c r="X184" s="1321">
        <f t="shared" si="81"/>
        <v>0</v>
      </c>
      <c r="Y184" s="1326">
        <f t="shared" si="81"/>
        <v>0</v>
      </c>
      <c r="Z184" s="2994">
        <f t="shared" si="81"/>
        <v>0</v>
      </c>
      <c r="AA184" s="1325">
        <f t="shared" si="82"/>
        <v>0</v>
      </c>
      <c r="AB184" s="1321">
        <f t="shared" si="82"/>
        <v>0</v>
      </c>
      <c r="AC184" s="1321">
        <f t="shared" si="82"/>
        <v>0</v>
      </c>
      <c r="AD184" s="1321">
        <f t="shared" si="82"/>
        <v>0</v>
      </c>
      <c r="AE184" s="1321">
        <f t="shared" si="82"/>
        <v>0</v>
      </c>
      <c r="AF184" s="1326">
        <f t="shared" si="82"/>
        <v>0</v>
      </c>
      <c r="AG184" s="2994">
        <f t="shared" si="82"/>
        <v>0</v>
      </c>
      <c r="AH184" s="1325">
        <f t="shared" si="82"/>
        <v>0</v>
      </c>
      <c r="AI184" s="1321">
        <f t="shared" si="82"/>
        <v>0</v>
      </c>
      <c r="AJ184" s="1321">
        <f t="shared" si="82"/>
        <v>0</v>
      </c>
      <c r="AK184" s="1321">
        <f t="shared" si="82"/>
        <v>0</v>
      </c>
      <c r="AL184" s="1321">
        <f t="shared" si="82"/>
        <v>0</v>
      </c>
      <c r="AM184" s="1326">
        <f t="shared" si="82"/>
        <v>0</v>
      </c>
      <c r="AN184" s="2860"/>
      <c r="AO184" s="2898"/>
      <c r="AP184" s="1426"/>
    </row>
    <row r="185" spans="1:42" s="1422" customFormat="1">
      <c r="A185" s="2920">
        <v>14</v>
      </c>
      <c r="B185" s="2863">
        <v>2040205</v>
      </c>
      <c r="C185" s="2864">
        <v>0.02</v>
      </c>
      <c r="D185" s="2894" t="s">
        <v>425</v>
      </c>
      <c r="E185" s="2994">
        <f t="shared" si="84"/>
        <v>1181</v>
      </c>
      <c r="F185" s="1325">
        <f t="shared" si="79"/>
        <v>1529.0844400000001</v>
      </c>
      <c r="G185" s="1321">
        <f t="shared" si="79"/>
        <v>2920.22757</v>
      </c>
      <c r="H185" s="1321">
        <f t="shared" si="79"/>
        <v>4279.8992199999993</v>
      </c>
      <c r="I185" s="1321">
        <f t="shared" si="79"/>
        <v>4482.2236999999996</v>
      </c>
      <c r="J185" s="1321">
        <f t="shared" si="79"/>
        <v>4530.6131799999994</v>
      </c>
      <c r="K185" s="1326">
        <f t="shared" si="79"/>
        <v>4576.0626599999996</v>
      </c>
      <c r="L185" s="2994">
        <f t="shared" si="79"/>
        <v>0</v>
      </c>
      <c r="M185" s="1325">
        <f t="shared" si="80"/>
        <v>0</v>
      </c>
      <c r="N185" s="1321">
        <f t="shared" si="80"/>
        <v>0</v>
      </c>
      <c r="O185" s="1321">
        <f t="shared" si="80"/>
        <v>0</v>
      </c>
      <c r="P185" s="1321">
        <f t="shared" si="80"/>
        <v>0</v>
      </c>
      <c r="Q185" s="1321">
        <f t="shared" si="80"/>
        <v>0</v>
      </c>
      <c r="R185" s="1326">
        <f t="shared" si="80"/>
        <v>0</v>
      </c>
      <c r="S185" s="2994">
        <f t="shared" si="80"/>
        <v>0</v>
      </c>
      <c r="T185" s="1325">
        <f t="shared" si="81"/>
        <v>0</v>
      </c>
      <c r="U185" s="1321">
        <f t="shared" si="81"/>
        <v>0</v>
      </c>
      <c r="V185" s="1321">
        <f t="shared" si="81"/>
        <v>0</v>
      </c>
      <c r="W185" s="1321">
        <f t="shared" si="81"/>
        <v>0</v>
      </c>
      <c r="X185" s="1321">
        <f t="shared" si="81"/>
        <v>0</v>
      </c>
      <c r="Y185" s="1326">
        <f t="shared" si="81"/>
        <v>0</v>
      </c>
      <c r="Z185" s="2994">
        <f t="shared" si="81"/>
        <v>0</v>
      </c>
      <c r="AA185" s="1325">
        <f t="shared" si="82"/>
        <v>0</v>
      </c>
      <c r="AB185" s="1321">
        <f t="shared" si="82"/>
        <v>0</v>
      </c>
      <c r="AC185" s="1321">
        <f t="shared" si="82"/>
        <v>0</v>
      </c>
      <c r="AD185" s="1321">
        <f t="shared" si="82"/>
        <v>0</v>
      </c>
      <c r="AE185" s="1321">
        <f t="shared" si="82"/>
        <v>0</v>
      </c>
      <c r="AF185" s="1326">
        <f t="shared" si="82"/>
        <v>0</v>
      </c>
      <c r="AG185" s="2994">
        <f t="shared" si="82"/>
        <v>0</v>
      </c>
      <c r="AH185" s="1325">
        <f t="shared" si="82"/>
        <v>0</v>
      </c>
      <c r="AI185" s="1321">
        <f t="shared" si="82"/>
        <v>0</v>
      </c>
      <c r="AJ185" s="1321">
        <f t="shared" si="82"/>
        <v>0</v>
      </c>
      <c r="AK185" s="1321">
        <f t="shared" si="82"/>
        <v>0</v>
      </c>
      <c r="AL185" s="1321">
        <f t="shared" si="82"/>
        <v>0</v>
      </c>
      <c r="AM185" s="1326">
        <f t="shared" si="82"/>
        <v>0</v>
      </c>
      <c r="AN185" s="2860"/>
      <c r="AO185" s="2898"/>
      <c r="AP185" s="1426"/>
    </row>
    <row r="186" spans="1:42" s="1422" customFormat="1">
      <c r="A186" s="2920">
        <v>15</v>
      </c>
      <c r="B186" s="2863">
        <v>2040206</v>
      </c>
      <c r="C186" s="2864">
        <v>0.02</v>
      </c>
      <c r="D186" s="2899" t="s">
        <v>426</v>
      </c>
      <c r="E186" s="2994">
        <f t="shared" si="84"/>
        <v>0</v>
      </c>
      <c r="F186" s="1325">
        <f t="shared" si="79"/>
        <v>-1.6200000000000008E-3</v>
      </c>
      <c r="G186" s="1321">
        <f t="shared" si="79"/>
        <v>-3.2400000000000016E-3</v>
      </c>
      <c r="H186" s="1321">
        <f t="shared" si="79"/>
        <v>-4.8600000000000023E-3</v>
      </c>
      <c r="I186" s="1321">
        <f t="shared" si="79"/>
        <v>-6.4800000000000031E-3</v>
      </c>
      <c r="J186" s="1321">
        <f t="shared" si="79"/>
        <v>-8.100000000000003E-3</v>
      </c>
      <c r="K186" s="1326">
        <f t="shared" si="79"/>
        <v>-9.7200000000000029E-3</v>
      </c>
      <c r="L186" s="2994">
        <f t="shared" si="79"/>
        <v>144</v>
      </c>
      <c r="M186" s="1325">
        <f t="shared" si="80"/>
        <v>234.77835999999999</v>
      </c>
      <c r="N186" s="1321">
        <f t="shared" si="80"/>
        <v>705.14332000000002</v>
      </c>
      <c r="O186" s="1321">
        <f t="shared" si="80"/>
        <v>3268.9079900000006</v>
      </c>
      <c r="P186" s="1321">
        <f t="shared" si="80"/>
        <v>3229.3617700000004</v>
      </c>
      <c r="Q186" s="1321">
        <f t="shared" si="80"/>
        <v>3189.5605500000006</v>
      </c>
      <c r="R186" s="1326">
        <f t="shared" si="80"/>
        <v>3150.5873300000007</v>
      </c>
      <c r="S186" s="2994">
        <f t="shared" si="80"/>
        <v>0</v>
      </c>
      <c r="T186" s="1325">
        <f t="shared" si="81"/>
        <v>0</v>
      </c>
      <c r="U186" s="1321">
        <f t="shared" si="81"/>
        <v>0</v>
      </c>
      <c r="V186" s="1321">
        <f t="shared" si="81"/>
        <v>0</v>
      </c>
      <c r="W186" s="1321">
        <f t="shared" si="81"/>
        <v>0</v>
      </c>
      <c r="X186" s="1321">
        <f t="shared" si="81"/>
        <v>0</v>
      </c>
      <c r="Y186" s="1326">
        <f t="shared" si="81"/>
        <v>0</v>
      </c>
      <c r="Z186" s="2994">
        <f t="shared" si="81"/>
        <v>0</v>
      </c>
      <c r="AA186" s="1325">
        <f t="shared" si="82"/>
        <v>0</v>
      </c>
      <c r="AB186" s="1321">
        <f t="shared" si="82"/>
        <v>0</v>
      </c>
      <c r="AC186" s="1321">
        <f t="shared" si="82"/>
        <v>0</v>
      </c>
      <c r="AD186" s="1321">
        <f t="shared" si="82"/>
        <v>0</v>
      </c>
      <c r="AE186" s="1321">
        <f t="shared" si="82"/>
        <v>0</v>
      </c>
      <c r="AF186" s="1326">
        <f t="shared" si="82"/>
        <v>0</v>
      </c>
      <c r="AG186" s="2994">
        <f t="shared" si="82"/>
        <v>0</v>
      </c>
      <c r="AH186" s="1325">
        <f t="shared" si="82"/>
        <v>0</v>
      </c>
      <c r="AI186" s="1321">
        <f t="shared" si="82"/>
        <v>0</v>
      </c>
      <c r="AJ186" s="1321">
        <f t="shared" si="82"/>
        <v>0</v>
      </c>
      <c r="AK186" s="1321">
        <f t="shared" si="82"/>
        <v>0</v>
      </c>
      <c r="AL186" s="1321">
        <f t="shared" si="82"/>
        <v>0</v>
      </c>
      <c r="AM186" s="1326">
        <f t="shared" si="82"/>
        <v>0</v>
      </c>
      <c r="AN186" s="2860"/>
      <c r="AO186" s="2898"/>
      <c r="AP186" s="1426"/>
    </row>
    <row r="187" spans="1:42" s="1422" customFormat="1" ht="24">
      <c r="A187" s="2920">
        <v>16</v>
      </c>
      <c r="B187" s="2863">
        <v>2040207</v>
      </c>
      <c r="C187" s="2864">
        <v>0.04</v>
      </c>
      <c r="D187" s="2899" t="s">
        <v>427</v>
      </c>
      <c r="E187" s="2994">
        <f t="shared" si="84"/>
        <v>113.8</v>
      </c>
      <c r="F187" s="1325">
        <f t="shared" si="79"/>
        <v>134.88175999999999</v>
      </c>
      <c r="G187" s="1321">
        <f t="shared" si="79"/>
        <v>148.06352000000001</v>
      </c>
      <c r="H187" s="1321">
        <f t="shared" si="79"/>
        <v>706.91466000000003</v>
      </c>
      <c r="I187" s="1321">
        <f t="shared" si="79"/>
        <v>696.27318000000002</v>
      </c>
      <c r="J187" s="1321">
        <f t="shared" si="79"/>
        <v>684.87170000000003</v>
      </c>
      <c r="K187" s="1326">
        <f t="shared" si="79"/>
        <v>672.71021999999994</v>
      </c>
      <c r="L187" s="2994">
        <f t="shared" si="79"/>
        <v>0</v>
      </c>
      <c r="M187" s="1325">
        <f t="shared" si="80"/>
        <v>0</v>
      </c>
      <c r="N187" s="1321">
        <f t="shared" si="80"/>
        <v>0</v>
      </c>
      <c r="O187" s="1321">
        <f t="shared" si="80"/>
        <v>221.81908000000001</v>
      </c>
      <c r="P187" s="1321">
        <f t="shared" si="80"/>
        <v>212.76524000000001</v>
      </c>
      <c r="Q187" s="1321">
        <f t="shared" si="80"/>
        <v>203.7114</v>
      </c>
      <c r="R187" s="1326">
        <f t="shared" si="80"/>
        <v>194.65755999999999</v>
      </c>
      <c r="S187" s="2994">
        <f t="shared" si="80"/>
        <v>21</v>
      </c>
      <c r="T187" s="1325">
        <f t="shared" si="81"/>
        <v>25.43</v>
      </c>
      <c r="U187" s="1321">
        <f t="shared" si="81"/>
        <v>1058.3505</v>
      </c>
      <c r="V187" s="1321">
        <f t="shared" si="81"/>
        <v>2095.1019999999999</v>
      </c>
      <c r="W187" s="1321">
        <f t="shared" si="81"/>
        <v>2057.0539999999996</v>
      </c>
      <c r="X187" s="1321">
        <f t="shared" si="81"/>
        <v>1966.9859999999999</v>
      </c>
      <c r="Y187" s="1326">
        <f t="shared" si="81"/>
        <v>1876.9179999999997</v>
      </c>
      <c r="Z187" s="2994">
        <f t="shared" si="81"/>
        <v>0</v>
      </c>
      <c r="AA187" s="1325">
        <f t="shared" si="82"/>
        <v>0</v>
      </c>
      <c r="AB187" s="1321">
        <f t="shared" si="82"/>
        <v>0</v>
      </c>
      <c r="AC187" s="1321">
        <f t="shared" si="82"/>
        <v>0</v>
      </c>
      <c r="AD187" s="1321">
        <f t="shared" si="82"/>
        <v>0</v>
      </c>
      <c r="AE187" s="1321">
        <f t="shared" si="82"/>
        <v>0</v>
      </c>
      <c r="AF187" s="1326">
        <f t="shared" si="82"/>
        <v>0</v>
      </c>
      <c r="AG187" s="2994">
        <f t="shared" si="82"/>
        <v>0</v>
      </c>
      <c r="AH187" s="1325">
        <f t="shared" si="82"/>
        <v>0</v>
      </c>
      <c r="AI187" s="1321">
        <f t="shared" si="82"/>
        <v>0</v>
      </c>
      <c r="AJ187" s="1321">
        <f t="shared" si="82"/>
        <v>0</v>
      </c>
      <c r="AK187" s="1321">
        <f t="shared" si="82"/>
        <v>0</v>
      </c>
      <c r="AL187" s="1321">
        <f t="shared" si="82"/>
        <v>0</v>
      </c>
      <c r="AM187" s="1326">
        <f t="shared" si="82"/>
        <v>0</v>
      </c>
      <c r="AN187" s="2860"/>
      <c r="AO187" s="2898"/>
      <c r="AP187" s="1426"/>
    </row>
    <row r="188" spans="1:42" s="1422" customFormat="1">
      <c r="A188" s="2920">
        <v>17</v>
      </c>
      <c r="B188" s="2863">
        <v>2040208</v>
      </c>
      <c r="C188" s="2864">
        <v>0.04</v>
      </c>
      <c r="D188" s="2899" t="s">
        <v>428</v>
      </c>
      <c r="E188" s="2994">
        <f t="shared" si="84"/>
        <v>0</v>
      </c>
      <c r="F188" s="1325">
        <f t="shared" si="84"/>
        <v>0</v>
      </c>
      <c r="G188" s="1321">
        <f t="shared" si="84"/>
        <v>0</v>
      </c>
      <c r="H188" s="1321">
        <f t="shared" si="84"/>
        <v>0</v>
      </c>
      <c r="I188" s="1321">
        <f t="shared" si="84"/>
        <v>0</v>
      </c>
      <c r="J188" s="1321">
        <f t="shared" si="84"/>
        <v>0</v>
      </c>
      <c r="K188" s="1326">
        <f t="shared" si="84"/>
        <v>0</v>
      </c>
      <c r="L188" s="2994">
        <f t="shared" si="84"/>
        <v>0</v>
      </c>
      <c r="M188" s="1325">
        <f t="shared" si="84"/>
        <v>0</v>
      </c>
      <c r="N188" s="1321">
        <f t="shared" si="84"/>
        <v>0</v>
      </c>
      <c r="O188" s="1321">
        <f t="shared" si="84"/>
        <v>0</v>
      </c>
      <c r="P188" s="1321">
        <f t="shared" si="84"/>
        <v>0</v>
      </c>
      <c r="Q188" s="1321">
        <f t="shared" si="84"/>
        <v>0</v>
      </c>
      <c r="R188" s="1326">
        <f t="shared" si="84"/>
        <v>0</v>
      </c>
      <c r="S188" s="2994">
        <f t="shared" si="84"/>
        <v>0</v>
      </c>
      <c r="T188" s="1325">
        <f t="shared" si="84"/>
        <v>0</v>
      </c>
      <c r="U188" s="1321">
        <f t="shared" ref="T188:AM190" si="85">U128-U168</f>
        <v>0</v>
      </c>
      <c r="V188" s="1321">
        <f t="shared" si="85"/>
        <v>0</v>
      </c>
      <c r="W188" s="1321">
        <f t="shared" si="85"/>
        <v>0</v>
      </c>
      <c r="X188" s="1321">
        <f t="shared" si="85"/>
        <v>0</v>
      </c>
      <c r="Y188" s="1326">
        <f t="shared" si="85"/>
        <v>0</v>
      </c>
      <c r="Z188" s="2994">
        <f t="shared" si="85"/>
        <v>0</v>
      </c>
      <c r="AA188" s="1325">
        <f t="shared" si="85"/>
        <v>0</v>
      </c>
      <c r="AB188" s="1321">
        <f t="shared" si="85"/>
        <v>0</v>
      </c>
      <c r="AC188" s="1321">
        <f t="shared" si="85"/>
        <v>0</v>
      </c>
      <c r="AD188" s="1321">
        <f t="shared" si="85"/>
        <v>0</v>
      </c>
      <c r="AE188" s="1321">
        <f t="shared" si="85"/>
        <v>0</v>
      </c>
      <c r="AF188" s="1326">
        <f t="shared" si="85"/>
        <v>0</v>
      </c>
      <c r="AG188" s="2994">
        <f t="shared" si="85"/>
        <v>0</v>
      </c>
      <c r="AH188" s="1325">
        <f t="shared" si="85"/>
        <v>0</v>
      </c>
      <c r="AI188" s="1321">
        <f t="shared" si="85"/>
        <v>0</v>
      </c>
      <c r="AJ188" s="1321">
        <f t="shared" si="85"/>
        <v>0</v>
      </c>
      <c r="AK188" s="1321">
        <f t="shared" si="85"/>
        <v>0</v>
      </c>
      <c r="AL188" s="1321">
        <f t="shared" si="85"/>
        <v>0</v>
      </c>
      <c r="AM188" s="1326">
        <f t="shared" si="85"/>
        <v>0</v>
      </c>
      <c r="AN188" s="2860"/>
      <c r="AO188" s="2898"/>
      <c r="AP188" s="1426"/>
    </row>
    <row r="189" spans="1:42" s="1422" customFormat="1">
      <c r="A189" s="2920">
        <v>18</v>
      </c>
      <c r="B189" s="2921" t="s">
        <v>1061</v>
      </c>
      <c r="C189" s="2864">
        <v>0.04</v>
      </c>
      <c r="D189" s="2918" t="s">
        <v>439</v>
      </c>
      <c r="E189" s="2994">
        <f t="shared" si="84"/>
        <v>0</v>
      </c>
      <c r="F189" s="1325">
        <f t="shared" si="84"/>
        <v>0</v>
      </c>
      <c r="G189" s="1321">
        <f t="shared" si="84"/>
        <v>0</v>
      </c>
      <c r="H189" s="1321">
        <f t="shared" si="84"/>
        <v>0</v>
      </c>
      <c r="I189" s="1321">
        <f t="shared" si="84"/>
        <v>0</v>
      </c>
      <c r="J189" s="1321">
        <f t="shared" si="84"/>
        <v>0</v>
      </c>
      <c r="K189" s="1326">
        <f t="shared" si="84"/>
        <v>0</v>
      </c>
      <c r="L189" s="2994">
        <f t="shared" si="84"/>
        <v>0</v>
      </c>
      <c r="M189" s="1325">
        <f t="shared" si="84"/>
        <v>0</v>
      </c>
      <c r="N189" s="1321">
        <f t="shared" si="84"/>
        <v>0</v>
      </c>
      <c r="O189" s="1321">
        <f t="shared" si="84"/>
        <v>0</v>
      </c>
      <c r="P189" s="1321">
        <f t="shared" si="84"/>
        <v>0</v>
      </c>
      <c r="Q189" s="1321">
        <f t="shared" si="84"/>
        <v>0</v>
      </c>
      <c r="R189" s="1326">
        <f t="shared" si="84"/>
        <v>0</v>
      </c>
      <c r="S189" s="2994">
        <f t="shared" si="84"/>
        <v>0</v>
      </c>
      <c r="T189" s="1325">
        <f t="shared" si="85"/>
        <v>0</v>
      </c>
      <c r="U189" s="1321">
        <f t="shared" si="85"/>
        <v>0</v>
      </c>
      <c r="V189" s="1321">
        <f t="shared" si="85"/>
        <v>0</v>
      </c>
      <c r="W189" s="1321">
        <f t="shared" si="85"/>
        <v>0</v>
      </c>
      <c r="X189" s="1321">
        <f t="shared" si="85"/>
        <v>0</v>
      </c>
      <c r="Y189" s="1326">
        <f t="shared" si="85"/>
        <v>0</v>
      </c>
      <c r="Z189" s="2994">
        <f t="shared" si="85"/>
        <v>0</v>
      </c>
      <c r="AA189" s="1325">
        <f t="shared" si="85"/>
        <v>0</v>
      </c>
      <c r="AB189" s="1321">
        <f t="shared" si="85"/>
        <v>0</v>
      </c>
      <c r="AC189" s="1321">
        <f t="shared" si="85"/>
        <v>0</v>
      </c>
      <c r="AD189" s="1321">
        <f t="shared" si="85"/>
        <v>0</v>
      </c>
      <c r="AE189" s="1321">
        <f t="shared" si="85"/>
        <v>0</v>
      </c>
      <c r="AF189" s="1326">
        <f t="shared" si="85"/>
        <v>0</v>
      </c>
      <c r="AG189" s="2994">
        <f t="shared" si="85"/>
        <v>0</v>
      </c>
      <c r="AH189" s="1325">
        <f t="shared" si="85"/>
        <v>0</v>
      </c>
      <c r="AI189" s="1321">
        <f t="shared" si="85"/>
        <v>0</v>
      </c>
      <c r="AJ189" s="1321">
        <f t="shared" si="85"/>
        <v>0</v>
      </c>
      <c r="AK189" s="1321">
        <f t="shared" si="85"/>
        <v>0</v>
      </c>
      <c r="AL189" s="1321">
        <f t="shared" si="85"/>
        <v>0</v>
      </c>
      <c r="AM189" s="1326">
        <f t="shared" si="85"/>
        <v>0</v>
      </c>
      <c r="AN189" s="2860"/>
      <c r="AO189" s="2898"/>
      <c r="AP189" s="1426"/>
    </row>
    <row r="190" spans="1:42" s="1422" customFormat="1" ht="24.75" thickBot="1">
      <c r="A190" s="2920">
        <v>19</v>
      </c>
      <c r="B190" s="2863">
        <v>215</v>
      </c>
      <c r="C190" s="2869">
        <v>0.2</v>
      </c>
      <c r="D190" s="2899" t="s">
        <v>685</v>
      </c>
      <c r="E190" s="2994">
        <f t="shared" ref="E190:S190" si="86">E130-E170</f>
        <v>2</v>
      </c>
      <c r="F190" s="1327">
        <f t="shared" si="86"/>
        <v>1</v>
      </c>
      <c r="G190" s="1322">
        <f t="shared" si="86"/>
        <v>28.232238777020203</v>
      </c>
      <c r="H190" s="1322">
        <f t="shared" si="86"/>
        <v>16.51303490527502</v>
      </c>
      <c r="I190" s="1322">
        <f t="shared" si="86"/>
        <v>8.8744921605218394</v>
      </c>
      <c r="J190" s="1322">
        <f t="shared" si="86"/>
        <v>0.18065354558873281</v>
      </c>
      <c r="K190" s="1328">
        <f t="shared" si="86"/>
        <v>0.46126272242083388</v>
      </c>
      <c r="L190" s="2994">
        <f t="shared" si="86"/>
        <v>0</v>
      </c>
      <c r="M190" s="1327">
        <f t="shared" si="86"/>
        <v>0</v>
      </c>
      <c r="N190" s="1322">
        <f t="shared" si="86"/>
        <v>34.91992296456911</v>
      </c>
      <c r="O190" s="1322">
        <f t="shared" si="86"/>
        <v>31.892369434462022</v>
      </c>
      <c r="P190" s="1322">
        <f t="shared" si="86"/>
        <v>27.810401057239723</v>
      </c>
      <c r="Q190" s="1322">
        <f t="shared" si="86"/>
        <v>23.703076957001301</v>
      </c>
      <c r="R190" s="1328">
        <f t="shared" si="86"/>
        <v>19.560250527667559</v>
      </c>
      <c r="S190" s="2994">
        <f t="shared" si="86"/>
        <v>0</v>
      </c>
      <c r="T190" s="1327">
        <f t="shared" si="85"/>
        <v>0</v>
      </c>
      <c r="U190" s="1322">
        <f t="shared" si="85"/>
        <v>33.712138258410668</v>
      </c>
      <c r="V190" s="1322">
        <f t="shared" si="85"/>
        <v>29.533495660262943</v>
      </c>
      <c r="W190" s="1322">
        <f t="shared" si="85"/>
        <v>25.528606782238437</v>
      </c>
      <c r="X190" s="1322">
        <f t="shared" si="85"/>
        <v>21.804369497409972</v>
      </c>
      <c r="Y190" s="1328">
        <f t="shared" si="85"/>
        <v>18.341186749911614</v>
      </c>
      <c r="Z190" s="2994">
        <f t="shared" si="85"/>
        <v>0</v>
      </c>
      <c r="AA190" s="1327">
        <f t="shared" si="85"/>
        <v>0</v>
      </c>
      <c r="AB190" s="1322">
        <f t="shared" si="85"/>
        <v>0</v>
      </c>
      <c r="AC190" s="1322">
        <f t="shared" si="85"/>
        <v>0</v>
      </c>
      <c r="AD190" s="1322">
        <f t="shared" si="85"/>
        <v>0</v>
      </c>
      <c r="AE190" s="1322">
        <f t="shared" si="85"/>
        <v>0</v>
      </c>
      <c r="AF190" s="1328">
        <f t="shared" si="85"/>
        <v>0</v>
      </c>
      <c r="AG190" s="2994">
        <f t="shared" si="85"/>
        <v>0</v>
      </c>
      <c r="AH190" s="1327">
        <f t="shared" si="85"/>
        <v>0</v>
      </c>
      <c r="AI190" s="1322">
        <f t="shared" si="85"/>
        <v>0</v>
      </c>
      <c r="AJ190" s="1322">
        <f t="shared" si="85"/>
        <v>0</v>
      </c>
      <c r="AK190" s="1322">
        <f t="shared" si="85"/>
        <v>0</v>
      </c>
      <c r="AL190" s="1322">
        <f t="shared" si="85"/>
        <v>0</v>
      </c>
      <c r="AM190" s="1328">
        <f t="shared" si="85"/>
        <v>0</v>
      </c>
      <c r="AN190" s="2860"/>
      <c r="AO190" s="2898"/>
      <c r="AP190" s="1426"/>
    </row>
    <row r="191" spans="1:42" ht="36.75" thickBot="1">
      <c r="A191" s="2915" t="s">
        <v>429</v>
      </c>
      <c r="B191" s="2915"/>
      <c r="C191" s="2915"/>
      <c r="D191" s="2916" t="s">
        <v>651</v>
      </c>
      <c r="E191" s="2983"/>
      <c r="F191" s="2984"/>
      <c r="G191" s="2842"/>
      <c r="H191" s="2842"/>
      <c r="I191" s="2842"/>
      <c r="J191" s="2842"/>
      <c r="K191" s="2985"/>
      <c r="L191" s="2983"/>
      <c r="M191" s="2984"/>
      <c r="N191" s="2842"/>
      <c r="O191" s="2842"/>
      <c r="P191" s="2842"/>
      <c r="Q191" s="2842"/>
      <c r="R191" s="2985"/>
      <c r="S191" s="2983"/>
      <c r="T191" s="2984"/>
      <c r="U191" s="2842"/>
      <c r="V191" s="2842"/>
      <c r="W191" s="2842"/>
      <c r="X191" s="2842"/>
      <c r="Y191" s="2985"/>
      <c r="Z191" s="2983"/>
      <c r="AA191" s="2984"/>
      <c r="AB191" s="2842"/>
      <c r="AC191" s="2842"/>
      <c r="AD191" s="2842"/>
      <c r="AE191" s="2842"/>
      <c r="AF191" s="2985"/>
      <c r="AG191" s="2983"/>
      <c r="AH191" s="2984"/>
      <c r="AI191" s="2842"/>
      <c r="AJ191" s="2842"/>
      <c r="AK191" s="2842"/>
      <c r="AL191" s="2842"/>
      <c r="AM191" s="2985"/>
      <c r="AN191" s="2917"/>
      <c r="AO191" s="2896"/>
      <c r="AP191" s="1424"/>
    </row>
    <row r="192" spans="1:42" s="1422" customFormat="1" ht="13.5" thickBot="1">
      <c r="A192" s="2848" t="s">
        <v>210</v>
      </c>
      <c r="B192" s="2849"/>
      <c r="C192" s="2849"/>
      <c r="D192" s="2849" t="s">
        <v>339</v>
      </c>
      <c r="E192" s="1343">
        <f t="shared" ref="E192:AM192" si="87">SUM(E193:E213)</f>
        <v>20647.598000000002</v>
      </c>
      <c r="F192" s="2986">
        <f t="shared" si="87"/>
        <v>20647.598000000002</v>
      </c>
      <c r="G192" s="1237">
        <f t="shared" si="87"/>
        <v>20647.598000000002</v>
      </c>
      <c r="H192" s="1237">
        <f t="shared" si="87"/>
        <v>20647.598000000002</v>
      </c>
      <c r="I192" s="1238">
        <f t="shared" si="87"/>
        <v>46813.426999999996</v>
      </c>
      <c r="J192" s="1237">
        <f t="shared" si="87"/>
        <v>46813.426999999996</v>
      </c>
      <c r="K192" s="1237">
        <f t="shared" si="87"/>
        <v>46813.426999999996</v>
      </c>
      <c r="L192" s="1343">
        <f t="shared" si="87"/>
        <v>36750.383000000002</v>
      </c>
      <c r="M192" s="2986">
        <f t="shared" si="87"/>
        <v>36750.383000000002</v>
      </c>
      <c r="N192" s="1237">
        <f t="shared" si="87"/>
        <v>36750.383000000002</v>
      </c>
      <c r="O192" s="1237">
        <f t="shared" si="87"/>
        <v>36750.383000000002</v>
      </c>
      <c r="P192" s="1238">
        <f t="shared" si="87"/>
        <v>67520.58</v>
      </c>
      <c r="Q192" s="1237">
        <f t="shared" si="87"/>
        <v>67520.58</v>
      </c>
      <c r="R192" s="1237">
        <f t="shared" si="87"/>
        <v>67520.58</v>
      </c>
      <c r="S192" s="1343">
        <f t="shared" si="87"/>
        <v>2902</v>
      </c>
      <c r="T192" s="2986">
        <f t="shared" si="87"/>
        <v>2902</v>
      </c>
      <c r="U192" s="1237">
        <f t="shared" si="87"/>
        <v>2902</v>
      </c>
      <c r="V192" s="1237">
        <f t="shared" si="87"/>
        <v>2902</v>
      </c>
      <c r="W192" s="1238">
        <f t="shared" si="87"/>
        <v>21560.84</v>
      </c>
      <c r="X192" s="1237">
        <f t="shared" si="87"/>
        <v>21560.84</v>
      </c>
      <c r="Y192" s="2987">
        <f t="shared" si="87"/>
        <v>21560.84</v>
      </c>
      <c r="Z192" s="1343">
        <f t="shared" si="87"/>
        <v>339.6</v>
      </c>
      <c r="AA192" s="2986">
        <f t="shared" si="87"/>
        <v>339.6</v>
      </c>
      <c r="AB192" s="1237">
        <f t="shared" si="87"/>
        <v>339.6</v>
      </c>
      <c r="AC192" s="1237">
        <f t="shared" si="87"/>
        <v>339.6</v>
      </c>
      <c r="AD192" s="1238">
        <f t="shared" si="87"/>
        <v>339.6</v>
      </c>
      <c r="AE192" s="1237">
        <f t="shared" si="87"/>
        <v>339.6</v>
      </c>
      <c r="AF192" s="2987">
        <f t="shared" si="87"/>
        <v>339.6</v>
      </c>
      <c r="AG192" s="1343">
        <f t="shared" si="87"/>
        <v>0</v>
      </c>
      <c r="AH192" s="2986">
        <f t="shared" si="87"/>
        <v>0</v>
      </c>
      <c r="AI192" s="1237">
        <f t="shared" si="87"/>
        <v>0</v>
      </c>
      <c r="AJ192" s="1237">
        <f t="shared" si="87"/>
        <v>0</v>
      </c>
      <c r="AK192" s="1238">
        <f t="shared" si="87"/>
        <v>0</v>
      </c>
      <c r="AL192" s="1237">
        <f t="shared" si="87"/>
        <v>0</v>
      </c>
      <c r="AM192" s="2987">
        <f t="shared" si="87"/>
        <v>0</v>
      </c>
      <c r="AN192" s="2860"/>
      <c r="AO192" s="2898"/>
      <c r="AP192" s="1426"/>
    </row>
    <row r="193" spans="1:42" s="1422" customFormat="1">
      <c r="A193" s="2862">
        <v>1</v>
      </c>
      <c r="B193" s="2923" t="s">
        <v>703</v>
      </c>
      <c r="C193" s="2880">
        <v>0</v>
      </c>
      <c r="D193" s="2910" t="s">
        <v>564</v>
      </c>
      <c r="E193" s="448">
        <v>853</v>
      </c>
      <c r="F193" s="2968">
        <f>E193+SUMIF('11.2. ДА за периода'!$B$111:$B$131,$B193,'11.2. ДА за периода'!F$111:F$131)</f>
        <v>853</v>
      </c>
      <c r="G193" s="1235">
        <f>F193+SUMIF('11.2. ДА за периода'!$B$111:$B$131,$B193,'11.2. ДА за периода'!G$111:G$131)</f>
        <v>853</v>
      </c>
      <c r="H193" s="1235">
        <f>G193+SUMIF('11.2. ДА за периода'!$B$111:$B$131,$B193,'11.2. ДА за периода'!H$111:H$131)</f>
        <v>853</v>
      </c>
      <c r="I193" s="1235">
        <f>H193+SUMIF('11.2. ДА за периода'!$B$111:$B$131,$B193,'11.2. ДА за периода'!I$111:I$131)</f>
        <v>853</v>
      </c>
      <c r="J193" s="1235">
        <f>I193+SUMIF('11.2. ДА за периода'!$B$111:$B$131,$B193,'11.2. ДА за периода'!J$111:J$131)</f>
        <v>853</v>
      </c>
      <c r="K193" s="2969">
        <f>J193+SUMIF('11.2. ДА за периода'!$B$111:$B$131,$B193,'11.2. ДА за периода'!K$111:K$131)</f>
        <v>853</v>
      </c>
      <c r="L193" s="448">
        <v>0</v>
      </c>
      <c r="M193" s="2968">
        <f>L193+SUMIF('11.2. ДА за периода'!$B$111:$B$131,$B193,'11.2. ДА за периода'!M$111:M$131)</f>
        <v>0</v>
      </c>
      <c r="N193" s="1235">
        <f>M193+SUMIF('11.2. ДА за периода'!$B$111:$B$131,$B193,'11.2. ДА за периода'!N$111:N$131)</f>
        <v>0</v>
      </c>
      <c r="O193" s="1235">
        <f>N193+SUMIF('11.2. ДА за периода'!$B$111:$B$131,$B193,'11.2. ДА за периода'!O$111:O$131)</f>
        <v>0</v>
      </c>
      <c r="P193" s="1235">
        <f>O193+SUMIF('11.2. ДА за периода'!$B$111:$B$131,$B193,'11.2. ДА за периода'!P$111:P$131)</f>
        <v>0</v>
      </c>
      <c r="Q193" s="1235">
        <f>P193+SUMIF('11.2. ДА за периода'!$B$111:$B$131,$B193,'11.2. ДА за периода'!Q$111:Q$131)</f>
        <v>0</v>
      </c>
      <c r="R193" s="2969">
        <f>Q193+SUMIF('11.2. ДА за периода'!$B$111:$B$131,$B193,'11.2. ДА за периода'!R$111:R$131)</f>
        <v>0</v>
      </c>
      <c r="S193" s="448">
        <v>0</v>
      </c>
      <c r="T193" s="2968">
        <f>S193+SUMIF('11.2. ДА за периода'!$B$111:$B$131,$B193,'11.2. ДА за периода'!T$111:T$131)</f>
        <v>0</v>
      </c>
      <c r="U193" s="1235">
        <f>T193+SUMIF('11.2. ДА за периода'!$B$111:$B$131,$B193,'11.2. ДА за периода'!U$111:U$131)</f>
        <v>0</v>
      </c>
      <c r="V193" s="1235">
        <f>U193+SUMIF('11.2. ДА за периода'!$B$111:$B$131,$B193,'11.2. ДА за периода'!V$111:V$131)</f>
        <v>0</v>
      </c>
      <c r="W193" s="1235">
        <f>V193+SUMIF('11.2. ДА за периода'!$B$111:$B$131,$B193,'11.2. ДА за периода'!W$111:W$131)</f>
        <v>0</v>
      </c>
      <c r="X193" s="1235">
        <f>W193+SUMIF('11.2. ДА за периода'!$B$111:$B$131,$B193,'11.2. ДА за периода'!X$111:X$131)</f>
        <v>0</v>
      </c>
      <c r="Y193" s="2969">
        <f>X193+SUMIF('11.2. ДА за периода'!$B$111:$B$131,$B193,'11.2. ДА за периода'!Y$111:Y$131)</f>
        <v>0</v>
      </c>
      <c r="Z193" s="448">
        <v>0</v>
      </c>
      <c r="AA193" s="2968">
        <f>Z193+SUMIF('11.2. ДА за периода'!$B$111:$B$131,$B193,'11.2. ДА за периода'!AA$111:AA$131)</f>
        <v>0</v>
      </c>
      <c r="AB193" s="1235">
        <f>AA193+SUMIF('11.2. ДА за периода'!$B$111:$B$131,$B193,'11.2. ДА за периода'!AB$111:AB$131)</f>
        <v>0</v>
      </c>
      <c r="AC193" s="1235">
        <f>AB193+SUMIF('11.2. ДА за периода'!$B$111:$B$131,$B193,'11.2. ДА за периода'!AC$111:AC$131)</f>
        <v>0</v>
      </c>
      <c r="AD193" s="1235">
        <f>AC193+SUMIF('11.2. ДА за периода'!$B$111:$B$131,$B193,'11.2. ДА за периода'!AD$111:AD$131)</f>
        <v>0</v>
      </c>
      <c r="AE193" s="1235">
        <f>AD193+SUMIF('11.2. ДА за периода'!$B$111:$B$131,$B193,'11.2. ДА за периода'!AE$111:AE$131)</f>
        <v>0</v>
      </c>
      <c r="AF193" s="2969">
        <f>AE193+SUMIF('11.2. ДА за периода'!$B$111:$B$131,$B193,'11.2. ДА за периода'!AF$111:AF$131)</f>
        <v>0</v>
      </c>
      <c r="AG193" s="448"/>
      <c r="AH193" s="2968">
        <f>AG193+SUMIF('11.2. ДА за периода'!$B$111:$B$131,$B193,'11.2. ДА за периода'!AH$111:AH$131)</f>
        <v>0</v>
      </c>
      <c r="AI193" s="1235">
        <f>AH193+SUMIF('11.2. ДА за периода'!$B$111:$B$131,$B193,'11.2. ДА за периода'!AI$111:AI$131)</f>
        <v>0</v>
      </c>
      <c r="AJ193" s="1235">
        <f>AI193+SUMIF('11.2. ДА за периода'!$B$111:$B$131,$B193,'11.2. ДА за периода'!AJ$111:AJ$131)</f>
        <v>0</v>
      </c>
      <c r="AK193" s="1235">
        <f>AJ193+SUMIF('11.2. ДА за периода'!$B$111:$B$131,$B193,'11.2. ДА за периода'!AK$111:AK$131)</f>
        <v>0</v>
      </c>
      <c r="AL193" s="1235">
        <f>AK193+SUMIF('11.2. ДА за периода'!$B$111:$B$131,$B193,'11.2. ДА за периода'!AL$111:AL$131)</f>
        <v>0</v>
      </c>
      <c r="AM193" s="2969">
        <f>AL193+SUMIF('11.2. ДА за периода'!$B$111:$B$131,$B193,'11.2. ДА за периода'!AM$111:AM$131)</f>
        <v>0</v>
      </c>
      <c r="AN193" s="2860"/>
      <c r="AO193" s="2898"/>
      <c r="AP193" s="1426"/>
    </row>
    <row r="194" spans="1:42" s="1422" customFormat="1">
      <c r="A194" s="2862">
        <v>2</v>
      </c>
      <c r="B194" s="2863" t="s">
        <v>704</v>
      </c>
      <c r="C194" s="2864">
        <v>0.03</v>
      </c>
      <c r="D194" s="2918" t="s">
        <v>431</v>
      </c>
      <c r="E194" s="448">
        <f>178+132.771</f>
        <v>310.77099999999996</v>
      </c>
      <c r="F194" s="2971">
        <f>E194+SUMIF('11.2. ДА за периода'!$B$111:$B$131,$B194,'11.2. ДА за периода'!F$111:F$131)</f>
        <v>310.77099999999996</v>
      </c>
      <c r="G194" s="1226">
        <f>F194+SUMIF('11.2. ДА за периода'!$B$111:$B$131,$B194,'11.2. ДА за периода'!G$111:G$131)</f>
        <v>310.77099999999996</v>
      </c>
      <c r="H194" s="1226">
        <f>G194+SUMIF('11.2. ДА за периода'!$B$111:$B$131,$B194,'11.2. ДА за периода'!H$111:H$131)</f>
        <v>310.77099999999996</v>
      </c>
      <c r="I194" s="1226">
        <f>H194+SUMIF('11.2. ДА за периода'!$B$111:$B$131,$B194,'11.2. ДА за периода'!I$111:I$131)</f>
        <v>310.77099999999996</v>
      </c>
      <c r="J194" s="1226">
        <f>I194+SUMIF('11.2. ДА за периода'!$B$111:$B$131,$B194,'11.2. ДА за периода'!J$111:J$131)</f>
        <v>310.77099999999996</v>
      </c>
      <c r="K194" s="2972">
        <f>J194+SUMIF('11.2. ДА за периода'!$B$111:$B$131,$B194,'11.2. ДА за периода'!K$111:K$131)</f>
        <v>310.77099999999996</v>
      </c>
      <c r="L194" s="448">
        <v>0</v>
      </c>
      <c r="M194" s="2971">
        <f>L194+SUMIF('11.2. ДА за периода'!$B$111:$B$131,$B194,'11.2. ДА за периода'!M$111:M$131)</f>
        <v>0</v>
      </c>
      <c r="N194" s="1226">
        <f>M194+SUMIF('11.2. ДА за периода'!$B$111:$B$131,$B194,'11.2. ДА за периода'!N$111:N$131)</f>
        <v>0</v>
      </c>
      <c r="O194" s="1226">
        <f>N194+SUMIF('11.2. ДА за периода'!$B$111:$B$131,$B194,'11.2. ДА за периода'!O$111:O$131)</f>
        <v>0</v>
      </c>
      <c r="P194" s="1226">
        <f>O194+SUMIF('11.2. ДА за периода'!$B$111:$B$131,$B194,'11.2. ДА за периода'!P$111:P$131)</f>
        <v>2012.17</v>
      </c>
      <c r="Q194" s="1226">
        <f>P194+SUMIF('11.2. ДА за периода'!$B$111:$B$131,$B194,'11.2. ДА за периода'!Q$111:Q$131)</f>
        <v>2012.17</v>
      </c>
      <c r="R194" s="2972">
        <f>Q194+SUMIF('11.2. ДА за периода'!$B$111:$B$131,$B194,'11.2. ДА за периода'!R$111:R$131)</f>
        <v>2012.17</v>
      </c>
      <c r="S194" s="448">
        <v>490</v>
      </c>
      <c r="T194" s="2971">
        <f>S194+SUMIF('11.2. ДА за периода'!$B$111:$B$131,$B194,'11.2. ДА за периода'!T$111:T$131)</f>
        <v>490</v>
      </c>
      <c r="U194" s="1226">
        <f>T194+SUMIF('11.2. ДА за периода'!$B$111:$B$131,$B194,'11.2. ДА за периода'!U$111:U$131)</f>
        <v>490</v>
      </c>
      <c r="V194" s="1226">
        <f>U194+SUMIF('11.2. ДА за периода'!$B$111:$B$131,$B194,'11.2. ДА за периода'!V$111:V$131)</f>
        <v>490</v>
      </c>
      <c r="W194" s="1226">
        <f>V194+SUMIF('11.2. ДА за периода'!$B$111:$B$131,$B194,'11.2. ДА за периода'!W$111:W$131)</f>
        <v>490</v>
      </c>
      <c r="X194" s="1226">
        <f>W194+SUMIF('11.2. ДА за периода'!$B$111:$B$131,$B194,'11.2. ДА за периода'!X$111:X$131)</f>
        <v>490</v>
      </c>
      <c r="Y194" s="2972">
        <f>X194+SUMIF('11.2. ДА за периода'!$B$111:$B$131,$B194,'11.2. ДА за периода'!Y$111:Y$131)</f>
        <v>490</v>
      </c>
      <c r="Z194" s="448">
        <v>3.2</v>
      </c>
      <c r="AA194" s="2971">
        <f>Z194+SUMIF('11.2. ДА за периода'!$B$111:$B$131,$B194,'11.2. ДА за периода'!AA$111:AA$131)</f>
        <v>3.2</v>
      </c>
      <c r="AB194" s="1226">
        <f>AA194+SUMIF('11.2. ДА за периода'!$B$111:$B$131,$B194,'11.2. ДА за периода'!AB$111:AB$131)</f>
        <v>3.2</v>
      </c>
      <c r="AC194" s="1226">
        <f>AB194+SUMIF('11.2. ДА за периода'!$B$111:$B$131,$B194,'11.2. ДА за периода'!AC$111:AC$131)</f>
        <v>3.2</v>
      </c>
      <c r="AD194" s="1226">
        <f>AC194+SUMIF('11.2. ДА за периода'!$B$111:$B$131,$B194,'11.2. ДА за периода'!AD$111:AD$131)</f>
        <v>3.2</v>
      </c>
      <c r="AE194" s="1226">
        <f>AD194+SUMIF('11.2. ДА за периода'!$B$111:$B$131,$B194,'11.2. ДА за периода'!AE$111:AE$131)</f>
        <v>3.2</v>
      </c>
      <c r="AF194" s="2972">
        <f>AE194+SUMIF('11.2. ДА за периода'!$B$111:$B$131,$B194,'11.2. ДА за периода'!AF$111:AF$131)</f>
        <v>3.2</v>
      </c>
      <c r="AG194" s="448"/>
      <c r="AH194" s="2971">
        <f>AG194+SUMIF('11.2. ДА за периода'!$B$111:$B$131,$B194,'11.2. ДА за периода'!AH$111:AH$131)</f>
        <v>0</v>
      </c>
      <c r="AI194" s="1226">
        <f>AH194+SUMIF('11.2. ДА за периода'!$B$111:$B$131,$B194,'11.2. ДА за периода'!AI$111:AI$131)</f>
        <v>0</v>
      </c>
      <c r="AJ194" s="1226">
        <f>AI194+SUMIF('11.2. ДА за периода'!$B$111:$B$131,$B194,'11.2. ДА за периода'!AJ$111:AJ$131)</f>
        <v>0</v>
      </c>
      <c r="AK194" s="1226">
        <f>AJ194+SUMIF('11.2. ДА за периода'!$B$111:$B$131,$B194,'11.2. ДА за периода'!AK$111:AK$131)</f>
        <v>0</v>
      </c>
      <c r="AL194" s="1226">
        <f>AK194+SUMIF('11.2. ДА за периода'!$B$111:$B$131,$B194,'11.2. ДА за периода'!AL$111:AL$131)</f>
        <v>0</v>
      </c>
      <c r="AM194" s="2972">
        <f>AL194+SUMIF('11.2. ДА за периода'!$B$111:$B$131,$B194,'11.2. ДА за периода'!AM$111:AM$131)</f>
        <v>0</v>
      </c>
      <c r="AN194" s="2860"/>
      <c r="AO194" s="2898"/>
      <c r="AP194" s="1426"/>
    </row>
    <row r="195" spans="1:42" s="1422" customFormat="1">
      <c r="A195" s="2862">
        <v>3</v>
      </c>
      <c r="B195" s="2863">
        <v>911301</v>
      </c>
      <c r="C195" s="2864">
        <v>0.1</v>
      </c>
      <c r="D195" s="2918" t="s">
        <v>432</v>
      </c>
      <c r="E195" s="448">
        <v>0</v>
      </c>
      <c r="F195" s="2971">
        <f>E195+SUMIF('11.2. ДА за периода'!$B$111:$B$131,$B195,'11.2. ДА за периода'!F$111:F$131)</f>
        <v>0</v>
      </c>
      <c r="G195" s="1226">
        <f>F195+SUMIF('11.2. ДА за периода'!$B$111:$B$131,$B195,'11.2. ДА за периода'!G$111:G$131)</f>
        <v>0</v>
      </c>
      <c r="H195" s="1226">
        <f>G195+SUMIF('11.2. ДА за периода'!$B$111:$B$131,$B195,'11.2. ДА за периода'!H$111:H$131)</f>
        <v>0</v>
      </c>
      <c r="I195" s="1226">
        <f>H195+SUMIF('11.2. ДА за периода'!$B$111:$B$131,$B195,'11.2. ДА за периода'!I$111:I$131)</f>
        <v>0</v>
      </c>
      <c r="J195" s="1226">
        <f>I195+SUMIF('11.2. ДА за периода'!$B$111:$B$131,$B195,'11.2. ДА за периода'!J$111:J$131)</f>
        <v>0</v>
      </c>
      <c r="K195" s="2972">
        <f>J195+SUMIF('11.2. ДА за периода'!$B$111:$B$131,$B195,'11.2. ДА за периода'!K$111:K$131)</f>
        <v>0</v>
      </c>
      <c r="L195" s="448">
        <v>0</v>
      </c>
      <c r="M195" s="2971">
        <f>L195+SUMIF('11.2. ДА за периода'!$B$111:$B$131,$B195,'11.2. ДА за периода'!M$111:M$131)</f>
        <v>0</v>
      </c>
      <c r="N195" s="1226">
        <f>M195+SUMIF('11.2. ДА за периода'!$B$111:$B$131,$B195,'11.2. ДА за периода'!N$111:N$131)</f>
        <v>0</v>
      </c>
      <c r="O195" s="1226">
        <f>N195+SUMIF('11.2. ДА за периода'!$B$111:$B$131,$B195,'11.2. ДА за периода'!O$111:O$131)</f>
        <v>0</v>
      </c>
      <c r="P195" s="1226">
        <f>O195+SUMIF('11.2. ДА за периода'!$B$111:$B$131,$B195,'11.2. ДА за периода'!P$111:P$131)</f>
        <v>0</v>
      </c>
      <c r="Q195" s="1226">
        <f>P195+SUMIF('11.2. ДА за периода'!$B$111:$B$131,$B195,'11.2. ДА за периода'!Q$111:Q$131)</f>
        <v>0</v>
      </c>
      <c r="R195" s="2972">
        <f>Q195+SUMIF('11.2. ДА за периода'!$B$111:$B$131,$B195,'11.2. ДА за периода'!R$111:R$131)</f>
        <v>0</v>
      </c>
      <c r="S195" s="448">
        <v>0</v>
      </c>
      <c r="T195" s="2971">
        <f>S195+SUMIF('11.2. ДА за периода'!$B$111:$B$131,$B195,'11.2. ДА за периода'!T$111:T$131)</f>
        <v>0</v>
      </c>
      <c r="U195" s="1226">
        <f>T195+SUMIF('11.2. ДА за периода'!$B$111:$B$131,$B195,'11.2. ДА за периода'!U$111:U$131)</f>
        <v>0</v>
      </c>
      <c r="V195" s="1226">
        <f>U195+SUMIF('11.2. ДА за периода'!$B$111:$B$131,$B195,'11.2. ДА за периода'!V$111:V$131)</f>
        <v>0</v>
      </c>
      <c r="W195" s="1226">
        <f>V195+SUMIF('11.2. ДА за периода'!$B$111:$B$131,$B195,'11.2. ДА за периода'!W$111:W$131)</f>
        <v>0</v>
      </c>
      <c r="X195" s="1226">
        <f>W195+SUMIF('11.2. ДА за периода'!$B$111:$B$131,$B195,'11.2. ДА за периода'!X$111:X$131)</f>
        <v>0</v>
      </c>
      <c r="Y195" s="2972">
        <f>X195+SUMIF('11.2. ДА за периода'!$B$111:$B$131,$B195,'11.2. ДА за периода'!Y$111:Y$131)</f>
        <v>0</v>
      </c>
      <c r="Z195" s="448">
        <v>0</v>
      </c>
      <c r="AA195" s="2971">
        <f>Z195+SUMIF('11.2. ДА за периода'!$B$111:$B$131,$B195,'11.2. ДА за периода'!AA$111:AA$131)</f>
        <v>0</v>
      </c>
      <c r="AB195" s="1226">
        <f>AA195+SUMIF('11.2. ДА за периода'!$B$111:$B$131,$B195,'11.2. ДА за периода'!AB$111:AB$131)</f>
        <v>0</v>
      </c>
      <c r="AC195" s="1226">
        <f>AB195+SUMIF('11.2. ДА за периода'!$B$111:$B$131,$B195,'11.2. ДА за периода'!AC$111:AC$131)</f>
        <v>0</v>
      </c>
      <c r="AD195" s="1226">
        <f>AC195+SUMIF('11.2. ДА за периода'!$B$111:$B$131,$B195,'11.2. ДА за периода'!AD$111:AD$131)</f>
        <v>0</v>
      </c>
      <c r="AE195" s="1226">
        <f>AD195+SUMIF('11.2. ДА за периода'!$B$111:$B$131,$B195,'11.2. ДА за периода'!AE$111:AE$131)</f>
        <v>0</v>
      </c>
      <c r="AF195" s="2972">
        <f>AE195+SUMIF('11.2. ДА за периода'!$B$111:$B$131,$B195,'11.2. ДА за периода'!AF$111:AF$131)</f>
        <v>0</v>
      </c>
      <c r="AG195" s="448"/>
      <c r="AH195" s="2971">
        <f>AG195+SUMIF('11.2. ДА за периода'!$B$111:$B$131,$B195,'11.2. ДА за периода'!AH$111:AH$131)</f>
        <v>0</v>
      </c>
      <c r="AI195" s="1226">
        <f>AH195+SUMIF('11.2. ДА за периода'!$B$111:$B$131,$B195,'11.2. ДА за периода'!AI$111:AI$131)</f>
        <v>0</v>
      </c>
      <c r="AJ195" s="1226">
        <f>AI195+SUMIF('11.2. ДА за периода'!$B$111:$B$131,$B195,'11.2. ДА за периода'!AJ$111:AJ$131)</f>
        <v>0</v>
      </c>
      <c r="AK195" s="1226">
        <f>AJ195+SUMIF('11.2. ДА за периода'!$B$111:$B$131,$B195,'11.2. ДА за периода'!AK$111:AK$131)</f>
        <v>0</v>
      </c>
      <c r="AL195" s="1226">
        <f>AK195+SUMIF('11.2. ДА за периода'!$B$111:$B$131,$B195,'11.2. ДА за периода'!AL$111:AL$131)</f>
        <v>0</v>
      </c>
      <c r="AM195" s="2972">
        <f>AL195+SUMIF('11.2. ДА за периода'!$B$111:$B$131,$B195,'11.2. ДА за периода'!AM$111:AM$131)</f>
        <v>0</v>
      </c>
      <c r="AN195" s="2860"/>
      <c r="AO195" s="2898"/>
      <c r="AP195" s="1426"/>
    </row>
    <row r="196" spans="1:42" s="1422" customFormat="1">
      <c r="A196" s="2862">
        <v>4</v>
      </c>
      <c r="B196" s="2863">
        <v>911302</v>
      </c>
      <c r="C196" s="2864">
        <v>0.1</v>
      </c>
      <c r="D196" s="2918" t="s">
        <v>433</v>
      </c>
      <c r="E196" s="448">
        <v>0</v>
      </c>
      <c r="F196" s="2971">
        <f>E196+SUMIF('11.2. ДА за периода'!$B$111:$B$131,$B196,'11.2. ДА за периода'!F$111:F$131)</f>
        <v>0</v>
      </c>
      <c r="G196" s="1226">
        <f>F196+SUMIF('11.2. ДА за периода'!$B$111:$B$131,$B196,'11.2. ДА за периода'!G$111:G$131)</f>
        <v>0</v>
      </c>
      <c r="H196" s="1226">
        <f>G196+SUMIF('11.2. ДА за периода'!$B$111:$B$131,$B196,'11.2. ДА за периода'!H$111:H$131)</f>
        <v>0</v>
      </c>
      <c r="I196" s="1226">
        <f>H196+SUMIF('11.2. ДА за периода'!$B$111:$B$131,$B196,'11.2. ДА за периода'!I$111:I$131)</f>
        <v>0</v>
      </c>
      <c r="J196" s="1226">
        <f>I196+SUMIF('11.2. ДА за периода'!$B$111:$B$131,$B196,'11.2. ДА за периода'!J$111:J$131)</f>
        <v>0</v>
      </c>
      <c r="K196" s="2972">
        <f>J196+SUMIF('11.2. ДА за периода'!$B$111:$B$131,$B196,'11.2. ДА за периода'!K$111:K$131)</f>
        <v>0</v>
      </c>
      <c r="L196" s="448">
        <v>0</v>
      </c>
      <c r="M196" s="2971">
        <f>L196+SUMIF('11.2. ДА за периода'!$B$111:$B$131,$B196,'11.2. ДА за периода'!M$111:M$131)</f>
        <v>0</v>
      </c>
      <c r="N196" s="1226">
        <f>M196+SUMIF('11.2. ДА за периода'!$B$111:$B$131,$B196,'11.2. ДА за периода'!N$111:N$131)</f>
        <v>0</v>
      </c>
      <c r="O196" s="1226">
        <f>N196+SUMIF('11.2. ДА за периода'!$B$111:$B$131,$B196,'11.2. ДА за периода'!O$111:O$131)</f>
        <v>0</v>
      </c>
      <c r="P196" s="1226">
        <f>O196+SUMIF('11.2. ДА за периода'!$B$111:$B$131,$B196,'11.2. ДА за периода'!P$111:P$131)</f>
        <v>0</v>
      </c>
      <c r="Q196" s="1226">
        <f>P196+SUMIF('11.2. ДА за периода'!$B$111:$B$131,$B196,'11.2. ДА за периода'!Q$111:Q$131)</f>
        <v>0</v>
      </c>
      <c r="R196" s="2972">
        <f>Q196+SUMIF('11.2. ДА за периода'!$B$111:$B$131,$B196,'11.2. ДА за периода'!R$111:R$131)</f>
        <v>0</v>
      </c>
      <c r="S196" s="448">
        <v>0</v>
      </c>
      <c r="T196" s="2971">
        <f>S196+SUMIF('11.2. ДА за периода'!$B$111:$B$131,$B196,'11.2. ДА за периода'!T$111:T$131)</f>
        <v>0</v>
      </c>
      <c r="U196" s="1226">
        <f>T196+SUMIF('11.2. ДА за периода'!$B$111:$B$131,$B196,'11.2. ДА за периода'!U$111:U$131)</f>
        <v>0</v>
      </c>
      <c r="V196" s="1226">
        <f>U196+SUMIF('11.2. ДА за периода'!$B$111:$B$131,$B196,'11.2. ДА за периода'!V$111:V$131)</f>
        <v>0</v>
      </c>
      <c r="W196" s="1226">
        <f>V196+SUMIF('11.2. ДА за периода'!$B$111:$B$131,$B196,'11.2. ДА за периода'!W$111:W$131)</f>
        <v>0</v>
      </c>
      <c r="X196" s="1226">
        <f>W196+SUMIF('11.2. ДА за периода'!$B$111:$B$131,$B196,'11.2. ДА за периода'!X$111:X$131)</f>
        <v>0</v>
      </c>
      <c r="Y196" s="2972">
        <f>X196+SUMIF('11.2. ДА за периода'!$B$111:$B$131,$B196,'11.2. ДА за периода'!Y$111:Y$131)</f>
        <v>0</v>
      </c>
      <c r="Z196" s="448">
        <v>0</v>
      </c>
      <c r="AA196" s="2971">
        <f>Z196+SUMIF('11.2. ДА за периода'!$B$111:$B$131,$B196,'11.2. ДА за периода'!AA$111:AA$131)</f>
        <v>0</v>
      </c>
      <c r="AB196" s="1226">
        <f>AA196+SUMIF('11.2. ДА за периода'!$B$111:$B$131,$B196,'11.2. ДА за периода'!AB$111:AB$131)</f>
        <v>0</v>
      </c>
      <c r="AC196" s="1226">
        <f>AB196+SUMIF('11.2. ДА за периода'!$B$111:$B$131,$B196,'11.2. ДА за периода'!AC$111:AC$131)</f>
        <v>0</v>
      </c>
      <c r="AD196" s="1226">
        <f>AC196+SUMIF('11.2. ДА за периода'!$B$111:$B$131,$B196,'11.2. ДА за периода'!AD$111:AD$131)</f>
        <v>0</v>
      </c>
      <c r="AE196" s="1226">
        <f>AD196+SUMIF('11.2. ДА за периода'!$B$111:$B$131,$B196,'11.2. ДА за периода'!AE$111:AE$131)</f>
        <v>0</v>
      </c>
      <c r="AF196" s="2972">
        <f>AE196+SUMIF('11.2. ДА за периода'!$B$111:$B$131,$B196,'11.2. ДА за периода'!AF$111:AF$131)</f>
        <v>0</v>
      </c>
      <c r="AG196" s="448"/>
      <c r="AH196" s="2971">
        <f>AG196+SUMIF('11.2. ДА за периода'!$B$111:$B$131,$B196,'11.2. ДА за периода'!AH$111:AH$131)</f>
        <v>0</v>
      </c>
      <c r="AI196" s="1226">
        <f>AH196+SUMIF('11.2. ДА за периода'!$B$111:$B$131,$B196,'11.2. ДА за периода'!AI$111:AI$131)</f>
        <v>0</v>
      </c>
      <c r="AJ196" s="1226">
        <f>AI196+SUMIF('11.2. ДА за периода'!$B$111:$B$131,$B196,'11.2. ДА за периода'!AJ$111:AJ$131)</f>
        <v>0</v>
      </c>
      <c r="AK196" s="1226">
        <f>AJ196+SUMIF('11.2. ДА за периода'!$B$111:$B$131,$B196,'11.2. ДА за периода'!AK$111:AK$131)</f>
        <v>0</v>
      </c>
      <c r="AL196" s="1226">
        <f>AK196+SUMIF('11.2. ДА за периода'!$B$111:$B$131,$B196,'11.2. ДА за периода'!AL$111:AL$131)</f>
        <v>0</v>
      </c>
      <c r="AM196" s="2972">
        <f>AL196+SUMIF('11.2. ДА за периода'!$B$111:$B$131,$B196,'11.2. ДА за периода'!AM$111:AM$131)</f>
        <v>0</v>
      </c>
      <c r="AN196" s="2860"/>
      <c r="AO196" s="2898"/>
      <c r="AP196" s="1426"/>
    </row>
    <row r="197" spans="1:42" s="1422" customFormat="1">
      <c r="A197" s="2862">
        <v>5</v>
      </c>
      <c r="B197" s="2863" t="s">
        <v>721</v>
      </c>
      <c r="C197" s="2864">
        <v>0.1</v>
      </c>
      <c r="D197" s="2899" t="s">
        <v>412</v>
      </c>
      <c r="E197" s="448">
        <v>274</v>
      </c>
      <c r="F197" s="2971">
        <f>E197+SUMIF('11.2. ДА за периода'!$B$111:$B$131,$B197,'11.2. ДА за периода'!F$111:F$131)</f>
        <v>274</v>
      </c>
      <c r="G197" s="1226">
        <f>F197+SUMIF('11.2. ДА за периода'!$B$111:$B$131,$B197,'11.2. ДА за периода'!G$111:G$131)</f>
        <v>274</v>
      </c>
      <c r="H197" s="1226">
        <f>G197+SUMIF('11.2. ДА за периода'!$B$111:$B$131,$B197,'11.2. ДА за периода'!H$111:H$131)</f>
        <v>274</v>
      </c>
      <c r="I197" s="1226">
        <f>H197+SUMIF('11.2. ДА за периода'!$B$111:$B$131,$B197,'11.2. ДА за периода'!I$111:I$131)</f>
        <v>274</v>
      </c>
      <c r="J197" s="1226">
        <f>I197+SUMIF('11.2. ДА за периода'!$B$111:$B$131,$B197,'11.2. ДА за периода'!J$111:J$131)</f>
        <v>274</v>
      </c>
      <c r="K197" s="2972">
        <f>J197+SUMIF('11.2. ДА за периода'!$B$111:$B$131,$B197,'11.2. ДА за периода'!K$111:K$131)</f>
        <v>274</v>
      </c>
      <c r="L197" s="448">
        <v>0</v>
      </c>
      <c r="M197" s="2971">
        <f>L197+SUMIF('11.2. ДА за периода'!$B$111:$B$131,$B197,'11.2. ДА за периода'!M$111:M$131)</f>
        <v>0</v>
      </c>
      <c r="N197" s="1226">
        <f>M197+SUMIF('11.2. ДА за периода'!$B$111:$B$131,$B197,'11.2. ДА за периода'!N$111:N$131)</f>
        <v>0</v>
      </c>
      <c r="O197" s="1226">
        <f>N197+SUMIF('11.2. ДА за периода'!$B$111:$B$131,$B197,'11.2. ДА за периода'!O$111:O$131)</f>
        <v>0</v>
      </c>
      <c r="P197" s="1226">
        <f>O197+SUMIF('11.2. ДА за периода'!$B$111:$B$131,$B197,'11.2. ДА за периода'!P$111:P$131)</f>
        <v>0</v>
      </c>
      <c r="Q197" s="1226">
        <f>P197+SUMIF('11.2. ДА за периода'!$B$111:$B$131,$B197,'11.2. ДА за периода'!Q$111:Q$131)</f>
        <v>0</v>
      </c>
      <c r="R197" s="2972">
        <f>Q197+SUMIF('11.2. ДА за периода'!$B$111:$B$131,$B197,'11.2. ДА за периода'!R$111:R$131)</f>
        <v>0</v>
      </c>
      <c r="S197" s="448">
        <v>70</v>
      </c>
      <c r="T197" s="2971">
        <f>S197+SUMIF('11.2. ДА за периода'!$B$111:$B$131,$B197,'11.2. ДА за периода'!T$111:T$131)</f>
        <v>70</v>
      </c>
      <c r="U197" s="1226">
        <f>T197+SUMIF('11.2. ДА за периода'!$B$111:$B$131,$B197,'11.2. ДА за периода'!U$111:U$131)</f>
        <v>70</v>
      </c>
      <c r="V197" s="1226">
        <f>U197+SUMIF('11.2. ДА за периода'!$B$111:$B$131,$B197,'11.2. ДА за периода'!V$111:V$131)</f>
        <v>70</v>
      </c>
      <c r="W197" s="1226">
        <f>V197+SUMIF('11.2. ДА за периода'!$B$111:$B$131,$B197,'11.2. ДА за периода'!W$111:W$131)</f>
        <v>80</v>
      </c>
      <c r="X197" s="1226">
        <f>W197+SUMIF('11.2. ДА за периода'!$B$111:$B$131,$B197,'11.2. ДА за периода'!X$111:X$131)</f>
        <v>80</v>
      </c>
      <c r="Y197" s="2972">
        <f>X197+SUMIF('11.2. ДА за периода'!$B$111:$B$131,$B197,'11.2. ДА за периода'!Y$111:Y$131)</f>
        <v>80</v>
      </c>
      <c r="Z197" s="448">
        <v>0</v>
      </c>
      <c r="AA197" s="2971">
        <f>Z197+SUMIF('11.2. ДА за периода'!$B$111:$B$131,$B197,'11.2. ДА за периода'!AA$111:AA$131)</f>
        <v>0</v>
      </c>
      <c r="AB197" s="1226">
        <f>AA197+SUMIF('11.2. ДА за периода'!$B$111:$B$131,$B197,'11.2. ДА за периода'!AB$111:AB$131)</f>
        <v>0</v>
      </c>
      <c r="AC197" s="1226">
        <f>AB197+SUMIF('11.2. ДА за периода'!$B$111:$B$131,$B197,'11.2. ДА за периода'!AC$111:AC$131)</f>
        <v>0</v>
      </c>
      <c r="AD197" s="1226">
        <f>AC197+SUMIF('11.2. ДА за периода'!$B$111:$B$131,$B197,'11.2. ДА за периода'!AD$111:AD$131)</f>
        <v>0</v>
      </c>
      <c r="AE197" s="1226">
        <f>AD197+SUMIF('11.2. ДА за периода'!$B$111:$B$131,$B197,'11.2. ДА за периода'!AE$111:AE$131)</f>
        <v>0</v>
      </c>
      <c r="AF197" s="2972">
        <f>AE197+SUMIF('11.2. ДА за периода'!$B$111:$B$131,$B197,'11.2. ДА за периода'!AF$111:AF$131)</f>
        <v>0</v>
      </c>
      <c r="AG197" s="448"/>
      <c r="AH197" s="2971">
        <f>AG197+SUMIF('11.2. ДА за периода'!$B$111:$B$131,$B197,'11.2. ДА за периода'!AH$111:AH$131)</f>
        <v>0</v>
      </c>
      <c r="AI197" s="1226">
        <f>AH197+SUMIF('11.2. ДА за периода'!$B$111:$B$131,$B197,'11.2. ДА за периода'!AI$111:AI$131)</f>
        <v>0</v>
      </c>
      <c r="AJ197" s="1226">
        <f>AI197+SUMIF('11.2. ДА за периода'!$B$111:$B$131,$B197,'11.2. ДА за периода'!AJ$111:AJ$131)</f>
        <v>0</v>
      </c>
      <c r="AK197" s="1226">
        <f>AJ197+SUMIF('11.2. ДА за периода'!$B$111:$B$131,$B197,'11.2. ДА за периода'!AK$111:AK$131)</f>
        <v>0</v>
      </c>
      <c r="AL197" s="1226">
        <f>AK197+SUMIF('11.2. ДА за периода'!$B$111:$B$131,$B197,'11.2. ДА за периода'!AL$111:AL$131)</f>
        <v>0</v>
      </c>
      <c r="AM197" s="2972">
        <f>AL197+SUMIF('11.2. ДА за периода'!$B$111:$B$131,$B197,'11.2. ДА за периода'!AM$111:AM$131)</f>
        <v>0</v>
      </c>
      <c r="AN197" s="2860"/>
      <c r="AO197" s="2898"/>
      <c r="AP197" s="1426"/>
    </row>
    <row r="198" spans="1:42" s="1422" customFormat="1">
      <c r="A198" s="2862">
        <v>6</v>
      </c>
      <c r="B198" s="2863" t="s">
        <v>722</v>
      </c>
      <c r="C198" s="2864">
        <v>0.1</v>
      </c>
      <c r="D198" s="2899" t="s">
        <v>1009</v>
      </c>
      <c r="E198" s="448">
        <v>121</v>
      </c>
      <c r="F198" s="2971">
        <f>E198+SUMIF('11.2. ДА за периода'!$B$111:$B$131,$B198,'11.2. ДА за периода'!F$111:F$131)</f>
        <v>121</v>
      </c>
      <c r="G198" s="1226">
        <f>F198+SUMIF('11.2. ДА за периода'!$B$111:$B$131,$B198,'11.2. ДА за периода'!G$111:G$131)</f>
        <v>121</v>
      </c>
      <c r="H198" s="1226">
        <f>G198+SUMIF('11.2. ДА за периода'!$B$111:$B$131,$B198,'11.2. ДА за периода'!H$111:H$131)</f>
        <v>121</v>
      </c>
      <c r="I198" s="1226">
        <f>H198+SUMIF('11.2. ДА за периода'!$B$111:$B$131,$B198,'11.2. ДА за периода'!I$111:I$131)</f>
        <v>121</v>
      </c>
      <c r="J198" s="1226">
        <f>I198+SUMIF('11.2. ДА за периода'!$B$111:$B$131,$B198,'11.2. ДА за периода'!J$111:J$131)</f>
        <v>121</v>
      </c>
      <c r="K198" s="2972">
        <f>J198+SUMIF('11.2. ДА за периода'!$B$111:$B$131,$B198,'11.2. ДА за периода'!K$111:K$131)</f>
        <v>121</v>
      </c>
      <c r="L198" s="448">
        <v>0</v>
      </c>
      <c r="M198" s="2971">
        <f>L198+SUMIF('11.2. ДА за периода'!$B$111:$B$131,$B198,'11.2. ДА за периода'!M$111:M$131)</f>
        <v>0</v>
      </c>
      <c r="N198" s="1226">
        <f>M198+SUMIF('11.2. ДА за периода'!$B$111:$B$131,$B198,'11.2. ДА за периода'!N$111:N$131)</f>
        <v>0</v>
      </c>
      <c r="O198" s="1226">
        <f>N198+SUMIF('11.2. ДА за периода'!$B$111:$B$131,$B198,'11.2. ДА за периода'!O$111:O$131)</f>
        <v>0</v>
      </c>
      <c r="P198" s="1226">
        <f>O198+SUMIF('11.2. ДА за периода'!$B$111:$B$131,$B198,'11.2. ДА за периода'!P$111:P$131)</f>
        <v>0</v>
      </c>
      <c r="Q198" s="1226">
        <f>P198+SUMIF('11.2. ДА за периода'!$B$111:$B$131,$B198,'11.2. ДА за периода'!Q$111:Q$131)</f>
        <v>0</v>
      </c>
      <c r="R198" s="2972">
        <f>Q198+SUMIF('11.2. ДА за периода'!$B$111:$B$131,$B198,'11.2. ДА за периода'!R$111:R$131)</f>
        <v>0</v>
      </c>
      <c r="S198" s="448">
        <v>2</v>
      </c>
      <c r="T198" s="2971">
        <f>S198+SUMIF('11.2. ДА за периода'!$B$111:$B$131,$B198,'11.2. ДА за периода'!T$111:T$131)</f>
        <v>2</v>
      </c>
      <c r="U198" s="1226">
        <f>T198+SUMIF('11.2. ДА за периода'!$B$111:$B$131,$B198,'11.2. ДА за периода'!U$111:U$131)</f>
        <v>2</v>
      </c>
      <c r="V198" s="1226">
        <f>U198+SUMIF('11.2. ДА за периода'!$B$111:$B$131,$B198,'11.2. ДА за периода'!V$111:V$131)</f>
        <v>2</v>
      </c>
      <c r="W198" s="1226">
        <f>V198+SUMIF('11.2. ДА за периода'!$B$111:$B$131,$B198,'11.2. ДА за периода'!W$111:W$131)</f>
        <v>2</v>
      </c>
      <c r="X198" s="1226">
        <f>W198+SUMIF('11.2. ДА за периода'!$B$111:$B$131,$B198,'11.2. ДА за периода'!X$111:X$131)</f>
        <v>2</v>
      </c>
      <c r="Y198" s="2972">
        <f>X198+SUMIF('11.2. ДА за периода'!$B$111:$B$131,$B198,'11.2. ДА за периода'!Y$111:Y$131)</f>
        <v>2</v>
      </c>
      <c r="Z198" s="448">
        <v>1</v>
      </c>
      <c r="AA198" s="2971">
        <f>Z198+SUMIF('11.2. ДА за периода'!$B$111:$B$131,$B198,'11.2. ДА за периода'!AA$111:AA$131)</f>
        <v>1</v>
      </c>
      <c r="AB198" s="1226">
        <f>AA198+SUMIF('11.2. ДА за периода'!$B$111:$B$131,$B198,'11.2. ДА за периода'!AB$111:AB$131)</f>
        <v>1</v>
      </c>
      <c r="AC198" s="1226">
        <f>AB198+SUMIF('11.2. ДА за периода'!$B$111:$B$131,$B198,'11.2. ДА за периода'!AC$111:AC$131)</f>
        <v>1</v>
      </c>
      <c r="AD198" s="1226">
        <f>AC198+SUMIF('11.2. ДА за периода'!$B$111:$B$131,$B198,'11.2. ДА за периода'!AD$111:AD$131)</f>
        <v>1</v>
      </c>
      <c r="AE198" s="1226">
        <f>AD198+SUMIF('11.2. ДА за периода'!$B$111:$B$131,$B198,'11.2. ДА за периода'!AE$111:AE$131)</f>
        <v>1</v>
      </c>
      <c r="AF198" s="2972">
        <f>AE198+SUMIF('11.2. ДА за периода'!$B$111:$B$131,$B198,'11.2. ДА за периода'!AF$111:AF$131)</f>
        <v>1</v>
      </c>
      <c r="AG198" s="448"/>
      <c r="AH198" s="2971">
        <f>AG198+SUMIF('11.2. ДА за периода'!$B$111:$B$131,$B198,'11.2. ДА за периода'!AH$111:AH$131)</f>
        <v>0</v>
      </c>
      <c r="AI198" s="1226">
        <f>AH198+SUMIF('11.2. ДА за периода'!$B$111:$B$131,$B198,'11.2. ДА за периода'!AI$111:AI$131)</f>
        <v>0</v>
      </c>
      <c r="AJ198" s="1226">
        <f>AI198+SUMIF('11.2. ДА за периода'!$B$111:$B$131,$B198,'11.2. ДА за периода'!AJ$111:AJ$131)</f>
        <v>0</v>
      </c>
      <c r="AK198" s="1226">
        <f>AJ198+SUMIF('11.2. ДА за периода'!$B$111:$B$131,$B198,'11.2. ДА за периода'!AK$111:AK$131)</f>
        <v>0</v>
      </c>
      <c r="AL198" s="1226">
        <f>AK198+SUMIF('11.2. ДА за периода'!$B$111:$B$131,$B198,'11.2. ДА за периода'!AL$111:AL$131)</f>
        <v>0</v>
      </c>
      <c r="AM198" s="2972">
        <f>AL198+SUMIF('11.2. ДА за периода'!$B$111:$B$131,$B198,'11.2. ДА за периода'!AM$111:AM$131)</f>
        <v>0</v>
      </c>
      <c r="AN198" s="2860"/>
      <c r="AO198" s="2898"/>
      <c r="AP198" s="1426"/>
    </row>
    <row r="199" spans="1:42" s="1422" customFormat="1" ht="24">
      <c r="A199" s="2862">
        <v>7</v>
      </c>
      <c r="B199" s="2863" t="s">
        <v>713</v>
      </c>
      <c r="C199" s="2864">
        <v>0.1</v>
      </c>
      <c r="D199" s="2899" t="s">
        <v>702</v>
      </c>
      <c r="E199" s="448">
        <v>75</v>
      </c>
      <c r="F199" s="2971">
        <f>E199+SUMIF('11.2. ДА за периода'!$B$111:$B$131,$B199,'11.2. ДА за периода'!F$111:F$131)</f>
        <v>75</v>
      </c>
      <c r="G199" s="1226">
        <f>F199+SUMIF('11.2. ДА за периода'!$B$111:$B$131,$B199,'11.2. ДА за периода'!G$111:G$131)</f>
        <v>75</v>
      </c>
      <c r="H199" s="1226">
        <f>G199+SUMIF('11.2. ДА за периода'!$B$111:$B$131,$B199,'11.2. ДА за периода'!H$111:H$131)</f>
        <v>75</v>
      </c>
      <c r="I199" s="1226">
        <f>H199+SUMIF('11.2. ДА за периода'!$B$111:$B$131,$B199,'11.2. ДА за периода'!I$111:I$131)</f>
        <v>75</v>
      </c>
      <c r="J199" s="1226">
        <f>I199+SUMIF('11.2. ДА за периода'!$B$111:$B$131,$B199,'11.2. ДА за периода'!J$111:J$131)</f>
        <v>75</v>
      </c>
      <c r="K199" s="2972">
        <f>J199+SUMIF('11.2. ДА за периода'!$B$111:$B$131,$B199,'11.2. ДА за периода'!K$111:K$131)</f>
        <v>75</v>
      </c>
      <c r="L199" s="448">
        <v>0</v>
      </c>
      <c r="M199" s="2971">
        <f>L199+SUMIF('11.2. ДА за периода'!$B$111:$B$131,$B199,'11.2. ДА за периода'!M$111:M$131)</f>
        <v>0</v>
      </c>
      <c r="N199" s="1226">
        <f>M199+SUMIF('11.2. ДА за периода'!$B$111:$B$131,$B199,'11.2. ДА за периода'!N$111:N$131)</f>
        <v>0</v>
      </c>
      <c r="O199" s="1226">
        <f>N199+SUMIF('11.2. ДА за периода'!$B$111:$B$131,$B199,'11.2. ДА за периода'!O$111:O$131)</f>
        <v>0</v>
      </c>
      <c r="P199" s="1226">
        <f>O199+SUMIF('11.2. ДА за периода'!$B$111:$B$131,$B199,'11.2. ДА за периода'!P$111:P$131)</f>
        <v>0</v>
      </c>
      <c r="Q199" s="1226">
        <f>P199+SUMIF('11.2. ДА за периода'!$B$111:$B$131,$B199,'11.2. ДА за периода'!Q$111:Q$131)</f>
        <v>0</v>
      </c>
      <c r="R199" s="2972">
        <f>Q199+SUMIF('11.2. ДА за периода'!$B$111:$B$131,$B199,'11.2. ДА за периода'!R$111:R$131)</f>
        <v>0</v>
      </c>
      <c r="S199" s="448">
        <v>0</v>
      </c>
      <c r="T199" s="2971">
        <f>S199+SUMIF('11.2. ДА за периода'!$B$111:$B$131,$B199,'11.2. ДА за периода'!T$111:T$131)</f>
        <v>0</v>
      </c>
      <c r="U199" s="1226">
        <f>T199+SUMIF('11.2. ДА за периода'!$B$111:$B$131,$B199,'11.2. ДА за периода'!U$111:U$131)</f>
        <v>0</v>
      </c>
      <c r="V199" s="1226">
        <f>U199+SUMIF('11.2. ДА за периода'!$B$111:$B$131,$B199,'11.2. ДА за периода'!V$111:V$131)</f>
        <v>0</v>
      </c>
      <c r="W199" s="1226">
        <f>V199+SUMIF('11.2. ДА за периода'!$B$111:$B$131,$B199,'11.2. ДА за периода'!W$111:W$131)</f>
        <v>0</v>
      </c>
      <c r="X199" s="1226">
        <f>W199+SUMIF('11.2. ДА за периода'!$B$111:$B$131,$B199,'11.2. ДА за периода'!X$111:X$131)</f>
        <v>0</v>
      </c>
      <c r="Y199" s="2972">
        <f>X199+SUMIF('11.2. ДА за периода'!$B$111:$B$131,$B199,'11.2. ДА за периода'!Y$111:Y$131)</f>
        <v>0</v>
      </c>
      <c r="Z199" s="448">
        <v>0</v>
      </c>
      <c r="AA199" s="2971">
        <f>Z199+SUMIF('11.2. ДА за периода'!$B$111:$B$131,$B199,'11.2. ДА за периода'!AA$111:AA$131)</f>
        <v>0</v>
      </c>
      <c r="AB199" s="1226">
        <f>AA199+SUMIF('11.2. ДА за периода'!$B$111:$B$131,$B199,'11.2. ДА за периода'!AB$111:AB$131)</f>
        <v>0</v>
      </c>
      <c r="AC199" s="1226">
        <f>AB199+SUMIF('11.2. ДА за периода'!$B$111:$B$131,$B199,'11.2. ДА за периода'!AC$111:AC$131)</f>
        <v>0</v>
      </c>
      <c r="AD199" s="1226">
        <f>AC199+SUMIF('11.2. ДА за периода'!$B$111:$B$131,$B199,'11.2. ДА за периода'!AD$111:AD$131)</f>
        <v>0</v>
      </c>
      <c r="AE199" s="1226">
        <f>AD199+SUMIF('11.2. ДА за периода'!$B$111:$B$131,$B199,'11.2. ДА за периода'!AE$111:AE$131)</f>
        <v>0</v>
      </c>
      <c r="AF199" s="2972">
        <f>AE199+SUMIF('11.2. ДА за периода'!$B$111:$B$131,$B199,'11.2. ДА за периода'!AF$111:AF$131)</f>
        <v>0</v>
      </c>
      <c r="AG199" s="448"/>
      <c r="AH199" s="2971">
        <f>AG199+SUMIF('11.2. ДА за периода'!$B$111:$B$131,$B199,'11.2. ДА за периода'!AH$111:AH$131)</f>
        <v>0</v>
      </c>
      <c r="AI199" s="1226">
        <f>AH199+SUMIF('11.2. ДА за периода'!$B$111:$B$131,$B199,'11.2. ДА за периода'!AI$111:AI$131)</f>
        <v>0</v>
      </c>
      <c r="AJ199" s="1226">
        <f>AI199+SUMIF('11.2. ДА за периода'!$B$111:$B$131,$B199,'11.2. ДА за периода'!AJ$111:AJ$131)</f>
        <v>0</v>
      </c>
      <c r="AK199" s="1226">
        <f>AJ199+SUMIF('11.2. ДА за периода'!$B$111:$B$131,$B199,'11.2. ДА за периода'!AK$111:AK$131)</f>
        <v>0</v>
      </c>
      <c r="AL199" s="1226">
        <f>AK199+SUMIF('11.2. ДА за периода'!$B$111:$B$131,$B199,'11.2. ДА за периода'!AL$111:AL$131)</f>
        <v>0</v>
      </c>
      <c r="AM199" s="2972">
        <f>AL199+SUMIF('11.2. ДА за периода'!$B$111:$B$131,$B199,'11.2. ДА за периода'!AM$111:AM$131)</f>
        <v>0</v>
      </c>
      <c r="AN199" s="2860"/>
      <c r="AO199" s="2898"/>
      <c r="AP199" s="1426"/>
    </row>
    <row r="200" spans="1:42" s="1422" customFormat="1">
      <c r="A200" s="2862">
        <v>8</v>
      </c>
      <c r="B200" s="2863" t="s">
        <v>723</v>
      </c>
      <c r="C200" s="2864">
        <v>0.1</v>
      </c>
      <c r="D200" s="2899" t="s">
        <v>720</v>
      </c>
      <c r="E200" s="448">
        <v>0</v>
      </c>
      <c r="F200" s="2971">
        <f>E200+SUMIF('11.2. ДА за периода'!$B$111:$B$131,$B200,'11.2. ДА за периода'!F$111:F$131)</f>
        <v>0</v>
      </c>
      <c r="G200" s="1226">
        <f>F200+SUMIF('11.2. ДА за периода'!$B$111:$B$131,$B200,'11.2. ДА за периода'!G$111:G$131)</f>
        <v>0</v>
      </c>
      <c r="H200" s="1226">
        <f>G200+SUMIF('11.2. ДА за периода'!$B$111:$B$131,$B200,'11.2. ДА за периода'!H$111:H$131)</f>
        <v>0</v>
      </c>
      <c r="I200" s="1226">
        <f>H200+SUMIF('11.2. ДА за периода'!$B$111:$B$131,$B200,'11.2. ДА за периода'!I$111:I$131)</f>
        <v>0</v>
      </c>
      <c r="J200" s="1226">
        <f>I200+SUMIF('11.2. ДА за периода'!$B$111:$B$131,$B200,'11.2. ДА за периода'!J$111:J$131)</f>
        <v>0</v>
      </c>
      <c r="K200" s="2972">
        <f>J200+SUMIF('11.2. ДА за периода'!$B$111:$B$131,$B200,'11.2. ДА за периода'!K$111:K$131)</f>
        <v>0</v>
      </c>
      <c r="L200" s="448">
        <v>0</v>
      </c>
      <c r="M200" s="2971">
        <f>L200+SUMIF('11.2. ДА за периода'!$B$111:$B$131,$B200,'11.2. ДА за периода'!M$111:M$131)</f>
        <v>0</v>
      </c>
      <c r="N200" s="1226">
        <f>M200+SUMIF('11.2. ДА за периода'!$B$111:$B$131,$B200,'11.2. ДА за периода'!N$111:N$131)</f>
        <v>0</v>
      </c>
      <c r="O200" s="1226">
        <f>N200+SUMIF('11.2. ДА за периода'!$B$111:$B$131,$B200,'11.2. ДА за периода'!O$111:O$131)</f>
        <v>0</v>
      </c>
      <c r="P200" s="1226">
        <f>O200+SUMIF('11.2. ДА за периода'!$B$111:$B$131,$B200,'11.2. ДА за периода'!P$111:P$131)</f>
        <v>0</v>
      </c>
      <c r="Q200" s="1226">
        <f>P200+SUMIF('11.2. ДА за периода'!$B$111:$B$131,$B200,'11.2. ДА за периода'!Q$111:Q$131)</f>
        <v>0</v>
      </c>
      <c r="R200" s="2972">
        <f>Q200+SUMIF('11.2. ДА за периода'!$B$111:$B$131,$B200,'11.2. ДА за периода'!R$111:R$131)</f>
        <v>0</v>
      </c>
      <c r="S200" s="448">
        <v>0</v>
      </c>
      <c r="T200" s="2971">
        <f>S200+SUMIF('11.2. ДА за периода'!$B$111:$B$131,$B200,'11.2. ДА за периода'!T$111:T$131)</f>
        <v>0</v>
      </c>
      <c r="U200" s="1226">
        <f>T200+SUMIF('11.2. ДА за периода'!$B$111:$B$131,$B200,'11.2. ДА за периода'!U$111:U$131)</f>
        <v>0</v>
      </c>
      <c r="V200" s="1226">
        <f>U200+SUMIF('11.2. ДА за периода'!$B$111:$B$131,$B200,'11.2. ДА за периода'!V$111:V$131)</f>
        <v>0</v>
      </c>
      <c r="W200" s="1226">
        <f>V200+SUMIF('11.2. ДА за периода'!$B$111:$B$131,$B200,'11.2. ДА за периода'!W$111:W$131)</f>
        <v>0</v>
      </c>
      <c r="X200" s="1226">
        <f>W200+SUMIF('11.2. ДА за периода'!$B$111:$B$131,$B200,'11.2. ДА за периода'!X$111:X$131)</f>
        <v>0</v>
      </c>
      <c r="Y200" s="2972">
        <f>X200+SUMIF('11.2. ДА за периода'!$B$111:$B$131,$B200,'11.2. ДА за периода'!Y$111:Y$131)</f>
        <v>0</v>
      </c>
      <c r="Z200" s="448">
        <v>0</v>
      </c>
      <c r="AA200" s="2971">
        <f>Z200+SUMIF('11.2. ДА за периода'!$B$111:$B$131,$B200,'11.2. ДА за периода'!AA$111:AA$131)</f>
        <v>0</v>
      </c>
      <c r="AB200" s="1226">
        <f>AA200+SUMIF('11.2. ДА за периода'!$B$111:$B$131,$B200,'11.2. ДА за периода'!AB$111:AB$131)</f>
        <v>0</v>
      </c>
      <c r="AC200" s="1226">
        <f>AB200+SUMIF('11.2. ДА за периода'!$B$111:$B$131,$B200,'11.2. ДА за периода'!AC$111:AC$131)</f>
        <v>0</v>
      </c>
      <c r="AD200" s="1226">
        <f>AC200+SUMIF('11.2. ДА за периода'!$B$111:$B$131,$B200,'11.2. ДА за периода'!AD$111:AD$131)</f>
        <v>0</v>
      </c>
      <c r="AE200" s="1226">
        <f>AD200+SUMIF('11.2. ДА за периода'!$B$111:$B$131,$B200,'11.2. ДА за периода'!AE$111:AE$131)</f>
        <v>0</v>
      </c>
      <c r="AF200" s="2972">
        <f>AE200+SUMIF('11.2. ДА за периода'!$B$111:$B$131,$B200,'11.2. ДА за периода'!AF$111:AF$131)</f>
        <v>0</v>
      </c>
      <c r="AG200" s="448"/>
      <c r="AH200" s="2971">
        <f>AG200+SUMIF('11.2. ДА за периода'!$B$111:$B$131,$B200,'11.2. ДА за периода'!AH$111:AH$131)</f>
        <v>0</v>
      </c>
      <c r="AI200" s="1226">
        <f>AH200+SUMIF('11.2. ДА за периода'!$B$111:$B$131,$B200,'11.2. ДА за периода'!AI$111:AI$131)</f>
        <v>0</v>
      </c>
      <c r="AJ200" s="1226">
        <f>AI200+SUMIF('11.2. ДА за периода'!$B$111:$B$131,$B200,'11.2. ДА за периода'!AJ$111:AJ$131)</f>
        <v>0</v>
      </c>
      <c r="AK200" s="1226">
        <f>AJ200+SUMIF('11.2. ДА за периода'!$B$111:$B$131,$B200,'11.2. ДА за периода'!AK$111:AK$131)</f>
        <v>0</v>
      </c>
      <c r="AL200" s="1226">
        <f>AK200+SUMIF('11.2. ДА за периода'!$B$111:$B$131,$B200,'11.2. ДА за периода'!AL$111:AL$131)</f>
        <v>0</v>
      </c>
      <c r="AM200" s="2972">
        <f>AL200+SUMIF('11.2. ДА за периода'!$B$111:$B$131,$B200,'11.2. ДА за периода'!AM$111:AM$131)</f>
        <v>0</v>
      </c>
      <c r="AN200" s="2860"/>
      <c r="AO200" s="2898"/>
      <c r="AP200" s="1426"/>
    </row>
    <row r="201" spans="1:42" s="1422" customFormat="1">
      <c r="A201" s="2920">
        <v>9</v>
      </c>
      <c r="B201" s="2863">
        <v>911306</v>
      </c>
      <c r="C201" s="2864">
        <v>0.1</v>
      </c>
      <c r="D201" s="2899" t="s">
        <v>1040</v>
      </c>
      <c r="E201" s="448">
        <f>13+11.593</f>
        <v>24.593</v>
      </c>
      <c r="F201" s="2971">
        <f>E201+SUMIF('11.2. ДА за периода'!$B$111:$B$131,$B201,'11.2. ДА за периода'!F$111:F$131)</f>
        <v>24.593</v>
      </c>
      <c r="G201" s="1226">
        <f>F201+SUMIF('11.2. ДА за периода'!$B$111:$B$131,$B201,'11.2. ДА за периода'!G$111:G$131)</f>
        <v>24.593</v>
      </c>
      <c r="H201" s="1226">
        <f>G201+SUMIF('11.2. ДА за периода'!$B$111:$B$131,$B201,'11.2. ДА за периода'!H$111:H$131)</f>
        <v>24.593</v>
      </c>
      <c r="I201" s="1226">
        <f>H201+SUMIF('11.2. ДА за периода'!$B$111:$B$131,$B201,'11.2. ДА за периода'!I$111:I$131)</f>
        <v>24.593</v>
      </c>
      <c r="J201" s="1226">
        <f>I201+SUMIF('11.2. ДА за периода'!$B$111:$B$131,$B201,'11.2. ДА за периода'!J$111:J$131)</f>
        <v>24.593</v>
      </c>
      <c r="K201" s="2972">
        <f>J201+SUMIF('11.2. ДА за периода'!$B$111:$B$131,$B201,'11.2. ДА за периода'!K$111:K$131)</f>
        <v>24.593</v>
      </c>
      <c r="L201" s="448">
        <v>22</v>
      </c>
      <c r="M201" s="2971">
        <f>L201+SUMIF('11.2. ДА за периода'!$B$111:$B$131,$B201,'11.2. ДА за периода'!M$111:M$131)</f>
        <v>22</v>
      </c>
      <c r="N201" s="1226">
        <f>M201+SUMIF('11.2. ДА за периода'!$B$111:$B$131,$B201,'11.2. ДА за периода'!N$111:N$131)</f>
        <v>22</v>
      </c>
      <c r="O201" s="1226">
        <f>N201+SUMIF('11.2. ДА за периода'!$B$111:$B$131,$B201,'11.2. ДА за периода'!O$111:O$131)</f>
        <v>22</v>
      </c>
      <c r="P201" s="1226">
        <f>O201+SUMIF('11.2. ДА за периода'!$B$111:$B$131,$B201,'11.2. ДА за периода'!P$111:P$131)</f>
        <v>22</v>
      </c>
      <c r="Q201" s="1226">
        <f>P201+SUMIF('11.2. ДА за периода'!$B$111:$B$131,$B201,'11.2. ДА за периода'!Q$111:Q$131)</f>
        <v>22</v>
      </c>
      <c r="R201" s="2972">
        <f>Q201+SUMIF('11.2. ДА за периода'!$B$111:$B$131,$B201,'11.2. ДА за периода'!R$111:R$131)</f>
        <v>22</v>
      </c>
      <c r="S201" s="448">
        <v>3</v>
      </c>
      <c r="T201" s="2971">
        <f>S201+SUMIF('11.2. ДА за периода'!$B$111:$B$131,$B201,'11.2. ДА за периода'!T$111:T$131)</f>
        <v>3</v>
      </c>
      <c r="U201" s="1226">
        <f>T201+SUMIF('11.2. ДА за периода'!$B$111:$B$131,$B201,'11.2. ДА за периода'!U$111:U$131)</f>
        <v>3</v>
      </c>
      <c r="V201" s="1226">
        <f>U201+SUMIF('11.2. ДА за периода'!$B$111:$B$131,$B201,'11.2. ДА за периода'!V$111:V$131)</f>
        <v>3</v>
      </c>
      <c r="W201" s="1226">
        <f>V201+SUMIF('11.2. ДА за периода'!$B$111:$B$131,$B201,'11.2. ДА за периода'!W$111:W$131)</f>
        <v>3</v>
      </c>
      <c r="X201" s="1226">
        <f>W201+SUMIF('11.2. ДА за периода'!$B$111:$B$131,$B201,'11.2. ДА за периода'!X$111:X$131)</f>
        <v>3</v>
      </c>
      <c r="Y201" s="2972">
        <f>X201+SUMIF('11.2. ДА за периода'!$B$111:$B$131,$B201,'11.2. ДА за периода'!Y$111:Y$131)</f>
        <v>3</v>
      </c>
      <c r="Z201" s="448">
        <v>0</v>
      </c>
      <c r="AA201" s="2971">
        <f>Z201+SUMIF('11.2. ДА за периода'!$B$111:$B$131,$B201,'11.2. ДА за периода'!AA$111:AA$131)</f>
        <v>0</v>
      </c>
      <c r="AB201" s="1226">
        <f>AA201+SUMIF('11.2. ДА за периода'!$B$111:$B$131,$B201,'11.2. ДА за периода'!AB$111:AB$131)</f>
        <v>0</v>
      </c>
      <c r="AC201" s="1226">
        <f>AB201+SUMIF('11.2. ДА за периода'!$B$111:$B$131,$B201,'11.2. ДА за периода'!AC$111:AC$131)</f>
        <v>0</v>
      </c>
      <c r="AD201" s="1226">
        <f>AC201+SUMIF('11.2. ДА за периода'!$B$111:$B$131,$B201,'11.2. ДА за периода'!AD$111:AD$131)</f>
        <v>0</v>
      </c>
      <c r="AE201" s="1226">
        <f>AD201+SUMIF('11.2. ДА за периода'!$B$111:$B$131,$B201,'11.2. ДА за периода'!AE$111:AE$131)</f>
        <v>0</v>
      </c>
      <c r="AF201" s="2972">
        <f>AE201+SUMIF('11.2. ДА за периода'!$B$111:$B$131,$B201,'11.2. ДА за периода'!AF$111:AF$131)</f>
        <v>0</v>
      </c>
      <c r="AG201" s="448"/>
      <c r="AH201" s="2971">
        <f>AG201+SUMIF('11.2. ДА за периода'!$B$111:$B$131,$B201,'11.2. ДА за периода'!AH$111:AH$131)</f>
        <v>0</v>
      </c>
      <c r="AI201" s="1226">
        <f>AH201+SUMIF('11.2. ДА за периода'!$B$111:$B$131,$B201,'11.2. ДА за периода'!AI$111:AI$131)</f>
        <v>0</v>
      </c>
      <c r="AJ201" s="1226">
        <f>AI201+SUMIF('11.2. ДА за периода'!$B$111:$B$131,$B201,'11.2. ДА за периода'!AJ$111:AJ$131)</f>
        <v>0</v>
      </c>
      <c r="AK201" s="1226">
        <f>AJ201+SUMIF('11.2. ДА за периода'!$B$111:$B$131,$B201,'11.2. ДА за периода'!AK$111:AK$131)</f>
        <v>0</v>
      </c>
      <c r="AL201" s="1226">
        <f>AK201+SUMIF('11.2. ДА за периода'!$B$111:$B$131,$B201,'11.2. ДА за периода'!AL$111:AL$131)</f>
        <v>0</v>
      </c>
      <c r="AM201" s="2972">
        <f>AL201+SUMIF('11.2. ДА за периода'!$B$111:$B$131,$B201,'11.2. ДА за периода'!AM$111:AM$131)</f>
        <v>0</v>
      </c>
      <c r="AN201" s="2860"/>
      <c r="AO201" s="2898"/>
      <c r="AP201" s="1426"/>
    </row>
    <row r="202" spans="1:42" s="1422" customFormat="1">
      <c r="A202" s="2920">
        <v>10</v>
      </c>
      <c r="B202" s="2863">
        <v>91140101</v>
      </c>
      <c r="C202" s="2919">
        <v>0.1</v>
      </c>
      <c r="D202" s="2893" t="s">
        <v>1024</v>
      </c>
      <c r="E202" s="448">
        <v>2</v>
      </c>
      <c r="F202" s="2971">
        <f>E202+SUMIF('11.2. ДА за периода'!$B$111:$B$131,$B202,'11.2. ДА за периода'!F$111:F$131)</f>
        <v>2</v>
      </c>
      <c r="G202" s="1226">
        <f>F202+SUMIF('11.2. ДА за периода'!$B$111:$B$131,$B202,'11.2. ДА за периода'!G$111:G$131)</f>
        <v>2</v>
      </c>
      <c r="H202" s="1226">
        <f>G202+SUMIF('11.2. ДА за периода'!$B$111:$B$131,$B202,'11.2. ДА за периода'!H$111:H$131)</f>
        <v>2</v>
      </c>
      <c r="I202" s="1226">
        <f>H202+SUMIF('11.2. ДА за периода'!$B$111:$B$131,$B202,'11.2. ДА за периода'!I$111:I$131)</f>
        <v>2</v>
      </c>
      <c r="J202" s="1226">
        <f>I202+SUMIF('11.2. ДА за периода'!$B$111:$B$131,$B202,'11.2. ДА за периода'!J$111:J$131)</f>
        <v>2</v>
      </c>
      <c r="K202" s="2972">
        <f>J202+SUMIF('11.2. ДА за периода'!$B$111:$B$131,$B202,'11.2. ДА за периода'!K$111:K$131)</f>
        <v>2</v>
      </c>
      <c r="L202" s="448">
        <v>0</v>
      </c>
      <c r="M202" s="2971">
        <f>L202+SUMIF('11.2. ДА за периода'!$B$111:$B$131,$B202,'11.2. ДА за периода'!M$111:M$131)</f>
        <v>0</v>
      </c>
      <c r="N202" s="1226">
        <f>M202+SUMIF('11.2. ДА за периода'!$B$111:$B$131,$B202,'11.2. ДА за периода'!N$111:N$131)</f>
        <v>0</v>
      </c>
      <c r="O202" s="1226">
        <f>N202+SUMIF('11.2. ДА за периода'!$B$111:$B$131,$B202,'11.2. ДА за периода'!O$111:O$131)</f>
        <v>0</v>
      </c>
      <c r="P202" s="1226">
        <f>O202+SUMIF('11.2. ДА за периода'!$B$111:$B$131,$B202,'11.2. ДА за периода'!P$111:P$131)</f>
        <v>0</v>
      </c>
      <c r="Q202" s="1226">
        <f>P202+SUMIF('11.2. ДА за периода'!$B$111:$B$131,$B202,'11.2. ДА за периода'!Q$111:Q$131)</f>
        <v>0</v>
      </c>
      <c r="R202" s="2972">
        <f>Q202+SUMIF('11.2. ДА за периода'!$B$111:$B$131,$B202,'11.2. ДА за периода'!R$111:R$131)</f>
        <v>0</v>
      </c>
      <c r="S202" s="448">
        <v>48</v>
      </c>
      <c r="T202" s="2971">
        <f>S202+SUMIF('11.2. ДА за периода'!$B$111:$B$131,$B202,'11.2. ДА за периода'!T$111:T$131)</f>
        <v>48</v>
      </c>
      <c r="U202" s="1226">
        <f>T202+SUMIF('11.2. ДА за периода'!$B$111:$B$131,$B202,'11.2. ДА за периода'!U$111:U$131)</f>
        <v>48</v>
      </c>
      <c r="V202" s="1226">
        <f>U202+SUMIF('11.2. ДА за периода'!$B$111:$B$131,$B202,'11.2. ДА за периода'!V$111:V$131)</f>
        <v>48</v>
      </c>
      <c r="W202" s="1226">
        <f>V202+SUMIF('11.2. ДА за периода'!$B$111:$B$131,$B202,'11.2. ДА за периода'!W$111:W$131)</f>
        <v>48</v>
      </c>
      <c r="X202" s="1226">
        <f>W202+SUMIF('11.2. ДА за периода'!$B$111:$B$131,$B202,'11.2. ДА за периода'!X$111:X$131)</f>
        <v>48</v>
      </c>
      <c r="Y202" s="2972">
        <f>X202+SUMIF('11.2. ДА за периода'!$B$111:$B$131,$B202,'11.2. ДА за периода'!Y$111:Y$131)</f>
        <v>48</v>
      </c>
      <c r="Z202" s="448">
        <v>0</v>
      </c>
      <c r="AA202" s="2971">
        <f>Z202+SUMIF('11.2. ДА за периода'!$B$111:$B$131,$B202,'11.2. ДА за периода'!AA$111:AA$131)</f>
        <v>0</v>
      </c>
      <c r="AB202" s="1226">
        <f>AA202+SUMIF('11.2. ДА за периода'!$B$111:$B$131,$B202,'11.2. ДА за периода'!AB$111:AB$131)</f>
        <v>0</v>
      </c>
      <c r="AC202" s="1226">
        <f>AB202+SUMIF('11.2. ДА за периода'!$B$111:$B$131,$B202,'11.2. ДА за периода'!AC$111:AC$131)</f>
        <v>0</v>
      </c>
      <c r="AD202" s="1226">
        <f>AC202+SUMIF('11.2. ДА за периода'!$B$111:$B$131,$B202,'11.2. ДА за периода'!AD$111:AD$131)</f>
        <v>0</v>
      </c>
      <c r="AE202" s="1226">
        <f>AD202+SUMIF('11.2. ДА за периода'!$B$111:$B$131,$B202,'11.2. ДА за периода'!AE$111:AE$131)</f>
        <v>0</v>
      </c>
      <c r="AF202" s="2972">
        <f>AE202+SUMIF('11.2. ДА за периода'!$B$111:$B$131,$B202,'11.2. ДА за периода'!AF$111:AF$131)</f>
        <v>0</v>
      </c>
      <c r="AG202" s="448"/>
      <c r="AH202" s="2971">
        <f>AG202+SUMIF('11.2. ДА за периода'!$B$111:$B$131,$B202,'11.2. ДА за периода'!AH$111:AH$131)</f>
        <v>0</v>
      </c>
      <c r="AI202" s="1226">
        <f>AH202+SUMIF('11.2. ДА за периода'!$B$111:$B$131,$B202,'11.2. ДА за периода'!AI$111:AI$131)</f>
        <v>0</v>
      </c>
      <c r="AJ202" s="1226">
        <f>AI202+SUMIF('11.2. ДА за периода'!$B$111:$B$131,$B202,'11.2. ДА за периода'!AJ$111:AJ$131)</f>
        <v>0</v>
      </c>
      <c r="AK202" s="1226">
        <f>AJ202+SUMIF('11.2. ДА за периода'!$B$111:$B$131,$B202,'11.2. ДА за периода'!AK$111:AK$131)</f>
        <v>0</v>
      </c>
      <c r="AL202" s="1226">
        <f>AK202+SUMIF('11.2. ДА за периода'!$B$111:$B$131,$B202,'11.2. ДА за периода'!AL$111:AL$131)</f>
        <v>0</v>
      </c>
      <c r="AM202" s="2972">
        <f>AL202+SUMIF('11.2. ДА за периода'!$B$111:$B$131,$B202,'11.2. ДА за периода'!AM$111:AM$131)</f>
        <v>0</v>
      </c>
      <c r="AN202" s="2860"/>
      <c r="AO202" s="2898"/>
      <c r="AP202" s="1426"/>
    </row>
    <row r="203" spans="1:42" s="1422" customFormat="1">
      <c r="A203" s="2920">
        <v>11</v>
      </c>
      <c r="B203" s="2863">
        <v>91140102</v>
      </c>
      <c r="C203" s="2919">
        <v>0.04</v>
      </c>
      <c r="D203" s="2893" t="s">
        <v>437</v>
      </c>
      <c r="E203" s="448">
        <f>1+9.102</f>
        <v>10.102</v>
      </c>
      <c r="F203" s="2971">
        <f>E203+SUMIF('11.2. ДА за периода'!$B$111:$B$131,$B203,'11.2. ДА за периода'!F$111:F$131)</f>
        <v>10.102</v>
      </c>
      <c r="G203" s="1226">
        <f>F203+SUMIF('11.2. ДА за периода'!$B$111:$B$131,$B203,'11.2. ДА за периода'!G$111:G$131)</f>
        <v>10.102</v>
      </c>
      <c r="H203" s="1226">
        <f>G203+SUMIF('11.2. ДА за периода'!$B$111:$B$131,$B203,'11.2. ДА за периода'!H$111:H$131)</f>
        <v>10.102</v>
      </c>
      <c r="I203" s="1226">
        <f>H203+SUMIF('11.2. ДА за периода'!$B$111:$B$131,$B203,'11.2. ДА за периода'!I$111:I$131)</f>
        <v>10.102</v>
      </c>
      <c r="J203" s="1226">
        <f>I203+SUMIF('11.2. ДА за периода'!$B$111:$B$131,$B203,'11.2. ДА за периода'!J$111:J$131)</f>
        <v>10.102</v>
      </c>
      <c r="K203" s="2972">
        <f>J203+SUMIF('11.2. ДА за периода'!$B$111:$B$131,$B203,'11.2. ДА за периода'!K$111:K$131)</f>
        <v>10.102</v>
      </c>
      <c r="L203" s="448">
        <v>0</v>
      </c>
      <c r="M203" s="2971">
        <f>L203+SUMIF('11.2. ДА за периода'!$B$111:$B$131,$B203,'11.2. ДА за периода'!M$111:M$131)</f>
        <v>0</v>
      </c>
      <c r="N203" s="1226">
        <f>M203+SUMIF('11.2. ДА за периода'!$B$111:$B$131,$B203,'11.2. ДА за периода'!N$111:N$131)</f>
        <v>0</v>
      </c>
      <c r="O203" s="1226">
        <f>N203+SUMIF('11.2. ДА за периода'!$B$111:$B$131,$B203,'11.2. ДА за периода'!O$111:O$131)</f>
        <v>0</v>
      </c>
      <c r="P203" s="1226">
        <f>O203+SUMIF('11.2. ДА за периода'!$B$111:$B$131,$B203,'11.2. ДА за периода'!P$111:P$131)</f>
        <v>0</v>
      </c>
      <c r="Q203" s="1226">
        <f>P203+SUMIF('11.2. ДА за периода'!$B$111:$B$131,$B203,'11.2. ДА за периода'!Q$111:Q$131)</f>
        <v>0</v>
      </c>
      <c r="R203" s="2972">
        <f>Q203+SUMIF('11.2. ДА за периода'!$B$111:$B$131,$B203,'11.2. ДА за периода'!R$111:R$131)</f>
        <v>0</v>
      </c>
      <c r="S203" s="448">
        <v>0</v>
      </c>
      <c r="T203" s="2971">
        <f>S203+SUMIF('11.2. ДА за периода'!$B$111:$B$131,$B203,'11.2. ДА за периода'!T$111:T$131)</f>
        <v>0</v>
      </c>
      <c r="U203" s="1226">
        <f>T203+SUMIF('11.2. ДА за периода'!$B$111:$B$131,$B203,'11.2. ДА за периода'!U$111:U$131)</f>
        <v>0</v>
      </c>
      <c r="V203" s="1226">
        <f>U203+SUMIF('11.2. ДА за периода'!$B$111:$B$131,$B203,'11.2. ДА за периода'!V$111:V$131)</f>
        <v>0</v>
      </c>
      <c r="W203" s="1226">
        <f>V203+SUMIF('11.2. ДА за периода'!$B$111:$B$131,$B203,'11.2. ДА за периода'!W$111:W$131)</f>
        <v>0</v>
      </c>
      <c r="X203" s="1226">
        <f>W203+SUMIF('11.2. ДА за периода'!$B$111:$B$131,$B203,'11.2. ДА за периода'!X$111:X$131)</f>
        <v>0</v>
      </c>
      <c r="Y203" s="2972">
        <f>X203+SUMIF('11.2. ДА за периода'!$B$111:$B$131,$B203,'11.2. ДА за периода'!Y$111:Y$131)</f>
        <v>0</v>
      </c>
      <c r="Z203" s="448">
        <v>0</v>
      </c>
      <c r="AA203" s="2971">
        <f>Z203+SUMIF('11.2. ДА за периода'!$B$111:$B$131,$B203,'11.2. ДА за периода'!AA$111:AA$131)</f>
        <v>0</v>
      </c>
      <c r="AB203" s="1226">
        <f>AA203+SUMIF('11.2. ДА за периода'!$B$111:$B$131,$B203,'11.2. ДА за периода'!AB$111:AB$131)</f>
        <v>0</v>
      </c>
      <c r="AC203" s="1226">
        <f>AB203+SUMIF('11.2. ДА за периода'!$B$111:$B$131,$B203,'11.2. ДА за периода'!AC$111:AC$131)</f>
        <v>0</v>
      </c>
      <c r="AD203" s="1226">
        <f>AC203+SUMIF('11.2. ДА за периода'!$B$111:$B$131,$B203,'11.2. ДА за периода'!AD$111:AD$131)</f>
        <v>0</v>
      </c>
      <c r="AE203" s="1226">
        <f>AD203+SUMIF('11.2. ДА за периода'!$B$111:$B$131,$B203,'11.2. ДА за периода'!AE$111:AE$131)</f>
        <v>0</v>
      </c>
      <c r="AF203" s="2972">
        <f>AE203+SUMIF('11.2. ДА за периода'!$B$111:$B$131,$B203,'11.2. ДА за периода'!AF$111:AF$131)</f>
        <v>0</v>
      </c>
      <c r="AG203" s="448"/>
      <c r="AH203" s="2971">
        <f>AG203+SUMIF('11.2. ДА за периода'!$B$111:$B$131,$B203,'11.2. ДА за периода'!AH$111:AH$131)</f>
        <v>0</v>
      </c>
      <c r="AI203" s="1226">
        <f>AH203+SUMIF('11.2. ДА за периода'!$B$111:$B$131,$B203,'11.2. ДА за периода'!AI$111:AI$131)</f>
        <v>0</v>
      </c>
      <c r="AJ203" s="1226">
        <f>AI203+SUMIF('11.2. ДА за периода'!$B$111:$B$131,$B203,'11.2. ДА за периода'!AJ$111:AJ$131)</f>
        <v>0</v>
      </c>
      <c r="AK203" s="1226">
        <f>AJ203+SUMIF('11.2. ДА за периода'!$B$111:$B$131,$B203,'11.2. ДА за периода'!AK$111:AK$131)</f>
        <v>0</v>
      </c>
      <c r="AL203" s="1226">
        <f>AK203+SUMIF('11.2. ДА за периода'!$B$111:$B$131,$B203,'11.2. ДА за периода'!AL$111:AL$131)</f>
        <v>0</v>
      </c>
      <c r="AM203" s="2972">
        <f>AL203+SUMIF('11.2. ДА за периода'!$B$111:$B$131,$B203,'11.2. ДА за периода'!AM$111:AM$131)</f>
        <v>0</v>
      </c>
      <c r="AN203" s="2860"/>
      <c r="AO203" s="2898"/>
      <c r="AP203" s="1426"/>
    </row>
    <row r="204" spans="1:42" s="1422" customFormat="1">
      <c r="A204" s="2920">
        <v>12</v>
      </c>
      <c r="B204" s="2863" t="s">
        <v>705</v>
      </c>
      <c r="C204" s="2864">
        <v>0.02</v>
      </c>
      <c r="D204" s="2894" t="s">
        <v>746</v>
      </c>
      <c r="E204" s="448">
        <v>1095</v>
      </c>
      <c r="F204" s="2971">
        <f>E204+SUMIF('11.2. ДА за периода'!$B$111:$B$131,$B204,'11.2. ДА за периода'!F$111:F$131)</f>
        <v>1095</v>
      </c>
      <c r="G204" s="1226">
        <f>F204+SUMIF('11.2. ДА за периода'!$B$111:$B$131,$B204,'11.2. ДА за периода'!G$111:G$131)</f>
        <v>1095</v>
      </c>
      <c r="H204" s="1226">
        <f>G204+SUMIF('11.2. ДА за периода'!$B$111:$B$131,$B204,'11.2. ДА за периода'!H$111:H$131)</f>
        <v>1095</v>
      </c>
      <c r="I204" s="1226">
        <f>H204+SUMIF('11.2. ДА за периода'!$B$111:$B$131,$B204,'11.2. ДА за периода'!I$111:I$131)</f>
        <v>1095</v>
      </c>
      <c r="J204" s="1226">
        <f>I204+SUMIF('11.2. ДА за периода'!$B$111:$B$131,$B204,'11.2. ДА за периода'!J$111:J$131)</f>
        <v>1095</v>
      </c>
      <c r="K204" s="2972">
        <f>J204+SUMIF('11.2. ДА за периода'!$B$111:$B$131,$B204,'11.2. ДА за периода'!K$111:K$131)</f>
        <v>1095</v>
      </c>
      <c r="L204" s="448">
        <v>0</v>
      </c>
      <c r="M204" s="2971">
        <f>L204+SUMIF('11.2. ДА за периода'!$B$111:$B$131,$B204,'11.2. ДА за периода'!M$111:M$131)</f>
        <v>0</v>
      </c>
      <c r="N204" s="1226">
        <f>M204+SUMIF('11.2. ДА за периода'!$B$111:$B$131,$B204,'11.2. ДА за периода'!N$111:N$131)</f>
        <v>0</v>
      </c>
      <c r="O204" s="1226">
        <f>N204+SUMIF('11.2. ДА за периода'!$B$111:$B$131,$B204,'11.2. ДА за периода'!O$111:O$131)</f>
        <v>0</v>
      </c>
      <c r="P204" s="1226">
        <f>O204+SUMIF('11.2. ДА за периода'!$B$111:$B$131,$B204,'11.2. ДА за периода'!P$111:P$131)</f>
        <v>0</v>
      </c>
      <c r="Q204" s="1226">
        <f>P204+SUMIF('11.2. ДА за периода'!$B$111:$B$131,$B204,'11.2. ДА за периода'!Q$111:Q$131)</f>
        <v>0</v>
      </c>
      <c r="R204" s="2972">
        <f>Q204+SUMIF('11.2. ДА за периода'!$B$111:$B$131,$B204,'11.2. ДА за периода'!R$111:R$131)</f>
        <v>0</v>
      </c>
      <c r="S204" s="448">
        <v>0</v>
      </c>
      <c r="T204" s="2971">
        <f>S204+SUMIF('11.2. ДА за периода'!$B$111:$B$131,$B204,'11.2. ДА за периода'!T$111:T$131)</f>
        <v>0</v>
      </c>
      <c r="U204" s="1226">
        <f>T204+SUMIF('11.2. ДА за периода'!$B$111:$B$131,$B204,'11.2. ДА за периода'!U$111:U$131)</f>
        <v>0</v>
      </c>
      <c r="V204" s="1226">
        <f>U204+SUMIF('11.2. ДА за периода'!$B$111:$B$131,$B204,'11.2. ДА за периода'!V$111:V$131)</f>
        <v>0</v>
      </c>
      <c r="W204" s="1226">
        <f>V204+SUMIF('11.2. ДА за периода'!$B$111:$B$131,$B204,'11.2. ДА за периода'!W$111:W$131)</f>
        <v>0</v>
      </c>
      <c r="X204" s="1226">
        <f>W204+SUMIF('11.2. ДА за периода'!$B$111:$B$131,$B204,'11.2. ДА за периода'!X$111:X$131)</f>
        <v>0</v>
      </c>
      <c r="Y204" s="2972">
        <f>X204+SUMIF('11.2. ДА за периода'!$B$111:$B$131,$B204,'11.2. ДА за периода'!Y$111:Y$131)</f>
        <v>0</v>
      </c>
      <c r="Z204" s="448">
        <v>20.399999999999999</v>
      </c>
      <c r="AA204" s="2971">
        <f>Z204+SUMIF('11.2. ДА за периода'!$B$111:$B$131,$B204,'11.2. ДА за периода'!AA$111:AA$131)</f>
        <v>20.399999999999999</v>
      </c>
      <c r="AB204" s="1226">
        <f>AA204+SUMIF('11.2. ДА за периода'!$B$111:$B$131,$B204,'11.2. ДА за периода'!AB$111:AB$131)</f>
        <v>20.399999999999999</v>
      </c>
      <c r="AC204" s="1226">
        <f>AB204+SUMIF('11.2. ДА за периода'!$B$111:$B$131,$B204,'11.2. ДА за периода'!AC$111:AC$131)</f>
        <v>20.399999999999999</v>
      </c>
      <c r="AD204" s="1226">
        <f>AC204+SUMIF('11.2. ДА за периода'!$B$111:$B$131,$B204,'11.2. ДА за периода'!AD$111:AD$131)</f>
        <v>20.399999999999999</v>
      </c>
      <c r="AE204" s="1226">
        <f>AD204+SUMIF('11.2. ДА за периода'!$B$111:$B$131,$B204,'11.2. ДА за периода'!AE$111:AE$131)</f>
        <v>20.399999999999999</v>
      </c>
      <c r="AF204" s="2972">
        <f>AE204+SUMIF('11.2. ДА за периода'!$B$111:$B$131,$B204,'11.2. ДА за периода'!AF$111:AF$131)</f>
        <v>20.399999999999999</v>
      </c>
      <c r="AG204" s="448"/>
      <c r="AH204" s="2971">
        <f>AG204+SUMIF('11.2. ДА за периода'!$B$111:$B$131,$B204,'11.2. ДА за периода'!AH$111:AH$131)</f>
        <v>0</v>
      </c>
      <c r="AI204" s="1226">
        <f>AH204+SUMIF('11.2. ДА за периода'!$B$111:$B$131,$B204,'11.2. ДА за периода'!AI$111:AI$131)</f>
        <v>0</v>
      </c>
      <c r="AJ204" s="1226">
        <f>AI204+SUMIF('11.2. ДА за периода'!$B$111:$B$131,$B204,'11.2. ДА за периода'!AJ$111:AJ$131)</f>
        <v>0</v>
      </c>
      <c r="AK204" s="1226">
        <f>AJ204+SUMIF('11.2. ДА за периода'!$B$111:$B$131,$B204,'11.2. ДА за периода'!AK$111:AK$131)</f>
        <v>0</v>
      </c>
      <c r="AL204" s="1226">
        <f>AK204+SUMIF('11.2. ДА за периода'!$B$111:$B$131,$B204,'11.2. ДА за периода'!AL$111:AL$131)</f>
        <v>0</v>
      </c>
      <c r="AM204" s="2972">
        <f>AL204+SUMIF('11.2. ДА за периода'!$B$111:$B$131,$B204,'11.2. ДА за периода'!AM$111:AM$131)</f>
        <v>0</v>
      </c>
      <c r="AN204" s="2860"/>
      <c r="AO204" s="2898"/>
      <c r="AP204" s="1426"/>
    </row>
    <row r="205" spans="1:42" s="1422" customFormat="1">
      <c r="A205" s="2920">
        <v>13</v>
      </c>
      <c r="B205" s="2863" t="s">
        <v>706</v>
      </c>
      <c r="C205" s="2864">
        <v>0.02</v>
      </c>
      <c r="D205" s="2894" t="s">
        <v>747</v>
      </c>
      <c r="E205" s="448">
        <f>740+10.164</f>
        <v>750.16399999999999</v>
      </c>
      <c r="F205" s="2971">
        <f>E205+SUMIF('11.2. ДА за периода'!$B$111:$B$131,$B205,'11.2. ДА за периода'!F$111:F$131)</f>
        <v>750.16399999999999</v>
      </c>
      <c r="G205" s="1226">
        <f>F205+SUMIF('11.2. ДА за периода'!$B$111:$B$131,$B205,'11.2. ДА за периода'!G$111:G$131)</f>
        <v>750.16399999999999</v>
      </c>
      <c r="H205" s="1226">
        <f>G205+SUMIF('11.2. ДА за периода'!$B$111:$B$131,$B205,'11.2. ДА за периода'!H$111:H$131)</f>
        <v>750.16399999999999</v>
      </c>
      <c r="I205" s="1226">
        <f>H205+SUMIF('11.2. ДА за периода'!$B$111:$B$131,$B205,'11.2. ДА за периода'!I$111:I$131)</f>
        <v>5118.1499999999996</v>
      </c>
      <c r="J205" s="1226">
        <f>I205+SUMIF('11.2. ДА за периода'!$B$111:$B$131,$B205,'11.2. ДА за периода'!J$111:J$131)</f>
        <v>5118.1499999999996</v>
      </c>
      <c r="K205" s="2972">
        <f>J205+SUMIF('11.2. ДА за периода'!$B$111:$B$131,$B205,'11.2. ДА за периода'!K$111:K$131)</f>
        <v>5118.1499999999996</v>
      </c>
      <c r="L205" s="448">
        <v>0</v>
      </c>
      <c r="M205" s="2971">
        <f>L205+SUMIF('11.2. ДА за периода'!$B$111:$B$131,$B205,'11.2. ДА за периода'!M$111:M$131)</f>
        <v>0</v>
      </c>
      <c r="N205" s="1226">
        <f>M205+SUMIF('11.2. ДА за периода'!$B$111:$B$131,$B205,'11.2. ДА за периода'!N$111:N$131)</f>
        <v>0</v>
      </c>
      <c r="O205" s="1226">
        <f>N205+SUMIF('11.2. ДА за периода'!$B$111:$B$131,$B205,'11.2. ДА за периода'!O$111:O$131)</f>
        <v>0</v>
      </c>
      <c r="P205" s="1226">
        <f>O205+SUMIF('11.2. ДА за периода'!$B$111:$B$131,$B205,'11.2. ДА за периода'!P$111:P$131)</f>
        <v>0</v>
      </c>
      <c r="Q205" s="1226">
        <f>P205+SUMIF('11.2. ДА за периода'!$B$111:$B$131,$B205,'11.2. ДА за периода'!Q$111:Q$131)</f>
        <v>0</v>
      </c>
      <c r="R205" s="2972">
        <f>Q205+SUMIF('11.2. ДА за периода'!$B$111:$B$131,$B205,'11.2. ДА за периода'!R$111:R$131)</f>
        <v>0</v>
      </c>
      <c r="S205" s="448">
        <v>0</v>
      </c>
      <c r="T205" s="2971">
        <f>S205+SUMIF('11.2. ДА за периода'!$B$111:$B$131,$B205,'11.2. ДА за периода'!T$111:T$131)</f>
        <v>0</v>
      </c>
      <c r="U205" s="1226">
        <f>T205+SUMIF('11.2. ДА за периода'!$B$111:$B$131,$B205,'11.2. ДА за периода'!U$111:U$131)</f>
        <v>0</v>
      </c>
      <c r="V205" s="1226">
        <f>U205+SUMIF('11.2. ДА за периода'!$B$111:$B$131,$B205,'11.2. ДА за периода'!V$111:V$131)</f>
        <v>0</v>
      </c>
      <c r="W205" s="1226">
        <f>V205+SUMIF('11.2. ДА за периода'!$B$111:$B$131,$B205,'11.2. ДА за периода'!W$111:W$131)</f>
        <v>0</v>
      </c>
      <c r="X205" s="1226">
        <f>W205+SUMIF('11.2. ДА за периода'!$B$111:$B$131,$B205,'11.2. ДА за периода'!X$111:X$131)</f>
        <v>0</v>
      </c>
      <c r="Y205" s="2972">
        <f>X205+SUMIF('11.2. ДА за периода'!$B$111:$B$131,$B205,'11.2. ДА за периода'!Y$111:Y$131)</f>
        <v>0</v>
      </c>
      <c r="Z205" s="448">
        <v>0</v>
      </c>
      <c r="AA205" s="2971">
        <f>Z205+SUMIF('11.2. ДА за периода'!$B$111:$B$131,$B205,'11.2. ДА за периода'!AA$111:AA$131)</f>
        <v>0</v>
      </c>
      <c r="AB205" s="1226">
        <f>AA205+SUMIF('11.2. ДА за периода'!$B$111:$B$131,$B205,'11.2. ДА за периода'!AB$111:AB$131)</f>
        <v>0</v>
      </c>
      <c r="AC205" s="1226">
        <f>AB205+SUMIF('11.2. ДА за периода'!$B$111:$B$131,$B205,'11.2. ДА за периода'!AC$111:AC$131)</f>
        <v>0</v>
      </c>
      <c r="AD205" s="1226">
        <f>AC205+SUMIF('11.2. ДА за периода'!$B$111:$B$131,$B205,'11.2. ДА за периода'!AD$111:AD$131)</f>
        <v>0</v>
      </c>
      <c r="AE205" s="1226">
        <f>AD205+SUMIF('11.2. ДА за периода'!$B$111:$B$131,$B205,'11.2. ДА за периода'!AE$111:AE$131)</f>
        <v>0</v>
      </c>
      <c r="AF205" s="2972">
        <f>AE205+SUMIF('11.2. ДА за периода'!$B$111:$B$131,$B205,'11.2. ДА за периода'!AF$111:AF$131)</f>
        <v>0</v>
      </c>
      <c r="AG205" s="448"/>
      <c r="AH205" s="2971">
        <f>AG205+SUMIF('11.2. ДА за периода'!$B$111:$B$131,$B205,'11.2. ДА за периода'!AH$111:AH$131)</f>
        <v>0</v>
      </c>
      <c r="AI205" s="1226">
        <f>AH205+SUMIF('11.2. ДА за периода'!$B$111:$B$131,$B205,'11.2. ДА за периода'!AI$111:AI$131)</f>
        <v>0</v>
      </c>
      <c r="AJ205" s="1226">
        <f>AI205+SUMIF('11.2. ДА за периода'!$B$111:$B$131,$B205,'11.2. ДА за периода'!AJ$111:AJ$131)</f>
        <v>0</v>
      </c>
      <c r="AK205" s="1226">
        <f>AJ205+SUMIF('11.2. ДА за периода'!$B$111:$B$131,$B205,'11.2. ДА за периода'!AK$111:AK$131)</f>
        <v>0</v>
      </c>
      <c r="AL205" s="1226">
        <f>AK205+SUMIF('11.2. ДА за периода'!$B$111:$B$131,$B205,'11.2. ДА за периода'!AL$111:AL$131)</f>
        <v>0</v>
      </c>
      <c r="AM205" s="2972">
        <f>AL205+SUMIF('11.2. ДА за периода'!$B$111:$B$131,$B205,'11.2. ДА за периода'!AM$111:AM$131)</f>
        <v>0</v>
      </c>
      <c r="AN205" s="2860"/>
      <c r="AO205" s="2898"/>
      <c r="AP205" s="1426"/>
    </row>
    <row r="206" spans="1:42" s="1422" customFormat="1">
      <c r="A206" s="2920">
        <v>14</v>
      </c>
      <c r="B206" s="2863" t="s">
        <v>707</v>
      </c>
      <c r="C206" s="2864">
        <v>0.02</v>
      </c>
      <c r="D206" s="2894" t="s">
        <v>423</v>
      </c>
      <c r="E206" s="448">
        <f>445+153.143</f>
        <v>598.14300000000003</v>
      </c>
      <c r="F206" s="2971">
        <f>E206+SUMIF('11.2. ДА за периода'!$B$111:$B$131,$B206,'11.2. ДА за периода'!F$111:F$131)</f>
        <v>598.14300000000003</v>
      </c>
      <c r="G206" s="1226">
        <f>F206+SUMIF('11.2. ДА за периода'!$B$111:$B$131,$B206,'11.2. ДА за периода'!G$111:G$131)</f>
        <v>598.14300000000003</v>
      </c>
      <c r="H206" s="1226">
        <f>G206+SUMIF('11.2. ДА за периода'!$B$111:$B$131,$B206,'11.2. ДА за периода'!H$111:H$131)</f>
        <v>598.14300000000003</v>
      </c>
      <c r="I206" s="1226">
        <f>H206+SUMIF('11.2. ДА за периода'!$B$111:$B$131,$B206,'11.2. ДА за периода'!I$111:I$131)</f>
        <v>598.14300000000003</v>
      </c>
      <c r="J206" s="1226">
        <f>I206+SUMIF('11.2. ДА за периода'!$B$111:$B$131,$B206,'11.2. ДА за периода'!J$111:J$131)</f>
        <v>598.14300000000003</v>
      </c>
      <c r="K206" s="2972">
        <f>J206+SUMIF('11.2. ДА за периода'!$B$111:$B$131,$B206,'11.2. ДА за периода'!K$111:K$131)</f>
        <v>598.14300000000003</v>
      </c>
      <c r="L206" s="448">
        <v>0</v>
      </c>
      <c r="M206" s="2971">
        <f>L206+SUMIF('11.2. ДА за периода'!$B$111:$B$131,$B206,'11.2. ДА за периода'!M$111:M$131)</f>
        <v>0</v>
      </c>
      <c r="N206" s="1226">
        <f>M206+SUMIF('11.2. ДА за периода'!$B$111:$B$131,$B206,'11.2. ДА за периода'!N$111:N$131)</f>
        <v>0</v>
      </c>
      <c r="O206" s="1226">
        <f>N206+SUMIF('11.2. ДА за периода'!$B$111:$B$131,$B206,'11.2. ДА за периода'!O$111:O$131)</f>
        <v>0</v>
      </c>
      <c r="P206" s="1226">
        <f>O206+SUMIF('11.2. ДА за периода'!$B$111:$B$131,$B206,'11.2. ДА за периода'!P$111:P$131)</f>
        <v>0</v>
      </c>
      <c r="Q206" s="1226">
        <f>P206+SUMIF('11.2. ДА за периода'!$B$111:$B$131,$B206,'11.2. ДА за периода'!Q$111:Q$131)</f>
        <v>0</v>
      </c>
      <c r="R206" s="2972">
        <f>Q206+SUMIF('11.2. ДА за периода'!$B$111:$B$131,$B206,'11.2. ДА за периода'!R$111:R$131)</f>
        <v>0</v>
      </c>
      <c r="S206" s="448">
        <v>0</v>
      </c>
      <c r="T206" s="2971">
        <f>S206+SUMIF('11.2. ДА за периода'!$B$111:$B$131,$B206,'11.2. ДА за периода'!T$111:T$131)</f>
        <v>0</v>
      </c>
      <c r="U206" s="1226">
        <f>T206+SUMIF('11.2. ДА за периода'!$B$111:$B$131,$B206,'11.2. ДА за периода'!U$111:U$131)</f>
        <v>0</v>
      </c>
      <c r="V206" s="1226">
        <f>U206+SUMIF('11.2. ДА за периода'!$B$111:$B$131,$B206,'11.2. ДА за периода'!V$111:V$131)</f>
        <v>0</v>
      </c>
      <c r="W206" s="1226">
        <f>V206+SUMIF('11.2. ДА за периода'!$B$111:$B$131,$B206,'11.2. ДА за периода'!W$111:W$131)</f>
        <v>0</v>
      </c>
      <c r="X206" s="1226">
        <f>W206+SUMIF('11.2. ДА за периода'!$B$111:$B$131,$B206,'11.2. ДА за периода'!X$111:X$131)</f>
        <v>0</v>
      </c>
      <c r="Y206" s="2972">
        <f>X206+SUMIF('11.2. ДА за периода'!$B$111:$B$131,$B206,'11.2. ДА за периода'!Y$111:Y$131)</f>
        <v>0</v>
      </c>
      <c r="Z206" s="448">
        <v>0</v>
      </c>
      <c r="AA206" s="2971">
        <f>Z206+SUMIF('11.2. ДА за периода'!$B$111:$B$131,$B206,'11.2. ДА за периода'!AA$111:AA$131)</f>
        <v>0</v>
      </c>
      <c r="AB206" s="1226">
        <f>AA206+SUMIF('11.2. ДА за периода'!$B$111:$B$131,$B206,'11.2. ДА за периода'!AB$111:AB$131)</f>
        <v>0</v>
      </c>
      <c r="AC206" s="1226">
        <f>AB206+SUMIF('11.2. ДА за периода'!$B$111:$B$131,$B206,'11.2. ДА за периода'!AC$111:AC$131)</f>
        <v>0</v>
      </c>
      <c r="AD206" s="1226">
        <f>AC206+SUMIF('11.2. ДА за периода'!$B$111:$B$131,$B206,'11.2. ДА за периода'!AD$111:AD$131)</f>
        <v>0</v>
      </c>
      <c r="AE206" s="1226">
        <f>AD206+SUMIF('11.2. ДА за периода'!$B$111:$B$131,$B206,'11.2. ДА за периода'!AE$111:AE$131)</f>
        <v>0</v>
      </c>
      <c r="AF206" s="2972">
        <f>AE206+SUMIF('11.2. ДА за периода'!$B$111:$B$131,$B206,'11.2. ДА за периода'!AF$111:AF$131)</f>
        <v>0</v>
      </c>
      <c r="AG206" s="448"/>
      <c r="AH206" s="2971">
        <f>AG206+SUMIF('11.2. ДА за периода'!$B$111:$B$131,$B206,'11.2. ДА за периода'!AH$111:AH$131)</f>
        <v>0</v>
      </c>
      <c r="AI206" s="1226">
        <f>AH206+SUMIF('11.2. ДА за периода'!$B$111:$B$131,$B206,'11.2. ДА за периода'!AI$111:AI$131)</f>
        <v>0</v>
      </c>
      <c r="AJ206" s="1226">
        <f>AI206+SUMIF('11.2. ДА за периода'!$B$111:$B$131,$B206,'11.2. ДА за периода'!AJ$111:AJ$131)</f>
        <v>0</v>
      </c>
      <c r="AK206" s="1226">
        <f>AJ206+SUMIF('11.2. ДА за периода'!$B$111:$B$131,$B206,'11.2. ДА за периода'!AK$111:AK$131)</f>
        <v>0</v>
      </c>
      <c r="AL206" s="1226">
        <f>AK206+SUMIF('11.2. ДА за периода'!$B$111:$B$131,$B206,'11.2. ДА за периода'!AL$111:AL$131)</f>
        <v>0</v>
      </c>
      <c r="AM206" s="2972">
        <f>AL206+SUMIF('11.2. ДА за периода'!$B$111:$B$131,$B206,'11.2. ДА за периода'!AM$111:AM$131)</f>
        <v>0</v>
      </c>
      <c r="AN206" s="2860"/>
      <c r="AO206" s="2898"/>
      <c r="AP206" s="1426"/>
    </row>
    <row r="207" spans="1:42" s="1422" customFormat="1">
      <c r="A207" s="2920">
        <v>15</v>
      </c>
      <c r="B207" s="2863" t="s">
        <v>708</v>
      </c>
      <c r="C207" s="2864">
        <v>0.02</v>
      </c>
      <c r="D207" s="2893" t="s">
        <v>424</v>
      </c>
      <c r="E207" s="448">
        <v>58</v>
      </c>
      <c r="F207" s="2971">
        <f>E207+SUMIF('11.2. ДА за периода'!$B$111:$B$131,$B207,'11.2. ДА за периода'!F$111:F$131)</f>
        <v>58</v>
      </c>
      <c r="G207" s="1226">
        <f>F207+SUMIF('11.2. ДА за периода'!$B$111:$B$131,$B207,'11.2. ДА за периода'!G$111:G$131)</f>
        <v>58</v>
      </c>
      <c r="H207" s="1226">
        <f>G207+SUMIF('11.2. ДА за периода'!$B$111:$B$131,$B207,'11.2. ДА за периода'!H$111:H$131)</f>
        <v>58</v>
      </c>
      <c r="I207" s="1226">
        <f>H207+SUMIF('11.2. ДА за периода'!$B$111:$B$131,$B207,'11.2. ДА за периода'!I$111:I$131)</f>
        <v>58</v>
      </c>
      <c r="J207" s="1226">
        <f>I207+SUMIF('11.2. ДА за периода'!$B$111:$B$131,$B207,'11.2. ДА за периода'!J$111:J$131)</f>
        <v>58</v>
      </c>
      <c r="K207" s="2972">
        <f>J207+SUMIF('11.2. ДА за периода'!$B$111:$B$131,$B207,'11.2. ДА за периода'!K$111:K$131)</f>
        <v>58</v>
      </c>
      <c r="L207" s="448">
        <v>0</v>
      </c>
      <c r="M207" s="2971">
        <f>L207+SUMIF('11.2. ДА за периода'!$B$111:$B$131,$B207,'11.2. ДА за периода'!M$111:M$131)</f>
        <v>0</v>
      </c>
      <c r="N207" s="1226">
        <f>M207+SUMIF('11.2. ДА за периода'!$B$111:$B$131,$B207,'11.2. ДА за периода'!N$111:N$131)</f>
        <v>0</v>
      </c>
      <c r="O207" s="1226">
        <f>N207+SUMIF('11.2. ДА за периода'!$B$111:$B$131,$B207,'11.2. ДА за периода'!O$111:O$131)</f>
        <v>0</v>
      </c>
      <c r="P207" s="1226">
        <f>O207+SUMIF('11.2. ДА за периода'!$B$111:$B$131,$B207,'11.2. ДА за периода'!P$111:P$131)</f>
        <v>0</v>
      </c>
      <c r="Q207" s="1226">
        <f>P207+SUMIF('11.2. ДА за периода'!$B$111:$B$131,$B207,'11.2. ДА за периода'!Q$111:Q$131)</f>
        <v>0</v>
      </c>
      <c r="R207" s="2972">
        <f>Q207+SUMIF('11.2. ДА за периода'!$B$111:$B$131,$B207,'11.2. ДА за периода'!R$111:R$131)</f>
        <v>0</v>
      </c>
      <c r="S207" s="448">
        <v>0</v>
      </c>
      <c r="T207" s="2971">
        <f>S207+SUMIF('11.2. ДА за периода'!$B$111:$B$131,$B207,'11.2. ДА за периода'!T$111:T$131)</f>
        <v>0</v>
      </c>
      <c r="U207" s="1226">
        <f>T207+SUMIF('11.2. ДА за периода'!$B$111:$B$131,$B207,'11.2. ДА за периода'!U$111:U$131)</f>
        <v>0</v>
      </c>
      <c r="V207" s="1226">
        <f>U207+SUMIF('11.2. ДА за периода'!$B$111:$B$131,$B207,'11.2. ДА за периода'!V$111:V$131)</f>
        <v>0</v>
      </c>
      <c r="W207" s="1226">
        <f>V207+SUMIF('11.2. ДА за периода'!$B$111:$B$131,$B207,'11.2. ДА за периода'!W$111:W$131)</f>
        <v>0</v>
      </c>
      <c r="X207" s="1226">
        <f>W207+SUMIF('11.2. ДА за периода'!$B$111:$B$131,$B207,'11.2. ДА за периода'!X$111:X$131)</f>
        <v>0</v>
      </c>
      <c r="Y207" s="2972">
        <f>X207+SUMIF('11.2. ДА за периода'!$B$111:$B$131,$B207,'11.2. ДА за периода'!Y$111:Y$131)</f>
        <v>0</v>
      </c>
      <c r="Z207" s="448">
        <v>0</v>
      </c>
      <c r="AA207" s="2971">
        <f>Z207+SUMIF('11.2. ДА за периода'!$B$111:$B$131,$B207,'11.2. ДА за периода'!AA$111:AA$131)</f>
        <v>0</v>
      </c>
      <c r="AB207" s="1226">
        <f>AA207+SUMIF('11.2. ДА за периода'!$B$111:$B$131,$B207,'11.2. ДА за периода'!AB$111:AB$131)</f>
        <v>0</v>
      </c>
      <c r="AC207" s="1226">
        <f>AB207+SUMIF('11.2. ДА за периода'!$B$111:$B$131,$B207,'11.2. ДА за периода'!AC$111:AC$131)</f>
        <v>0</v>
      </c>
      <c r="AD207" s="1226">
        <f>AC207+SUMIF('11.2. ДА за периода'!$B$111:$B$131,$B207,'11.2. ДА за периода'!AD$111:AD$131)</f>
        <v>0</v>
      </c>
      <c r="AE207" s="1226">
        <f>AD207+SUMIF('11.2. ДА за периода'!$B$111:$B$131,$B207,'11.2. ДА за периода'!AE$111:AE$131)</f>
        <v>0</v>
      </c>
      <c r="AF207" s="2972">
        <f>AE207+SUMIF('11.2. ДА за периода'!$B$111:$B$131,$B207,'11.2. ДА за периода'!AF$111:AF$131)</f>
        <v>0</v>
      </c>
      <c r="AG207" s="448"/>
      <c r="AH207" s="2971">
        <f>AG207+SUMIF('11.2. ДА за периода'!$B$111:$B$131,$B207,'11.2. ДА за периода'!AH$111:AH$131)</f>
        <v>0</v>
      </c>
      <c r="AI207" s="1226">
        <f>AH207+SUMIF('11.2. ДА за периода'!$B$111:$B$131,$B207,'11.2. ДА за периода'!AI$111:AI$131)</f>
        <v>0</v>
      </c>
      <c r="AJ207" s="1226">
        <f>AI207+SUMIF('11.2. ДА за периода'!$B$111:$B$131,$B207,'11.2. ДА за периода'!AJ$111:AJ$131)</f>
        <v>0</v>
      </c>
      <c r="AK207" s="1226">
        <f>AJ207+SUMIF('11.2. ДА за периода'!$B$111:$B$131,$B207,'11.2. ДА за периода'!AK$111:AK$131)</f>
        <v>0</v>
      </c>
      <c r="AL207" s="1226">
        <f>AK207+SUMIF('11.2. ДА за периода'!$B$111:$B$131,$B207,'11.2. ДА за периода'!AL$111:AL$131)</f>
        <v>0</v>
      </c>
      <c r="AM207" s="2972">
        <f>AL207+SUMIF('11.2. ДА за периода'!$B$111:$B$131,$B207,'11.2. ДА за периода'!AM$111:AM$131)</f>
        <v>0</v>
      </c>
      <c r="AN207" s="2860"/>
      <c r="AO207" s="2898"/>
      <c r="AP207" s="1426"/>
    </row>
    <row r="208" spans="1:42" s="1422" customFormat="1">
      <c r="A208" s="2920">
        <v>16</v>
      </c>
      <c r="B208" s="2863" t="s">
        <v>709</v>
      </c>
      <c r="C208" s="2864">
        <v>0.02</v>
      </c>
      <c r="D208" s="2894" t="s">
        <v>425</v>
      </c>
      <c r="E208" s="448">
        <f>9437+6272.825</f>
        <v>15709.825000000001</v>
      </c>
      <c r="F208" s="2971">
        <f>E208+SUMIF('11.2. ДА за периода'!$B$111:$B$131,$B208,'11.2. ДА за периода'!F$111:F$131)</f>
        <v>15709.825000000001</v>
      </c>
      <c r="G208" s="1226">
        <f>F208+SUMIF('11.2. ДА за периода'!$B$111:$B$131,$B208,'11.2. ДА за периода'!G$111:G$131)</f>
        <v>15709.825000000001</v>
      </c>
      <c r="H208" s="1226">
        <f>G208+SUMIF('11.2. ДА за периода'!$B$111:$B$131,$B208,'11.2. ДА за периода'!H$111:H$131)</f>
        <v>15709.825000000001</v>
      </c>
      <c r="I208" s="1226">
        <f>H208+SUMIF('11.2. ДА за периода'!$B$111:$B$131,$B208,'11.2. ДА за периода'!I$111:I$131)</f>
        <v>36575.824999999997</v>
      </c>
      <c r="J208" s="1226">
        <f>I208+SUMIF('11.2. ДА за периода'!$B$111:$B$131,$B208,'11.2. ДА за периода'!J$111:J$131)</f>
        <v>36575.824999999997</v>
      </c>
      <c r="K208" s="2972">
        <f>J208+SUMIF('11.2. ДА за периода'!$B$111:$B$131,$B208,'11.2. ДА за периода'!K$111:K$131)</f>
        <v>36575.824999999997</v>
      </c>
      <c r="L208" s="448">
        <v>0</v>
      </c>
      <c r="M208" s="2971">
        <f>L208+SUMIF('11.2. ДА за периода'!$B$111:$B$131,$B208,'11.2. ДА за периода'!M$111:M$131)</f>
        <v>0</v>
      </c>
      <c r="N208" s="1226">
        <f>M208+SUMIF('11.2. ДА за периода'!$B$111:$B$131,$B208,'11.2. ДА за периода'!N$111:N$131)</f>
        <v>0</v>
      </c>
      <c r="O208" s="1226">
        <f>N208+SUMIF('11.2. ДА за периода'!$B$111:$B$131,$B208,'11.2. ДА за периода'!O$111:O$131)</f>
        <v>0</v>
      </c>
      <c r="P208" s="1226">
        <f>O208+SUMIF('11.2. ДА за периода'!$B$111:$B$131,$B208,'11.2. ДА за периода'!P$111:P$131)</f>
        <v>0</v>
      </c>
      <c r="Q208" s="1226">
        <f>P208+SUMIF('11.2. ДА за периода'!$B$111:$B$131,$B208,'11.2. ДА за периода'!Q$111:Q$131)</f>
        <v>0</v>
      </c>
      <c r="R208" s="2972">
        <f>Q208+SUMIF('11.2. ДА за периода'!$B$111:$B$131,$B208,'11.2. ДА за периода'!R$111:R$131)</f>
        <v>0</v>
      </c>
      <c r="S208" s="448">
        <v>0</v>
      </c>
      <c r="T208" s="2971">
        <f>S208+SUMIF('11.2. ДА за периода'!$B$111:$B$131,$B208,'11.2. ДА за периода'!T$111:T$131)</f>
        <v>0</v>
      </c>
      <c r="U208" s="1226">
        <f>T208+SUMIF('11.2. ДА за периода'!$B$111:$B$131,$B208,'11.2. ДА за периода'!U$111:U$131)</f>
        <v>0</v>
      </c>
      <c r="V208" s="1226">
        <f>U208+SUMIF('11.2. ДА за периода'!$B$111:$B$131,$B208,'11.2. ДА за периода'!V$111:V$131)</f>
        <v>0</v>
      </c>
      <c r="W208" s="1226">
        <f>V208+SUMIF('11.2. ДА за периода'!$B$111:$B$131,$B208,'11.2. ДА за периода'!W$111:W$131)</f>
        <v>0</v>
      </c>
      <c r="X208" s="1226">
        <f>W208+SUMIF('11.2. ДА за периода'!$B$111:$B$131,$B208,'11.2. ДА за периода'!X$111:X$131)</f>
        <v>0</v>
      </c>
      <c r="Y208" s="2972">
        <f>X208+SUMIF('11.2. ДА за периода'!$B$111:$B$131,$B208,'11.2. ДА за периода'!Y$111:Y$131)</f>
        <v>0</v>
      </c>
      <c r="Z208" s="448">
        <v>287.3</v>
      </c>
      <c r="AA208" s="2971">
        <f>Z208+SUMIF('11.2. ДА за периода'!$B$111:$B$131,$B208,'11.2. ДА за периода'!AA$111:AA$131)</f>
        <v>287.3</v>
      </c>
      <c r="AB208" s="1226">
        <f>AA208+SUMIF('11.2. ДА за периода'!$B$111:$B$131,$B208,'11.2. ДА за периода'!AB$111:AB$131)</f>
        <v>287.3</v>
      </c>
      <c r="AC208" s="1226">
        <f>AB208+SUMIF('11.2. ДА за периода'!$B$111:$B$131,$B208,'11.2. ДА за периода'!AC$111:AC$131)</f>
        <v>287.3</v>
      </c>
      <c r="AD208" s="1226">
        <f>AC208+SUMIF('11.2. ДА за периода'!$B$111:$B$131,$B208,'11.2. ДА за периода'!AD$111:AD$131)</f>
        <v>287.3</v>
      </c>
      <c r="AE208" s="1226">
        <f>AD208+SUMIF('11.2. ДА за периода'!$B$111:$B$131,$B208,'11.2. ДА за периода'!AE$111:AE$131)</f>
        <v>287.3</v>
      </c>
      <c r="AF208" s="2972">
        <f>AE208+SUMIF('11.2. ДА за периода'!$B$111:$B$131,$B208,'11.2. ДА за периода'!AF$111:AF$131)</f>
        <v>287.3</v>
      </c>
      <c r="AG208" s="448"/>
      <c r="AH208" s="2971">
        <f>AG208+SUMIF('11.2. ДА за периода'!$B$111:$B$131,$B208,'11.2. ДА за периода'!AH$111:AH$131)</f>
        <v>0</v>
      </c>
      <c r="AI208" s="1226">
        <f>AH208+SUMIF('11.2. ДА за периода'!$B$111:$B$131,$B208,'11.2. ДА за периода'!AI$111:AI$131)</f>
        <v>0</v>
      </c>
      <c r="AJ208" s="1226">
        <f>AI208+SUMIF('11.2. ДА за периода'!$B$111:$B$131,$B208,'11.2. ДА за периода'!AJ$111:AJ$131)</f>
        <v>0</v>
      </c>
      <c r="AK208" s="1226">
        <f>AJ208+SUMIF('11.2. ДА за периода'!$B$111:$B$131,$B208,'11.2. ДА за периода'!AK$111:AK$131)</f>
        <v>0</v>
      </c>
      <c r="AL208" s="1226">
        <f>AK208+SUMIF('11.2. ДА за периода'!$B$111:$B$131,$B208,'11.2. ДА за периода'!AL$111:AL$131)</f>
        <v>0</v>
      </c>
      <c r="AM208" s="2972">
        <f>AL208+SUMIF('11.2. ДА за периода'!$B$111:$B$131,$B208,'11.2. ДА за периода'!AM$111:AM$131)</f>
        <v>0</v>
      </c>
      <c r="AN208" s="2860"/>
      <c r="AO208" s="2898"/>
      <c r="AP208" s="1426"/>
    </row>
    <row r="209" spans="1:42" s="1422" customFormat="1">
      <c r="A209" s="2920">
        <v>17</v>
      </c>
      <c r="B209" s="2863" t="s">
        <v>710</v>
      </c>
      <c r="C209" s="2864">
        <v>0.02</v>
      </c>
      <c r="D209" s="2899" t="s">
        <v>426</v>
      </c>
      <c r="E209" s="448">
        <v>0</v>
      </c>
      <c r="F209" s="2971">
        <f>E209+SUMIF('11.2. ДА за периода'!$B$111:$B$131,$B209,'11.2. ДА за периода'!F$111:F$131)</f>
        <v>0</v>
      </c>
      <c r="G209" s="1226">
        <f>F209+SUMIF('11.2. ДА за периода'!$B$111:$B$131,$B209,'11.2. ДА за периода'!G$111:G$131)</f>
        <v>0</v>
      </c>
      <c r="H209" s="1226">
        <f>G209+SUMIF('11.2. ДА за периода'!$B$111:$B$131,$B209,'11.2. ДА за периода'!H$111:H$131)</f>
        <v>0</v>
      </c>
      <c r="I209" s="1226">
        <f>H209+SUMIF('11.2. ДА за периода'!$B$111:$B$131,$B209,'11.2. ДА за периода'!I$111:I$131)</f>
        <v>0</v>
      </c>
      <c r="J209" s="1226">
        <f>I209+SUMIF('11.2. ДА за периода'!$B$111:$B$131,$B209,'11.2. ДА за периода'!J$111:J$131)</f>
        <v>0</v>
      </c>
      <c r="K209" s="2972">
        <f>J209+SUMIF('11.2. ДА за периода'!$B$111:$B$131,$B209,'11.2. ДА за периода'!K$111:K$131)</f>
        <v>0</v>
      </c>
      <c r="L209" s="448">
        <f>8550+28178.383</f>
        <v>36728.383000000002</v>
      </c>
      <c r="M209" s="2971">
        <f>L209+SUMIF('11.2. ДА за периода'!$B$111:$B$131,$B209,'11.2. ДА за периода'!M$111:M$131)</f>
        <v>36728.383000000002</v>
      </c>
      <c r="N209" s="1226">
        <f>M209+SUMIF('11.2. ДА за периода'!$B$111:$B$131,$B209,'11.2. ДА за периода'!N$111:N$131)</f>
        <v>36728.383000000002</v>
      </c>
      <c r="O209" s="1226">
        <f>N209+SUMIF('11.2. ДА за периода'!$B$111:$B$131,$B209,'11.2. ДА за периода'!O$111:O$131)</f>
        <v>36728.383000000002</v>
      </c>
      <c r="P209" s="1226">
        <f>O209+SUMIF('11.2. ДА за периода'!$B$111:$B$131,$B209,'11.2. ДА за периода'!P$111:P$131)</f>
        <v>54220.406000000003</v>
      </c>
      <c r="Q209" s="1226">
        <f>P209+SUMIF('11.2. ДА за периода'!$B$111:$B$131,$B209,'11.2. ДА за периода'!Q$111:Q$131)</f>
        <v>54220.406000000003</v>
      </c>
      <c r="R209" s="2972">
        <f>Q209+SUMIF('11.2. ДА за периода'!$B$111:$B$131,$B209,'11.2. ДА за периода'!R$111:R$131)</f>
        <v>54220.406000000003</v>
      </c>
      <c r="S209" s="448">
        <v>2</v>
      </c>
      <c r="T209" s="2971">
        <f>S209+SUMIF('11.2. ДА за периода'!$B$111:$B$131,$B209,'11.2. ДА за периода'!T$111:T$131)</f>
        <v>2</v>
      </c>
      <c r="U209" s="1226">
        <f>T209+SUMIF('11.2. ДА за периода'!$B$111:$B$131,$B209,'11.2. ДА за периода'!U$111:U$131)</f>
        <v>2</v>
      </c>
      <c r="V209" s="1226">
        <f>U209+SUMIF('11.2. ДА за периода'!$B$111:$B$131,$B209,'11.2. ДА за периода'!V$111:V$131)</f>
        <v>2</v>
      </c>
      <c r="W209" s="1226">
        <f>V209+SUMIF('11.2. ДА за периода'!$B$111:$B$131,$B209,'11.2. ДА за периода'!W$111:W$131)</f>
        <v>2</v>
      </c>
      <c r="X209" s="1226">
        <f>W209+SUMIF('11.2. ДА за периода'!$B$111:$B$131,$B209,'11.2. ДА за периода'!X$111:X$131)</f>
        <v>2</v>
      </c>
      <c r="Y209" s="2972">
        <f>X209+SUMIF('11.2. ДА за периода'!$B$111:$B$131,$B209,'11.2. ДА за периода'!Y$111:Y$131)</f>
        <v>2</v>
      </c>
      <c r="Z209" s="448">
        <v>0</v>
      </c>
      <c r="AA209" s="2971">
        <f>Z209+SUMIF('11.2. ДА за периода'!$B$111:$B$131,$B209,'11.2. ДА за периода'!AA$111:AA$131)</f>
        <v>0</v>
      </c>
      <c r="AB209" s="1226">
        <f>AA209+SUMIF('11.2. ДА за периода'!$B$111:$B$131,$B209,'11.2. ДА за периода'!AB$111:AB$131)</f>
        <v>0</v>
      </c>
      <c r="AC209" s="1226">
        <f>AB209+SUMIF('11.2. ДА за периода'!$B$111:$B$131,$B209,'11.2. ДА за периода'!AC$111:AC$131)</f>
        <v>0</v>
      </c>
      <c r="AD209" s="1226">
        <f>AC209+SUMIF('11.2. ДА за периода'!$B$111:$B$131,$B209,'11.2. ДА за периода'!AD$111:AD$131)</f>
        <v>0</v>
      </c>
      <c r="AE209" s="1226">
        <f>AD209+SUMIF('11.2. ДА за периода'!$B$111:$B$131,$B209,'11.2. ДА за периода'!AE$111:AE$131)</f>
        <v>0</v>
      </c>
      <c r="AF209" s="2972">
        <f>AE209+SUMIF('11.2. ДА за периода'!$B$111:$B$131,$B209,'11.2. ДА за периода'!AF$111:AF$131)</f>
        <v>0</v>
      </c>
      <c r="AG209" s="448"/>
      <c r="AH209" s="2971">
        <f>AG209+SUMIF('11.2. ДА за периода'!$B$111:$B$131,$B209,'11.2. ДА за периода'!AH$111:AH$131)</f>
        <v>0</v>
      </c>
      <c r="AI209" s="1226">
        <f>AH209+SUMIF('11.2. ДА за периода'!$B$111:$B$131,$B209,'11.2. ДА за периода'!AI$111:AI$131)</f>
        <v>0</v>
      </c>
      <c r="AJ209" s="1226">
        <f>AI209+SUMIF('11.2. ДА за периода'!$B$111:$B$131,$B209,'11.2. ДА за периода'!AJ$111:AJ$131)</f>
        <v>0</v>
      </c>
      <c r="AK209" s="1226">
        <f>AJ209+SUMIF('11.2. ДА за периода'!$B$111:$B$131,$B209,'11.2. ДА за периода'!AK$111:AK$131)</f>
        <v>0</v>
      </c>
      <c r="AL209" s="1226">
        <f>AK209+SUMIF('11.2. ДА за периода'!$B$111:$B$131,$B209,'11.2. ДА за периода'!AL$111:AL$131)</f>
        <v>0</v>
      </c>
      <c r="AM209" s="2972">
        <f>AL209+SUMIF('11.2. ДА за периода'!$B$111:$B$131,$B209,'11.2. ДА за периода'!AM$111:AM$131)</f>
        <v>0</v>
      </c>
      <c r="AN209" s="2860"/>
      <c r="AO209" s="2898"/>
      <c r="AP209" s="1426"/>
    </row>
    <row r="210" spans="1:42" s="1422" customFormat="1" ht="24">
      <c r="A210" s="2920">
        <v>18</v>
      </c>
      <c r="B210" s="2863" t="s">
        <v>711</v>
      </c>
      <c r="C210" s="2864">
        <v>0.04</v>
      </c>
      <c r="D210" s="2899" t="s">
        <v>427</v>
      </c>
      <c r="E210" s="448">
        <v>93</v>
      </c>
      <c r="F210" s="2971">
        <f>E210+SUMIF('11.2. ДА за периода'!$B$111:$B$131,$B210,'11.2. ДА за периода'!F$111:F$131)</f>
        <v>93</v>
      </c>
      <c r="G210" s="1226">
        <f>F210+SUMIF('11.2. ДА за периода'!$B$111:$B$131,$B210,'11.2. ДА за периода'!G$111:G$131)</f>
        <v>93</v>
      </c>
      <c r="H210" s="1226">
        <f>G210+SUMIF('11.2. ДА за периода'!$B$111:$B$131,$B210,'11.2. ДА за периода'!H$111:H$131)</f>
        <v>93</v>
      </c>
      <c r="I210" s="1226">
        <f>H210+SUMIF('11.2. ДА за периода'!$B$111:$B$131,$B210,'11.2. ДА за периода'!I$111:I$131)</f>
        <v>683.47500000000002</v>
      </c>
      <c r="J210" s="1226">
        <f>I210+SUMIF('11.2. ДА за периода'!$B$111:$B$131,$B210,'11.2. ДА за периода'!J$111:J$131)</f>
        <v>683.47500000000002</v>
      </c>
      <c r="K210" s="2972">
        <f>J210+SUMIF('11.2. ДА за периода'!$B$111:$B$131,$B210,'11.2. ДА за периода'!K$111:K$131)</f>
        <v>683.47500000000002</v>
      </c>
      <c r="L210" s="448">
        <v>0</v>
      </c>
      <c r="M210" s="2971">
        <f>L210+SUMIF('11.2. ДА за периода'!$B$111:$B$131,$B210,'11.2. ДА за периода'!M$111:M$131)</f>
        <v>0</v>
      </c>
      <c r="N210" s="1226">
        <f>M210+SUMIF('11.2. ДА за периода'!$B$111:$B$131,$B210,'11.2. ДА за периода'!N$111:N$131)</f>
        <v>0</v>
      </c>
      <c r="O210" s="1226">
        <f>N210+SUMIF('11.2. ДА за периода'!$B$111:$B$131,$B210,'11.2. ДА за периода'!O$111:O$131)</f>
        <v>0</v>
      </c>
      <c r="P210" s="1226">
        <f>O210+SUMIF('11.2. ДА за периода'!$B$111:$B$131,$B210,'11.2. ДА за периода'!P$111:P$131)</f>
        <v>10686</v>
      </c>
      <c r="Q210" s="1226">
        <f>P210+SUMIF('11.2. ДА за периода'!$B$111:$B$131,$B210,'11.2. ДА за периода'!Q$111:Q$131)</f>
        <v>10686</v>
      </c>
      <c r="R210" s="2972">
        <f>Q210+SUMIF('11.2. ДА за периода'!$B$111:$B$131,$B210,'11.2. ДА за периода'!R$111:R$131)</f>
        <v>10686</v>
      </c>
      <c r="S210" s="448">
        <v>2053</v>
      </c>
      <c r="T210" s="2971">
        <f>S210+SUMIF('11.2. ДА за периода'!$B$111:$B$131,$B210,'11.2. ДА за периода'!T$111:T$131)</f>
        <v>2053</v>
      </c>
      <c r="U210" s="1226">
        <f>T210+SUMIF('11.2. ДА за периода'!$B$111:$B$131,$B210,'11.2. ДА за периода'!U$111:U$131)</f>
        <v>2053</v>
      </c>
      <c r="V210" s="1226">
        <f>U210+SUMIF('11.2. ДА за периода'!$B$111:$B$131,$B210,'11.2. ДА за периода'!V$111:V$131)</f>
        <v>2053</v>
      </c>
      <c r="W210" s="1226">
        <f>V210+SUMIF('11.2. ДА за периода'!$B$111:$B$131,$B210,'11.2. ДА за периода'!W$111:W$131)</f>
        <v>20701.84</v>
      </c>
      <c r="X210" s="1226">
        <f>W210+SUMIF('11.2. ДА за периода'!$B$111:$B$131,$B210,'11.2. ДА за периода'!X$111:X$131)</f>
        <v>20701.84</v>
      </c>
      <c r="Y210" s="2972">
        <f>X210+SUMIF('11.2. ДА за периода'!$B$111:$B$131,$B210,'11.2. ДА за периода'!Y$111:Y$131)</f>
        <v>20701.84</v>
      </c>
      <c r="Z210" s="448">
        <v>15.4</v>
      </c>
      <c r="AA210" s="2971">
        <f>Z210+SUMIF('11.2. ДА за периода'!$B$111:$B$131,$B210,'11.2. ДА за периода'!AA$111:AA$131)</f>
        <v>15.4</v>
      </c>
      <c r="AB210" s="1226">
        <f>AA210+SUMIF('11.2. ДА за периода'!$B$111:$B$131,$B210,'11.2. ДА за периода'!AB$111:AB$131)</f>
        <v>15.4</v>
      </c>
      <c r="AC210" s="1226">
        <f>AB210+SUMIF('11.2. ДА за периода'!$B$111:$B$131,$B210,'11.2. ДА за периода'!AC$111:AC$131)</f>
        <v>15.4</v>
      </c>
      <c r="AD210" s="1226">
        <f>AC210+SUMIF('11.2. ДА за периода'!$B$111:$B$131,$B210,'11.2. ДА за периода'!AD$111:AD$131)</f>
        <v>15.4</v>
      </c>
      <c r="AE210" s="1226">
        <f>AD210+SUMIF('11.2. ДА за периода'!$B$111:$B$131,$B210,'11.2. ДА за периода'!AE$111:AE$131)</f>
        <v>15.4</v>
      </c>
      <c r="AF210" s="2972">
        <f>AE210+SUMIF('11.2. ДА за периода'!$B$111:$B$131,$B210,'11.2. ДА за периода'!AF$111:AF$131)</f>
        <v>15.4</v>
      </c>
      <c r="AG210" s="448"/>
      <c r="AH210" s="2971">
        <f>AG210+SUMIF('11.2. ДА за периода'!$B$111:$B$131,$B210,'11.2. ДА за периода'!AH$111:AH$131)</f>
        <v>0</v>
      </c>
      <c r="AI210" s="1226">
        <f>AH210+SUMIF('11.2. ДА за периода'!$B$111:$B$131,$B210,'11.2. ДА за периода'!AI$111:AI$131)</f>
        <v>0</v>
      </c>
      <c r="AJ210" s="1226">
        <f>AI210+SUMIF('11.2. ДА за периода'!$B$111:$B$131,$B210,'11.2. ДА за периода'!AJ$111:AJ$131)</f>
        <v>0</v>
      </c>
      <c r="AK210" s="1226">
        <f>AJ210+SUMIF('11.2. ДА за периода'!$B$111:$B$131,$B210,'11.2. ДА за периода'!AK$111:AK$131)</f>
        <v>0</v>
      </c>
      <c r="AL210" s="1226">
        <f>AK210+SUMIF('11.2. ДА за периода'!$B$111:$B$131,$B210,'11.2. ДА за периода'!AL$111:AL$131)</f>
        <v>0</v>
      </c>
      <c r="AM210" s="2972">
        <f>AL210+SUMIF('11.2. ДА за периода'!$B$111:$B$131,$B210,'11.2. ДА за периода'!AM$111:AM$131)</f>
        <v>0</v>
      </c>
      <c r="AN210" s="2860"/>
      <c r="AO210" s="2898"/>
      <c r="AP210" s="1426"/>
    </row>
    <row r="211" spans="1:42" s="1422" customFormat="1">
      <c r="A211" s="2920">
        <v>19</v>
      </c>
      <c r="B211" s="2863" t="s">
        <v>712</v>
      </c>
      <c r="C211" s="2864">
        <v>0.04</v>
      </c>
      <c r="D211" s="2899" t="s">
        <v>428</v>
      </c>
      <c r="E211" s="448">
        <v>612</v>
      </c>
      <c r="F211" s="2971">
        <f>E211+SUMIF('11.2. ДА за периода'!$B$111:$B$131,$B211,'11.2. ДА за периода'!F$111:F$131)</f>
        <v>612</v>
      </c>
      <c r="G211" s="1226">
        <f>F211+SUMIF('11.2. ДА за периода'!$B$111:$B$131,$B211,'11.2. ДА за периода'!G$111:G$131)</f>
        <v>612</v>
      </c>
      <c r="H211" s="1226">
        <f>G211+SUMIF('11.2. ДА за периода'!$B$111:$B$131,$B211,'11.2. ДА за периода'!H$111:H$131)</f>
        <v>612</v>
      </c>
      <c r="I211" s="1226">
        <f>H211+SUMIF('11.2. ДА за периода'!$B$111:$B$131,$B211,'11.2. ДА за периода'!I$111:I$131)</f>
        <v>612</v>
      </c>
      <c r="J211" s="1226">
        <f>I211+SUMIF('11.2. ДА за периода'!$B$111:$B$131,$B211,'11.2. ДА за периода'!J$111:J$131)</f>
        <v>612</v>
      </c>
      <c r="K211" s="2972">
        <f>J211+SUMIF('11.2. ДА за периода'!$B$111:$B$131,$B211,'11.2. ДА за периода'!K$111:K$131)</f>
        <v>612</v>
      </c>
      <c r="L211" s="448">
        <v>0</v>
      </c>
      <c r="M211" s="2971">
        <f>L211+SUMIF('11.2. ДА за периода'!$B$111:$B$131,$B211,'11.2. ДА за периода'!M$111:M$131)</f>
        <v>0</v>
      </c>
      <c r="N211" s="1226">
        <f>M211+SUMIF('11.2. ДА за периода'!$B$111:$B$131,$B211,'11.2. ДА за периода'!N$111:N$131)</f>
        <v>0</v>
      </c>
      <c r="O211" s="1226">
        <f>N211+SUMIF('11.2. ДА за периода'!$B$111:$B$131,$B211,'11.2. ДА за периода'!O$111:O$131)</f>
        <v>0</v>
      </c>
      <c r="P211" s="1226">
        <f>O211+SUMIF('11.2. ДА за периода'!$B$111:$B$131,$B211,'11.2. ДА за периода'!P$111:P$131)</f>
        <v>0</v>
      </c>
      <c r="Q211" s="1226">
        <f>P211+SUMIF('11.2. ДА за периода'!$B$111:$B$131,$B211,'11.2. ДА за периода'!Q$111:Q$131)</f>
        <v>0</v>
      </c>
      <c r="R211" s="2972">
        <f>Q211+SUMIF('11.2. ДА за периода'!$B$111:$B$131,$B211,'11.2. ДА за периода'!R$111:R$131)</f>
        <v>0</v>
      </c>
      <c r="S211" s="448">
        <v>88</v>
      </c>
      <c r="T211" s="2971">
        <f>S211+SUMIF('11.2. ДА за периода'!$B$111:$B$131,$B211,'11.2. ДА за периода'!T$111:T$131)</f>
        <v>88</v>
      </c>
      <c r="U211" s="1226">
        <f>T211+SUMIF('11.2. ДА за периода'!$B$111:$B$131,$B211,'11.2. ДА за периода'!U$111:U$131)</f>
        <v>88</v>
      </c>
      <c r="V211" s="1226">
        <f>U211+SUMIF('11.2. ДА за периода'!$B$111:$B$131,$B211,'11.2. ДА за периода'!V$111:V$131)</f>
        <v>88</v>
      </c>
      <c r="W211" s="1226">
        <f>V211+SUMIF('11.2. ДА за периода'!$B$111:$B$131,$B211,'11.2. ДА за периода'!W$111:W$131)</f>
        <v>88</v>
      </c>
      <c r="X211" s="1226">
        <f>W211+SUMIF('11.2. ДА за периода'!$B$111:$B$131,$B211,'11.2. ДА за периода'!X$111:X$131)</f>
        <v>88</v>
      </c>
      <c r="Y211" s="2972">
        <f>X211+SUMIF('11.2. ДА за периода'!$B$111:$B$131,$B211,'11.2. ДА за периода'!Y$111:Y$131)</f>
        <v>88</v>
      </c>
      <c r="Z211" s="448">
        <v>11.3</v>
      </c>
      <c r="AA211" s="2971">
        <f>Z211+SUMIF('11.2. ДА за периода'!$B$111:$B$131,$B211,'11.2. ДА за периода'!AA$111:AA$131)</f>
        <v>11.3</v>
      </c>
      <c r="AB211" s="1226">
        <f>AA211+SUMIF('11.2. ДА за периода'!$B$111:$B$131,$B211,'11.2. ДА за периода'!AB$111:AB$131)</f>
        <v>11.3</v>
      </c>
      <c r="AC211" s="1226">
        <f>AB211+SUMIF('11.2. ДА за периода'!$B$111:$B$131,$B211,'11.2. ДА за периода'!AC$111:AC$131)</f>
        <v>11.3</v>
      </c>
      <c r="AD211" s="1226">
        <f>AC211+SUMIF('11.2. ДА за периода'!$B$111:$B$131,$B211,'11.2. ДА за периода'!AD$111:AD$131)</f>
        <v>11.3</v>
      </c>
      <c r="AE211" s="1226">
        <f>AD211+SUMIF('11.2. ДА за периода'!$B$111:$B$131,$B211,'11.2. ДА за периода'!AE$111:AE$131)</f>
        <v>11.3</v>
      </c>
      <c r="AF211" s="2972">
        <f>AE211+SUMIF('11.2. ДА за периода'!$B$111:$B$131,$B211,'11.2. ДА за периода'!AF$111:AF$131)</f>
        <v>11.3</v>
      </c>
      <c r="AG211" s="448"/>
      <c r="AH211" s="2971">
        <f>AG211+SUMIF('11.2. ДА за периода'!$B$111:$B$131,$B211,'11.2. ДА за периода'!AH$111:AH$131)</f>
        <v>0</v>
      </c>
      <c r="AI211" s="1226">
        <f>AH211+SUMIF('11.2. ДА за периода'!$B$111:$B$131,$B211,'11.2. ДА за периода'!AI$111:AI$131)</f>
        <v>0</v>
      </c>
      <c r="AJ211" s="1226">
        <f>AI211+SUMIF('11.2. ДА за периода'!$B$111:$B$131,$B211,'11.2. ДА за периода'!AJ$111:AJ$131)</f>
        <v>0</v>
      </c>
      <c r="AK211" s="1226">
        <f>AJ211+SUMIF('11.2. ДА за периода'!$B$111:$B$131,$B211,'11.2. ДА за периода'!AK$111:AK$131)</f>
        <v>0</v>
      </c>
      <c r="AL211" s="1226">
        <f>AK211+SUMIF('11.2. ДА за периода'!$B$111:$B$131,$B211,'11.2. ДА за периода'!AL$111:AL$131)</f>
        <v>0</v>
      </c>
      <c r="AM211" s="2972">
        <f>AL211+SUMIF('11.2. ДА за периода'!$B$111:$B$131,$B211,'11.2. ДА за периода'!AM$111:AM$131)</f>
        <v>0</v>
      </c>
      <c r="AN211" s="2860"/>
      <c r="AO211" s="2898"/>
      <c r="AP211" s="1426"/>
    </row>
    <row r="212" spans="1:42" s="1422" customFormat="1">
      <c r="A212" s="2920">
        <v>20</v>
      </c>
      <c r="B212" s="2863" t="s">
        <v>724</v>
      </c>
      <c r="C212" s="2864">
        <v>0.04</v>
      </c>
      <c r="D212" s="2918" t="s">
        <v>439</v>
      </c>
      <c r="E212" s="448">
        <v>61</v>
      </c>
      <c r="F212" s="2971">
        <f>E212+SUMIF('11.2. ДА за периода'!$B$111:$B$131,$B212,'11.2. ДА за периода'!F$111:F$131)</f>
        <v>61</v>
      </c>
      <c r="G212" s="1226">
        <f>F212+SUMIF('11.2. ДА за периода'!$B$111:$B$131,$B212,'11.2. ДА за периода'!G$111:G$131)</f>
        <v>61</v>
      </c>
      <c r="H212" s="1226">
        <f>G212+SUMIF('11.2. ДА за периода'!$B$111:$B$131,$B212,'11.2. ДА за периода'!H$111:H$131)</f>
        <v>61</v>
      </c>
      <c r="I212" s="1226">
        <f>H212+SUMIF('11.2. ДА за периода'!$B$111:$B$131,$B212,'11.2. ДА за периода'!I$111:I$131)</f>
        <v>61</v>
      </c>
      <c r="J212" s="1226">
        <f>I212+SUMIF('11.2. ДА за периода'!$B$111:$B$131,$B212,'11.2. ДА за периода'!J$111:J$131)</f>
        <v>61</v>
      </c>
      <c r="K212" s="2972">
        <f>J212+SUMIF('11.2. ДА за периода'!$B$111:$B$131,$B212,'11.2. ДА за периода'!K$111:K$131)</f>
        <v>61</v>
      </c>
      <c r="L212" s="448">
        <v>0</v>
      </c>
      <c r="M212" s="2971">
        <f>L212+SUMIF('11.2. ДА за периода'!$B$111:$B$131,$B212,'11.2. ДА за периода'!M$111:M$131)</f>
        <v>0</v>
      </c>
      <c r="N212" s="1226">
        <f>M212+SUMIF('11.2. ДА за периода'!$B$111:$B$131,$B212,'11.2. ДА за периода'!N$111:N$131)</f>
        <v>0</v>
      </c>
      <c r="O212" s="1226">
        <f>N212+SUMIF('11.2. ДА за периода'!$B$111:$B$131,$B212,'11.2. ДА за периода'!O$111:O$131)</f>
        <v>0</v>
      </c>
      <c r="P212" s="1226">
        <f>O212+SUMIF('11.2. ДА за периода'!$B$111:$B$131,$B212,'11.2. ДА за периода'!P$111:P$131)</f>
        <v>0</v>
      </c>
      <c r="Q212" s="1226">
        <f>P212+SUMIF('11.2. ДА за периода'!$B$111:$B$131,$B212,'11.2. ДА за периода'!Q$111:Q$131)</f>
        <v>0</v>
      </c>
      <c r="R212" s="2972">
        <f>Q212+SUMIF('11.2. ДА за периода'!$B$111:$B$131,$B212,'11.2. ДА за периода'!R$111:R$131)</f>
        <v>0</v>
      </c>
      <c r="S212" s="448">
        <v>146</v>
      </c>
      <c r="T212" s="2971">
        <f>S212+SUMIF('11.2. ДА за периода'!$B$111:$B$131,$B212,'11.2. ДА за периода'!T$111:T$131)</f>
        <v>146</v>
      </c>
      <c r="U212" s="1226">
        <f>T212+SUMIF('11.2. ДА за периода'!$B$111:$B$131,$B212,'11.2. ДА за периода'!U$111:U$131)</f>
        <v>146</v>
      </c>
      <c r="V212" s="1226">
        <f>U212+SUMIF('11.2. ДА за периода'!$B$111:$B$131,$B212,'11.2. ДА за периода'!V$111:V$131)</f>
        <v>146</v>
      </c>
      <c r="W212" s="1226">
        <f>V212+SUMIF('11.2. ДА за периода'!$B$111:$B$131,$B212,'11.2. ДА за периода'!W$111:W$131)</f>
        <v>146</v>
      </c>
      <c r="X212" s="1226">
        <f>W212+SUMIF('11.2. ДА за периода'!$B$111:$B$131,$B212,'11.2. ДА за периода'!X$111:X$131)</f>
        <v>146</v>
      </c>
      <c r="Y212" s="2972">
        <f>X212+SUMIF('11.2. ДА за периода'!$B$111:$B$131,$B212,'11.2. ДА за периода'!Y$111:Y$131)</f>
        <v>146</v>
      </c>
      <c r="Z212" s="448">
        <v>1</v>
      </c>
      <c r="AA212" s="2971">
        <f>Z212+SUMIF('11.2. ДА за периода'!$B$111:$B$131,$B212,'11.2. ДА за периода'!AA$111:AA$131)</f>
        <v>1</v>
      </c>
      <c r="AB212" s="1226">
        <f>AA212+SUMIF('11.2. ДА за периода'!$B$111:$B$131,$B212,'11.2. ДА за периода'!AB$111:AB$131)</f>
        <v>1</v>
      </c>
      <c r="AC212" s="1226">
        <f>AB212+SUMIF('11.2. ДА за периода'!$B$111:$B$131,$B212,'11.2. ДА за периода'!AC$111:AC$131)</f>
        <v>1</v>
      </c>
      <c r="AD212" s="1226">
        <f>AC212+SUMIF('11.2. ДА за периода'!$B$111:$B$131,$B212,'11.2. ДА за периода'!AD$111:AD$131)</f>
        <v>1</v>
      </c>
      <c r="AE212" s="1226">
        <f>AD212+SUMIF('11.2. ДА за периода'!$B$111:$B$131,$B212,'11.2. ДА за периода'!AE$111:AE$131)</f>
        <v>1</v>
      </c>
      <c r="AF212" s="2972">
        <f>AE212+SUMIF('11.2. ДА за периода'!$B$111:$B$131,$B212,'11.2. ДА за периода'!AF$111:AF$131)</f>
        <v>1</v>
      </c>
      <c r="AG212" s="448"/>
      <c r="AH212" s="2971">
        <f>AG212+SUMIF('11.2. ДА за периода'!$B$111:$B$131,$B212,'11.2. ДА за периода'!AH$111:AH$131)</f>
        <v>0</v>
      </c>
      <c r="AI212" s="1226">
        <f>AH212+SUMIF('11.2. ДА за периода'!$B$111:$B$131,$B212,'11.2. ДА за периода'!AI$111:AI$131)</f>
        <v>0</v>
      </c>
      <c r="AJ212" s="1226">
        <f>AI212+SUMIF('11.2. ДА за периода'!$B$111:$B$131,$B212,'11.2. ДА за периода'!AJ$111:AJ$131)</f>
        <v>0</v>
      </c>
      <c r="AK212" s="1226">
        <f>AJ212+SUMIF('11.2. ДА за периода'!$B$111:$B$131,$B212,'11.2. ДА за периода'!AK$111:AK$131)</f>
        <v>0</v>
      </c>
      <c r="AL212" s="1226">
        <f>AK212+SUMIF('11.2. ДА за периода'!$B$111:$B$131,$B212,'11.2. ДА за периода'!AL$111:AL$131)</f>
        <v>0</v>
      </c>
      <c r="AM212" s="2972">
        <f>AL212+SUMIF('11.2. ДА за периода'!$B$111:$B$131,$B212,'11.2. ДА за периода'!AM$111:AM$131)</f>
        <v>0</v>
      </c>
      <c r="AN212" s="2860"/>
      <c r="AO212" s="2898"/>
      <c r="AP212" s="1426"/>
    </row>
    <row r="213" spans="1:42" s="1422" customFormat="1" ht="24.75" thickBot="1">
      <c r="A213" s="2920">
        <v>21</v>
      </c>
      <c r="B213" s="2863" t="s">
        <v>714</v>
      </c>
      <c r="C213" s="2869">
        <v>0.2</v>
      </c>
      <c r="D213" s="2899" t="s">
        <v>685</v>
      </c>
      <c r="E213" s="448">
        <v>0</v>
      </c>
      <c r="F213" s="2988">
        <f>E213+SUMIF('11.2. ДА за периода'!$B$111:$B$131,$B213,'11.2. ДА за периода'!F$111:F$131)</f>
        <v>0</v>
      </c>
      <c r="G213" s="1228">
        <f>F213+SUMIF('11.2. ДА за периода'!$B$111:$B$131,$B213,'11.2. ДА за периода'!G$111:G$131)</f>
        <v>0</v>
      </c>
      <c r="H213" s="1228">
        <f>G213+SUMIF('11.2. ДА за периода'!$B$111:$B$131,$B213,'11.2. ДА за периода'!H$111:H$131)</f>
        <v>0</v>
      </c>
      <c r="I213" s="1228">
        <f>H213+SUMIF('11.2. ДА за периода'!$B$111:$B$131,$B213,'11.2. ДА за периода'!I$111:I$131)</f>
        <v>341.36799999999999</v>
      </c>
      <c r="J213" s="1228">
        <f>I213+SUMIF('11.2. ДА за периода'!$B$111:$B$131,$B213,'11.2. ДА за периода'!J$111:J$131)</f>
        <v>341.36799999999999</v>
      </c>
      <c r="K213" s="2989">
        <f>J213+SUMIF('11.2. ДА за периода'!$B$111:$B$131,$B213,'11.2. ДА за периода'!K$111:K$131)</f>
        <v>341.36799999999999</v>
      </c>
      <c r="L213" s="448">
        <v>0</v>
      </c>
      <c r="M213" s="2988">
        <f>L213+SUMIF('11.2. ДА за периода'!$B$111:$B$131,$B213,'11.2. ДА за периода'!M$111:M$131)</f>
        <v>0</v>
      </c>
      <c r="N213" s="1228">
        <f>M213+SUMIF('11.2. ДА за периода'!$B$111:$B$131,$B213,'11.2. ДА за периода'!N$111:N$131)</f>
        <v>0</v>
      </c>
      <c r="O213" s="1228">
        <f>N213+SUMIF('11.2. ДА за периода'!$B$111:$B$131,$B213,'11.2. ДА за периода'!O$111:O$131)</f>
        <v>0</v>
      </c>
      <c r="P213" s="1228">
        <f>O213+SUMIF('11.2. ДА за периода'!$B$111:$B$131,$B213,'11.2. ДА за периода'!P$111:P$131)</f>
        <v>580.00400000000002</v>
      </c>
      <c r="Q213" s="1228">
        <f>P213+SUMIF('11.2. ДА за периода'!$B$111:$B$131,$B213,'11.2. ДА за периода'!Q$111:Q$131)</f>
        <v>580.00400000000002</v>
      </c>
      <c r="R213" s="2989">
        <f>Q213+SUMIF('11.2. ДА за периода'!$B$111:$B$131,$B213,'11.2. ДА за периода'!R$111:R$131)</f>
        <v>580.00400000000002</v>
      </c>
      <c r="S213" s="448">
        <v>0</v>
      </c>
      <c r="T213" s="2988">
        <f>S213+SUMIF('11.2. ДА за периода'!$B$111:$B$131,$B213,'11.2. ДА за периода'!T$111:T$131)</f>
        <v>0</v>
      </c>
      <c r="U213" s="1228">
        <f>T213+SUMIF('11.2. ДА за периода'!$B$111:$B$131,$B213,'11.2. ДА за периода'!U$111:U$131)</f>
        <v>0</v>
      </c>
      <c r="V213" s="1228">
        <f>U213+SUMIF('11.2. ДА за периода'!$B$111:$B$131,$B213,'11.2. ДА за периода'!V$111:V$131)</f>
        <v>0</v>
      </c>
      <c r="W213" s="1228">
        <f>V213+SUMIF('11.2. ДА за периода'!$B$111:$B$131,$B213,'11.2. ДА за периода'!W$111:W$131)</f>
        <v>0</v>
      </c>
      <c r="X213" s="1228">
        <f>W213+SUMIF('11.2. ДА за периода'!$B$111:$B$131,$B213,'11.2. ДА за периода'!X$111:X$131)</f>
        <v>0</v>
      </c>
      <c r="Y213" s="2989">
        <f>X213+SUMIF('11.2. ДА за периода'!$B$111:$B$131,$B213,'11.2. ДА за периода'!Y$111:Y$131)</f>
        <v>0</v>
      </c>
      <c r="Z213" s="448">
        <v>0</v>
      </c>
      <c r="AA213" s="2988">
        <f>Z213+SUMIF('11.2. ДА за периода'!$B$111:$B$131,$B213,'11.2. ДА за периода'!AA$111:AA$131)</f>
        <v>0</v>
      </c>
      <c r="AB213" s="1228">
        <f>AA213+SUMIF('11.2. ДА за периода'!$B$111:$B$131,$B213,'11.2. ДА за периода'!AB$111:AB$131)</f>
        <v>0</v>
      </c>
      <c r="AC213" s="1228">
        <f>AB213+SUMIF('11.2. ДА за периода'!$B$111:$B$131,$B213,'11.2. ДА за периода'!AC$111:AC$131)</f>
        <v>0</v>
      </c>
      <c r="AD213" s="1228">
        <f>AC213+SUMIF('11.2. ДА за периода'!$B$111:$B$131,$B213,'11.2. ДА за периода'!AD$111:AD$131)</f>
        <v>0</v>
      </c>
      <c r="AE213" s="1228">
        <f>AD213+SUMIF('11.2. ДА за периода'!$B$111:$B$131,$B213,'11.2. ДА за периода'!AE$111:AE$131)</f>
        <v>0</v>
      </c>
      <c r="AF213" s="2989">
        <f>AE213+SUMIF('11.2. ДА за периода'!$B$111:$B$131,$B213,'11.2. ДА за периода'!AF$111:AF$131)</f>
        <v>0</v>
      </c>
      <c r="AG213" s="448"/>
      <c r="AH213" s="2988">
        <f>AG213+SUMIF('11.2. ДА за периода'!$B$111:$B$131,$B213,'11.2. ДА за периода'!AH$111:AH$131)</f>
        <v>0</v>
      </c>
      <c r="AI213" s="1228">
        <f>AH213+SUMIF('11.2. ДА за периода'!$B$111:$B$131,$B213,'11.2. ДА за периода'!AI$111:AI$131)</f>
        <v>0</v>
      </c>
      <c r="AJ213" s="1228">
        <f>AI213+SUMIF('11.2. ДА за периода'!$B$111:$B$131,$B213,'11.2. ДА за периода'!AJ$111:AJ$131)</f>
        <v>0</v>
      </c>
      <c r="AK213" s="1228">
        <f>AJ213+SUMIF('11.2. ДА за периода'!$B$111:$B$131,$B213,'11.2. ДА за периода'!AK$111:AK$131)</f>
        <v>0</v>
      </c>
      <c r="AL213" s="1228">
        <f>AK213+SUMIF('11.2. ДА за периода'!$B$111:$B$131,$B213,'11.2. ДА за периода'!AL$111:AL$131)</f>
        <v>0</v>
      </c>
      <c r="AM213" s="2989">
        <f>AL213+SUMIF('11.2. ДА за периода'!$B$111:$B$131,$B213,'11.2. ДА за периода'!AM$111:AM$131)</f>
        <v>0</v>
      </c>
      <c r="AN213" s="2860"/>
      <c r="AO213" s="2898"/>
      <c r="AP213" s="1426"/>
    </row>
    <row r="214" spans="1:42" s="1422" customFormat="1" ht="13.5" thickBot="1">
      <c r="A214" s="4440" t="s">
        <v>211</v>
      </c>
      <c r="B214" s="2886"/>
      <c r="C214" s="2886"/>
      <c r="D214" s="2849" t="s">
        <v>223</v>
      </c>
      <c r="E214" s="1343">
        <f t="shared" ref="E214:AM214" si="88">SUM(E215:E235)</f>
        <v>370.29900000000004</v>
      </c>
      <c r="F214" s="2986">
        <f t="shared" si="88"/>
        <v>370.29900000000004</v>
      </c>
      <c r="G214" s="1237">
        <f t="shared" si="88"/>
        <v>367.29900000000004</v>
      </c>
      <c r="H214" s="1237">
        <f t="shared" si="88"/>
        <v>354.29900000000004</v>
      </c>
      <c r="I214" s="1238">
        <f t="shared" si="88"/>
        <v>947.87132000000008</v>
      </c>
      <c r="J214" s="1237">
        <f t="shared" si="88"/>
        <v>944.87132000000008</v>
      </c>
      <c r="K214" s="1237">
        <f t="shared" si="88"/>
        <v>944.87132000000008</v>
      </c>
      <c r="L214" s="1343">
        <f t="shared" si="88"/>
        <v>713.31399999999996</v>
      </c>
      <c r="M214" s="2986">
        <f t="shared" si="88"/>
        <v>713.31399999999996</v>
      </c>
      <c r="N214" s="1237">
        <f t="shared" si="88"/>
        <v>713.31399999999996</v>
      </c>
      <c r="O214" s="1237">
        <f t="shared" si="88"/>
        <v>713.31399999999996</v>
      </c>
      <c r="P214" s="1238">
        <f t="shared" si="88"/>
        <v>1666.96036</v>
      </c>
      <c r="Q214" s="1237">
        <f t="shared" si="88"/>
        <v>1666.96036</v>
      </c>
      <c r="R214" s="1237">
        <f t="shared" si="88"/>
        <v>1666.96036</v>
      </c>
      <c r="S214" s="1343">
        <f t="shared" si="88"/>
        <v>78.7</v>
      </c>
      <c r="T214" s="2986">
        <f t="shared" si="88"/>
        <v>78.7</v>
      </c>
      <c r="U214" s="1237">
        <f t="shared" si="88"/>
        <v>78.7</v>
      </c>
      <c r="V214" s="1237">
        <f t="shared" si="88"/>
        <v>74.7</v>
      </c>
      <c r="W214" s="1238">
        <f t="shared" si="88"/>
        <v>821.6536000000001</v>
      </c>
      <c r="X214" s="1237">
        <f t="shared" si="88"/>
        <v>821.6536000000001</v>
      </c>
      <c r="Y214" s="2987">
        <f t="shared" si="88"/>
        <v>821.6536000000001</v>
      </c>
      <c r="Z214" s="1343">
        <f t="shared" si="88"/>
        <v>0.8</v>
      </c>
      <c r="AA214" s="2986">
        <f t="shared" si="88"/>
        <v>0.8</v>
      </c>
      <c r="AB214" s="1237">
        <f t="shared" si="88"/>
        <v>0.8</v>
      </c>
      <c r="AC214" s="1237">
        <f t="shared" si="88"/>
        <v>0.8</v>
      </c>
      <c r="AD214" s="1238">
        <f t="shared" si="88"/>
        <v>0.8</v>
      </c>
      <c r="AE214" s="1237">
        <f t="shared" si="88"/>
        <v>0.8</v>
      </c>
      <c r="AF214" s="2987">
        <f t="shared" si="88"/>
        <v>0.8</v>
      </c>
      <c r="AG214" s="1343">
        <f t="shared" si="88"/>
        <v>0</v>
      </c>
      <c r="AH214" s="2986">
        <f t="shared" si="88"/>
        <v>0</v>
      </c>
      <c r="AI214" s="1237">
        <f t="shared" si="88"/>
        <v>0</v>
      </c>
      <c r="AJ214" s="1237">
        <f t="shared" si="88"/>
        <v>0</v>
      </c>
      <c r="AK214" s="1238">
        <f t="shared" si="88"/>
        <v>0</v>
      </c>
      <c r="AL214" s="1237">
        <f t="shared" si="88"/>
        <v>0</v>
      </c>
      <c r="AM214" s="2987">
        <f t="shared" si="88"/>
        <v>0</v>
      </c>
      <c r="AN214" s="2871"/>
      <c r="AO214" s="2898"/>
      <c r="AP214" s="1426"/>
    </row>
    <row r="215" spans="1:42" s="1422" customFormat="1">
      <c r="A215" s="2862">
        <v>1</v>
      </c>
      <c r="B215" s="2923" t="s">
        <v>703</v>
      </c>
      <c r="C215" s="2880">
        <v>0</v>
      </c>
      <c r="D215" s="2924" t="s">
        <v>564</v>
      </c>
      <c r="E215" s="448">
        <v>14</v>
      </c>
      <c r="F215" s="2968">
        <f>$E215-SUMIF('11.2. ДА за периода'!$B$155:$B$175,$B215,'11.2. ДА за периода'!$E$155:$E$175)+SUMIF('11.2. ДА за периода'!$B$155:$B$175,$B215,'11.2. ДА за периода'!F$155:F$175)</f>
        <v>14</v>
      </c>
      <c r="G215" s="1235">
        <f>$E215-SUMIF('11.2. ДА за периода'!$B$155:$B$175,$B215,'11.2. ДА за периода'!$E$155:$E$175)+SUMIF('11.2. ДА за периода'!$B$155:$B$175,$B215,'11.2. ДА за периода'!G$155:G$175)</f>
        <v>14</v>
      </c>
      <c r="H215" s="1235">
        <f>$E215-SUMIF('11.2. ДА за периода'!$B$155:$B$175,$B215,'11.2. ДА за периода'!$E$155:$E$175)+SUMIF('11.2. ДА за периода'!$B$155:$B$175,$B215,'11.2. ДА за периода'!H$155:H$175)</f>
        <v>14</v>
      </c>
      <c r="I215" s="1235">
        <f>$E215-SUMIF('11.2. ДА за периода'!$B$155:$B$175,$B215,'11.2. ДА за периода'!$E$155:$E$175)+SUMIF('11.2. ДА за периода'!$B$155:$B$175,$B215,'11.2. ДА за периода'!I$155:I$175)</f>
        <v>14</v>
      </c>
      <c r="J215" s="1235">
        <f>$E215-SUMIF('11.2. ДА за периода'!$B$155:$B$175,$B215,'11.2. ДА за периода'!$E$155:$E$175)+SUMIF('11.2. ДА за периода'!$B$155:$B$175,$B215,'11.2. ДА за периода'!J$155:J$175)</f>
        <v>14</v>
      </c>
      <c r="K215" s="2969">
        <f>$E215-SUMIF('11.2. ДА за периода'!$B$155:$B$175,$B215,'11.2. ДА за периода'!$E$155:$E$175)+SUMIF('11.2. ДА за периода'!$B$155:$B$175,$B215,'11.2. ДА за периода'!K$155:K$175)</f>
        <v>14</v>
      </c>
      <c r="L215" s="448">
        <v>0</v>
      </c>
      <c r="M215" s="2968">
        <f>$L215-SUMIF('11.2. ДА за периода'!$B$155:$B$175,$B215,'11.2. ДА за периода'!$L$155:$L$175)+SUMIF('11.2. ДА за периода'!$B$155:$B$175,$B215,'11.2. ДА за периода'!M$155:M$175)</f>
        <v>0</v>
      </c>
      <c r="N215" s="1235">
        <f>$L215-SUMIF('11.2. ДА за периода'!$B$155:$B$175,$B215,'11.2. ДА за периода'!$L$155:$L$175)+SUMIF('11.2. ДА за периода'!$B$155:$B$175,$B215,'11.2. ДА за периода'!N$155:N$175)</f>
        <v>0</v>
      </c>
      <c r="O215" s="1235">
        <f>$L215-SUMIF('11.2. ДА за периода'!$B$155:$B$175,$B215,'11.2. ДА за периода'!$L$155:$L$175)+SUMIF('11.2. ДА за периода'!$B$155:$B$175,$B215,'11.2. ДА за периода'!O$155:O$175)</f>
        <v>0</v>
      </c>
      <c r="P215" s="1235">
        <f>$L215-SUMIF('11.2. ДА за периода'!$B$155:$B$175,$B215,'11.2. ДА за периода'!$L$155:$L$175)+SUMIF('11.2. ДА за периода'!$B$155:$B$175,$B215,'11.2. ДА за периода'!P$155:P$175)</f>
        <v>0</v>
      </c>
      <c r="Q215" s="1235">
        <f>$L215-SUMIF('11.2. ДА за периода'!$B$155:$B$175,$B215,'11.2. ДА за периода'!$L$155:$L$175)+SUMIF('11.2. ДА за периода'!$B$155:$B$175,$B215,'11.2. ДА за периода'!Q$155:Q$175)</f>
        <v>0</v>
      </c>
      <c r="R215" s="2969">
        <f>$L215-SUMIF('11.2. ДА за периода'!$B$155:$B$175,$B215,'11.2. ДА за периода'!$L$155:$L$175)+SUMIF('11.2. ДА за периода'!$B$155:$B$175,$B215,'11.2. ДА за периода'!R$155:R$175)</f>
        <v>0</v>
      </c>
      <c r="S215" s="448">
        <v>0</v>
      </c>
      <c r="T215" s="2968">
        <f>$S215-SUMIF('11.2. ДА за периода'!$B$155:$B$175,$B215,'11.2. ДА за периода'!$S$155:$S$175)+SUMIF('11.2. ДА за периода'!$B$155:$B$175,$B215,'11.2. ДА за периода'!T$155:T$175)</f>
        <v>0</v>
      </c>
      <c r="U215" s="1235">
        <f>$S215-SUMIF('11.2. ДА за периода'!$B$155:$B$175,$B215,'11.2. ДА за периода'!$S$155:$S$175)+SUMIF('11.2. ДА за периода'!$B$155:$B$175,$B215,'11.2. ДА за периода'!U$155:U$175)</f>
        <v>0</v>
      </c>
      <c r="V215" s="1235">
        <f>$S215-SUMIF('11.2. ДА за периода'!$B$155:$B$175,$B215,'11.2. ДА за периода'!$S$155:$S$175)+SUMIF('11.2. ДА за периода'!$B$155:$B$175,$B215,'11.2. ДА за периода'!V$155:V$175)</f>
        <v>0</v>
      </c>
      <c r="W215" s="1235">
        <f>$S215-SUMIF('11.2. ДА за периода'!$B$155:$B$175,$B215,'11.2. ДА за периода'!$S$155:$S$175)+SUMIF('11.2. ДА за периода'!$B$155:$B$175,$B215,'11.2. ДА за периода'!W$155:W$175)</f>
        <v>0</v>
      </c>
      <c r="X215" s="1235">
        <f>$S215-SUMIF('11.2. ДА за периода'!$B$155:$B$175,$B215,'11.2. ДА за периода'!$S$155:$S$175)+SUMIF('11.2. ДА за периода'!$B$155:$B$175,$B215,'11.2. ДА за периода'!X$155:X$175)</f>
        <v>0</v>
      </c>
      <c r="Y215" s="2969">
        <f>$S215-SUMIF('11.2. ДА за периода'!$B$155:$B$175,$B215,'11.2. ДА за периода'!$S$155:$S$175)+SUMIF('11.2. ДА за периода'!$B$155:$B$175,$B215,'11.2. ДА за периода'!Y$155:Y$175)</f>
        <v>0</v>
      </c>
      <c r="Z215" s="448">
        <v>0</v>
      </c>
      <c r="AA215" s="2968">
        <f>$Z215-SUMIF('11.2. ДА за периода'!$B$155:$B$175,$B215,'11.2. ДА за периода'!$Z$155:$Z$175)+SUMIF('11.2. ДА за периода'!$B$155:$B$175,$B215,'11.2. ДА за периода'!AA$155:AA$175)</f>
        <v>0</v>
      </c>
      <c r="AB215" s="1235">
        <f>$Z215-SUMIF('11.2. ДА за периода'!$B$155:$B$175,$B215,'11.2. ДА за периода'!$Z$155:$Z$175)+SUMIF('11.2. ДА за периода'!$B$155:$B$175,$B215,'11.2. ДА за периода'!AB$155:AB$175)</f>
        <v>0</v>
      </c>
      <c r="AC215" s="1235">
        <f>$Z215-SUMIF('11.2. ДА за периода'!$B$155:$B$175,$B215,'11.2. ДА за периода'!$Z$155:$Z$175)+SUMIF('11.2. ДА за периода'!$B$155:$B$175,$B215,'11.2. ДА за периода'!AC$155:AC$175)</f>
        <v>0</v>
      </c>
      <c r="AD215" s="1235">
        <f>$Z215-SUMIF('11.2. ДА за периода'!$B$155:$B$175,$B215,'11.2. ДА за периода'!$Z$155:$Z$175)+SUMIF('11.2. ДА за периода'!$B$155:$B$175,$B215,'11.2. ДА за периода'!AD$155:AD$175)</f>
        <v>0</v>
      </c>
      <c r="AE215" s="1235">
        <f>$Z215-SUMIF('11.2. ДА за периода'!$B$155:$B$175,$B215,'11.2. ДА за периода'!$Z$155:$Z$175)+SUMIF('11.2. ДА за периода'!$B$155:$B$175,$B215,'11.2. ДА за периода'!AE$155:AE$175)</f>
        <v>0</v>
      </c>
      <c r="AF215" s="2969">
        <f>$Z215-SUMIF('11.2. ДА за периода'!$B$155:$B$175,$B215,'11.2. ДА за периода'!$Z$155:$Z$175)+SUMIF('11.2. ДА за периода'!$B$155:$B$175,$B215,'11.2. ДА за периода'!AF$155:AF$175)</f>
        <v>0</v>
      </c>
      <c r="AG215" s="448"/>
      <c r="AH215" s="2968">
        <f>$AG215-SUMIF('11.2. ДА за периода'!$B$155:$B$175,$B215,'11.2. ДА за периода'!$AG$155:$AG$175)+SUMIF('11.2. ДА за периода'!$B$155:$B$175,$B215,'11.2. ДА за периода'!AH$155:AH$175)</f>
        <v>0</v>
      </c>
      <c r="AI215" s="1235">
        <f>$AG215-SUMIF('11.2. ДА за периода'!$B$155:$B$175,$B215,'11.2. ДА за периода'!$AG$155:$AG$175)+SUMIF('11.2. ДА за периода'!$B$155:$B$175,$B215,'11.2. ДА за периода'!AI$155:AI$175)</f>
        <v>0</v>
      </c>
      <c r="AJ215" s="1235">
        <f>$AG215-SUMIF('11.2. ДА за периода'!$B$155:$B$175,$B215,'11.2. ДА за периода'!$AG$155:$AG$175)+SUMIF('11.2. ДА за периода'!$B$155:$B$175,$B215,'11.2. ДА за периода'!AJ$155:AJ$175)</f>
        <v>0</v>
      </c>
      <c r="AK215" s="1235">
        <f>$AG215-SUMIF('11.2. ДА за периода'!$B$155:$B$175,$B215,'11.2. ДА за периода'!$AG$155:$AG$175)+SUMIF('11.2. ДА за периода'!$B$155:$B$175,$B215,'11.2. ДА за периода'!AK$155:AK$175)</f>
        <v>0</v>
      </c>
      <c r="AL215" s="1235">
        <f>$AG215-SUMIF('11.2. ДА за периода'!$B$155:$B$175,$B215,'11.2. ДА за периода'!$AG$155:$AG$175)+SUMIF('11.2. ДА за периода'!$B$155:$B$175,$B215,'11.2. ДА за периода'!AL$155:AL$175)</f>
        <v>0</v>
      </c>
      <c r="AM215" s="2969">
        <f>$AG215-SUMIF('11.2. ДА за периода'!$B$155:$B$175,$B215,'11.2. ДА за периода'!$AG$155:$AG$175)+SUMIF('11.2. ДА за периода'!$B$155:$B$175,$B215,'11.2. ДА за периода'!AM$155:AM$175)</f>
        <v>0</v>
      </c>
      <c r="AN215" s="2871"/>
      <c r="AO215" s="2898"/>
      <c r="AP215" s="1426"/>
    </row>
    <row r="216" spans="1:42" s="1422" customFormat="1">
      <c r="A216" s="2862">
        <v>2</v>
      </c>
      <c r="B216" s="2863" t="s">
        <v>704</v>
      </c>
      <c r="C216" s="2864">
        <v>0.03</v>
      </c>
      <c r="D216" s="2918" t="s">
        <v>431</v>
      </c>
      <c r="E216" s="448">
        <f>3+3.983</f>
        <v>6.9830000000000005</v>
      </c>
      <c r="F216" s="2971">
        <f>$E216-SUMIF('11.2. ДА за периода'!$B$155:$B$175,$B216,'11.2. ДА за периода'!$E$155:$E$175)+SUMIF('11.2. ДА за периода'!$B$155:$B$175,$B216,'11.2. ДА за периода'!F$155:F$175)</f>
        <v>6.9830000000000005</v>
      </c>
      <c r="G216" s="1226">
        <f>$E216-SUMIF('11.2. ДА за периода'!$B$155:$B$175,$B216,'11.2. ДА за периода'!$E$155:$E$175)+SUMIF('11.2. ДА за периода'!$B$155:$B$175,$B216,'11.2. ДА за периода'!G$155:G$175)</f>
        <v>6.9830000000000005</v>
      </c>
      <c r="H216" s="1226">
        <f>$E216-SUMIF('11.2. ДА за периода'!$B$155:$B$175,$B216,'11.2. ДА за периода'!$E$155:$E$175)+SUMIF('11.2. ДА за периода'!$B$155:$B$175,$B216,'11.2. ДА за периода'!H$155:H$175)</f>
        <v>6.9830000000000005</v>
      </c>
      <c r="I216" s="1226">
        <f>$E216-SUMIF('11.2. ДА за периода'!$B$155:$B$175,$B216,'11.2. ДА за периода'!$E$155:$E$175)+SUMIF('11.2. ДА за периода'!$B$155:$B$175,$B216,'11.2. ДА за периода'!I$155:I$175)</f>
        <v>6.9830000000000005</v>
      </c>
      <c r="J216" s="1226">
        <f>$E216-SUMIF('11.2. ДА за периода'!$B$155:$B$175,$B216,'11.2. ДА за периода'!$E$155:$E$175)+SUMIF('11.2. ДА за периода'!$B$155:$B$175,$B216,'11.2. ДА за периода'!J$155:J$175)</f>
        <v>6.9830000000000005</v>
      </c>
      <c r="K216" s="2972">
        <f>$E216-SUMIF('11.2. ДА за периода'!$B$155:$B$175,$B216,'11.2. ДА за периода'!$E$155:$E$175)+SUMIF('11.2. ДА за периода'!$B$155:$B$175,$B216,'11.2. ДА за периода'!K$155:K$175)</f>
        <v>6.9830000000000005</v>
      </c>
      <c r="L216" s="448">
        <v>0</v>
      </c>
      <c r="M216" s="2971">
        <f>$L216-SUMIF('11.2. ДА за периода'!$B$155:$B$175,$B216,'11.2. ДА за периода'!$L$155:$L$175)+SUMIF('11.2. ДА за периода'!$B$155:$B$175,$B216,'11.2. ДА за периода'!M$155:M$175)</f>
        <v>0</v>
      </c>
      <c r="N216" s="1226">
        <f>$L216-SUMIF('11.2. ДА за периода'!$B$155:$B$175,$B216,'11.2. ДА за периода'!$L$155:$L$175)+SUMIF('11.2. ДА за периода'!$B$155:$B$175,$B216,'11.2. ДА за периода'!N$155:N$175)</f>
        <v>0</v>
      </c>
      <c r="O216" s="1226">
        <f>$L216-SUMIF('11.2. ДА за периода'!$B$155:$B$175,$B216,'11.2. ДА за периода'!$L$155:$L$175)+SUMIF('11.2. ДА за периода'!$B$155:$B$175,$B216,'11.2. ДА за периода'!O$155:O$175)</f>
        <v>0</v>
      </c>
      <c r="P216" s="1226">
        <f>$L216-SUMIF('11.2. ДА за периода'!$B$155:$B$175,$B216,'11.2. ДА за периода'!$L$155:$L$175)+SUMIF('11.2. ДА за периода'!$B$155:$B$175,$B216,'11.2. ДА за периода'!P$155:P$175)</f>
        <v>60.365099999999998</v>
      </c>
      <c r="Q216" s="1226">
        <f>$L216-SUMIF('11.2. ДА за периода'!$B$155:$B$175,$B216,'11.2. ДА за периода'!$L$155:$L$175)+SUMIF('11.2. ДА за периода'!$B$155:$B$175,$B216,'11.2. ДА за периода'!Q$155:Q$175)</f>
        <v>60.365099999999998</v>
      </c>
      <c r="R216" s="2972">
        <f>$L216-SUMIF('11.2. ДА за периода'!$B$155:$B$175,$B216,'11.2. ДА за периода'!$L$155:$L$175)+SUMIF('11.2. ДА за периода'!$B$155:$B$175,$B216,'11.2. ДА за периода'!R$155:R$175)</f>
        <v>60.365099999999998</v>
      </c>
      <c r="S216" s="448">
        <v>5.3</v>
      </c>
      <c r="T216" s="2971">
        <f>$S216-SUMIF('11.2. ДА за периода'!$B$155:$B$175,$B216,'11.2. ДА за периода'!$S$155:$S$175)+SUMIF('11.2. ДА за периода'!$B$155:$B$175,$B216,'11.2. ДА за периода'!T$155:T$175)</f>
        <v>5.3</v>
      </c>
      <c r="U216" s="1226">
        <f>$S216-SUMIF('11.2. ДА за периода'!$B$155:$B$175,$B216,'11.2. ДА за периода'!$S$155:$S$175)+SUMIF('11.2. ДА за периода'!$B$155:$B$175,$B216,'11.2. ДА за периода'!U$155:U$175)</f>
        <v>5.3</v>
      </c>
      <c r="V216" s="1226">
        <f>$S216-SUMIF('11.2. ДА за периода'!$B$155:$B$175,$B216,'11.2. ДА за периода'!$S$155:$S$175)+SUMIF('11.2. ДА за периода'!$B$155:$B$175,$B216,'11.2. ДА за периода'!V$155:V$175)</f>
        <v>5.3</v>
      </c>
      <c r="W216" s="1226">
        <f>$S216-SUMIF('11.2. ДА за периода'!$B$155:$B$175,$B216,'11.2. ДА за периода'!$S$155:$S$175)+SUMIF('11.2. ДА за периода'!$B$155:$B$175,$B216,'11.2. ДА за периода'!W$155:W$175)</f>
        <v>5.3</v>
      </c>
      <c r="X216" s="1226">
        <f>$S216-SUMIF('11.2. ДА за периода'!$B$155:$B$175,$B216,'11.2. ДА за периода'!$S$155:$S$175)+SUMIF('11.2. ДА за периода'!$B$155:$B$175,$B216,'11.2. ДА за периода'!X$155:X$175)</f>
        <v>5.3</v>
      </c>
      <c r="Y216" s="2972">
        <f>$S216-SUMIF('11.2. ДА за периода'!$B$155:$B$175,$B216,'11.2. ДА за периода'!$S$155:$S$175)+SUMIF('11.2. ДА за периода'!$B$155:$B$175,$B216,'11.2. ДА за периода'!Y$155:Y$175)</f>
        <v>5.3</v>
      </c>
      <c r="Z216" s="448">
        <v>0</v>
      </c>
      <c r="AA216" s="2971">
        <f>$Z216-SUMIF('11.2. ДА за периода'!$B$155:$B$175,$B216,'11.2. ДА за периода'!$Z$155:$Z$175)+SUMIF('11.2. ДА за периода'!$B$155:$B$175,$B216,'11.2. ДА за периода'!AA$155:AA$175)</f>
        <v>0</v>
      </c>
      <c r="AB216" s="1226">
        <f>$Z216-SUMIF('11.2. ДА за периода'!$B$155:$B$175,$B216,'11.2. ДА за периода'!$Z$155:$Z$175)+SUMIF('11.2. ДА за периода'!$B$155:$B$175,$B216,'11.2. ДА за периода'!AB$155:AB$175)</f>
        <v>0</v>
      </c>
      <c r="AC216" s="1226">
        <f>$Z216-SUMIF('11.2. ДА за периода'!$B$155:$B$175,$B216,'11.2. ДА за периода'!$Z$155:$Z$175)+SUMIF('11.2. ДА за периода'!$B$155:$B$175,$B216,'11.2. ДА за периода'!AC$155:AC$175)</f>
        <v>0</v>
      </c>
      <c r="AD216" s="1226">
        <f>$Z216-SUMIF('11.2. ДА за периода'!$B$155:$B$175,$B216,'11.2. ДА за периода'!$Z$155:$Z$175)+SUMIF('11.2. ДА за периода'!$B$155:$B$175,$B216,'11.2. ДА за периода'!AD$155:AD$175)</f>
        <v>0</v>
      </c>
      <c r="AE216" s="1226">
        <f>$Z216-SUMIF('11.2. ДА за периода'!$B$155:$B$175,$B216,'11.2. ДА за периода'!$Z$155:$Z$175)+SUMIF('11.2. ДА за периода'!$B$155:$B$175,$B216,'11.2. ДА за периода'!AE$155:AE$175)</f>
        <v>0</v>
      </c>
      <c r="AF216" s="2972">
        <f>$Z216-SUMIF('11.2. ДА за периода'!$B$155:$B$175,$B216,'11.2. ДА за периода'!$Z$155:$Z$175)+SUMIF('11.2. ДА за периода'!$B$155:$B$175,$B216,'11.2. ДА за периода'!AF$155:AF$175)</f>
        <v>0</v>
      </c>
      <c r="AG216" s="448"/>
      <c r="AH216" s="2971">
        <f>$AG216-SUMIF('11.2. ДА за периода'!$B$155:$B$175,$B216,'11.2. ДА за периода'!$AG$155:$AG$175)+SUMIF('11.2. ДА за периода'!$B$155:$B$175,$B216,'11.2. ДА за периода'!AH$155:AH$175)</f>
        <v>0</v>
      </c>
      <c r="AI216" s="1226">
        <f>$AG216-SUMIF('11.2. ДА за периода'!$B$155:$B$175,$B216,'11.2. ДА за периода'!$AG$155:$AG$175)+SUMIF('11.2. ДА за периода'!$B$155:$B$175,$B216,'11.2. ДА за периода'!AI$155:AI$175)</f>
        <v>0</v>
      </c>
      <c r="AJ216" s="1226">
        <f>$AG216-SUMIF('11.2. ДА за периода'!$B$155:$B$175,$B216,'11.2. ДА за периода'!$AG$155:$AG$175)+SUMIF('11.2. ДА за периода'!$B$155:$B$175,$B216,'11.2. ДА за периода'!AJ$155:AJ$175)</f>
        <v>0</v>
      </c>
      <c r="AK216" s="1226">
        <f>$AG216-SUMIF('11.2. ДА за периода'!$B$155:$B$175,$B216,'11.2. ДА за периода'!$AG$155:$AG$175)+SUMIF('11.2. ДА за периода'!$B$155:$B$175,$B216,'11.2. ДА за периода'!AK$155:AK$175)</f>
        <v>0</v>
      </c>
      <c r="AL216" s="1226">
        <f>$AG216-SUMIF('11.2. ДА за периода'!$B$155:$B$175,$B216,'11.2. ДА за периода'!$AG$155:$AG$175)+SUMIF('11.2. ДА за периода'!$B$155:$B$175,$B216,'11.2. ДА за периода'!AL$155:AL$175)</f>
        <v>0</v>
      </c>
      <c r="AM216" s="2972">
        <f>$AG216-SUMIF('11.2. ДА за периода'!$B$155:$B$175,$B216,'11.2. ДА за периода'!$AG$155:$AG$175)+SUMIF('11.2. ДА за периода'!$B$155:$B$175,$B216,'11.2. ДА за периода'!AM$155:AM$175)</f>
        <v>0</v>
      </c>
      <c r="AN216" s="2871"/>
      <c r="AO216" s="2898"/>
      <c r="AP216" s="1426"/>
    </row>
    <row r="217" spans="1:42" s="1422" customFormat="1">
      <c r="A217" s="2862">
        <v>3</v>
      </c>
      <c r="B217" s="2863">
        <v>911301</v>
      </c>
      <c r="C217" s="2864">
        <v>0.1</v>
      </c>
      <c r="D217" s="2918" t="s">
        <v>432</v>
      </c>
      <c r="E217" s="448">
        <v>0</v>
      </c>
      <c r="F217" s="2971">
        <f>$E217-SUMIF('11.2. ДА за периода'!$B$155:$B$175,$B217,'11.2. ДА за периода'!$E$155:$E$175)+SUMIF('11.2. ДА за периода'!$B$155:$B$175,$B217,'11.2. ДА за периода'!F$155:F$175)</f>
        <v>0</v>
      </c>
      <c r="G217" s="1226">
        <f>$E217-SUMIF('11.2. ДА за периода'!$B$155:$B$175,$B217,'11.2. ДА за периода'!$E$155:$E$175)+SUMIF('11.2. ДА за периода'!$B$155:$B$175,$B217,'11.2. ДА за периода'!G$155:G$175)</f>
        <v>0</v>
      </c>
      <c r="H217" s="1226">
        <f>$E217-SUMIF('11.2. ДА за периода'!$B$155:$B$175,$B217,'11.2. ДА за периода'!$E$155:$E$175)+SUMIF('11.2. ДА за периода'!$B$155:$B$175,$B217,'11.2. ДА за периода'!H$155:H$175)</f>
        <v>0</v>
      </c>
      <c r="I217" s="1226">
        <f>$E217-SUMIF('11.2. ДА за периода'!$B$155:$B$175,$B217,'11.2. ДА за периода'!$E$155:$E$175)+SUMIF('11.2. ДА за периода'!$B$155:$B$175,$B217,'11.2. ДА за периода'!I$155:I$175)</f>
        <v>0</v>
      </c>
      <c r="J217" s="1226">
        <f>$E217-SUMIF('11.2. ДА за периода'!$B$155:$B$175,$B217,'11.2. ДА за периода'!$E$155:$E$175)+SUMIF('11.2. ДА за периода'!$B$155:$B$175,$B217,'11.2. ДА за периода'!J$155:J$175)</f>
        <v>0</v>
      </c>
      <c r="K217" s="2972">
        <f>$E217-SUMIF('11.2. ДА за периода'!$B$155:$B$175,$B217,'11.2. ДА за периода'!$E$155:$E$175)+SUMIF('11.2. ДА за периода'!$B$155:$B$175,$B217,'11.2. ДА за периода'!K$155:K$175)</f>
        <v>0</v>
      </c>
      <c r="L217" s="448">
        <v>0</v>
      </c>
      <c r="M217" s="2971">
        <f>$L217-SUMIF('11.2. ДА за периода'!$B$155:$B$175,$B217,'11.2. ДА за периода'!$L$155:$L$175)+SUMIF('11.2. ДА за периода'!$B$155:$B$175,$B217,'11.2. ДА за периода'!M$155:M$175)</f>
        <v>0</v>
      </c>
      <c r="N217" s="1226">
        <f>$L217-SUMIF('11.2. ДА за периода'!$B$155:$B$175,$B217,'11.2. ДА за периода'!$L$155:$L$175)+SUMIF('11.2. ДА за периода'!$B$155:$B$175,$B217,'11.2. ДА за периода'!N$155:N$175)</f>
        <v>0</v>
      </c>
      <c r="O217" s="1226">
        <f>$L217-SUMIF('11.2. ДА за периода'!$B$155:$B$175,$B217,'11.2. ДА за периода'!$L$155:$L$175)+SUMIF('11.2. ДА за периода'!$B$155:$B$175,$B217,'11.2. ДА за периода'!O$155:O$175)</f>
        <v>0</v>
      </c>
      <c r="P217" s="1226">
        <f>$L217-SUMIF('11.2. ДА за периода'!$B$155:$B$175,$B217,'11.2. ДА за периода'!$L$155:$L$175)+SUMIF('11.2. ДА за периода'!$B$155:$B$175,$B217,'11.2. ДА за периода'!P$155:P$175)</f>
        <v>0</v>
      </c>
      <c r="Q217" s="1226">
        <f>$L217-SUMIF('11.2. ДА за периода'!$B$155:$B$175,$B217,'11.2. ДА за периода'!$L$155:$L$175)+SUMIF('11.2. ДА за периода'!$B$155:$B$175,$B217,'11.2. ДА за периода'!Q$155:Q$175)</f>
        <v>0</v>
      </c>
      <c r="R217" s="2972">
        <f>$L217-SUMIF('11.2. ДА за периода'!$B$155:$B$175,$B217,'11.2. ДА за периода'!$L$155:$L$175)+SUMIF('11.2. ДА за периода'!$B$155:$B$175,$B217,'11.2. ДА за периода'!R$155:R$175)</f>
        <v>0</v>
      </c>
      <c r="S217" s="448">
        <v>0</v>
      </c>
      <c r="T217" s="2971">
        <f>$S217-SUMIF('11.2. ДА за периода'!$B$155:$B$175,$B217,'11.2. ДА за периода'!$S$155:$S$175)+SUMIF('11.2. ДА за периода'!$B$155:$B$175,$B217,'11.2. ДА за периода'!T$155:T$175)</f>
        <v>0</v>
      </c>
      <c r="U217" s="1226">
        <f>$S217-SUMIF('11.2. ДА за периода'!$B$155:$B$175,$B217,'11.2. ДА за периода'!$S$155:$S$175)+SUMIF('11.2. ДА за периода'!$B$155:$B$175,$B217,'11.2. ДА за периода'!U$155:U$175)</f>
        <v>0</v>
      </c>
      <c r="V217" s="1226">
        <f>$S217-SUMIF('11.2. ДА за периода'!$B$155:$B$175,$B217,'11.2. ДА за периода'!$S$155:$S$175)+SUMIF('11.2. ДА за периода'!$B$155:$B$175,$B217,'11.2. ДА за периода'!V$155:V$175)</f>
        <v>0</v>
      </c>
      <c r="W217" s="1226">
        <f>$S217-SUMIF('11.2. ДА за периода'!$B$155:$B$175,$B217,'11.2. ДА за периода'!$S$155:$S$175)+SUMIF('11.2. ДА за периода'!$B$155:$B$175,$B217,'11.2. ДА за периода'!W$155:W$175)</f>
        <v>0</v>
      </c>
      <c r="X217" s="1226">
        <f>$S217-SUMIF('11.2. ДА за периода'!$B$155:$B$175,$B217,'11.2. ДА за периода'!$S$155:$S$175)+SUMIF('11.2. ДА за периода'!$B$155:$B$175,$B217,'11.2. ДА за периода'!X$155:X$175)</f>
        <v>0</v>
      </c>
      <c r="Y217" s="2972">
        <f>$S217-SUMIF('11.2. ДА за периода'!$B$155:$B$175,$B217,'11.2. ДА за периода'!$S$155:$S$175)+SUMIF('11.2. ДА за периода'!$B$155:$B$175,$B217,'11.2. ДА за периода'!Y$155:Y$175)</f>
        <v>0</v>
      </c>
      <c r="Z217" s="448">
        <v>0</v>
      </c>
      <c r="AA217" s="2971">
        <f>$Z217-SUMIF('11.2. ДА за периода'!$B$155:$B$175,$B217,'11.2. ДА за периода'!$Z$155:$Z$175)+SUMIF('11.2. ДА за периода'!$B$155:$B$175,$B217,'11.2. ДА за периода'!AA$155:AA$175)</f>
        <v>0</v>
      </c>
      <c r="AB217" s="1226">
        <f>$Z217-SUMIF('11.2. ДА за периода'!$B$155:$B$175,$B217,'11.2. ДА за периода'!$Z$155:$Z$175)+SUMIF('11.2. ДА за периода'!$B$155:$B$175,$B217,'11.2. ДА за периода'!AB$155:AB$175)</f>
        <v>0</v>
      </c>
      <c r="AC217" s="1226">
        <f>$Z217-SUMIF('11.2. ДА за периода'!$B$155:$B$175,$B217,'11.2. ДА за периода'!$Z$155:$Z$175)+SUMIF('11.2. ДА за периода'!$B$155:$B$175,$B217,'11.2. ДА за периода'!AC$155:AC$175)</f>
        <v>0</v>
      </c>
      <c r="AD217" s="1226">
        <f>$Z217-SUMIF('11.2. ДА за периода'!$B$155:$B$175,$B217,'11.2. ДА за периода'!$Z$155:$Z$175)+SUMIF('11.2. ДА за периода'!$B$155:$B$175,$B217,'11.2. ДА за периода'!AD$155:AD$175)</f>
        <v>0</v>
      </c>
      <c r="AE217" s="1226">
        <f>$Z217-SUMIF('11.2. ДА за периода'!$B$155:$B$175,$B217,'11.2. ДА за периода'!$Z$155:$Z$175)+SUMIF('11.2. ДА за периода'!$B$155:$B$175,$B217,'11.2. ДА за периода'!AE$155:AE$175)</f>
        <v>0</v>
      </c>
      <c r="AF217" s="2972">
        <f>$Z217-SUMIF('11.2. ДА за периода'!$B$155:$B$175,$B217,'11.2. ДА за периода'!$Z$155:$Z$175)+SUMIF('11.2. ДА за периода'!$B$155:$B$175,$B217,'11.2. ДА за периода'!AF$155:AF$175)</f>
        <v>0</v>
      </c>
      <c r="AG217" s="448"/>
      <c r="AH217" s="2971">
        <f>$AG217-SUMIF('11.2. ДА за периода'!$B$155:$B$175,$B217,'11.2. ДА за периода'!$AG$155:$AG$175)+SUMIF('11.2. ДА за периода'!$B$155:$B$175,$B217,'11.2. ДА за периода'!AH$155:AH$175)</f>
        <v>0</v>
      </c>
      <c r="AI217" s="1226">
        <f>$AG217-SUMIF('11.2. ДА за периода'!$B$155:$B$175,$B217,'11.2. ДА за периода'!$AG$155:$AG$175)+SUMIF('11.2. ДА за периода'!$B$155:$B$175,$B217,'11.2. ДА за периода'!AI$155:AI$175)</f>
        <v>0</v>
      </c>
      <c r="AJ217" s="1226">
        <f>$AG217-SUMIF('11.2. ДА за периода'!$B$155:$B$175,$B217,'11.2. ДА за периода'!$AG$155:$AG$175)+SUMIF('11.2. ДА за периода'!$B$155:$B$175,$B217,'11.2. ДА за периода'!AJ$155:AJ$175)</f>
        <v>0</v>
      </c>
      <c r="AK217" s="1226">
        <f>$AG217-SUMIF('11.2. ДА за периода'!$B$155:$B$175,$B217,'11.2. ДА за периода'!$AG$155:$AG$175)+SUMIF('11.2. ДА за периода'!$B$155:$B$175,$B217,'11.2. ДА за периода'!AK$155:AK$175)</f>
        <v>0</v>
      </c>
      <c r="AL217" s="1226">
        <f>$AG217-SUMIF('11.2. ДА за периода'!$B$155:$B$175,$B217,'11.2. ДА за периода'!$AG$155:$AG$175)+SUMIF('11.2. ДА за периода'!$B$155:$B$175,$B217,'11.2. ДА за периода'!AL$155:AL$175)</f>
        <v>0</v>
      </c>
      <c r="AM217" s="2972">
        <f>$AG217-SUMIF('11.2. ДА за периода'!$B$155:$B$175,$B217,'11.2. ДА за периода'!$AG$155:$AG$175)+SUMIF('11.2. ДА за периода'!$B$155:$B$175,$B217,'11.2. ДА за периода'!AM$155:AM$175)</f>
        <v>0</v>
      </c>
      <c r="AN217" s="2871"/>
      <c r="AO217" s="2898"/>
      <c r="AP217" s="1426"/>
    </row>
    <row r="218" spans="1:42" s="1422" customFormat="1">
      <c r="A218" s="2862">
        <v>4</v>
      </c>
      <c r="B218" s="2863">
        <v>911302</v>
      </c>
      <c r="C218" s="2864">
        <v>0.1</v>
      </c>
      <c r="D218" s="2918" t="s">
        <v>433</v>
      </c>
      <c r="E218" s="448">
        <v>0</v>
      </c>
      <c r="F218" s="2971">
        <f>$E218-SUMIF('11.2. ДА за периода'!$B$155:$B$175,$B218,'11.2. ДА за периода'!$E$155:$E$175)+SUMIF('11.2. ДА за периода'!$B$155:$B$175,$B218,'11.2. ДА за периода'!F$155:F$175)</f>
        <v>0</v>
      </c>
      <c r="G218" s="1226">
        <f>$E218-SUMIF('11.2. ДА за периода'!$B$155:$B$175,$B218,'11.2. ДА за периода'!$E$155:$E$175)+SUMIF('11.2. ДА за периода'!$B$155:$B$175,$B218,'11.2. ДА за периода'!G$155:G$175)</f>
        <v>0</v>
      </c>
      <c r="H218" s="1226">
        <f>$E218-SUMIF('11.2. ДА за периода'!$B$155:$B$175,$B218,'11.2. ДА за периода'!$E$155:$E$175)+SUMIF('11.2. ДА за периода'!$B$155:$B$175,$B218,'11.2. ДА за периода'!H$155:H$175)</f>
        <v>0</v>
      </c>
      <c r="I218" s="1226">
        <f>$E218-SUMIF('11.2. ДА за периода'!$B$155:$B$175,$B218,'11.2. ДА за периода'!$E$155:$E$175)+SUMIF('11.2. ДА за периода'!$B$155:$B$175,$B218,'11.2. ДА за периода'!I$155:I$175)</f>
        <v>0</v>
      </c>
      <c r="J218" s="1226">
        <f>$E218-SUMIF('11.2. ДА за периода'!$B$155:$B$175,$B218,'11.2. ДА за периода'!$E$155:$E$175)+SUMIF('11.2. ДА за периода'!$B$155:$B$175,$B218,'11.2. ДА за периода'!J$155:J$175)</f>
        <v>0</v>
      </c>
      <c r="K218" s="2972">
        <f>$E218-SUMIF('11.2. ДА за периода'!$B$155:$B$175,$B218,'11.2. ДА за периода'!$E$155:$E$175)+SUMIF('11.2. ДА за периода'!$B$155:$B$175,$B218,'11.2. ДА за периода'!K$155:K$175)</f>
        <v>0</v>
      </c>
      <c r="L218" s="448">
        <v>0</v>
      </c>
      <c r="M218" s="2971">
        <f>$L218-SUMIF('11.2. ДА за периода'!$B$155:$B$175,$B218,'11.2. ДА за периода'!$L$155:$L$175)+SUMIF('11.2. ДА за периода'!$B$155:$B$175,$B218,'11.2. ДА за периода'!M$155:M$175)</f>
        <v>0</v>
      </c>
      <c r="N218" s="1226">
        <f>$L218-SUMIF('11.2. ДА за периода'!$B$155:$B$175,$B218,'11.2. ДА за периода'!$L$155:$L$175)+SUMIF('11.2. ДА за периода'!$B$155:$B$175,$B218,'11.2. ДА за периода'!N$155:N$175)</f>
        <v>0</v>
      </c>
      <c r="O218" s="1226">
        <f>$L218-SUMIF('11.2. ДА за периода'!$B$155:$B$175,$B218,'11.2. ДА за периода'!$L$155:$L$175)+SUMIF('11.2. ДА за периода'!$B$155:$B$175,$B218,'11.2. ДА за периода'!O$155:O$175)</f>
        <v>0</v>
      </c>
      <c r="P218" s="1226">
        <f>$L218-SUMIF('11.2. ДА за периода'!$B$155:$B$175,$B218,'11.2. ДА за периода'!$L$155:$L$175)+SUMIF('11.2. ДА за периода'!$B$155:$B$175,$B218,'11.2. ДА за периода'!P$155:P$175)</f>
        <v>0</v>
      </c>
      <c r="Q218" s="1226">
        <f>$L218-SUMIF('11.2. ДА за периода'!$B$155:$B$175,$B218,'11.2. ДА за периода'!$L$155:$L$175)+SUMIF('11.2. ДА за периода'!$B$155:$B$175,$B218,'11.2. ДА за периода'!Q$155:Q$175)</f>
        <v>0</v>
      </c>
      <c r="R218" s="2972">
        <f>$L218-SUMIF('11.2. ДА за периода'!$B$155:$B$175,$B218,'11.2. ДА за периода'!$L$155:$L$175)+SUMIF('11.2. ДА за периода'!$B$155:$B$175,$B218,'11.2. ДА за периода'!R$155:R$175)</f>
        <v>0</v>
      </c>
      <c r="S218" s="448">
        <v>0</v>
      </c>
      <c r="T218" s="2971">
        <f>$S218-SUMIF('11.2. ДА за периода'!$B$155:$B$175,$B218,'11.2. ДА за периода'!$S$155:$S$175)+SUMIF('11.2. ДА за периода'!$B$155:$B$175,$B218,'11.2. ДА за периода'!T$155:T$175)</f>
        <v>0</v>
      </c>
      <c r="U218" s="1226">
        <f>$S218-SUMIF('11.2. ДА за периода'!$B$155:$B$175,$B218,'11.2. ДА за периода'!$S$155:$S$175)+SUMIF('11.2. ДА за периода'!$B$155:$B$175,$B218,'11.2. ДА за периода'!U$155:U$175)</f>
        <v>0</v>
      </c>
      <c r="V218" s="1226">
        <f>$S218-SUMIF('11.2. ДА за периода'!$B$155:$B$175,$B218,'11.2. ДА за периода'!$S$155:$S$175)+SUMIF('11.2. ДА за периода'!$B$155:$B$175,$B218,'11.2. ДА за периода'!V$155:V$175)</f>
        <v>0</v>
      </c>
      <c r="W218" s="1226">
        <f>$S218-SUMIF('11.2. ДА за периода'!$B$155:$B$175,$B218,'11.2. ДА за периода'!$S$155:$S$175)+SUMIF('11.2. ДА за периода'!$B$155:$B$175,$B218,'11.2. ДА за периода'!W$155:W$175)</f>
        <v>0</v>
      </c>
      <c r="X218" s="1226">
        <f>$S218-SUMIF('11.2. ДА за периода'!$B$155:$B$175,$B218,'11.2. ДА за периода'!$S$155:$S$175)+SUMIF('11.2. ДА за периода'!$B$155:$B$175,$B218,'11.2. ДА за периода'!X$155:X$175)</f>
        <v>0</v>
      </c>
      <c r="Y218" s="2972">
        <f>$S218-SUMIF('11.2. ДА за периода'!$B$155:$B$175,$B218,'11.2. ДА за периода'!$S$155:$S$175)+SUMIF('11.2. ДА за периода'!$B$155:$B$175,$B218,'11.2. ДА за периода'!Y$155:Y$175)</f>
        <v>0</v>
      </c>
      <c r="Z218" s="448">
        <v>0</v>
      </c>
      <c r="AA218" s="2971">
        <f>$Z218-SUMIF('11.2. ДА за периода'!$B$155:$B$175,$B218,'11.2. ДА за периода'!$Z$155:$Z$175)+SUMIF('11.2. ДА за периода'!$B$155:$B$175,$B218,'11.2. ДА за периода'!AA$155:AA$175)</f>
        <v>0</v>
      </c>
      <c r="AB218" s="1226">
        <f>$Z218-SUMIF('11.2. ДА за периода'!$B$155:$B$175,$B218,'11.2. ДА за периода'!$Z$155:$Z$175)+SUMIF('11.2. ДА за периода'!$B$155:$B$175,$B218,'11.2. ДА за периода'!AB$155:AB$175)</f>
        <v>0</v>
      </c>
      <c r="AC218" s="1226">
        <f>$Z218-SUMIF('11.2. ДА за периода'!$B$155:$B$175,$B218,'11.2. ДА за периода'!$Z$155:$Z$175)+SUMIF('11.2. ДА за периода'!$B$155:$B$175,$B218,'11.2. ДА за периода'!AC$155:AC$175)</f>
        <v>0</v>
      </c>
      <c r="AD218" s="1226">
        <f>$Z218-SUMIF('11.2. ДА за периода'!$B$155:$B$175,$B218,'11.2. ДА за периода'!$Z$155:$Z$175)+SUMIF('11.2. ДА за периода'!$B$155:$B$175,$B218,'11.2. ДА за периода'!AD$155:AD$175)</f>
        <v>0</v>
      </c>
      <c r="AE218" s="1226">
        <f>$Z218-SUMIF('11.2. ДА за периода'!$B$155:$B$175,$B218,'11.2. ДА за периода'!$Z$155:$Z$175)+SUMIF('11.2. ДА за периода'!$B$155:$B$175,$B218,'11.2. ДА за периода'!AE$155:AE$175)</f>
        <v>0</v>
      </c>
      <c r="AF218" s="2972">
        <f>$Z218-SUMIF('11.2. ДА за периода'!$B$155:$B$175,$B218,'11.2. ДА за периода'!$Z$155:$Z$175)+SUMIF('11.2. ДА за периода'!$B$155:$B$175,$B218,'11.2. ДА за периода'!AF$155:AF$175)</f>
        <v>0</v>
      </c>
      <c r="AG218" s="448"/>
      <c r="AH218" s="2971">
        <f>$AG218-SUMIF('11.2. ДА за периода'!$B$155:$B$175,$B218,'11.2. ДА за периода'!$AG$155:$AG$175)+SUMIF('11.2. ДА за периода'!$B$155:$B$175,$B218,'11.2. ДА за периода'!AH$155:AH$175)</f>
        <v>0</v>
      </c>
      <c r="AI218" s="1226">
        <f>$AG218-SUMIF('11.2. ДА за периода'!$B$155:$B$175,$B218,'11.2. ДА за периода'!$AG$155:$AG$175)+SUMIF('11.2. ДА за периода'!$B$155:$B$175,$B218,'11.2. ДА за периода'!AI$155:AI$175)</f>
        <v>0</v>
      </c>
      <c r="AJ218" s="1226">
        <f>$AG218-SUMIF('11.2. ДА за периода'!$B$155:$B$175,$B218,'11.2. ДА за периода'!$AG$155:$AG$175)+SUMIF('11.2. ДА за периода'!$B$155:$B$175,$B218,'11.2. ДА за периода'!AJ$155:AJ$175)</f>
        <v>0</v>
      </c>
      <c r="AK218" s="1226">
        <f>$AG218-SUMIF('11.2. ДА за периода'!$B$155:$B$175,$B218,'11.2. ДА за периода'!$AG$155:$AG$175)+SUMIF('11.2. ДА за периода'!$B$155:$B$175,$B218,'11.2. ДА за периода'!AK$155:AK$175)</f>
        <v>0</v>
      </c>
      <c r="AL218" s="1226">
        <f>$AG218-SUMIF('11.2. ДА за периода'!$B$155:$B$175,$B218,'11.2. ДА за периода'!$AG$155:$AG$175)+SUMIF('11.2. ДА за периода'!$B$155:$B$175,$B218,'11.2. ДА за периода'!AL$155:AL$175)</f>
        <v>0</v>
      </c>
      <c r="AM218" s="2972">
        <f>$AG218-SUMIF('11.2. ДА за периода'!$B$155:$B$175,$B218,'11.2. ДА за периода'!$AG$155:$AG$175)+SUMIF('11.2. ДА за периода'!$B$155:$B$175,$B218,'11.2. ДА за периода'!AM$155:AM$175)</f>
        <v>0</v>
      </c>
      <c r="AN218" s="2871"/>
      <c r="AO218" s="2898"/>
      <c r="AP218" s="1426"/>
    </row>
    <row r="219" spans="1:42" s="1422" customFormat="1">
      <c r="A219" s="2862">
        <v>5</v>
      </c>
      <c r="B219" s="2863" t="s">
        <v>721</v>
      </c>
      <c r="C219" s="2864">
        <v>0.1</v>
      </c>
      <c r="D219" s="2899" t="s">
        <v>412</v>
      </c>
      <c r="E219" s="448">
        <v>16</v>
      </c>
      <c r="F219" s="2971">
        <f>$E219-SUMIF('11.2. ДА за периода'!$B$155:$B$175,$B219,'11.2. ДА за периода'!$E$155:$E$175)+SUMIF('11.2. ДА за периода'!$B$155:$B$175,$B219,'11.2. ДА за периода'!F$155:F$175)</f>
        <v>16</v>
      </c>
      <c r="G219" s="1226">
        <f>$E219-SUMIF('11.2. ДА за периода'!$B$155:$B$175,$B219,'11.2. ДА за периода'!$E$155:$E$175)+SUMIF('11.2. ДА за периода'!$B$155:$B$175,$B219,'11.2. ДА за периода'!G$155:G$175)</f>
        <v>13</v>
      </c>
      <c r="H219" s="1226">
        <f>$E219-SUMIF('11.2. ДА за периода'!$B$155:$B$175,$B219,'11.2. ДА за периода'!$E$155:$E$175)+SUMIF('11.2. ДА за периода'!$B$155:$B$175,$B219,'11.2. ДА за периода'!H$155:H$175)</f>
        <v>0</v>
      </c>
      <c r="I219" s="1226">
        <f>$E219-SUMIF('11.2. ДА за периода'!$B$155:$B$175,$B219,'11.2. ДА за периода'!$E$155:$E$175)+SUMIF('11.2. ДА за периода'!$B$155:$B$175,$B219,'11.2. ДА за периода'!I$155:I$175)</f>
        <v>0</v>
      </c>
      <c r="J219" s="1226">
        <f>$E219-SUMIF('11.2. ДА за периода'!$B$155:$B$175,$B219,'11.2. ДА за периода'!$E$155:$E$175)+SUMIF('11.2. ДА за периода'!$B$155:$B$175,$B219,'11.2. ДА за периода'!J$155:J$175)</f>
        <v>0</v>
      </c>
      <c r="K219" s="2972">
        <f>$E219-SUMIF('11.2. ДА за периода'!$B$155:$B$175,$B219,'11.2. ДА за периода'!$E$155:$E$175)+SUMIF('11.2. ДА за периода'!$B$155:$B$175,$B219,'11.2. ДА за периода'!K$155:K$175)</f>
        <v>0</v>
      </c>
      <c r="L219" s="448">
        <v>0</v>
      </c>
      <c r="M219" s="2971">
        <f>$L219-SUMIF('11.2. ДА за периода'!$B$155:$B$175,$B219,'11.2. ДА за периода'!$L$155:$L$175)+SUMIF('11.2. ДА за периода'!$B$155:$B$175,$B219,'11.2. ДА за периода'!M$155:M$175)</f>
        <v>0</v>
      </c>
      <c r="N219" s="1226">
        <f>$L219-SUMIF('11.2. ДА за периода'!$B$155:$B$175,$B219,'11.2. ДА за периода'!$L$155:$L$175)+SUMIF('11.2. ДА за периода'!$B$155:$B$175,$B219,'11.2. ДА за периода'!N$155:N$175)</f>
        <v>0</v>
      </c>
      <c r="O219" s="1226">
        <f>$L219-SUMIF('11.2. ДА за периода'!$B$155:$B$175,$B219,'11.2. ДА за периода'!$L$155:$L$175)+SUMIF('11.2. ДА за периода'!$B$155:$B$175,$B219,'11.2. ДА за периода'!O$155:O$175)</f>
        <v>0</v>
      </c>
      <c r="P219" s="1226">
        <f>$L219-SUMIF('11.2. ДА за периода'!$B$155:$B$175,$B219,'11.2. ДА за периода'!$L$155:$L$175)+SUMIF('11.2. ДА за периода'!$B$155:$B$175,$B219,'11.2. ДА за периода'!P$155:P$175)</f>
        <v>0</v>
      </c>
      <c r="Q219" s="1226">
        <f>$L219-SUMIF('11.2. ДА за периода'!$B$155:$B$175,$B219,'11.2. ДА за периода'!$L$155:$L$175)+SUMIF('11.2. ДА за периода'!$B$155:$B$175,$B219,'11.2. ДА за периода'!Q$155:Q$175)</f>
        <v>0</v>
      </c>
      <c r="R219" s="2972">
        <f>$L219-SUMIF('11.2. ДА за периода'!$B$155:$B$175,$B219,'11.2. ДА за периода'!$L$155:$L$175)+SUMIF('11.2. ДА за периода'!$B$155:$B$175,$B219,'11.2. ДА за периода'!R$155:R$175)</f>
        <v>0</v>
      </c>
      <c r="S219" s="448">
        <v>6.4</v>
      </c>
      <c r="T219" s="2971">
        <f>$S219-SUMIF('11.2. ДА за периода'!$B$155:$B$175,$B219,'11.2. ДА за периода'!$S$155:$S$175)+SUMIF('11.2. ДА за периода'!$B$155:$B$175,$B219,'11.2. ДА за периода'!T$155:T$175)</f>
        <v>6.4</v>
      </c>
      <c r="U219" s="1226">
        <f>$S219-SUMIF('11.2. ДА за периода'!$B$155:$B$175,$B219,'11.2. ДА за периода'!$S$155:$S$175)+SUMIF('11.2. ДА за периода'!$B$155:$B$175,$B219,'11.2. ДА за периода'!U$155:U$175)</f>
        <v>6.4</v>
      </c>
      <c r="V219" s="1226">
        <f>$S219-SUMIF('11.2. ДА за периода'!$B$155:$B$175,$B219,'11.2. ДА за периода'!$S$155:$S$175)+SUMIF('11.2. ДА за периода'!$B$155:$B$175,$B219,'11.2. ДА за периода'!V$155:V$175)</f>
        <v>2.4000000000000004</v>
      </c>
      <c r="W219" s="1226">
        <f>$S219-SUMIF('11.2. ДА за периода'!$B$155:$B$175,$B219,'11.2. ДА за периода'!$S$155:$S$175)+SUMIF('11.2. ДА за периода'!$B$155:$B$175,$B219,'11.2. ДА за периода'!W$155:W$175)</f>
        <v>3.4000000000000004</v>
      </c>
      <c r="X219" s="1226">
        <f>$S219-SUMIF('11.2. ДА за периода'!$B$155:$B$175,$B219,'11.2. ДА за периода'!$S$155:$S$175)+SUMIF('11.2. ДА за периода'!$B$155:$B$175,$B219,'11.2. ДА за периода'!X$155:X$175)</f>
        <v>3.4000000000000004</v>
      </c>
      <c r="Y219" s="2972">
        <f>$S219-SUMIF('11.2. ДА за периода'!$B$155:$B$175,$B219,'11.2. ДА за периода'!$S$155:$S$175)+SUMIF('11.2. ДА за периода'!$B$155:$B$175,$B219,'11.2. ДА за периода'!Y$155:Y$175)</f>
        <v>3.4000000000000004</v>
      </c>
      <c r="Z219" s="448">
        <v>0</v>
      </c>
      <c r="AA219" s="2971">
        <f>$Z219-SUMIF('11.2. ДА за периода'!$B$155:$B$175,$B219,'11.2. ДА за периода'!$Z$155:$Z$175)+SUMIF('11.2. ДА за периода'!$B$155:$B$175,$B219,'11.2. ДА за периода'!AA$155:AA$175)</f>
        <v>0</v>
      </c>
      <c r="AB219" s="1226">
        <f>$Z219-SUMIF('11.2. ДА за периода'!$B$155:$B$175,$B219,'11.2. ДА за периода'!$Z$155:$Z$175)+SUMIF('11.2. ДА за периода'!$B$155:$B$175,$B219,'11.2. ДА за периода'!AB$155:AB$175)</f>
        <v>0</v>
      </c>
      <c r="AC219" s="1226">
        <f>$Z219-SUMIF('11.2. ДА за периода'!$B$155:$B$175,$B219,'11.2. ДА за периода'!$Z$155:$Z$175)+SUMIF('11.2. ДА за периода'!$B$155:$B$175,$B219,'11.2. ДА за периода'!AC$155:AC$175)</f>
        <v>0</v>
      </c>
      <c r="AD219" s="1226">
        <f>$Z219-SUMIF('11.2. ДА за периода'!$B$155:$B$175,$B219,'11.2. ДА за периода'!$Z$155:$Z$175)+SUMIF('11.2. ДА за периода'!$B$155:$B$175,$B219,'11.2. ДА за периода'!AD$155:AD$175)</f>
        <v>0</v>
      </c>
      <c r="AE219" s="1226">
        <f>$Z219-SUMIF('11.2. ДА за периода'!$B$155:$B$175,$B219,'11.2. ДА за периода'!$Z$155:$Z$175)+SUMIF('11.2. ДА за периода'!$B$155:$B$175,$B219,'11.2. ДА за периода'!AE$155:AE$175)</f>
        <v>0</v>
      </c>
      <c r="AF219" s="2972">
        <f>$Z219-SUMIF('11.2. ДА за периода'!$B$155:$B$175,$B219,'11.2. ДА за периода'!$Z$155:$Z$175)+SUMIF('11.2. ДА за периода'!$B$155:$B$175,$B219,'11.2. ДА за периода'!AF$155:AF$175)</f>
        <v>0</v>
      </c>
      <c r="AG219" s="448"/>
      <c r="AH219" s="2971">
        <f>$AG219-SUMIF('11.2. ДА за периода'!$B$155:$B$175,$B219,'11.2. ДА за периода'!$AG$155:$AG$175)+SUMIF('11.2. ДА за периода'!$B$155:$B$175,$B219,'11.2. ДА за периода'!AH$155:AH$175)</f>
        <v>0</v>
      </c>
      <c r="AI219" s="1226">
        <f>$AG219-SUMIF('11.2. ДА за периода'!$B$155:$B$175,$B219,'11.2. ДА за периода'!$AG$155:$AG$175)+SUMIF('11.2. ДА за периода'!$B$155:$B$175,$B219,'11.2. ДА за периода'!AI$155:AI$175)</f>
        <v>0</v>
      </c>
      <c r="AJ219" s="1226">
        <f>$AG219-SUMIF('11.2. ДА за периода'!$B$155:$B$175,$B219,'11.2. ДА за периода'!$AG$155:$AG$175)+SUMIF('11.2. ДА за периода'!$B$155:$B$175,$B219,'11.2. ДА за периода'!AJ$155:AJ$175)</f>
        <v>0</v>
      </c>
      <c r="AK219" s="1226">
        <f>$AG219-SUMIF('11.2. ДА за периода'!$B$155:$B$175,$B219,'11.2. ДА за периода'!$AG$155:$AG$175)+SUMIF('11.2. ДА за периода'!$B$155:$B$175,$B219,'11.2. ДА за периода'!AK$155:AK$175)</f>
        <v>0</v>
      </c>
      <c r="AL219" s="1226">
        <f>$AG219-SUMIF('11.2. ДА за периода'!$B$155:$B$175,$B219,'11.2. ДА за периода'!$AG$155:$AG$175)+SUMIF('11.2. ДА за периода'!$B$155:$B$175,$B219,'11.2. ДА за периода'!AL$155:AL$175)</f>
        <v>0</v>
      </c>
      <c r="AM219" s="2972">
        <f>$AG219-SUMIF('11.2. ДА за периода'!$B$155:$B$175,$B219,'11.2. ДА за периода'!$AG$155:$AG$175)+SUMIF('11.2. ДА за периода'!$B$155:$B$175,$B219,'11.2. ДА за периода'!AM$155:AM$175)</f>
        <v>0</v>
      </c>
      <c r="AN219" s="2871"/>
      <c r="AO219" s="2898"/>
      <c r="AP219" s="1426"/>
    </row>
    <row r="220" spans="1:42" s="1422" customFormat="1">
      <c r="A220" s="2862">
        <v>6</v>
      </c>
      <c r="B220" s="2863" t="s">
        <v>722</v>
      </c>
      <c r="C220" s="2864">
        <v>0.1</v>
      </c>
      <c r="D220" s="2899" t="s">
        <v>1009</v>
      </c>
      <c r="E220" s="448">
        <v>4</v>
      </c>
      <c r="F220" s="2971">
        <f>$E220-SUMIF('11.2. ДА за периода'!$B$155:$B$175,$B220,'11.2. ДА за периода'!$E$155:$E$175)+SUMIF('11.2. ДА за периода'!$B$155:$B$175,$B220,'11.2. ДА за периода'!F$155:F$175)</f>
        <v>4</v>
      </c>
      <c r="G220" s="1226">
        <f>$E220-SUMIF('11.2. ДА за периода'!$B$155:$B$175,$B220,'11.2. ДА за периода'!$E$155:$E$175)+SUMIF('11.2. ДА за периода'!$B$155:$B$175,$B220,'11.2. ДА за периода'!G$155:G$175)</f>
        <v>4</v>
      </c>
      <c r="H220" s="1226">
        <f>$E220-SUMIF('11.2. ДА за периода'!$B$155:$B$175,$B220,'11.2. ДА за периода'!$E$155:$E$175)+SUMIF('11.2. ДА за периода'!$B$155:$B$175,$B220,'11.2. ДА за периода'!H$155:H$175)</f>
        <v>4</v>
      </c>
      <c r="I220" s="1226">
        <f>$E220-SUMIF('11.2. ДА за периода'!$B$155:$B$175,$B220,'11.2. ДА за периода'!$E$155:$E$175)+SUMIF('11.2. ДА за периода'!$B$155:$B$175,$B220,'11.2. ДА за периода'!I$155:I$175)</f>
        <v>2</v>
      </c>
      <c r="J220" s="1226">
        <f>$E220-SUMIF('11.2. ДА за периода'!$B$155:$B$175,$B220,'11.2. ДА за периода'!$E$155:$E$175)+SUMIF('11.2. ДА за периода'!$B$155:$B$175,$B220,'11.2. ДА за периода'!J$155:J$175)</f>
        <v>0</v>
      </c>
      <c r="K220" s="2972">
        <f>$E220-SUMIF('11.2. ДА за периода'!$B$155:$B$175,$B220,'11.2. ДА за периода'!$E$155:$E$175)+SUMIF('11.2. ДА за периода'!$B$155:$B$175,$B220,'11.2. ДА за периода'!K$155:K$175)</f>
        <v>0</v>
      </c>
      <c r="L220" s="448">
        <v>0</v>
      </c>
      <c r="M220" s="2971">
        <f>$L220-SUMIF('11.2. ДА за периода'!$B$155:$B$175,$B220,'11.2. ДА за периода'!$L$155:$L$175)+SUMIF('11.2. ДА за периода'!$B$155:$B$175,$B220,'11.2. ДА за периода'!M$155:M$175)</f>
        <v>0</v>
      </c>
      <c r="N220" s="1226">
        <f>$L220-SUMIF('11.2. ДА за периода'!$B$155:$B$175,$B220,'11.2. ДА за периода'!$L$155:$L$175)+SUMIF('11.2. ДА за периода'!$B$155:$B$175,$B220,'11.2. ДА за периода'!N$155:N$175)</f>
        <v>0</v>
      </c>
      <c r="O220" s="1226">
        <f>$L220-SUMIF('11.2. ДА за периода'!$B$155:$B$175,$B220,'11.2. ДА за периода'!$L$155:$L$175)+SUMIF('11.2. ДА за периода'!$B$155:$B$175,$B220,'11.2. ДА за периода'!O$155:O$175)</f>
        <v>0</v>
      </c>
      <c r="P220" s="1226">
        <f>$L220-SUMIF('11.2. ДА за периода'!$B$155:$B$175,$B220,'11.2. ДА за периода'!$L$155:$L$175)+SUMIF('11.2. ДА за периода'!$B$155:$B$175,$B220,'11.2. ДА за периода'!P$155:P$175)</f>
        <v>0</v>
      </c>
      <c r="Q220" s="1226">
        <f>$L220-SUMIF('11.2. ДА за периода'!$B$155:$B$175,$B220,'11.2. ДА за периода'!$L$155:$L$175)+SUMIF('11.2. ДА за периода'!$B$155:$B$175,$B220,'11.2. ДА за периода'!Q$155:Q$175)</f>
        <v>0</v>
      </c>
      <c r="R220" s="2972">
        <f>$L220-SUMIF('11.2. ДА за периода'!$B$155:$B$175,$B220,'11.2. ДА за периода'!$L$155:$L$175)+SUMIF('11.2. ДА за периода'!$B$155:$B$175,$B220,'11.2. ДА за периода'!R$155:R$175)</f>
        <v>0</v>
      </c>
      <c r="S220" s="448">
        <v>0</v>
      </c>
      <c r="T220" s="2971">
        <f>$S220-SUMIF('11.2. ДА за периода'!$B$155:$B$175,$B220,'11.2. ДА за периода'!$S$155:$S$175)+SUMIF('11.2. ДА за периода'!$B$155:$B$175,$B220,'11.2. ДА за периода'!T$155:T$175)</f>
        <v>0</v>
      </c>
      <c r="U220" s="1226">
        <f>$S220-SUMIF('11.2. ДА за периода'!$B$155:$B$175,$B220,'11.2. ДА за периода'!$S$155:$S$175)+SUMIF('11.2. ДА за периода'!$B$155:$B$175,$B220,'11.2. ДА за периода'!U$155:U$175)</f>
        <v>0</v>
      </c>
      <c r="V220" s="1226">
        <f>$S220-SUMIF('11.2. ДА за периода'!$B$155:$B$175,$B220,'11.2. ДА за периода'!$S$155:$S$175)+SUMIF('11.2. ДА за периода'!$B$155:$B$175,$B220,'11.2. ДА за периода'!V$155:V$175)</f>
        <v>0</v>
      </c>
      <c r="W220" s="1226">
        <f>$S220-SUMIF('11.2. ДА за периода'!$B$155:$B$175,$B220,'11.2. ДА за периода'!$S$155:$S$175)+SUMIF('11.2. ДА за периода'!$B$155:$B$175,$B220,'11.2. ДА за периода'!W$155:W$175)</f>
        <v>0</v>
      </c>
      <c r="X220" s="1226">
        <f>$S220-SUMIF('11.2. ДА за периода'!$B$155:$B$175,$B220,'11.2. ДА за периода'!$S$155:$S$175)+SUMIF('11.2. ДА за периода'!$B$155:$B$175,$B220,'11.2. ДА за периода'!X$155:X$175)</f>
        <v>0</v>
      </c>
      <c r="Y220" s="2972">
        <f>$S220-SUMIF('11.2. ДА за периода'!$B$155:$B$175,$B220,'11.2. ДА за периода'!$S$155:$S$175)+SUMIF('11.2. ДА за периода'!$B$155:$B$175,$B220,'11.2. ДА за периода'!Y$155:Y$175)</f>
        <v>0</v>
      </c>
      <c r="Z220" s="448">
        <v>0</v>
      </c>
      <c r="AA220" s="2971">
        <f>$Z220-SUMIF('11.2. ДА за периода'!$B$155:$B$175,$B220,'11.2. ДА за периода'!$Z$155:$Z$175)+SUMIF('11.2. ДА за периода'!$B$155:$B$175,$B220,'11.2. ДА за периода'!AA$155:AA$175)</f>
        <v>0</v>
      </c>
      <c r="AB220" s="1226">
        <f>$Z220-SUMIF('11.2. ДА за периода'!$B$155:$B$175,$B220,'11.2. ДА за периода'!$Z$155:$Z$175)+SUMIF('11.2. ДА за периода'!$B$155:$B$175,$B220,'11.2. ДА за периода'!AB$155:AB$175)</f>
        <v>0</v>
      </c>
      <c r="AC220" s="1226">
        <f>$Z220-SUMIF('11.2. ДА за периода'!$B$155:$B$175,$B220,'11.2. ДА за периода'!$Z$155:$Z$175)+SUMIF('11.2. ДА за периода'!$B$155:$B$175,$B220,'11.2. ДА за периода'!AC$155:AC$175)</f>
        <v>0</v>
      </c>
      <c r="AD220" s="1226">
        <f>$Z220-SUMIF('11.2. ДА за периода'!$B$155:$B$175,$B220,'11.2. ДА за периода'!$Z$155:$Z$175)+SUMIF('11.2. ДА за периода'!$B$155:$B$175,$B220,'11.2. ДА за периода'!AD$155:AD$175)</f>
        <v>0</v>
      </c>
      <c r="AE220" s="1226">
        <f>$Z220-SUMIF('11.2. ДА за периода'!$B$155:$B$175,$B220,'11.2. ДА за периода'!$Z$155:$Z$175)+SUMIF('11.2. ДА за периода'!$B$155:$B$175,$B220,'11.2. ДА за периода'!AE$155:AE$175)</f>
        <v>0</v>
      </c>
      <c r="AF220" s="2972">
        <f>$Z220-SUMIF('11.2. ДА за периода'!$B$155:$B$175,$B220,'11.2. ДА за периода'!$Z$155:$Z$175)+SUMIF('11.2. ДА за периода'!$B$155:$B$175,$B220,'11.2. ДА за периода'!AF$155:AF$175)</f>
        <v>0</v>
      </c>
      <c r="AG220" s="448"/>
      <c r="AH220" s="2971">
        <f>$AG220-SUMIF('11.2. ДА за периода'!$B$155:$B$175,$B220,'11.2. ДА за периода'!$AG$155:$AG$175)+SUMIF('11.2. ДА за периода'!$B$155:$B$175,$B220,'11.2. ДА за периода'!AH$155:AH$175)</f>
        <v>0</v>
      </c>
      <c r="AI220" s="1226">
        <f>$AG220-SUMIF('11.2. ДА за периода'!$B$155:$B$175,$B220,'11.2. ДА за периода'!$AG$155:$AG$175)+SUMIF('11.2. ДА за периода'!$B$155:$B$175,$B220,'11.2. ДА за периода'!AI$155:AI$175)</f>
        <v>0</v>
      </c>
      <c r="AJ220" s="1226">
        <f>$AG220-SUMIF('11.2. ДА за периода'!$B$155:$B$175,$B220,'11.2. ДА за периода'!$AG$155:$AG$175)+SUMIF('11.2. ДА за периода'!$B$155:$B$175,$B220,'11.2. ДА за периода'!AJ$155:AJ$175)</f>
        <v>0</v>
      </c>
      <c r="AK220" s="1226">
        <f>$AG220-SUMIF('11.2. ДА за периода'!$B$155:$B$175,$B220,'11.2. ДА за периода'!$AG$155:$AG$175)+SUMIF('11.2. ДА за периода'!$B$155:$B$175,$B220,'11.2. ДА за периода'!AK$155:AK$175)</f>
        <v>0</v>
      </c>
      <c r="AL220" s="1226">
        <f>$AG220-SUMIF('11.2. ДА за периода'!$B$155:$B$175,$B220,'11.2. ДА за периода'!$AG$155:$AG$175)+SUMIF('11.2. ДА за периода'!$B$155:$B$175,$B220,'11.2. ДА за периода'!AL$155:AL$175)</f>
        <v>0</v>
      </c>
      <c r="AM220" s="2972">
        <f>$AG220-SUMIF('11.2. ДА за периода'!$B$155:$B$175,$B220,'11.2. ДА за периода'!$AG$155:$AG$175)+SUMIF('11.2. ДА за периода'!$B$155:$B$175,$B220,'11.2. ДА за периода'!AM$155:AM$175)</f>
        <v>0</v>
      </c>
      <c r="AN220" s="2871"/>
      <c r="AO220" s="2898"/>
      <c r="AP220" s="1426"/>
    </row>
    <row r="221" spans="1:42" s="1422" customFormat="1" ht="24">
      <c r="A221" s="2862">
        <v>7</v>
      </c>
      <c r="B221" s="2863" t="s">
        <v>713</v>
      </c>
      <c r="C221" s="2864">
        <v>0.1</v>
      </c>
      <c r="D221" s="2899" t="s">
        <v>702</v>
      </c>
      <c r="E221" s="448">
        <v>2</v>
      </c>
      <c r="F221" s="2971">
        <f>$E221-SUMIF('11.2. ДА за периода'!$B$155:$B$175,$B221,'11.2. ДА за периода'!$E$155:$E$175)+SUMIF('11.2. ДА за периода'!$B$155:$B$175,$B221,'11.2. ДА за периода'!F$155:F$175)</f>
        <v>2</v>
      </c>
      <c r="G221" s="1226">
        <f>$E221-SUMIF('11.2. ДА за периода'!$B$155:$B$175,$B221,'11.2. ДА за периода'!$E$155:$E$175)+SUMIF('11.2. ДА за периода'!$B$155:$B$175,$B221,'11.2. ДА за периода'!G$155:G$175)</f>
        <v>2</v>
      </c>
      <c r="H221" s="1226">
        <f>$E221-SUMIF('11.2. ДА за периода'!$B$155:$B$175,$B221,'11.2. ДА за периода'!$E$155:$E$175)+SUMIF('11.2. ДА за периода'!$B$155:$B$175,$B221,'11.2. ДА за периода'!H$155:H$175)</f>
        <v>2</v>
      </c>
      <c r="I221" s="1226">
        <f>$E221-SUMIF('11.2. ДА за периода'!$B$155:$B$175,$B221,'11.2. ДА за периода'!$E$155:$E$175)+SUMIF('11.2. ДА за периода'!$B$155:$B$175,$B221,'11.2. ДА за периода'!I$155:I$175)</f>
        <v>1</v>
      </c>
      <c r="J221" s="1226">
        <f>$E221-SUMIF('11.2. ДА за периода'!$B$155:$B$175,$B221,'11.2. ДА за периода'!$E$155:$E$175)+SUMIF('11.2. ДА за периода'!$B$155:$B$175,$B221,'11.2. ДА за периода'!J$155:J$175)</f>
        <v>0</v>
      </c>
      <c r="K221" s="2972">
        <f>$E221-SUMIF('11.2. ДА за периода'!$B$155:$B$175,$B221,'11.2. ДА за периода'!$E$155:$E$175)+SUMIF('11.2. ДА за периода'!$B$155:$B$175,$B221,'11.2. ДА за периода'!K$155:K$175)</f>
        <v>0</v>
      </c>
      <c r="L221" s="448">
        <v>0</v>
      </c>
      <c r="M221" s="2971">
        <f>$L221-SUMIF('11.2. ДА за периода'!$B$155:$B$175,$B221,'11.2. ДА за периода'!$L$155:$L$175)+SUMIF('11.2. ДА за периода'!$B$155:$B$175,$B221,'11.2. ДА за периода'!M$155:M$175)</f>
        <v>0</v>
      </c>
      <c r="N221" s="1226">
        <f>$L221-SUMIF('11.2. ДА за периода'!$B$155:$B$175,$B221,'11.2. ДА за периода'!$L$155:$L$175)+SUMIF('11.2. ДА за периода'!$B$155:$B$175,$B221,'11.2. ДА за периода'!N$155:N$175)</f>
        <v>0</v>
      </c>
      <c r="O221" s="1226">
        <f>$L221-SUMIF('11.2. ДА за периода'!$B$155:$B$175,$B221,'11.2. ДА за периода'!$L$155:$L$175)+SUMIF('11.2. ДА за периода'!$B$155:$B$175,$B221,'11.2. ДА за периода'!O$155:O$175)</f>
        <v>0</v>
      </c>
      <c r="P221" s="1226">
        <f>$L221-SUMIF('11.2. ДА за периода'!$B$155:$B$175,$B221,'11.2. ДА за периода'!$L$155:$L$175)+SUMIF('11.2. ДА за периода'!$B$155:$B$175,$B221,'11.2. ДА за периода'!P$155:P$175)</f>
        <v>0</v>
      </c>
      <c r="Q221" s="1226">
        <f>$L221-SUMIF('11.2. ДА за периода'!$B$155:$B$175,$B221,'11.2. ДА за периода'!$L$155:$L$175)+SUMIF('11.2. ДА за периода'!$B$155:$B$175,$B221,'11.2. ДА за периода'!Q$155:Q$175)</f>
        <v>0</v>
      </c>
      <c r="R221" s="2972">
        <f>$L221-SUMIF('11.2. ДА за периода'!$B$155:$B$175,$B221,'11.2. ДА за периода'!$L$155:$L$175)+SUMIF('11.2. ДА за периода'!$B$155:$B$175,$B221,'11.2. ДА за периода'!R$155:R$175)</f>
        <v>0</v>
      </c>
      <c r="S221" s="448">
        <v>0</v>
      </c>
      <c r="T221" s="2971">
        <f>$S221-SUMIF('11.2. ДА за периода'!$B$155:$B$175,$B221,'11.2. ДА за периода'!$S$155:$S$175)+SUMIF('11.2. ДА за периода'!$B$155:$B$175,$B221,'11.2. ДА за периода'!T$155:T$175)</f>
        <v>0</v>
      </c>
      <c r="U221" s="1226">
        <f>$S221-SUMIF('11.2. ДА за периода'!$B$155:$B$175,$B221,'11.2. ДА за периода'!$S$155:$S$175)+SUMIF('11.2. ДА за периода'!$B$155:$B$175,$B221,'11.2. ДА за периода'!U$155:U$175)</f>
        <v>0</v>
      </c>
      <c r="V221" s="1226">
        <f>$S221-SUMIF('11.2. ДА за периода'!$B$155:$B$175,$B221,'11.2. ДА за периода'!$S$155:$S$175)+SUMIF('11.2. ДА за периода'!$B$155:$B$175,$B221,'11.2. ДА за периода'!V$155:V$175)</f>
        <v>0</v>
      </c>
      <c r="W221" s="1226">
        <f>$S221-SUMIF('11.2. ДА за периода'!$B$155:$B$175,$B221,'11.2. ДА за периода'!$S$155:$S$175)+SUMIF('11.2. ДА за периода'!$B$155:$B$175,$B221,'11.2. ДА за периода'!W$155:W$175)</f>
        <v>0</v>
      </c>
      <c r="X221" s="1226">
        <f>$S221-SUMIF('11.2. ДА за периода'!$B$155:$B$175,$B221,'11.2. ДА за периода'!$S$155:$S$175)+SUMIF('11.2. ДА за периода'!$B$155:$B$175,$B221,'11.2. ДА за периода'!X$155:X$175)</f>
        <v>0</v>
      </c>
      <c r="Y221" s="2972">
        <f>$S221-SUMIF('11.2. ДА за периода'!$B$155:$B$175,$B221,'11.2. ДА за периода'!$S$155:$S$175)+SUMIF('11.2. ДА за периода'!$B$155:$B$175,$B221,'11.2. ДА за периода'!Y$155:Y$175)</f>
        <v>0</v>
      </c>
      <c r="Z221" s="448">
        <v>0</v>
      </c>
      <c r="AA221" s="2971">
        <f>$Z221-SUMIF('11.2. ДА за периода'!$B$155:$B$175,$B221,'11.2. ДА за периода'!$Z$155:$Z$175)+SUMIF('11.2. ДА за периода'!$B$155:$B$175,$B221,'11.2. ДА за периода'!AA$155:AA$175)</f>
        <v>0</v>
      </c>
      <c r="AB221" s="1226">
        <f>$Z221-SUMIF('11.2. ДА за периода'!$B$155:$B$175,$B221,'11.2. ДА за периода'!$Z$155:$Z$175)+SUMIF('11.2. ДА за периода'!$B$155:$B$175,$B221,'11.2. ДА за периода'!AB$155:AB$175)</f>
        <v>0</v>
      </c>
      <c r="AC221" s="1226">
        <f>$Z221-SUMIF('11.2. ДА за периода'!$B$155:$B$175,$B221,'11.2. ДА за периода'!$Z$155:$Z$175)+SUMIF('11.2. ДА за периода'!$B$155:$B$175,$B221,'11.2. ДА за периода'!AC$155:AC$175)</f>
        <v>0</v>
      </c>
      <c r="AD221" s="1226">
        <f>$Z221-SUMIF('11.2. ДА за периода'!$B$155:$B$175,$B221,'11.2. ДА за периода'!$Z$155:$Z$175)+SUMIF('11.2. ДА за периода'!$B$155:$B$175,$B221,'11.2. ДА за периода'!AD$155:AD$175)</f>
        <v>0</v>
      </c>
      <c r="AE221" s="1226">
        <f>$Z221-SUMIF('11.2. ДА за периода'!$B$155:$B$175,$B221,'11.2. ДА за периода'!$Z$155:$Z$175)+SUMIF('11.2. ДА за периода'!$B$155:$B$175,$B221,'11.2. ДА за периода'!AE$155:AE$175)</f>
        <v>0</v>
      </c>
      <c r="AF221" s="2972">
        <f>$Z221-SUMIF('11.2. ДА за периода'!$B$155:$B$175,$B221,'11.2. ДА за периода'!$Z$155:$Z$175)+SUMIF('11.2. ДА за периода'!$B$155:$B$175,$B221,'11.2. ДА за периода'!AF$155:AF$175)</f>
        <v>0</v>
      </c>
      <c r="AG221" s="448"/>
      <c r="AH221" s="2971">
        <f>$AG221-SUMIF('11.2. ДА за периода'!$B$155:$B$175,$B221,'11.2. ДА за периода'!$AG$155:$AG$175)+SUMIF('11.2. ДА за периода'!$B$155:$B$175,$B221,'11.2. ДА за периода'!AH$155:AH$175)</f>
        <v>0</v>
      </c>
      <c r="AI221" s="1226">
        <f>$AG221-SUMIF('11.2. ДА за периода'!$B$155:$B$175,$B221,'11.2. ДА за периода'!$AG$155:$AG$175)+SUMIF('11.2. ДА за периода'!$B$155:$B$175,$B221,'11.2. ДА за периода'!AI$155:AI$175)</f>
        <v>0</v>
      </c>
      <c r="AJ221" s="1226">
        <f>$AG221-SUMIF('11.2. ДА за периода'!$B$155:$B$175,$B221,'11.2. ДА за периода'!$AG$155:$AG$175)+SUMIF('11.2. ДА за периода'!$B$155:$B$175,$B221,'11.2. ДА за периода'!AJ$155:AJ$175)</f>
        <v>0</v>
      </c>
      <c r="AK221" s="1226">
        <f>$AG221-SUMIF('11.2. ДА за периода'!$B$155:$B$175,$B221,'11.2. ДА за периода'!$AG$155:$AG$175)+SUMIF('11.2. ДА за периода'!$B$155:$B$175,$B221,'11.2. ДА за периода'!AK$155:AK$175)</f>
        <v>0</v>
      </c>
      <c r="AL221" s="1226">
        <f>$AG221-SUMIF('11.2. ДА за периода'!$B$155:$B$175,$B221,'11.2. ДА за периода'!$AG$155:$AG$175)+SUMIF('11.2. ДА за периода'!$B$155:$B$175,$B221,'11.2. ДА за периода'!AL$155:AL$175)</f>
        <v>0</v>
      </c>
      <c r="AM221" s="2972">
        <f>$AG221-SUMIF('11.2. ДА за периода'!$B$155:$B$175,$B221,'11.2. ДА за периода'!$AG$155:$AG$175)+SUMIF('11.2. ДА за периода'!$B$155:$B$175,$B221,'11.2. ДА за периода'!AM$155:AM$175)</f>
        <v>0</v>
      </c>
      <c r="AN221" s="2871"/>
      <c r="AO221" s="2898"/>
      <c r="AP221" s="1426"/>
    </row>
    <row r="222" spans="1:42" s="1422" customFormat="1">
      <c r="A222" s="2862">
        <v>8</v>
      </c>
      <c r="B222" s="2863" t="s">
        <v>723</v>
      </c>
      <c r="C222" s="2864">
        <v>0.1</v>
      </c>
      <c r="D222" s="2899" t="s">
        <v>720</v>
      </c>
      <c r="E222" s="448">
        <v>0</v>
      </c>
      <c r="F222" s="2971">
        <f>$E222-SUMIF('11.2. ДА за периода'!$B$155:$B$175,$B222,'11.2. ДА за периода'!$E$155:$E$175)+SUMIF('11.2. ДА за периода'!$B$155:$B$175,$B222,'11.2. ДА за периода'!F$155:F$175)</f>
        <v>0</v>
      </c>
      <c r="G222" s="1226">
        <f>$E222-SUMIF('11.2. ДА за периода'!$B$155:$B$175,$B222,'11.2. ДА за периода'!$E$155:$E$175)+SUMIF('11.2. ДА за периода'!$B$155:$B$175,$B222,'11.2. ДА за периода'!G$155:G$175)</f>
        <v>0</v>
      </c>
      <c r="H222" s="1226">
        <f>$E222-SUMIF('11.2. ДА за периода'!$B$155:$B$175,$B222,'11.2. ДА за периода'!$E$155:$E$175)+SUMIF('11.2. ДА за периода'!$B$155:$B$175,$B222,'11.2. ДА за периода'!H$155:H$175)</f>
        <v>0</v>
      </c>
      <c r="I222" s="1226">
        <f>$E222-SUMIF('11.2. ДА за периода'!$B$155:$B$175,$B222,'11.2. ДА за периода'!$E$155:$E$175)+SUMIF('11.2. ДА за периода'!$B$155:$B$175,$B222,'11.2. ДА за периода'!I$155:I$175)</f>
        <v>0</v>
      </c>
      <c r="J222" s="1226">
        <f>$E222-SUMIF('11.2. ДА за периода'!$B$155:$B$175,$B222,'11.2. ДА за периода'!$E$155:$E$175)+SUMIF('11.2. ДА за периода'!$B$155:$B$175,$B222,'11.2. ДА за периода'!J$155:J$175)</f>
        <v>0</v>
      </c>
      <c r="K222" s="2972">
        <f>$E222-SUMIF('11.2. ДА за периода'!$B$155:$B$175,$B222,'11.2. ДА за периода'!$E$155:$E$175)+SUMIF('11.2. ДА за периода'!$B$155:$B$175,$B222,'11.2. ДА за периода'!K$155:K$175)</f>
        <v>0</v>
      </c>
      <c r="L222" s="448">
        <v>0</v>
      </c>
      <c r="M222" s="2971">
        <f>$L222-SUMIF('11.2. ДА за периода'!$B$155:$B$175,$B222,'11.2. ДА за периода'!$L$155:$L$175)+SUMIF('11.2. ДА за периода'!$B$155:$B$175,$B222,'11.2. ДА за периода'!M$155:M$175)</f>
        <v>0</v>
      </c>
      <c r="N222" s="1226">
        <f>$L222-SUMIF('11.2. ДА за периода'!$B$155:$B$175,$B222,'11.2. ДА за периода'!$L$155:$L$175)+SUMIF('11.2. ДА за периода'!$B$155:$B$175,$B222,'11.2. ДА за периода'!N$155:N$175)</f>
        <v>0</v>
      </c>
      <c r="O222" s="1226">
        <f>$L222-SUMIF('11.2. ДА за периода'!$B$155:$B$175,$B222,'11.2. ДА за периода'!$L$155:$L$175)+SUMIF('11.2. ДА за периода'!$B$155:$B$175,$B222,'11.2. ДА за периода'!O$155:O$175)</f>
        <v>0</v>
      </c>
      <c r="P222" s="1226">
        <f>$L222-SUMIF('11.2. ДА за периода'!$B$155:$B$175,$B222,'11.2. ДА за периода'!$L$155:$L$175)+SUMIF('11.2. ДА за периода'!$B$155:$B$175,$B222,'11.2. ДА за периода'!P$155:P$175)</f>
        <v>0</v>
      </c>
      <c r="Q222" s="1226">
        <f>$L222-SUMIF('11.2. ДА за периода'!$B$155:$B$175,$B222,'11.2. ДА за периода'!$L$155:$L$175)+SUMIF('11.2. ДА за периода'!$B$155:$B$175,$B222,'11.2. ДА за периода'!Q$155:Q$175)</f>
        <v>0</v>
      </c>
      <c r="R222" s="2972">
        <f>$L222-SUMIF('11.2. ДА за периода'!$B$155:$B$175,$B222,'11.2. ДА за периода'!$L$155:$L$175)+SUMIF('11.2. ДА за периода'!$B$155:$B$175,$B222,'11.2. ДА за периода'!R$155:R$175)</f>
        <v>0</v>
      </c>
      <c r="S222" s="448">
        <v>0</v>
      </c>
      <c r="T222" s="2971">
        <f>$S222-SUMIF('11.2. ДА за периода'!$B$155:$B$175,$B222,'11.2. ДА за периода'!$S$155:$S$175)+SUMIF('11.2. ДА за периода'!$B$155:$B$175,$B222,'11.2. ДА за периода'!T$155:T$175)</f>
        <v>0</v>
      </c>
      <c r="U222" s="1226">
        <f>$S222-SUMIF('11.2. ДА за периода'!$B$155:$B$175,$B222,'11.2. ДА за периода'!$S$155:$S$175)+SUMIF('11.2. ДА за периода'!$B$155:$B$175,$B222,'11.2. ДА за периода'!U$155:U$175)</f>
        <v>0</v>
      </c>
      <c r="V222" s="1226">
        <f>$S222-SUMIF('11.2. ДА за периода'!$B$155:$B$175,$B222,'11.2. ДА за периода'!$S$155:$S$175)+SUMIF('11.2. ДА за периода'!$B$155:$B$175,$B222,'11.2. ДА за периода'!V$155:V$175)</f>
        <v>0</v>
      </c>
      <c r="W222" s="1226">
        <f>$S222-SUMIF('11.2. ДА за периода'!$B$155:$B$175,$B222,'11.2. ДА за периода'!$S$155:$S$175)+SUMIF('11.2. ДА за периода'!$B$155:$B$175,$B222,'11.2. ДА за периода'!W$155:W$175)</f>
        <v>0</v>
      </c>
      <c r="X222" s="1226">
        <f>$S222-SUMIF('11.2. ДА за периода'!$B$155:$B$175,$B222,'11.2. ДА за периода'!$S$155:$S$175)+SUMIF('11.2. ДА за периода'!$B$155:$B$175,$B222,'11.2. ДА за периода'!X$155:X$175)</f>
        <v>0</v>
      </c>
      <c r="Y222" s="2972">
        <f>$S222-SUMIF('11.2. ДА за периода'!$B$155:$B$175,$B222,'11.2. ДА за периода'!$S$155:$S$175)+SUMIF('11.2. ДА за периода'!$B$155:$B$175,$B222,'11.2. ДА за периода'!Y$155:Y$175)</f>
        <v>0</v>
      </c>
      <c r="Z222" s="448">
        <v>0</v>
      </c>
      <c r="AA222" s="2971">
        <f>$Z222-SUMIF('11.2. ДА за периода'!$B$155:$B$175,$B222,'11.2. ДА за периода'!$Z$155:$Z$175)+SUMIF('11.2. ДА за периода'!$B$155:$B$175,$B222,'11.2. ДА за периода'!AA$155:AA$175)</f>
        <v>0</v>
      </c>
      <c r="AB222" s="1226">
        <f>$Z222-SUMIF('11.2. ДА за периода'!$B$155:$B$175,$B222,'11.2. ДА за периода'!$Z$155:$Z$175)+SUMIF('11.2. ДА за периода'!$B$155:$B$175,$B222,'11.2. ДА за периода'!AB$155:AB$175)</f>
        <v>0</v>
      </c>
      <c r="AC222" s="1226">
        <f>$Z222-SUMIF('11.2. ДА за периода'!$B$155:$B$175,$B222,'11.2. ДА за периода'!$Z$155:$Z$175)+SUMIF('11.2. ДА за периода'!$B$155:$B$175,$B222,'11.2. ДА за периода'!AC$155:AC$175)</f>
        <v>0</v>
      </c>
      <c r="AD222" s="1226">
        <f>$Z222-SUMIF('11.2. ДА за периода'!$B$155:$B$175,$B222,'11.2. ДА за периода'!$Z$155:$Z$175)+SUMIF('11.2. ДА за периода'!$B$155:$B$175,$B222,'11.2. ДА за периода'!AD$155:AD$175)</f>
        <v>0</v>
      </c>
      <c r="AE222" s="1226">
        <f>$Z222-SUMIF('11.2. ДА за периода'!$B$155:$B$175,$B222,'11.2. ДА за периода'!$Z$155:$Z$175)+SUMIF('11.2. ДА за периода'!$B$155:$B$175,$B222,'11.2. ДА за периода'!AE$155:AE$175)</f>
        <v>0</v>
      </c>
      <c r="AF222" s="2972">
        <f>$Z222-SUMIF('11.2. ДА за периода'!$B$155:$B$175,$B222,'11.2. ДА за периода'!$Z$155:$Z$175)+SUMIF('11.2. ДА за периода'!$B$155:$B$175,$B222,'11.2. ДА за периода'!AF$155:AF$175)</f>
        <v>0</v>
      </c>
      <c r="AG222" s="448"/>
      <c r="AH222" s="2971">
        <f>$AG222-SUMIF('11.2. ДА за периода'!$B$155:$B$175,$B222,'11.2. ДА за периода'!$AG$155:$AG$175)+SUMIF('11.2. ДА за периода'!$B$155:$B$175,$B222,'11.2. ДА за периода'!AH$155:AH$175)</f>
        <v>0</v>
      </c>
      <c r="AI222" s="1226">
        <f>$AG222-SUMIF('11.2. ДА за периода'!$B$155:$B$175,$B222,'11.2. ДА за периода'!$AG$155:$AG$175)+SUMIF('11.2. ДА за периода'!$B$155:$B$175,$B222,'11.2. ДА за периода'!AI$155:AI$175)</f>
        <v>0</v>
      </c>
      <c r="AJ222" s="1226">
        <f>$AG222-SUMIF('11.2. ДА за периода'!$B$155:$B$175,$B222,'11.2. ДА за периода'!$AG$155:$AG$175)+SUMIF('11.2. ДА за периода'!$B$155:$B$175,$B222,'11.2. ДА за периода'!AJ$155:AJ$175)</f>
        <v>0</v>
      </c>
      <c r="AK222" s="1226">
        <f>$AG222-SUMIF('11.2. ДА за периода'!$B$155:$B$175,$B222,'11.2. ДА за периода'!$AG$155:$AG$175)+SUMIF('11.2. ДА за периода'!$B$155:$B$175,$B222,'11.2. ДА за периода'!AK$155:AK$175)</f>
        <v>0</v>
      </c>
      <c r="AL222" s="1226">
        <f>$AG222-SUMIF('11.2. ДА за периода'!$B$155:$B$175,$B222,'11.2. ДА за периода'!$AG$155:$AG$175)+SUMIF('11.2. ДА за периода'!$B$155:$B$175,$B222,'11.2. ДА за периода'!AL$155:AL$175)</f>
        <v>0</v>
      </c>
      <c r="AM222" s="2972">
        <f>$AG222-SUMIF('11.2. ДА за периода'!$B$155:$B$175,$B222,'11.2. ДА за периода'!$AG$155:$AG$175)+SUMIF('11.2. ДА за периода'!$B$155:$B$175,$B222,'11.2. ДА за периода'!AM$155:AM$175)</f>
        <v>0</v>
      </c>
      <c r="AN222" s="2871"/>
      <c r="AO222" s="2898"/>
      <c r="AP222" s="1426"/>
    </row>
    <row r="223" spans="1:42" s="1422" customFormat="1">
      <c r="A223" s="2920">
        <v>9</v>
      </c>
      <c r="B223" s="2863">
        <v>911306</v>
      </c>
      <c r="C223" s="2864">
        <v>0.1</v>
      </c>
      <c r="D223" s="2899" t="s">
        <v>1040</v>
      </c>
      <c r="E223" s="448">
        <f>0+0.231</f>
        <v>0.23100000000000001</v>
      </c>
      <c r="F223" s="2971">
        <f>$E223-SUMIF('11.2. ДА за периода'!$B$155:$B$175,$B223,'11.2. ДА за периода'!$E$155:$E$175)+SUMIF('11.2. ДА за периода'!$B$155:$B$175,$B223,'11.2. ДА за периода'!F$155:F$175)</f>
        <v>0.23100000000000001</v>
      </c>
      <c r="G223" s="1226">
        <f>$E223-SUMIF('11.2. ДА за периода'!$B$155:$B$175,$B223,'11.2. ДА за периода'!$E$155:$E$175)+SUMIF('11.2. ДА за периода'!$B$155:$B$175,$B223,'11.2. ДА за периода'!G$155:G$175)</f>
        <v>0.23100000000000001</v>
      </c>
      <c r="H223" s="1226">
        <f>$E223-SUMIF('11.2. ДА за периода'!$B$155:$B$175,$B223,'11.2. ДА за периода'!$E$155:$E$175)+SUMIF('11.2. ДА за периода'!$B$155:$B$175,$B223,'11.2. ДА за периода'!H$155:H$175)</f>
        <v>0.23100000000000001</v>
      </c>
      <c r="I223" s="1226">
        <f>$E223-SUMIF('11.2. ДА за периода'!$B$155:$B$175,$B223,'11.2. ДА за периода'!$E$155:$E$175)+SUMIF('11.2. ДА за периода'!$B$155:$B$175,$B223,'11.2. ДА за периода'!I$155:I$175)</f>
        <v>0.23100000000000001</v>
      </c>
      <c r="J223" s="1226">
        <f>$E223-SUMIF('11.2. ДА за периода'!$B$155:$B$175,$B223,'11.2. ДА за периода'!$E$155:$E$175)+SUMIF('11.2. ДА за периода'!$B$155:$B$175,$B223,'11.2. ДА за периода'!J$155:J$175)</f>
        <v>0.23100000000000001</v>
      </c>
      <c r="K223" s="2972">
        <f>$E223-SUMIF('11.2. ДА за периода'!$B$155:$B$175,$B223,'11.2. ДА за периода'!$E$155:$E$175)+SUMIF('11.2. ДА за периода'!$B$155:$B$175,$B223,'11.2. ДА за периода'!K$155:K$175)</f>
        <v>0.23100000000000001</v>
      </c>
      <c r="L223" s="448">
        <v>1</v>
      </c>
      <c r="M223" s="2971">
        <f>$L223-SUMIF('11.2. ДА за периода'!$B$155:$B$175,$B223,'11.2. ДА за периода'!$L$155:$L$175)+SUMIF('11.2. ДА за периода'!$B$155:$B$175,$B223,'11.2. ДА за периода'!M$155:M$175)</f>
        <v>1</v>
      </c>
      <c r="N223" s="1226">
        <f>$L223-SUMIF('11.2. ДА за периода'!$B$155:$B$175,$B223,'11.2. ДА за периода'!$L$155:$L$175)+SUMIF('11.2. ДА за периода'!$B$155:$B$175,$B223,'11.2. ДА за периода'!N$155:N$175)</f>
        <v>1</v>
      </c>
      <c r="O223" s="1226">
        <f>$L223-SUMIF('11.2. ДА за периода'!$B$155:$B$175,$B223,'11.2. ДА за периода'!$L$155:$L$175)+SUMIF('11.2. ДА за периода'!$B$155:$B$175,$B223,'11.2. ДА за периода'!O$155:O$175)</f>
        <v>1</v>
      </c>
      <c r="P223" s="1226">
        <f>$L223-SUMIF('11.2. ДА за периода'!$B$155:$B$175,$B223,'11.2. ДА за периода'!$L$155:$L$175)+SUMIF('11.2. ДА за периода'!$B$155:$B$175,$B223,'11.2. ДА за периода'!P$155:P$175)</f>
        <v>1</v>
      </c>
      <c r="Q223" s="1226">
        <f>$L223-SUMIF('11.2. ДА за периода'!$B$155:$B$175,$B223,'11.2. ДА за периода'!$L$155:$L$175)+SUMIF('11.2. ДА за периода'!$B$155:$B$175,$B223,'11.2. ДА за периода'!Q$155:Q$175)</f>
        <v>1</v>
      </c>
      <c r="R223" s="2972">
        <f>$L223-SUMIF('11.2. ДА за периода'!$B$155:$B$175,$B223,'11.2. ДА за периода'!$L$155:$L$175)+SUMIF('11.2. ДА за периода'!$B$155:$B$175,$B223,'11.2. ДА за периода'!R$155:R$175)</f>
        <v>1</v>
      </c>
      <c r="S223" s="448">
        <v>0</v>
      </c>
      <c r="T223" s="2971">
        <f>$S223-SUMIF('11.2. ДА за периода'!$B$155:$B$175,$B223,'11.2. ДА за периода'!$S$155:$S$175)+SUMIF('11.2. ДА за периода'!$B$155:$B$175,$B223,'11.2. ДА за периода'!T$155:T$175)</f>
        <v>0</v>
      </c>
      <c r="U223" s="1226">
        <f>$S223-SUMIF('11.2. ДА за периода'!$B$155:$B$175,$B223,'11.2. ДА за периода'!$S$155:$S$175)+SUMIF('11.2. ДА за периода'!$B$155:$B$175,$B223,'11.2. ДА за периода'!U$155:U$175)</f>
        <v>0</v>
      </c>
      <c r="V223" s="1226">
        <f>$S223-SUMIF('11.2. ДА за периода'!$B$155:$B$175,$B223,'11.2. ДА за периода'!$S$155:$S$175)+SUMIF('11.2. ДА за периода'!$B$155:$B$175,$B223,'11.2. ДА за периода'!V$155:V$175)</f>
        <v>0</v>
      </c>
      <c r="W223" s="1226">
        <f>$S223-SUMIF('11.2. ДА за периода'!$B$155:$B$175,$B223,'11.2. ДА за периода'!$S$155:$S$175)+SUMIF('11.2. ДА за периода'!$B$155:$B$175,$B223,'11.2. ДА за периода'!W$155:W$175)</f>
        <v>0</v>
      </c>
      <c r="X223" s="1226">
        <f>$S223-SUMIF('11.2. ДА за периода'!$B$155:$B$175,$B223,'11.2. ДА за периода'!$S$155:$S$175)+SUMIF('11.2. ДА за периода'!$B$155:$B$175,$B223,'11.2. ДА за периода'!X$155:X$175)</f>
        <v>0</v>
      </c>
      <c r="Y223" s="2972">
        <f>$S223-SUMIF('11.2. ДА за периода'!$B$155:$B$175,$B223,'11.2. ДА за периода'!$S$155:$S$175)+SUMIF('11.2. ДА за периода'!$B$155:$B$175,$B223,'11.2. ДА за периода'!Y$155:Y$175)</f>
        <v>0</v>
      </c>
      <c r="Z223" s="448">
        <v>0</v>
      </c>
      <c r="AA223" s="2971">
        <f>$Z223-SUMIF('11.2. ДА за периода'!$B$155:$B$175,$B223,'11.2. ДА за периода'!$Z$155:$Z$175)+SUMIF('11.2. ДА за периода'!$B$155:$B$175,$B223,'11.2. ДА за периода'!AA$155:AA$175)</f>
        <v>0</v>
      </c>
      <c r="AB223" s="1226">
        <f>$Z223-SUMIF('11.2. ДА за периода'!$B$155:$B$175,$B223,'11.2. ДА за периода'!$Z$155:$Z$175)+SUMIF('11.2. ДА за периода'!$B$155:$B$175,$B223,'11.2. ДА за периода'!AB$155:AB$175)</f>
        <v>0</v>
      </c>
      <c r="AC223" s="1226">
        <f>$Z223-SUMIF('11.2. ДА за периода'!$B$155:$B$175,$B223,'11.2. ДА за периода'!$Z$155:$Z$175)+SUMIF('11.2. ДА за периода'!$B$155:$B$175,$B223,'11.2. ДА за периода'!AC$155:AC$175)</f>
        <v>0</v>
      </c>
      <c r="AD223" s="1226">
        <f>$Z223-SUMIF('11.2. ДА за периода'!$B$155:$B$175,$B223,'11.2. ДА за периода'!$Z$155:$Z$175)+SUMIF('11.2. ДА за периода'!$B$155:$B$175,$B223,'11.2. ДА за периода'!AD$155:AD$175)</f>
        <v>0</v>
      </c>
      <c r="AE223" s="1226">
        <f>$Z223-SUMIF('11.2. ДА за периода'!$B$155:$B$175,$B223,'11.2. ДА за периода'!$Z$155:$Z$175)+SUMIF('11.2. ДА за периода'!$B$155:$B$175,$B223,'11.2. ДА за периода'!AE$155:AE$175)</f>
        <v>0</v>
      </c>
      <c r="AF223" s="2972">
        <f>$Z223-SUMIF('11.2. ДА за периода'!$B$155:$B$175,$B223,'11.2. ДА за периода'!$Z$155:$Z$175)+SUMIF('11.2. ДА за периода'!$B$155:$B$175,$B223,'11.2. ДА за периода'!AF$155:AF$175)</f>
        <v>0</v>
      </c>
      <c r="AG223" s="448"/>
      <c r="AH223" s="2971">
        <f>$AG223-SUMIF('11.2. ДА за периода'!$B$155:$B$175,$B223,'11.2. ДА за периода'!$AG$155:$AG$175)+SUMIF('11.2. ДА за периода'!$B$155:$B$175,$B223,'11.2. ДА за периода'!AH$155:AH$175)</f>
        <v>0</v>
      </c>
      <c r="AI223" s="1226">
        <f>$AG223-SUMIF('11.2. ДА за периода'!$B$155:$B$175,$B223,'11.2. ДА за периода'!$AG$155:$AG$175)+SUMIF('11.2. ДА за периода'!$B$155:$B$175,$B223,'11.2. ДА за периода'!AI$155:AI$175)</f>
        <v>0</v>
      </c>
      <c r="AJ223" s="1226">
        <f>$AG223-SUMIF('11.2. ДА за периода'!$B$155:$B$175,$B223,'11.2. ДА за периода'!$AG$155:$AG$175)+SUMIF('11.2. ДА за периода'!$B$155:$B$175,$B223,'11.2. ДА за периода'!AJ$155:AJ$175)</f>
        <v>0</v>
      </c>
      <c r="AK223" s="1226">
        <f>$AG223-SUMIF('11.2. ДА за периода'!$B$155:$B$175,$B223,'11.2. ДА за периода'!$AG$155:$AG$175)+SUMIF('11.2. ДА за периода'!$B$155:$B$175,$B223,'11.2. ДА за периода'!AK$155:AK$175)</f>
        <v>0</v>
      </c>
      <c r="AL223" s="1226">
        <f>$AG223-SUMIF('11.2. ДА за периода'!$B$155:$B$175,$B223,'11.2. ДА за периода'!$AG$155:$AG$175)+SUMIF('11.2. ДА за периода'!$B$155:$B$175,$B223,'11.2. ДА за периода'!AL$155:AL$175)</f>
        <v>0</v>
      </c>
      <c r="AM223" s="2972">
        <f>$AG223-SUMIF('11.2. ДА за периода'!$B$155:$B$175,$B223,'11.2. ДА за периода'!$AG$155:$AG$175)+SUMIF('11.2. ДА за периода'!$B$155:$B$175,$B223,'11.2. ДА за периода'!AM$155:AM$175)</f>
        <v>0</v>
      </c>
      <c r="AN223" s="2871"/>
      <c r="AO223" s="2898"/>
      <c r="AP223" s="1426"/>
    </row>
    <row r="224" spans="1:42" s="1422" customFormat="1">
      <c r="A224" s="2920">
        <v>10</v>
      </c>
      <c r="B224" s="2863">
        <v>91140101</v>
      </c>
      <c r="C224" s="2919">
        <v>0.1</v>
      </c>
      <c r="D224" s="2893" t="s">
        <v>1024</v>
      </c>
      <c r="E224" s="448">
        <v>0</v>
      </c>
      <c r="F224" s="2971">
        <f>$E224-SUMIF('11.2. ДА за периода'!$B$155:$B$175,$B224,'11.2. ДА за периода'!$E$155:$E$175)+SUMIF('11.2. ДА за периода'!$B$155:$B$175,$B224,'11.2. ДА за периода'!F$155:F$175)</f>
        <v>0</v>
      </c>
      <c r="G224" s="1226">
        <f>$E224-SUMIF('11.2. ДА за периода'!$B$155:$B$175,$B224,'11.2. ДА за периода'!$E$155:$E$175)+SUMIF('11.2. ДА за периода'!$B$155:$B$175,$B224,'11.2. ДА за периода'!G$155:G$175)</f>
        <v>0</v>
      </c>
      <c r="H224" s="1226">
        <f>$E224-SUMIF('11.2. ДА за периода'!$B$155:$B$175,$B224,'11.2. ДА за периода'!$E$155:$E$175)+SUMIF('11.2. ДА за периода'!$B$155:$B$175,$B224,'11.2. ДА за периода'!H$155:H$175)</f>
        <v>0</v>
      </c>
      <c r="I224" s="1226">
        <f>$E224-SUMIF('11.2. ДА за периода'!$B$155:$B$175,$B224,'11.2. ДА за периода'!$E$155:$E$175)+SUMIF('11.2. ДА за периода'!$B$155:$B$175,$B224,'11.2. ДА за периода'!I$155:I$175)</f>
        <v>0</v>
      </c>
      <c r="J224" s="1226">
        <f>$E224-SUMIF('11.2. ДА за периода'!$B$155:$B$175,$B224,'11.2. ДА за периода'!$E$155:$E$175)+SUMIF('11.2. ДА за периода'!$B$155:$B$175,$B224,'11.2. ДА за периода'!J$155:J$175)</f>
        <v>0</v>
      </c>
      <c r="K224" s="2972">
        <f>$E224-SUMIF('11.2. ДА за периода'!$B$155:$B$175,$B224,'11.2. ДА за периода'!$E$155:$E$175)+SUMIF('11.2. ДА за периода'!$B$155:$B$175,$B224,'11.2. ДА за периода'!K$155:K$175)</f>
        <v>0</v>
      </c>
      <c r="L224" s="448">
        <v>0</v>
      </c>
      <c r="M224" s="2971">
        <f>$L224-SUMIF('11.2. ДА за периода'!$B$155:$B$175,$B224,'11.2. ДА за периода'!$L$155:$L$175)+SUMIF('11.2. ДА за периода'!$B$155:$B$175,$B224,'11.2. ДА за периода'!M$155:M$175)</f>
        <v>0</v>
      </c>
      <c r="N224" s="1226">
        <f>$L224-SUMIF('11.2. ДА за периода'!$B$155:$B$175,$B224,'11.2. ДА за периода'!$L$155:$L$175)+SUMIF('11.2. ДА за периода'!$B$155:$B$175,$B224,'11.2. ДА за периода'!N$155:N$175)</f>
        <v>0</v>
      </c>
      <c r="O224" s="1226">
        <f>$L224-SUMIF('11.2. ДА за периода'!$B$155:$B$175,$B224,'11.2. ДА за периода'!$L$155:$L$175)+SUMIF('11.2. ДА за периода'!$B$155:$B$175,$B224,'11.2. ДА за периода'!O$155:O$175)</f>
        <v>0</v>
      </c>
      <c r="P224" s="1226">
        <f>$L224-SUMIF('11.2. ДА за периода'!$B$155:$B$175,$B224,'11.2. ДА за периода'!$L$155:$L$175)+SUMIF('11.2. ДА за периода'!$B$155:$B$175,$B224,'11.2. ДА за периода'!P$155:P$175)</f>
        <v>0</v>
      </c>
      <c r="Q224" s="1226">
        <f>$L224-SUMIF('11.2. ДА за периода'!$B$155:$B$175,$B224,'11.2. ДА за периода'!$L$155:$L$175)+SUMIF('11.2. ДА за периода'!$B$155:$B$175,$B224,'11.2. ДА за периода'!Q$155:Q$175)</f>
        <v>0</v>
      </c>
      <c r="R224" s="2972">
        <f>$L224-SUMIF('11.2. ДА за периода'!$B$155:$B$175,$B224,'11.2. ДА за периода'!$L$155:$L$175)+SUMIF('11.2. ДА за периода'!$B$155:$B$175,$B224,'11.2. ДА за периода'!R$155:R$175)</f>
        <v>0</v>
      </c>
      <c r="S224" s="448">
        <v>0</v>
      </c>
      <c r="T224" s="2971">
        <f>$S224-SUMIF('11.2. ДА за периода'!$B$155:$B$175,$B224,'11.2. ДА за периода'!$S$155:$S$175)+SUMIF('11.2. ДА за периода'!$B$155:$B$175,$B224,'11.2. ДА за периода'!T$155:T$175)</f>
        <v>0</v>
      </c>
      <c r="U224" s="1226">
        <f>$S224-SUMIF('11.2. ДА за периода'!$B$155:$B$175,$B224,'11.2. ДА за периода'!$S$155:$S$175)+SUMIF('11.2. ДА за периода'!$B$155:$B$175,$B224,'11.2. ДА за периода'!U$155:U$175)</f>
        <v>0</v>
      </c>
      <c r="V224" s="1226">
        <f>$S224-SUMIF('11.2. ДА за периода'!$B$155:$B$175,$B224,'11.2. ДА за периода'!$S$155:$S$175)+SUMIF('11.2. ДА за периода'!$B$155:$B$175,$B224,'11.2. ДА за периода'!V$155:V$175)</f>
        <v>0</v>
      </c>
      <c r="W224" s="1226">
        <f>$S224-SUMIF('11.2. ДА за периода'!$B$155:$B$175,$B224,'11.2. ДА за периода'!$S$155:$S$175)+SUMIF('11.2. ДА за периода'!$B$155:$B$175,$B224,'11.2. ДА за периода'!W$155:W$175)</f>
        <v>0</v>
      </c>
      <c r="X224" s="1226">
        <f>$S224-SUMIF('11.2. ДА за периода'!$B$155:$B$175,$B224,'11.2. ДА за периода'!$S$155:$S$175)+SUMIF('11.2. ДА за периода'!$B$155:$B$175,$B224,'11.2. ДА за периода'!X$155:X$175)</f>
        <v>0</v>
      </c>
      <c r="Y224" s="2972">
        <f>$S224-SUMIF('11.2. ДА за периода'!$B$155:$B$175,$B224,'11.2. ДА за периода'!$S$155:$S$175)+SUMIF('11.2. ДА за периода'!$B$155:$B$175,$B224,'11.2. ДА за периода'!Y$155:Y$175)</f>
        <v>0</v>
      </c>
      <c r="Z224" s="448">
        <v>0</v>
      </c>
      <c r="AA224" s="2971">
        <f>$Z224-SUMIF('11.2. ДА за периода'!$B$155:$B$175,$B224,'11.2. ДА за периода'!$Z$155:$Z$175)+SUMIF('11.2. ДА за периода'!$B$155:$B$175,$B224,'11.2. ДА за периода'!AA$155:AA$175)</f>
        <v>0</v>
      </c>
      <c r="AB224" s="1226">
        <f>$Z224-SUMIF('11.2. ДА за периода'!$B$155:$B$175,$B224,'11.2. ДА за периода'!$Z$155:$Z$175)+SUMIF('11.2. ДА за периода'!$B$155:$B$175,$B224,'11.2. ДА за периода'!AB$155:AB$175)</f>
        <v>0</v>
      </c>
      <c r="AC224" s="1226">
        <f>$Z224-SUMIF('11.2. ДА за периода'!$B$155:$B$175,$B224,'11.2. ДА за периода'!$Z$155:$Z$175)+SUMIF('11.2. ДА за периода'!$B$155:$B$175,$B224,'11.2. ДА за периода'!AC$155:AC$175)</f>
        <v>0</v>
      </c>
      <c r="AD224" s="1226">
        <f>$Z224-SUMIF('11.2. ДА за периода'!$B$155:$B$175,$B224,'11.2. ДА за периода'!$Z$155:$Z$175)+SUMIF('11.2. ДА за периода'!$B$155:$B$175,$B224,'11.2. ДА за периода'!AD$155:AD$175)</f>
        <v>0</v>
      </c>
      <c r="AE224" s="1226">
        <f>$Z224-SUMIF('11.2. ДА за периода'!$B$155:$B$175,$B224,'11.2. ДА за периода'!$Z$155:$Z$175)+SUMIF('11.2. ДА за периода'!$B$155:$B$175,$B224,'11.2. ДА за периода'!AE$155:AE$175)</f>
        <v>0</v>
      </c>
      <c r="AF224" s="2972">
        <f>$Z224-SUMIF('11.2. ДА за периода'!$B$155:$B$175,$B224,'11.2. ДА за периода'!$Z$155:$Z$175)+SUMIF('11.2. ДА за периода'!$B$155:$B$175,$B224,'11.2. ДА за периода'!AF$155:AF$175)</f>
        <v>0</v>
      </c>
      <c r="AG224" s="448"/>
      <c r="AH224" s="2971">
        <f>$AG224-SUMIF('11.2. ДА за периода'!$B$155:$B$175,$B224,'11.2. ДА за периода'!$AG$155:$AG$175)+SUMIF('11.2. ДА за периода'!$B$155:$B$175,$B224,'11.2. ДА за периода'!AH$155:AH$175)</f>
        <v>0</v>
      </c>
      <c r="AI224" s="1226">
        <f>$AG224-SUMIF('11.2. ДА за периода'!$B$155:$B$175,$B224,'11.2. ДА за периода'!$AG$155:$AG$175)+SUMIF('11.2. ДА за периода'!$B$155:$B$175,$B224,'11.2. ДА за периода'!AI$155:AI$175)</f>
        <v>0</v>
      </c>
      <c r="AJ224" s="1226">
        <f>$AG224-SUMIF('11.2. ДА за периода'!$B$155:$B$175,$B224,'11.2. ДА за периода'!$AG$155:$AG$175)+SUMIF('11.2. ДА за периода'!$B$155:$B$175,$B224,'11.2. ДА за периода'!AJ$155:AJ$175)</f>
        <v>0</v>
      </c>
      <c r="AK224" s="1226">
        <f>$AG224-SUMIF('11.2. ДА за периода'!$B$155:$B$175,$B224,'11.2. ДА за периода'!$AG$155:$AG$175)+SUMIF('11.2. ДА за периода'!$B$155:$B$175,$B224,'11.2. ДА за периода'!AK$155:AK$175)</f>
        <v>0</v>
      </c>
      <c r="AL224" s="1226">
        <f>$AG224-SUMIF('11.2. ДА за периода'!$B$155:$B$175,$B224,'11.2. ДА за периода'!$AG$155:$AG$175)+SUMIF('11.2. ДА за периода'!$B$155:$B$175,$B224,'11.2. ДА за периода'!AL$155:AL$175)</f>
        <v>0</v>
      </c>
      <c r="AM224" s="2972">
        <f>$AG224-SUMIF('11.2. ДА за периода'!$B$155:$B$175,$B224,'11.2. ДА за периода'!$AG$155:$AG$175)+SUMIF('11.2. ДА за периода'!$B$155:$B$175,$B224,'11.2. ДА за периода'!AM$155:AM$175)</f>
        <v>0</v>
      </c>
      <c r="AN224" s="2871"/>
      <c r="AO224" s="2898"/>
      <c r="AP224" s="1426"/>
    </row>
    <row r="225" spans="1:42" s="1422" customFormat="1">
      <c r="A225" s="2920">
        <v>11</v>
      </c>
      <c r="B225" s="2863">
        <v>91140102</v>
      </c>
      <c r="C225" s="2919">
        <v>0.04</v>
      </c>
      <c r="D225" s="2893" t="s">
        <v>437</v>
      </c>
      <c r="E225" s="448">
        <f>0+0.364</f>
        <v>0.36399999999999999</v>
      </c>
      <c r="F225" s="2971">
        <f>$E225-SUMIF('11.2. ДА за периода'!$B$155:$B$175,$B225,'11.2. ДА за периода'!$E$155:$E$175)+SUMIF('11.2. ДА за периода'!$B$155:$B$175,$B225,'11.2. ДА за периода'!F$155:F$175)</f>
        <v>0.36399999999999999</v>
      </c>
      <c r="G225" s="1226">
        <f>$E225-SUMIF('11.2. ДА за периода'!$B$155:$B$175,$B225,'11.2. ДА за периода'!$E$155:$E$175)+SUMIF('11.2. ДА за периода'!$B$155:$B$175,$B225,'11.2. ДА за периода'!G$155:G$175)</f>
        <v>0.36399999999999999</v>
      </c>
      <c r="H225" s="1226">
        <f>$E225-SUMIF('11.2. ДА за периода'!$B$155:$B$175,$B225,'11.2. ДА за периода'!$E$155:$E$175)+SUMIF('11.2. ДА за периода'!$B$155:$B$175,$B225,'11.2. ДА за периода'!H$155:H$175)</f>
        <v>0.36399999999999999</v>
      </c>
      <c r="I225" s="1226">
        <f>$E225-SUMIF('11.2. ДА за периода'!$B$155:$B$175,$B225,'11.2. ДА за периода'!$E$155:$E$175)+SUMIF('11.2. ДА за периода'!$B$155:$B$175,$B225,'11.2. ДА за периода'!I$155:I$175)</f>
        <v>0.36399999999999999</v>
      </c>
      <c r="J225" s="1226">
        <f>$E225-SUMIF('11.2. ДА за периода'!$B$155:$B$175,$B225,'11.2. ДА за периода'!$E$155:$E$175)+SUMIF('11.2. ДА за периода'!$B$155:$B$175,$B225,'11.2. ДА за периода'!J$155:J$175)</f>
        <v>0.36399999999999999</v>
      </c>
      <c r="K225" s="2972">
        <f>$E225-SUMIF('11.2. ДА за периода'!$B$155:$B$175,$B225,'11.2. ДА за периода'!$E$155:$E$175)+SUMIF('11.2. ДА за периода'!$B$155:$B$175,$B225,'11.2. ДА за периода'!K$155:K$175)</f>
        <v>0.36399999999999999</v>
      </c>
      <c r="L225" s="448">
        <v>0</v>
      </c>
      <c r="M225" s="2971">
        <f>$L225-SUMIF('11.2. ДА за периода'!$B$155:$B$175,$B225,'11.2. ДА за периода'!$L$155:$L$175)+SUMIF('11.2. ДА за периода'!$B$155:$B$175,$B225,'11.2. ДА за периода'!M$155:M$175)</f>
        <v>0</v>
      </c>
      <c r="N225" s="1226">
        <f>$L225-SUMIF('11.2. ДА за периода'!$B$155:$B$175,$B225,'11.2. ДА за периода'!$L$155:$L$175)+SUMIF('11.2. ДА за периода'!$B$155:$B$175,$B225,'11.2. ДА за периода'!N$155:N$175)</f>
        <v>0</v>
      </c>
      <c r="O225" s="1226">
        <f>$L225-SUMIF('11.2. ДА за периода'!$B$155:$B$175,$B225,'11.2. ДА за периода'!$L$155:$L$175)+SUMIF('11.2. ДА за периода'!$B$155:$B$175,$B225,'11.2. ДА за периода'!O$155:O$175)</f>
        <v>0</v>
      </c>
      <c r="P225" s="1226">
        <f>$L225-SUMIF('11.2. ДА за периода'!$B$155:$B$175,$B225,'11.2. ДА за периода'!$L$155:$L$175)+SUMIF('11.2. ДА за периода'!$B$155:$B$175,$B225,'11.2. ДА за периода'!P$155:P$175)</f>
        <v>0</v>
      </c>
      <c r="Q225" s="1226">
        <f>$L225-SUMIF('11.2. ДА за периода'!$B$155:$B$175,$B225,'11.2. ДА за периода'!$L$155:$L$175)+SUMIF('11.2. ДА за периода'!$B$155:$B$175,$B225,'11.2. ДА за периода'!Q$155:Q$175)</f>
        <v>0</v>
      </c>
      <c r="R225" s="2972">
        <f>$L225-SUMIF('11.2. ДА за периода'!$B$155:$B$175,$B225,'11.2. ДА за периода'!$L$155:$L$175)+SUMIF('11.2. ДА за периода'!$B$155:$B$175,$B225,'11.2. ДА за периода'!R$155:R$175)</f>
        <v>0</v>
      </c>
      <c r="S225" s="448">
        <v>0</v>
      </c>
      <c r="T225" s="2971">
        <f>$S225-SUMIF('11.2. ДА за периода'!$B$155:$B$175,$B225,'11.2. ДА за периода'!$S$155:$S$175)+SUMIF('11.2. ДА за периода'!$B$155:$B$175,$B225,'11.2. ДА за периода'!T$155:T$175)</f>
        <v>0</v>
      </c>
      <c r="U225" s="1226">
        <f>$S225-SUMIF('11.2. ДА за периода'!$B$155:$B$175,$B225,'11.2. ДА за периода'!$S$155:$S$175)+SUMIF('11.2. ДА за периода'!$B$155:$B$175,$B225,'11.2. ДА за периода'!U$155:U$175)</f>
        <v>0</v>
      </c>
      <c r="V225" s="1226">
        <f>$S225-SUMIF('11.2. ДА за периода'!$B$155:$B$175,$B225,'11.2. ДА за периода'!$S$155:$S$175)+SUMIF('11.2. ДА за периода'!$B$155:$B$175,$B225,'11.2. ДА за периода'!V$155:V$175)</f>
        <v>0</v>
      </c>
      <c r="W225" s="1226">
        <f>$S225-SUMIF('11.2. ДА за периода'!$B$155:$B$175,$B225,'11.2. ДА за периода'!$S$155:$S$175)+SUMIF('11.2. ДА за периода'!$B$155:$B$175,$B225,'11.2. ДА за периода'!W$155:W$175)</f>
        <v>0</v>
      </c>
      <c r="X225" s="1226">
        <f>$S225-SUMIF('11.2. ДА за периода'!$B$155:$B$175,$B225,'11.2. ДА за периода'!$S$155:$S$175)+SUMIF('11.2. ДА за периода'!$B$155:$B$175,$B225,'11.2. ДА за периода'!X$155:X$175)</f>
        <v>0</v>
      </c>
      <c r="Y225" s="2972">
        <f>$S225-SUMIF('11.2. ДА за периода'!$B$155:$B$175,$B225,'11.2. ДА за периода'!$S$155:$S$175)+SUMIF('11.2. ДА за периода'!$B$155:$B$175,$B225,'11.2. ДА за периода'!Y$155:Y$175)</f>
        <v>0</v>
      </c>
      <c r="Z225" s="448">
        <v>0</v>
      </c>
      <c r="AA225" s="2971">
        <f>$Z225-SUMIF('11.2. ДА за периода'!$B$155:$B$175,$B225,'11.2. ДА за периода'!$Z$155:$Z$175)+SUMIF('11.2. ДА за периода'!$B$155:$B$175,$B225,'11.2. ДА за периода'!AA$155:AA$175)</f>
        <v>0</v>
      </c>
      <c r="AB225" s="1226">
        <f>$Z225-SUMIF('11.2. ДА за периода'!$B$155:$B$175,$B225,'11.2. ДА за периода'!$Z$155:$Z$175)+SUMIF('11.2. ДА за периода'!$B$155:$B$175,$B225,'11.2. ДА за периода'!AB$155:AB$175)</f>
        <v>0</v>
      </c>
      <c r="AC225" s="1226">
        <f>$Z225-SUMIF('11.2. ДА за периода'!$B$155:$B$175,$B225,'11.2. ДА за периода'!$Z$155:$Z$175)+SUMIF('11.2. ДА за периода'!$B$155:$B$175,$B225,'11.2. ДА за периода'!AC$155:AC$175)</f>
        <v>0</v>
      </c>
      <c r="AD225" s="1226">
        <f>$Z225-SUMIF('11.2. ДА за периода'!$B$155:$B$175,$B225,'11.2. ДА за периода'!$Z$155:$Z$175)+SUMIF('11.2. ДА за периода'!$B$155:$B$175,$B225,'11.2. ДА за периода'!AD$155:AD$175)</f>
        <v>0</v>
      </c>
      <c r="AE225" s="1226">
        <f>$Z225-SUMIF('11.2. ДА за периода'!$B$155:$B$175,$B225,'11.2. ДА за периода'!$Z$155:$Z$175)+SUMIF('11.2. ДА за периода'!$B$155:$B$175,$B225,'11.2. ДА за периода'!AE$155:AE$175)</f>
        <v>0</v>
      </c>
      <c r="AF225" s="2972">
        <f>$Z225-SUMIF('11.2. ДА за периода'!$B$155:$B$175,$B225,'11.2. ДА за периода'!$Z$155:$Z$175)+SUMIF('11.2. ДА за периода'!$B$155:$B$175,$B225,'11.2. ДА за периода'!AF$155:AF$175)</f>
        <v>0</v>
      </c>
      <c r="AG225" s="448"/>
      <c r="AH225" s="2971">
        <f>$AG225-SUMIF('11.2. ДА за периода'!$B$155:$B$175,$B225,'11.2. ДА за периода'!$AG$155:$AG$175)+SUMIF('11.2. ДА за периода'!$B$155:$B$175,$B225,'11.2. ДА за периода'!AH$155:AH$175)</f>
        <v>0</v>
      </c>
      <c r="AI225" s="1226">
        <f>$AG225-SUMIF('11.2. ДА за периода'!$B$155:$B$175,$B225,'11.2. ДА за периода'!$AG$155:$AG$175)+SUMIF('11.2. ДА за периода'!$B$155:$B$175,$B225,'11.2. ДА за периода'!AI$155:AI$175)</f>
        <v>0</v>
      </c>
      <c r="AJ225" s="1226">
        <f>$AG225-SUMIF('11.2. ДА за периода'!$B$155:$B$175,$B225,'11.2. ДА за периода'!$AG$155:$AG$175)+SUMIF('11.2. ДА за периода'!$B$155:$B$175,$B225,'11.2. ДА за периода'!AJ$155:AJ$175)</f>
        <v>0</v>
      </c>
      <c r="AK225" s="1226">
        <f>$AG225-SUMIF('11.2. ДА за периода'!$B$155:$B$175,$B225,'11.2. ДА за периода'!$AG$155:$AG$175)+SUMIF('11.2. ДА за периода'!$B$155:$B$175,$B225,'11.2. ДА за периода'!AK$155:AK$175)</f>
        <v>0</v>
      </c>
      <c r="AL225" s="1226">
        <f>$AG225-SUMIF('11.2. ДА за периода'!$B$155:$B$175,$B225,'11.2. ДА за периода'!$AG$155:$AG$175)+SUMIF('11.2. ДА за периода'!$B$155:$B$175,$B225,'11.2. ДА за периода'!AL$155:AL$175)</f>
        <v>0</v>
      </c>
      <c r="AM225" s="2972">
        <f>$AG225-SUMIF('11.2. ДА за периода'!$B$155:$B$175,$B225,'11.2. ДА за периода'!$AG$155:$AG$175)+SUMIF('11.2. ДА за периода'!$B$155:$B$175,$B225,'11.2. ДА за периода'!AM$155:AM$175)</f>
        <v>0</v>
      </c>
      <c r="AN225" s="2871"/>
      <c r="AO225" s="2898"/>
      <c r="AP225" s="1426"/>
    </row>
    <row r="226" spans="1:42" s="1422" customFormat="1">
      <c r="A226" s="2920">
        <v>12</v>
      </c>
      <c r="B226" s="2863" t="s">
        <v>705</v>
      </c>
      <c r="C226" s="2864">
        <v>0.02</v>
      </c>
      <c r="D226" s="2894" t="s">
        <v>746</v>
      </c>
      <c r="E226" s="448">
        <v>0</v>
      </c>
      <c r="F226" s="2971">
        <f>$E226-SUMIF('11.2. ДА за периода'!$B$155:$B$175,$B226,'11.2. ДА за периода'!$E$155:$E$175)+SUMIF('11.2. ДА за периода'!$B$155:$B$175,$B226,'11.2. ДА за периода'!F$155:F$175)</f>
        <v>0</v>
      </c>
      <c r="G226" s="1226">
        <f>$E226-SUMIF('11.2. ДА за периода'!$B$155:$B$175,$B226,'11.2. ДА за периода'!$E$155:$E$175)+SUMIF('11.2. ДА за периода'!$B$155:$B$175,$B226,'11.2. ДА за периода'!G$155:G$175)</f>
        <v>0</v>
      </c>
      <c r="H226" s="1226">
        <f>$E226-SUMIF('11.2. ДА за периода'!$B$155:$B$175,$B226,'11.2. ДА за периода'!$E$155:$E$175)+SUMIF('11.2. ДА за периода'!$B$155:$B$175,$B226,'11.2. ДА за периода'!H$155:H$175)</f>
        <v>0</v>
      </c>
      <c r="I226" s="1226">
        <f>$E226-SUMIF('11.2. ДА за периода'!$B$155:$B$175,$B226,'11.2. ДА за периода'!$E$155:$E$175)+SUMIF('11.2. ДА за периода'!$B$155:$B$175,$B226,'11.2. ДА за периода'!I$155:I$175)</f>
        <v>0</v>
      </c>
      <c r="J226" s="1226">
        <f>$E226-SUMIF('11.2. ДА за периода'!$B$155:$B$175,$B226,'11.2. ДА за периода'!$E$155:$E$175)+SUMIF('11.2. ДА за периода'!$B$155:$B$175,$B226,'11.2. ДА за периода'!J$155:J$175)</f>
        <v>0</v>
      </c>
      <c r="K226" s="2972">
        <f>$E226-SUMIF('11.2. ДА за периода'!$B$155:$B$175,$B226,'11.2. ДА за периода'!$E$155:$E$175)+SUMIF('11.2. ДА за периода'!$B$155:$B$175,$B226,'11.2. ДА за периода'!K$155:K$175)</f>
        <v>0</v>
      </c>
      <c r="L226" s="448">
        <v>0</v>
      </c>
      <c r="M226" s="2971">
        <f>$L226-SUMIF('11.2. ДА за периода'!$B$155:$B$175,$B226,'11.2. ДА за периода'!$L$155:$L$175)+SUMIF('11.2. ДА за периода'!$B$155:$B$175,$B226,'11.2. ДА за периода'!M$155:M$175)</f>
        <v>0</v>
      </c>
      <c r="N226" s="1226">
        <f>$L226-SUMIF('11.2. ДА за периода'!$B$155:$B$175,$B226,'11.2. ДА за периода'!$L$155:$L$175)+SUMIF('11.2. ДА за периода'!$B$155:$B$175,$B226,'11.2. ДА за периода'!N$155:N$175)</f>
        <v>0</v>
      </c>
      <c r="O226" s="1226">
        <f>$L226-SUMIF('11.2. ДА за периода'!$B$155:$B$175,$B226,'11.2. ДА за периода'!$L$155:$L$175)+SUMIF('11.2. ДА за периода'!$B$155:$B$175,$B226,'11.2. ДА за периода'!O$155:O$175)</f>
        <v>0</v>
      </c>
      <c r="P226" s="1226">
        <f>$L226-SUMIF('11.2. ДА за периода'!$B$155:$B$175,$B226,'11.2. ДА за периода'!$L$155:$L$175)+SUMIF('11.2. ДА за периода'!$B$155:$B$175,$B226,'11.2. ДА за периода'!P$155:P$175)</f>
        <v>0</v>
      </c>
      <c r="Q226" s="1226">
        <f>$L226-SUMIF('11.2. ДА за периода'!$B$155:$B$175,$B226,'11.2. ДА за периода'!$L$155:$L$175)+SUMIF('11.2. ДА за периода'!$B$155:$B$175,$B226,'11.2. ДА за периода'!Q$155:Q$175)</f>
        <v>0</v>
      </c>
      <c r="R226" s="2972">
        <f>$L226-SUMIF('11.2. ДА за периода'!$B$155:$B$175,$B226,'11.2. ДА за периода'!$L$155:$L$175)+SUMIF('11.2. ДА за периода'!$B$155:$B$175,$B226,'11.2. ДА за периода'!R$155:R$175)</f>
        <v>0</v>
      </c>
      <c r="S226" s="448">
        <v>0</v>
      </c>
      <c r="T226" s="2971">
        <f>$S226-SUMIF('11.2. ДА за периода'!$B$155:$B$175,$B226,'11.2. ДА за периода'!$S$155:$S$175)+SUMIF('11.2. ДА за периода'!$B$155:$B$175,$B226,'11.2. ДА за периода'!T$155:T$175)</f>
        <v>0</v>
      </c>
      <c r="U226" s="1226">
        <f>$S226-SUMIF('11.2. ДА за периода'!$B$155:$B$175,$B226,'11.2. ДА за периода'!$S$155:$S$175)+SUMIF('11.2. ДА за периода'!$B$155:$B$175,$B226,'11.2. ДА за периода'!U$155:U$175)</f>
        <v>0</v>
      </c>
      <c r="V226" s="1226">
        <f>$S226-SUMIF('11.2. ДА за периода'!$B$155:$B$175,$B226,'11.2. ДА за периода'!$S$155:$S$175)+SUMIF('11.2. ДА за периода'!$B$155:$B$175,$B226,'11.2. ДА за периода'!V$155:V$175)</f>
        <v>0</v>
      </c>
      <c r="W226" s="1226">
        <f>$S226-SUMIF('11.2. ДА за периода'!$B$155:$B$175,$B226,'11.2. ДА за периода'!$S$155:$S$175)+SUMIF('11.2. ДА за периода'!$B$155:$B$175,$B226,'11.2. ДА за периода'!W$155:W$175)</f>
        <v>0</v>
      </c>
      <c r="X226" s="1226">
        <f>$S226-SUMIF('11.2. ДА за периода'!$B$155:$B$175,$B226,'11.2. ДА за периода'!$S$155:$S$175)+SUMIF('11.2. ДА за периода'!$B$155:$B$175,$B226,'11.2. ДА за периода'!X$155:X$175)</f>
        <v>0</v>
      </c>
      <c r="Y226" s="2972">
        <f>$S226-SUMIF('11.2. ДА за периода'!$B$155:$B$175,$B226,'11.2. ДА за периода'!$S$155:$S$175)+SUMIF('11.2. ДА за периода'!$B$155:$B$175,$B226,'11.2. ДА за периода'!Y$155:Y$175)</f>
        <v>0</v>
      </c>
      <c r="Z226" s="448">
        <v>0</v>
      </c>
      <c r="AA226" s="2971">
        <f>$Z226-SUMIF('11.2. ДА за периода'!$B$155:$B$175,$B226,'11.2. ДА за периода'!$Z$155:$Z$175)+SUMIF('11.2. ДА за периода'!$B$155:$B$175,$B226,'11.2. ДА за периода'!AA$155:AA$175)</f>
        <v>0</v>
      </c>
      <c r="AB226" s="1226">
        <f>$Z226-SUMIF('11.2. ДА за периода'!$B$155:$B$175,$B226,'11.2. ДА за периода'!$Z$155:$Z$175)+SUMIF('11.2. ДА за периода'!$B$155:$B$175,$B226,'11.2. ДА за периода'!AB$155:AB$175)</f>
        <v>0</v>
      </c>
      <c r="AC226" s="1226">
        <f>$Z226-SUMIF('11.2. ДА за периода'!$B$155:$B$175,$B226,'11.2. ДА за периода'!$Z$155:$Z$175)+SUMIF('11.2. ДА за периода'!$B$155:$B$175,$B226,'11.2. ДА за периода'!AC$155:AC$175)</f>
        <v>0</v>
      </c>
      <c r="AD226" s="1226">
        <f>$Z226-SUMIF('11.2. ДА за периода'!$B$155:$B$175,$B226,'11.2. ДА за периода'!$Z$155:$Z$175)+SUMIF('11.2. ДА за периода'!$B$155:$B$175,$B226,'11.2. ДА за периода'!AD$155:AD$175)</f>
        <v>0</v>
      </c>
      <c r="AE226" s="1226">
        <f>$Z226-SUMIF('11.2. ДА за периода'!$B$155:$B$175,$B226,'11.2. ДА за периода'!$Z$155:$Z$175)+SUMIF('11.2. ДА за периода'!$B$155:$B$175,$B226,'11.2. ДА за периода'!AE$155:AE$175)</f>
        <v>0</v>
      </c>
      <c r="AF226" s="2972">
        <f>$Z226-SUMIF('11.2. ДА за периода'!$B$155:$B$175,$B226,'11.2. ДА за периода'!$Z$155:$Z$175)+SUMIF('11.2. ДА за периода'!$B$155:$B$175,$B226,'11.2. ДА за периода'!AF$155:AF$175)</f>
        <v>0</v>
      </c>
      <c r="AG226" s="448"/>
      <c r="AH226" s="2971">
        <f>$AG226-SUMIF('11.2. ДА за периода'!$B$155:$B$175,$B226,'11.2. ДА за периода'!$AG$155:$AG$175)+SUMIF('11.2. ДА за периода'!$B$155:$B$175,$B226,'11.2. ДА за периода'!AH$155:AH$175)</f>
        <v>0</v>
      </c>
      <c r="AI226" s="1226">
        <f>$AG226-SUMIF('11.2. ДА за периода'!$B$155:$B$175,$B226,'11.2. ДА за периода'!$AG$155:$AG$175)+SUMIF('11.2. ДА за периода'!$B$155:$B$175,$B226,'11.2. ДА за периода'!AI$155:AI$175)</f>
        <v>0</v>
      </c>
      <c r="AJ226" s="1226">
        <f>$AG226-SUMIF('11.2. ДА за периода'!$B$155:$B$175,$B226,'11.2. ДА за периода'!$AG$155:$AG$175)+SUMIF('11.2. ДА за периода'!$B$155:$B$175,$B226,'11.2. ДА за периода'!AJ$155:AJ$175)</f>
        <v>0</v>
      </c>
      <c r="AK226" s="1226">
        <f>$AG226-SUMIF('11.2. ДА за периода'!$B$155:$B$175,$B226,'11.2. ДА за периода'!$AG$155:$AG$175)+SUMIF('11.2. ДА за периода'!$B$155:$B$175,$B226,'11.2. ДА за периода'!AK$155:AK$175)</f>
        <v>0</v>
      </c>
      <c r="AL226" s="1226">
        <f>$AG226-SUMIF('11.2. ДА за периода'!$B$155:$B$175,$B226,'11.2. ДА за периода'!$AG$155:$AG$175)+SUMIF('11.2. ДА за периода'!$B$155:$B$175,$B226,'11.2. ДА за периода'!AL$155:AL$175)</f>
        <v>0</v>
      </c>
      <c r="AM226" s="2972">
        <f>$AG226-SUMIF('11.2. ДА за периода'!$B$155:$B$175,$B226,'11.2. ДА за периода'!$AG$155:$AG$175)+SUMIF('11.2. ДА за периода'!$B$155:$B$175,$B226,'11.2. ДА за периода'!AM$155:AM$175)</f>
        <v>0</v>
      </c>
      <c r="AN226" s="2871"/>
      <c r="AO226" s="2898"/>
      <c r="AP226" s="1426"/>
    </row>
    <row r="227" spans="1:42" s="1422" customFormat="1">
      <c r="A227" s="2920">
        <v>13</v>
      </c>
      <c r="B227" s="2863" t="s">
        <v>706</v>
      </c>
      <c r="C227" s="2864">
        <v>0.02</v>
      </c>
      <c r="D227" s="2894" t="s">
        <v>747</v>
      </c>
      <c r="E227" s="448">
        <f>14+0.203</f>
        <v>14.202999999999999</v>
      </c>
      <c r="F227" s="2971">
        <f>$E227-SUMIF('11.2. ДА за периода'!$B$155:$B$175,$B227,'11.2. ДА за периода'!$E$155:$E$175)+SUMIF('11.2. ДА за периода'!$B$155:$B$175,$B227,'11.2. ДА за периода'!F$155:F$175)</f>
        <v>14.202999999999999</v>
      </c>
      <c r="G227" s="1226">
        <f>$E227-SUMIF('11.2. ДА за периода'!$B$155:$B$175,$B227,'11.2. ДА за периода'!$E$155:$E$175)+SUMIF('11.2. ДА за периода'!$B$155:$B$175,$B227,'11.2. ДА за периода'!G$155:G$175)</f>
        <v>14.202999999999999</v>
      </c>
      <c r="H227" s="1226">
        <f>$E227-SUMIF('11.2. ДА за периода'!$B$155:$B$175,$B227,'11.2. ДА за периода'!$E$155:$E$175)+SUMIF('11.2. ДА за периода'!$B$155:$B$175,$B227,'11.2. ДА за периода'!H$155:H$175)</f>
        <v>14.202999999999999</v>
      </c>
      <c r="I227" s="1226">
        <f>$E227-SUMIF('11.2. ДА за периода'!$B$155:$B$175,$B227,'11.2. ДА за периода'!$E$155:$E$175)+SUMIF('11.2. ДА за периода'!$B$155:$B$175,$B227,'11.2. ДА за периода'!I$155:I$175)</f>
        <v>101.56272</v>
      </c>
      <c r="J227" s="1226">
        <f>$E227-SUMIF('11.2. ДА за периода'!$B$155:$B$175,$B227,'11.2. ДА за периода'!$E$155:$E$175)+SUMIF('11.2. ДА за периода'!$B$155:$B$175,$B227,'11.2. ДА за периода'!J$155:J$175)</f>
        <v>101.56272</v>
      </c>
      <c r="K227" s="2972">
        <f>$E227-SUMIF('11.2. ДА за периода'!$B$155:$B$175,$B227,'11.2. ДА за периода'!$E$155:$E$175)+SUMIF('11.2. ДА за периода'!$B$155:$B$175,$B227,'11.2. ДА за периода'!K$155:K$175)</f>
        <v>101.56272</v>
      </c>
      <c r="L227" s="448">
        <v>0</v>
      </c>
      <c r="M227" s="2971">
        <f>$L227-SUMIF('11.2. ДА за периода'!$B$155:$B$175,$B227,'11.2. ДА за периода'!$L$155:$L$175)+SUMIF('11.2. ДА за периода'!$B$155:$B$175,$B227,'11.2. ДА за периода'!M$155:M$175)</f>
        <v>0</v>
      </c>
      <c r="N227" s="1226">
        <f>$L227-SUMIF('11.2. ДА за периода'!$B$155:$B$175,$B227,'11.2. ДА за периода'!$L$155:$L$175)+SUMIF('11.2. ДА за периода'!$B$155:$B$175,$B227,'11.2. ДА за периода'!N$155:N$175)</f>
        <v>0</v>
      </c>
      <c r="O227" s="1226">
        <f>$L227-SUMIF('11.2. ДА за периода'!$B$155:$B$175,$B227,'11.2. ДА за периода'!$L$155:$L$175)+SUMIF('11.2. ДА за периода'!$B$155:$B$175,$B227,'11.2. ДА за периода'!O$155:O$175)</f>
        <v>0</v>
      </c>
      <c r="P227" s="1226">
        <f>$L227-SUMIF('11.2. ДА за периода'!$B$155:$B$175,$B227,'11.2. ДА за периода'!$L$155:$L$175)+SUMIF('11.2. ДА за периода'!$B$155:$B$175,$B227,'11.2. ДА за периода'!P$155:P$175)</f>
        <v>0</v>
      </c>
      <c r="Q227" s="1226">
        <f>$L227-SUMIF('11.2. ДА за периода'!$B$155:$B$175,$B227,'11.2. ДА за периода'!$L$155:$L$175)+SUMIF('11.2. ДА за периода'!$B$155:$B$175,$B227,'11.2. ДА за периода'!Q$155:Q$175)</f>
        <v>0</v>
      </c>
      <c r="R227" s="2972">
        <f>$L227-SUMIF('11.2. ДА за периода'!$B$155:$B$175,$B227,'11.2. ДА за периода'!$L$155:$L$175)+SUMIF('11.2. ДА за периода'!$B$155:$B$175,$B227,'11.2. ДА за периода'!R$155:R$175)</f>
        <v>0</v>
      </c>
      <c r="S227" s="448">
        <v>0</v>
      </c>
      <c r="T227" s="2971">
        <f>$S227-SUMIF('11.2. ДА за периода'!$B$155:$B$175,$B227,'11.2. ДА за периода'!$S$155:$S$175)+SUMIF('11.2. ДА за периода'!$B$155:$B$175,$B227,'11.2. ДА за периода'!T$155:T$175)</f>
        <v>0</v>
      </c>
      <c r="U227" s="1226">
        <f>$S227-SUMIF('11.2. ДА за периода'!$B$155:$B$175,$B227,'11.2. ДА за периода'!$S$155:$S$175)+SUMIF('11.2. ДА за периода'!$B$155:$B$175,$B227,'11.2. ДА за периода'!U$155:U$175)</f>
        <v>0</v>
      </c>
      <c r="V227" s="1226">
        <f>$S227-SUMIF('11.2. ДА за периода'!$B$155:$B$175,$B227,'11.2. ДА за периода'!$S$155:$S$175)+SUMIF('11.2. ДА за периода'!$B$155:$B$175,$B227,'11.2. ДА за периода'!V$155:V$175)</f>
        <v>0</v>
      </c>
      <c r="W227" s="1226">
        <f>$S227-SUMIF('11.2. ДА за периода'!$B$155:$B$175,$B227,'11.2. ДА за периода'!$S$155:$S$175)+SUMIF('11.2. ДА за периода'!$B$155:$B$175,$B227,'11.2. ДА за периода'!W$155:W$175)</f>
        <v>0</v>
      </c>
      <c r="X227" s="1226">
        <f>$S227-SUMIF('11.2. ДА за периода'!$B$155:$B$175,$B227,'11.2. ДА за периода'!$S$155:$S$175)+SUMIF('11.2. ДА за периода'!$B$155:$B$175,$B227,'11.2. ДА за периода'!X$155:X$175)</f>
        <v>0</v>
      </c>
      <c r="Y227" s="2972">
        <f>$S227-SUMIF('11.2. ДА за периода'!$B$155:$B$175,$B227,'11.2. ДА за периода'!$S$155:$S$175)+SUMIF('11.2. ДА за периода'!$B$155:$B$175,$B227,'11.2. ДА за периода'!Y$155:Y$175)</f>
        <v>0</v>
      </c>
      <c r="Z227" s="448">
        <v>0</v>
      </c>
      <c r="AA227" s="2971">
        <f>$Z227-SUMIF('11.2. ДА за периода'!$B$155:$B$175,$B227,'11.2. ДА за периода'!$Z$155:$Z$175)+SUMIF('11.2. ДА за периода'!$B$155:$B$175,$B227,'11.2. ДА за периода'!AA$155:AA$175)</f>
        <v>0</v>
      </c>
      <c r="AB227" s="1226">
        <f>$Z227-SUMIF('11.2. ДА за периода'!$B$155:$B$175,$B227,'11.2. ДА за периода'!$Z$155:$Z$175)+SUMIF('11.2. ДА за периода'!$B$155:$B$175,$B227,'11.2. ДА за периода'!AB$155:AB$175)</f>
        <v>0</v>
      </c>
      <c r="AC227" s="1226">
        <f>$Z227-SUMIF('11.2. ДА за периода'!$B$155:$B$175,$B227,'11.2. ДА за периода'!$Z$155:$Z$175)+SUMIF('11.2. ДА за периода'!$B$155:$B$175,$B227,'11.2. ДА за периода'!AC$155:AC$175)</f>
        <v>0</v>
      </c>
      <c r="AD227" s="1226">
        <f>$Z227-SUMIF('11.2. ДА за периода'!$B$155:$B$175,$B227,'11.2. ДА за периода'!$Z$155:$Z$175)+SUMIF('11.2. ДА за периода'!$B$155:$B$175,$B227,'11.2. ДА за периода'!AD$155:AD$175)</f>
        <v>0</v>
      </c>
      <c r="AE227" s="1226">
        <f>$Z227-SUMIF('11.2. ДА за периода'!$B$155:$B$175,$B227,'11.2. ДА за периода'!$Z$155:$Z$175)+SUMIF('11.2. ДА за периода'!$B$155:$B$175,$B227,'11.2. ДА за периода'!AE$155:AE$175)</f>
        <v>0</v>
      </c>
      <c r="AF227" s="2972">
        <f>$Z227-SUMIF('11.2. ДА за периода'!$B$155:$B$175,$B227,'11.2. ДА за периода'!$Z$155:$Z$175)+SUMIF('11.2. ДА за периода'!$B$155:$B$175,$B227,'11.2. ДА за периода'!AF$155:AF$175)</f>
        <v>0</v>
      </c>
      <c r="AG227" s="448"/>
      <c r="AH227" s="2971">
        <f>$AG227-SUMIF('11.2. ДА за периода'!$B$155:$B$175,$B227,'11.2. ДА за периода'!$AG$155:$AG$175)+SUMIF('11.2. ДА за периода'!$B$155:$B$175,$B227,'11.2. ДА за периода'!AH$155:AH$175)</f>
        <v>0</v>
      </c>
      <c r="AI227" s="1226">
        <f>$AG227-SUMIF('11.2. ДА за периода'!$B$155:$B$175,$B227,'11.2. ДА за периода'!$AG$155:$AG$175)+SUMIF('11.2. ДА за периода'!$B$155:$B$175,$B227,'11.2. ДА за периода'!AI$155:AI$175)</f>
        <v>0</v>
      </c>
      <c r="AJ227" s="1226">
        <f>$AG227-SUMIF('11.2. ДА за периода'!$B$155:$B$175,$B227,'11.2. ДА за периода'!$AG$155:$AG$175)+SUMIF('11.2. ДА за периода'!$B$155:$B$175,$B227,'11.2. ДА за периода'!AJ$155:AJ$175)</f>
        <v>0</v>
      </c>
      <c r="AK227" s="1226">
        <f>$AG227-SUMIF('11.2. ДА за периода'!$B$155:$B$175,$B227,'11.2. ДА за периода'!$AG$155:$AG$175)+SUMIF('11.2. ДА за периода'!$B$155:$B$175,$B227,'11.2. ДА за периода'!AK$155:AK$175)</f>
        <v>0</v>
      </c>
      <c r="AL227" s="1226">
        <f>$AG227-SUMIF('11.2. ДА за периода'!$B$155:$B$175,$B227,'11.2. ДА за периода'!$AG$155:$AG$175)+SUMIF('11.2. ДА за периода'!$B$155:$B$175,$B227,'11.2. ДА за периода'!AL$155:AL$175)</f>
        <v>0</v>
      </c>
      <c r="AM227" s="2972">
        <f>$AG227-SUMIF('11.2. ДА за периода'!$B$155:$B$175,$B227,'11.2. ДА за периода'!$AG$155:$AG$175)+SUMIF('11.2. ДА за периода'!$B$155:$B$175,$B227,'11.2. ДА за периода'!AM$155:AM$175)</f>
        <v>0</v>
      </c>
      <c r="AN227" s="2871"/>
      <c r="AO227" s="2898"/>
      <c r="AP227" s="1426"/>
    </row>
    <row r="228" spans="1:42" s="1422" customFormat="1">
      <c r="A228" s="2920">
        <v>14</v>
      </c>
      <c r="B228" s="2863" t="s">
        <v>707</v>
      </c>
      <c r="C228" s="2864">
        <v>0.02</v>
      </c>
      <c r="D228" s="2894" t="s">
        <v>423</v>
      </c>
      <c r="E228" s="448">
        <f>9+3.062</f>
        <v>12.061999999999999</v>
      </c>
      <c r="F228" s="2971">
        <f>$E228-SUMIF('11.2. ДА за периода'!$B$155:$B$175,$B228,'11.2. ДА за периода'!$E$155:$E$175)+SUMIF('11.2. ДА за периода'!$B$155:$B$175,$B228,'11.2. ДА за периода'!F$155:F$175)</f>
        <v>12.061999999999999</v>
      </c>
      <c r="G228" s="1226">
        <f>$E228-SUMIF('11.2. ДА за периода'!$B$155:$B$175,$B228,'11.2. ДА за периода'!$E$155:$E$175)+SUMIF('11.2. ДА за периода'!$B$155:$B$175,$B228,'11.2. ДА за периода'!G$155:G$175)</f>
        <v>12.061999999999999</v>
      </c>
      <c r="H228" s="1226">
        <f>$E228-SUMIF('11.2. ДА за периода'!$B$155:$B$175,$B228,'11.2. ДА за периода'!$E$155:$E$175)+SUMIF('11.2. ДА за периода'!$B$155:$B$175,$B228,'11.2. ДА за периода'!H$155:H$175)</f>
        <v>12.061999999999999</v>
      </c>
      <c r="I228" s="1226">
        <f>$E228-SUMIF('11.2. ДА за периода'!$B$155:$B$175,$B228,'11.2. ДА за периода'!$E$155:$E$175)+SUMIF('11.2. ДА за периода'!$B$155:$B$175,$B228,'11.2. ДА за периода'!I$155:I$175)</f>
        <v>12.061999999999999</v>
      </c>
      <c r="J228" s="1226">
        <f>$E228-SUMIF('11.2. ДА за периода'!$B$155:$B$175,$B228,'11.2. ДА за периода'!$E$155:$E$175)+SUMIF('11.2. ДА за периода'!$B$155:$B$175,$B228,'11.2. ДА за периода'!J$155:J$175)</f>
        <v>12.061999999999999</v>
      </c>
      <c r="K228" s="2972">
        <f>$E228-SUMIF('11.2. ДА за периода'!$B$155:$B$175,$B228,'11.2. ДА за периода'!$E$155:$E$175)+SUMIF('11.2. ДА за периода'!$B$155:$B$175,$B228,'11.2. ДА за периода'!K$155:K$175)</f>
        <v>12.061999999999999</v>
      </c>
      <c r="L228" s="448">
        <v>0</v>
      </c>
      <c r="M228" s="2971">
        <f>$L228-SUMIF('11.2. ДА за периода'!$B$155:$B$175,$B228,'11.2. ДА за периода'!$L$155:$L$175)+SUMIF('11.2. ДА за периода'!$B$155:$B$175,$B228,'11.2. ДА за периода'!M$155:M$175)</f>
        <v>0</v>
      </c>
      <c r="N228" s="1226">
        <f>$L228-SUMIF('11.2. ДА за периода'!$B$155:$B$175,$B228,'11.2. ДА за периода'!$L$155:$L$175)+SUMIF('11.2. ДА за периода'!$B$155:$B$175,$B228,'11.2. ДА за периода'!N$155:N$175)</f>
        <v>0</v>
      </c>
      <c r="O228" s="1226">
        <f>$L228-SUMIF('11.2. ДА за периода'!$B$155:$B$175,$B228,'11.2. ДА за периода'!$L$155:$L$175)+SUMIF('11.2. ДА за периода'!$B$155:$B$175,$B228,'11.2. ДА за периода'!O$155:O$175)</f>
        <v>0</v>
      </c>
      <c r="P228" s="1226">
        <f>$L228-SUMIF('11.2. ДА за периода'!$B$155:$B$175,$B228,'11.2. ДА за периода'!$L$155:$L$175)+SUMIF('11.2. ДА за периода'!$B$155:$B$175,$B228,'11.2. ДА за периода'!P$155:P$175)</f>
        <v>0</v>
      </c>
      <c r="Q228" s="1226">
        <f>$L228-SUMIF('11.2. ДА за периода'!$B$155:$B$175,$B228,'11.2. ДА за периода'!$L$155:$L$175)+SUMIF('11.2. ДА за периода'!$B$155:$B$175,$B228,'11.2. ДА за периода'!Q$155:Q$175)</f>
        <v>0</v>
      </c>
      <c r="R228" s="2972">
        <f>$L228-SUMIF('11.2. ДА за периода'!$B$155:$B$175,$B228,'11.2. ДА за периода'!$L$155:$L$175)+SUMIF('11.2. ДА за периода'!$B$155:$B$175,$B228,'11.2. ДА за периода'!R$155:R$175)</f>
        <v>0</v>
      </c>
      <c r="S228" s="448">
        <v>0</v>
      </c>
      <c r="T228" s="2971">
        <f>$S228-SUMIF('11.2. ДА за периода'!$B$155:$B$175,$B228,'11.2. ДА за периода'!$S$155:$S$175)+SUMIF('11.2. ДА за периода'!$B$155:$B$175,$B228,'11.2. ДА за периода'!T$155:T$175)</f>
        <v>0</v>
      </c>
      <c r="U228" s="1226">
        <f>$S228-SUMIF('11.2. ДА за периода'!$B$155:$B$175,$B228,'11.2. ДА за периода'!$S$155:$S$175)+SUMIF('11.2. ДА за периода'!$B$155:$B$175,$B228,'11.2. ДА за периода'!U$155:U$175)</f>
        <v>0</v>
      </c>
      <c r="V228" s="1226">
        <f>$S228-SUMIF('11.2. ДА за периода'!$B$155:$B$175,$B228,'11.2. ДА за периода'!$S$155:$S$175)+SUMIF('11.2. ДА за периода'!$B$155:$B$175,$B228,'11.2. ДА за периода'!V$155:V$175)</f>
        <v>0</v>
      </c>
      <c r="W228" s="1226">
        <f>$S228-SUMIF('11.2. ДА за периода'!$B$155:$B$175,$B228,'11.2. ДА за периода'!$S$155:$S$175)+SUMIF('11.2. ДА за периода'!$B$155:$B$175,$B228,'11.2. ДА за периода'!W$155:W$175)</f>
        <v>0</v>
      </c>
      <c r="X228" s="1226">
        <f>$S228-SUMIF('11.2. ДА за периода'!$B$155:$B$175,$B228,'11.2. ДА за периода'!$S$155:$S$175)+SUMIF('11.2. ДА за периода'!$B$155:$B$175,$B228,'11.2. ДА за периода'!X$155:X$175)</f>
        <v>0</v>
      </c>
      <c r="Y228" s="2972">
        <f>$S228-SUMIF('11.2. ДА за периода'!$B$155:$B$175,$B228,'11.2. ДА за периода'!$S$155:$S$175)+SUMIF('11.2. ДА за периода'!$B$155:$B$175,$B228,'11.2. ДА за периода'!Y$155:Y$175)</f>
        <v>0</v>
      </c>
      <c r="Z228" s="448">
        <v>0</v>
      </c>
      <c r="AA228" s="2971">
        <f>$Z228-SUMIF('11.2. ДА за периода'!$B$155:$B$175,$B228,'11.2. ДА за периода'!$Z$155:$Z$175)+SUMIF('11.2. ДА за периода'!$B$155:$B$175,$B228,'11.2. ДА за периода'!AA$155:AA$175)</f>
        <v>0</v>
      </c>
      <c r="AB228" s="1226">
        <f>$Z228-SUMIF('11.2. ДА за периода'!$B$155:$B$175,$B228,'11.2. ДА за периода'!$Z$155:$Z$175)+SUMIF('11.2. ДА за периода'!$B$155:$B$175,$B228,'11.2. ДА за периода'!AB$155:AB$175)</f>
        <v>0</v>
      </c>
      <c r="AC228" s="1226">
        <f>$Z228-SUMIF('11.2. ДА за периода'!$B$155:$B$175,$B228,'11.2. ДА за периода'!$Z$155:$Z$175)+SUMIF('11.2. ДА за периода'!$B$155:$B$175,$B228,'11.2. ДА за периода'!AC$155:AC$175)</f>
        <v>0</v>
      </c>
      <c r="AD228" s="1226">
        <f>$Z228-SUMIF('11.2. ДА за периода'!$B$155:$B$175,$B228,'11.2. ДА за периода'!$Z$155:$Z$175)+SUMIF('11.2. ДА за периода'!$B$155:$B$175,$B228,'11.2. ДА за периода'!AD$155:AD$175)</f>
        <v>0</v>
      </c>
      <c r="AE228" s="1226">
        <f>$Z228-SUMIF('11.2. ДА за периода'!$B$155:$B$175,$B228,'11.2. ДА за периода'!$Z$155:$Z$175)+SUMIF('11.2. ДА за периода'!$B$155:$B$175,$B228,'11.2. ДА за периода'!AE$155:AE$175)</f>
        <v>0</v>
      </c>
      <c r="AF228" s="2972">
        <f>$Z228-SUMIF('11.2. ДА за периода'!$B$155:$B$175,$B228,'11.2. ДА за периода'!$Z$155:$Z$175)+SUMIF('11.2. ДА за периода'!$B$155:$B$175,$B228,'11.2. ДА за периода'!AF$155:AF$175)</f>
        <v>0</v>
      </c>
      <c r="AG228" s="448"/>
      <c r="AH228" s="2971">
        <f>$AG228-SUMIF('11.2. ДА за периода'!$B$155:$B$175,$B228,'11.2. ДА за периода'!$AG$155:$AG$175)+SUMIF('11.2. ДА за периода'!$B$155:$B$175,$B228,'11.2. ДА за периода'!AH$155:AH$175)</f>
        <v>0</v>
      </c>
      <c r="AI228" s="1226">
        <f>$AG228-SUMIF('11.2. ДА за периода'!$B$155:$B$175,$B228,'11.2. ДА за периода'!$AG$155:$AG$175)+SUMIF('11.2. ДА за периода'!$B$155:$B$175,$B228,'11.2. ДА за периода'!AI$155:AI$175)</f>
        <v>0</v>
      </c>
      <c r="AJ228" s="1226">
        <f>$AG228-SUMIF('11.2. ДА за периода'!$B$155:$B$175,$B228,'11.2. ДА за периода'!$AG$155:$AG$175)+SUMIF('11.2. ДА за периода'!$B$155:$B$175,$B228,'11.2. ДА за периода'!AJ$155:AJ$175)</f>
        <v>0</v>
      </c>
      <c r="AK228" s="1226">
        <f>$AG228-SUMIF('11.2. ДА за периода'!$B$155:$B$175,$B228,'11.2. ДА за периода'!$AG$155:$AG$175)+SUMIF('11.2. ДА за периода'!$B$155:$B$175,$B228,'11.2. ДА за периода'!AK$155:AK$175)</f>
        <v>0</v>
      </c>
      <c r="AL228" s="1226">
        <f>$AG228-SUMIF('11.2. ДА за периода'!$B$155:$B$175,$B228,'11.2. ДА за периода'!$AG$155:$AG$175)+SUMIF('11.2. ДА за периода'!$B$155:$B$175,$B228,'11.2. ДА за периода'!AL$155:AL$175)</f>
        <v>0</v>
      </c>
      <c r="AM228" s="2972">
        <f>$AG228-SUMIF('11.2. ДА за периода'!$B$155:$B$175,$B228,'11.2. ДА за периода'!$AG$155:$AG$175)+SUMIF('11.2. ДА за периода'!$B$155:$B$175,$B228,'11.2. ДА за периода'!AM$155:AM$175)</f>
        <v>0</v>
      </c>
      <c r="AN228" s="2871"/>
      <c r="AO228" s="2898"/>
      <c r="AP228" s="1426"/>
    </row>
    <row r="229" spans="1:42" s="1422" customFormat="1">
      <c r="A229" s="2920">
        <v>15</v>
      </c>
      <c r="B229" s="2863" t="s">
        <v>708</v>
      </c>
      <c r="C229" s="2864">
        <v>0.02</v>
      </c>
      <c r="D229" s="2893" t="s">
        <v>424</v>
      </c>
      <c r="E229" s="448">
        <v>1</v>
      </c>
      <c r="F229" s="2971">
        <f>$E229-SUMIF('11.2. ДА за периода'!$B$155:$B$175,$B229,'11.2. ДА за периода'!$E$155:$E$175)+SUMIF('11.2. ДА за периода'!$B$155:$B$175,$B229,'11.2. ДА за периода'!F$155:F$175)</f>
        <v>1</v>
      </c>
      <c r="G229" s="1226">
        <f>$E229-SUMIF('11.2. ДА за периода'!$B$155:$B$175,$B229,'11.2. ДА за периода'!$E$155:$E$175)+SUMIF('11.2. ДА за периода'!$B$155:$B$175,$B229,'11.2. ДА за периода'!G$155:G$175)</f>
        <v>1</v>
      </c>
      <c r="H229" s="1226">
        <f>$E229-SUMIF('11.2. ДА за периода'!$B$155:$B$175,$B229,'11.2. ДА за периода'!$E$155:$E$175)+SUMIF('11.2. ДА за периода'!$B$155:$B$175,$B229,'11.2. ДА за периода'!H$155:H$175)</f>
        <v>1</v>
      </c>
      <c r="I229" s="1226">
        <f>$E229-SUMIF('11.2. ДА за периода'!$B$155:$B$175,$B229,'11.2. ДА за периода'!$E$155:$E$175)+SUMIF('11.2. ДА за периода'!$B$155:$B$175,$B229,'11.2. ДА за периода'!I$155:I$175)</f>
        <v>1</v>
      </c>
      <c r="J229" s="1226">
        <f>$E229-SUMIF('11.2. ДА за периода'!$B$155:$B$175,$B229,'11.2. ДА за периода'!$E$155:$E$175)+SUMIF('11.2. ДА за периода'!$B$155:$B$175,$B229,'11.2. ДА за периода'!J$155:J$175)</f>
        <v>1</v>
      </c>
      <c r="K229" s="2972">
        <f>$E229-SUMIF('11.2. ДА за периода'!$B$155:$B$175,$B229,'11.2. ДА за периода'!$E$155:$E$175)+SUMIF('11.2. ДА за периода'!$B$155:$B$175,$B229,'11.2. ДА за периода'!K$155:K$175)</f>
        <v>1</v>
      </c>
      <c r="L229" s="448">
        <v>0</v>
      </c>
      <c r="M229" s="2971">
        <f>$L229-SUMIF('11.2. ДА за периода'!$B$155:$B$175,$B229,'11.2. ДА за периода'!$L$155:$L$175)+SUMIF('11.2. ДА за периода'!$B$155:$B$175,$B229,'11.2. ДА за периода'!M$155:M$175)</f>
        <v>0</v>
      </c>
      <c r="N229" s="1226">
        <f>$L229-SUMIF('11.2. ДА за периода'!$B$155:$B$175,$B229,'11.2. ДА за периода'!$L$155:$L$175)+SUMIF('11.2. ДА за периода'!$B$155:$B$175,$B229,'11.2. ДА за периода'!N$155:N$175)</f>
        <v>0</v>
      </c>
      <c r="O229" s="1226">
        <f>$L229-SUMIF('11.2. ДА за периода'!$B$155:$B$175,$B229,'11.2. ДА за периода'!$L$155:$L$175)+SUMIF('11.2. ДА за периода'!$B$155:$B$175,$B229,'11.2. ДА за периода'!O$155:O$175)</f>
        <v>0</v>
      </c>
      <c r="P229" s="1226">
        <f>$L229-SUMIF('11.2. ДА за периода'!$B$155:$B$175,$B229,'11.2. ДА за периода'!$L$155:$L$175)+SUMIF('11.2. ДА за периода'!$B$155:$B$175,$B229,'11.2. ДА за периода'!P$155:P$175)</f>
        <v>0</v>
      </c>
      <c r="Q229" s="1226">
        <f>$L229-SUMIF('11.2. ДА за периода'!$B$155:$B$175,$B229,'11.2. ДА за периода'!$L$155:$L$175)+SUMIF('11.2. ДА за периода'!$B$155:$B$175,$B229,'11.2. ДА за периода'!Q$155:Q$175)</f>
        <v>0</v>
      </c>
      <c r="R229" s="2972">
        <f>$L229-SUMIF('11.2. ДА за периода'!$B$155:$B$175,$B229,'11.2. ДА за периода'!$L$155:$L$175)+SUMIF('11.2. ДА за периода'!$B$155:$B$175,$B229,'11.2. ДА за периода'!R$155:R$175)</f>
        <v>0</v>
      </c>
      <c r="S229" s="448">
        <v>0</v>
      </c>
      <c r="T229" s="2971">
        <f>$S229-SUMIF('11.2. ДА за периода'!$B$155:$B$175,$B229,'11.2. ДА за периода'!$S$155:$S$175)+SUMIF('11.2. ДА за периода'!$B$155:$B$175,$B229,'11.2. ДА за периода'!T$155:T$175)</f>
        <v>0</v>
      </c>
      <c r="U229" s="1226">
        <f>$S229-SUMIF('11.2. ДА за периода'!$B$155:$B$175,$B229,'11.2. ДА за периода'!$S$155:$S$175)+SUMIF('11.2. ДА за периода'!$B$155:$B$175,$B229,'11.2. ДА за периода'!U$155:U$175)</f>
        <v>0</v>
      </c>
      <c r="V229" s="1226">
        <f>$S229-SUMIF('11.2. ДА за периода'!$B$155:$B$175,$B229,'11.2. ДА за периода'!$S$155:$S$175)+SUMIF('11.2. ДА за периода'!$B$155:$B$175,$B229,'11.2. ДА за периода'!V$155:V$175)</f>
        <v>0</v>
      </c>
      <c r="W229" s="1226">
        <f>$S229-SUMIF('11.2. ДА за периода'!$B$155:$B$175,$B229,'11.2. ДА за периода'!$S$155:$S$175)+SUMIF('11.2. ДА за периода'!$B$155:$B$175,$B229,'11.2. ДА за периода'!W$155:W$175)</f>
        <v>0</v>
      </c>
      <c r="X229" s="1226">
        <f>$S229-SUMIF('11.2. ДА за периода'!$B$155:$B$175,$B229,'11.2. ДА за периода'!$S$155:$S$175)+SUMIF('11.2. ДА за периода'!$B$155:$B$175,$B229,'11.2. ДА за периода'!X$155:X$175)</f>
        <v>0</v>
      </c>
      <c r="Y229" s="2972">
        <f>$S229-SUMIF('11.2. ДА за периода'!$B$155:$B$175,$B229,'11.2. ДА за периода'!$S$155:$S$175)+SUMIF('11.2. ДА за периода'!$B$155:$B$175,$B229,'11.2. ДА за периода'!Y$155:Y$175)</f>
        <v>0</v>
      </c>
      <c r="Z229" s="448">
        <v>0</v>
      </c>
      <c r="AA229" s="2971">
        <f>$Z229-SUMIF('11.2. ДА за периода'!$B$155:$B$175,$B229,'11.2. ДА за периода'!$Z$155:$Z$175)+SUMIF('11.2. ДА за периода'!$B$155:$B$175,$B229,'11.2. ДА за периода'!AA$155:AA$175)</f>
        <v>0</v>
      </c>
      <c r="AB229" s="1226">
        <f>$Z229-SUMIF('11.2. ДА за периода'!$B$155:$B$175,$B229,'11.2. ДА за периода'!$Z$155:$Z$175)+SUMIF('11.2. ДА за периода'!$B$155:$B$175,$B229,'11.2. ДА за периода'!AB$155:AB$175)</f>
        <v>0</v>
      </c>
      <c r="AC229" s="1226">
        <f>$Z229-SUMIF('11.2. ДА за периода'!$B$155:$B$175,$B229,'11.2. ДА за периода'!$Z$155:$Z$175)+SUMIF('11.2. ДА за периода'!$B$155:$B$175,$B229,'11.2. ДА за периода'!AC$155:AC$175)</f>
        <v>0</v>
      </c>
      <c r="AD229" s="1226">
        <f>$Z229-SUMIF('11.2. ДА за периода'!$B$155:$B$175,$B229,'11.2. ДА за периода'!$Z$155:$Z$175)+SUMIF('11.2. ДА за периода'!$B$155:$B$175,$B229,'11.2. ДА за периода'!AD$155:AD$175)</f>
        <v>0</v>
      </c>
      <c r="AE229" s="1226">
        <f>$Z229-SUMIF('11.2. ДА за периода'!$B$155:$B$175,$B229,'11.2. ДА за периода'!$Z$155:$Z$175)+SUMIF('11.2. ДА за периода'!$B$155:$B$175,$B229,'11.2. ДА за периода'!AE$155:AE$175)</f>
        <v>0</v>
      </c>
      <c r="AF229" s="2972">
        <f>$Z229-SUMIF('11.2. ДА за периода'!$B$155:$B$175,$B229,'11.2. ДА за периода'!$Z$155:$Z$175)+SUMIF('11.2. ДА за периода'!$B$155:$B$175,$B229,'11.2. ДА за периода'!AF$155:AF$175)</f>
        <v>0</v>
      </c>
      <c r="AG229" s="448"/>
      <c r="AH229" s="2971">
        <f>$AG229-SUMIF('11.2. ДА за периода'!$B$155:$B$175,$B229,'11.2. ДА за периода'!$AG$155:$AG$175)+SUMIF('11.2. ДА за периода'!$B$155:$B$175,$B229,'11.2. ДА за периода'!AH$155:AH$175)</f>
        <v>0</v>
      </c>
      <c r="AI229" s="1226">
        <f>$AG229-SUMIF('11.2. ДА за периода'!$B$155:$B$175,$B229,'11.2. ДА за периода'!$AG$155:$AG$175)+SUMIF('11.2. ДА за периода'!$B$155:$B$175,$B229,'11.2. ДА за периода'!AI$155:AI$175)</f>
        <v>0</v>
      </c>
      <c r="AJ229" s="1226">
        <f>$AG229-SUMIF('11.2. ДА за периода'!$B$155:$B$175,$B229,'11.2. ДА за периода'!$AG$155:$AG$175)+SUMIF('11.2. ДА за периода'!$B$155:$B$175,$B229,'11.2. ДА за периода'!AJ$155:AJ$175)</f>
        <v>0</v>
      </c>
      <c r="AK229" s="1226">
        <f>$AG229-SUMIF('11.2. ДА за периода'!$B$155:$B$175,$B229,'11.2. ДА за периода'!$AG$155:$AG$175)+SUMIF('11.2. ДА за периода'!$B$155:$B$175,$B229,'11.2. ДА за периода'!AK$155:AK$175)</f>
        <v>0</v>
      </c>
      <c r="AL229" s="1226">
        <f>$AG229-SUMIF('11.2. ДА за периода'!$B$155:$B$175,$B229,'11.2. ДА за периода'!$AG$155:$AG$175)+SUMIF('11.2. ДА за периода'!$B$155:$B$175,$B229,'11.2. ДА за периода'!AL$155:AL$175)</f>
        <v>0</v>
      </c>
      <c r="AM229" s="2972">
        <f>$AG229-SUMIF('11.2. ДА за периода'!$B$155:$B$175,$B229,'11.2. ДА за периода'!$AG$155:$AG$175)+SUMIF('11.2. ДА за периода'!$B$155:$B$175,$B229,'11.2. ДА за периода'!AM$155:AM$175)</f>
        <v>0</v>
      </c>
      <c r="AN229" s="2871"/>
      <c r="AO229" s="2898"/>
      <c r="AP229" s="1426"/>
    </row>
    <row r="230" spans="1:42" s="1422" customFormat="1">
      <c r="A230" s="2920">
        <v>16</v>
      </c>
      <c r="B230" s="2863" t="s">
        <v>709</v>
      </c>
      <c r="C230" s="2864">
        <v>0.02</v>
      </c>
      <c r="D230" s="2894" t="s">
        <v>425</v>
      </c>
      <c r="E230" s="448">
        <f>172+125.456</f>
        <v>297.45600000000002</v>
      </c>
      <c r="F230" s="2971">
        <f>$E230-SUMIF('11.2. ДА за периода'!$B$155:$B$175,$B230,'11.2. ДА за периода'!$E$155:$E$175)+SUMIF('11.2. ДА за периода'!$B$155:$B$175,$B230,'11.2. ДА за периода'!F$155:F$175)</f>
        <v>297.45600000000002</v>
      </c>
      <c r="G230" s="1226">
        <f>$E230-SUMIF('11.2. ДА за периода'!$B$155:$B$175,$B230,'11.2. ДА за периода'!$E$155:$E$175)+SUMIF('11.2. ДА за периода'!$B$155:$B$175,$B230,'11.2. ДА за периода'!G$155:G$175)</f>
        <v>297.45600000000002</v>
      </c>
      <c r="H230" s="1226">
        <f>$E230-SUMIF('11.2. ДА за периода'!$B$155:$B$175,$B230,'11.2. ДА за периода'!$E$155:$E$175)+SUMIF('11.2. ДА за периода'!$B$155:$B$175,$B230,'11.2. ДА за периода'!H$155:H$175)</f>
        <v>297.45600000000002</v>
      </c>
      <c r="I230" s="1226">
        <f>$E230-SUMIF('11.2. ДА за периода'!$B$155:$B$175,$B230,'11.2. ДА за периода'!$E$155:$E$175)+SUMIF('11.2. ДА за периода'!$B$155:$B$175,$B230,'11.2. ДА за периода'!I$155:I$175)</f>
        <v>714.77600000000007</v>
      </c>
      <c r="J230" s="1226">
        <f>$E230-SUMIF('11.2. ДА за периода'!$B$155:$B$175,$B230,'11.2. ДА за периода'!$E$155:$E$175)+SUMIF('11.2. ДА за периода'!$B$155:$B$175,$B230,'11.2. ДА за периода'!J$155:J$175)</f>
        <v>714.77600000000007</v>
      </c>
      <c r="K230" s="2972">
        <f>$E230-SUMIF('11.2. ДА за периода'!$B$155:$B$175,$B230,'11.2. ДА за периода'!$E$155:$E$175)+SUMIF('11.2. ДА за периода'!$B$155:$B$175,$B230,'11.2. ДА за периода'!K$155:K$175)</f>
        <v>714.77600000000007</v>
      </c>
      <c r="L230" s="448">
        <v>0</v>
      </c>
      <c r="M230" s="2971">
        <f>$L230-SUMIF('11.2. ДА за периода'!$B$155:$B$175,$B230,'11.2. ДА за периода'!$L$155:$L$175)+SUMIF('11.2. ДА за периода'!$B$155:$B$175,$B230,'11.2. ДА за периода'!M$155:M$175)</f>
        <v>0</v>
      </c>
      <c r="N230" s="1226">
        <f>$L230-SUMIF('11.2. ДА за периода'!$B$155:$B$175,$B230,'11.2. ДА за периода'!$L$155:$L$175)+SUMIF('11.2. ДА за периода'!$B$155:$B$175,$B230,'11.2. ДА за периода'!N$155:N$175)</f>
        <v>0</v>
      </c>
      <c r="O230" s="1226">
        <f>$L230-SUMIF('11.2. ДА за периода'!$B$155:$B$175,$B230,'11.2. ДА за периода'!$L$155:$L$175)+SUMIF('11.2. ДА за периода'!$B$155:$B$175,$B230,'11.2. ДА за периода'!O$155:O$175)</f>
        <v>0</v>
      </c>
      <c r="P230" s="1226">
        <f>$L230-SUMIF('11.2. ДА за периода'!$B$155:$B$175,$B230,'11.2. ДА за периода'!$L$155:$L$175)+SUMIF('11.2. ДА за периода'!$B$155:$B$175,$B230,'11.2. ДА за периода'!P$155:P$175)</f>
        <v>0</v>
      </c>
      <c r="Q230" s="1226">
        <f>$L230-SUMIF('11.2. ДА за периода'!$B$155:$B$175,$B230,'11.2. ДА за периода'!$L$155:$L$175)+SUMIF('11.2. ДА за периода'!$B$155:$B$175,$B230,'11.2. ДА за периода'!Q$155:Q$175)</f>
        <v>0</v>
      </c>
      <c r="R230" s="2972">
        <f>$L230-SUMIF('11.2. ДА за периода'!$B$155:$B$175,$B230,'11.2. ДА за периода'!$L$155:$L$175)+SUMIF('11.2. ДА за периода'!$B$155:$B$175,$B230,'11.2. ДА за периода'!R$155:R$175)</f>
        <v>0</v>
      </c>
      <c r="S230" s="448">
        <v>0</v>
      </c>
      <c r="T230" s="2971">
        <f>$S230-SUMIF('11.2. ДА за периода'!$B$155:$B$175,$B230,'11.2. ДА за периода'!$S$155:$S$175)+SUMIF('11.2. ДА за периода'!$B$155:$B$175,$B230,'11.2. ДА за периода'!T$155:T$175)</f>
        <v>0</v>
      </c>
      <c r="U230" s="1226">
        <f>$S230-SUMIF('11.2. ДА за периода'!$B$155:$B$175,$B230,'11.2. ДА за периода'!$S$155:$S$175)+SUMIF('11.2. ДА за периода'!$B$155:$B$175,$B230,'11.2. ДА за периода'!U$155:U$175)</f>
        <v>0</v>
      </c>
      <c r="V230" s="1226">
        <f>$S230-SUMIF('11.2. ДА за периода'!$B$155:$B$175,$B230,'11.2. ДА за периода'!$S$155:$S$175)+SUMIF('11.2. ДА за периода'!$B$155:$B$175,$B230,'11.2. ДА за периода'!V$155:V$175)</f>
        <v>0</v>
      </c>
      <c r="W230" s="1226">
        <f>$S230-SUMIF('11.2. ДА за периода'!$B$155:$B$175,$B230,'11.2. ДА за периода'!$S$155:$S$175)+SUMIF('11.2. ДА за периода'!$B$155:$B$175,$B230,'11.2. ДА за периода'!W$155:W$175)</f>
        <v>0</v>
      </c>
      <c r="X230" s="1226">
        <f>$S230-SUMIF('11.2. ДА за периода'!$B$155:$B$175,$B230,'11.2. ДА за периода'!$S$155:$S$175)+SUMIF('11.2. ДА за периода'!$B$155:$B$175,$B230,'11.2. ДА за периода'!X$155:X$175)</f>
        <v>0</v>
      </c>
      <c r="Y230" s="2972">
        <f>$S230-SUMIF('11.2. ДА за периода'!$B$155:$B$175,$B230,'11.2. ДА за периода'!$S$155:$S$175)+SUMIF('11.2. ДА за периода'!$B$155:$B$175,$B230,'11.2. ДА за периода'!Y$155:Y$175)</f>
        <v>0</v>
      </c>
      <c r="Z230" s="448">
        <v>0.4</v>
      </c>
      <c r="AA230" s="2971">
        <f>$Z230-SUMIF('11.2. ДА за периода'!$B$155:$B$175,$B230,'11.2. ДА за периода'!$Z$155:$Z$175)+SUMIF('11.2. ДА за периода'!$B$155:$B$175,$B230,'11.2. ДА за периода'!AA$155:AA$175)</f>
        <v>0.4</v>
      </c>
      <c r="AB230" s="1226">
        <f>$Z230-SUMIF('11.2. ДА за периода'!$B$155:$B$175,$B230,'11.2. ДА за периода'!$Z$155:$Z$175)+SUMIF('11.2. ДА за периода'!$B$155:$B$175,$B230,'11.2. ДА за периода'!AB$155:AB$175)</f>
        <v>0.4</v>
      </c>
      <c r="AC230" s="1226">
        <f>$Z230-SUMIF('11.2. ДА за периода'!$B$155:$B$175,$B230,'11.2. ДА за периода'!$Z$155:$Z$175)+SUMIF('11.2. ДА за периода'!$B$155:$B$175,$B230,'11.2. ДА за периода'!AC$155:AC$175)</f>
        <v>0.4</v>
      </c>
      <c r="AD230" s="1226">
        <f>$Z230-SUMIF('11.2. ДА за периода'!$B$155:$B$175,$B230,'11.2. ДА за периода'!$Z$155:$Z$175)+SUMIF('11.2. ДА за периода'!$B$155:$B$175,$B230,'11.2. ДА за периода'!AD$155:AD$175)</f>
        <v>0.4</v>
      </c>
      <c r="AE230" s="1226">
        <f>$Z230-SUMIF('11.2. ДА за периода'!$B$155:$B$175,$B230,'11.2. ДА за периода'!$Z$155:$Z$175)+SUMIF('11.2. ДА за периода'!$B$155:$B$175,$B230,'11.2. ДА за периода'!AE$155:AE$175)</f>
        <v>0.4</v>
      </c>
      <c r="AF230" s="2972">
        <f>$Z230-SUMIF('11.2. ДА за периода'!$B$155:$B$175,$B230,'11.2. ДА за периода'!$Z$155:$Z$175)+SUMIF('11.2. ДА за периода'!$B$155:$B$175,$B230,'11.2. ДА за периода'!AF$155:AF$175)</f>
        <v>0.4</v>
      </c>
      <c r="AG230" s="448"/>
      <c r="AH230" s="2971">
        <f>$AG230-SUMIF('11.2. ДА за периода'!$B$155:$B$175,$B230,'11.2. ДА за периода'!$AG$155:$AG$175)+SUMIF('11.2. ДА за периода'!$B$155:$B$175,$B230,'11.2. ДА за периода'!AH$155:AH$175)</f>
        <v>0</v>
      </c>
      <c r="AI230" s="1226">
        <f>$AG230-SUMIF('11.2. ДА за периода'!$B$155:$B$175,$B230,'11.2. ДА за периода'!$AG$155:$AG$175)+SUMIF('11.2. ДА за периода'!$B$155:$B$175,$B230,'11.2. ДА за периода'!AI$155:AI$175)</f>
        <v>0</v>
      </c>
      <c r="AJ230" s="1226">
        <f>$AG230-SUMIF('11.2. ДА за периода'!$B$155:$B$175,$B230,'11.2. ДА за периода'!$AG$155:$AG$175)+SUMIF('11.2. ДА за периода'!$B$155:$B$175,$B230,'11.2. ДА за периода'!AJ$155:AJ$175)</f>
        <v>0</v>
      </c>
      <c r="AK230" s="1226">
        <f>$AG230-SUMIF('11.2. ДА за периода'!$B$155:$B$175,$B230,'11.2. ДА за периода'!$AG$155:$AG$175)+SUMIF('11.2. ДА за периода'!$B$155:$B$175,$B230,'11.2. ДА за периода'!AK$155:AK$175)</f>
        <v>0</v>
      </c>
      <c r="AL230" s="1226">
        <f>$AG230-SUMIF('11.2. ДА за периода'!$B$155:$B$175,$B230,'11.2. ДА за периода'!$AG$155:$AG$175)+SUMIF('11.2. ДА за периода'!$B$155:$B$175,$B230,'11.2. ДА за периода'!AL$155:AL$175)</f>
        <v>0</v>
      </c>
      <c r="AM230" s="2972">
        <f>$AG230-SUMIF('11.2. ДА за периода'!$B$155:$B$175,$B230,'11.2. ДА за периода'!$AG$155:$AG$175)+SUMIF('11.2. ДА за периода'!$B$155:$B$175,$B230,'11.2. ДА за периода'!AM$155:AM$175)</f>
        <v>0</v>
      </c>
      <c r="AN230" s="2871"/>
      <c r="AO230" s="2898"/>
      <c r="AP230" s="1426"/>
    </row>
    <row r="231" spans="1:42" s="1422" customFormat="1">
      <c r="A231" s="2920">
        <v>17</v>
      </c>
      <c r="B231" s="2863" t="s">
        <v>710</v>
      </c>
      <c r="C231" s="2864">
        <v>0.02</v>
      </c>
      <c r="D231" s="2899" t="s">
        <v>426</v>
      </c>
      <c r="E231" s="448">
        <v>0</v>
      </c>
      <c r="F231" s="2971">
        <f>$E231-SUMIF('11.2. ДА за периода'!$B$155:$B$175,$B231,'11.2. ДА за периода'!$E$155:$E$175)+SUMIF('11.2. ДА за периода'!$B$155:$B$175,$B231,'11.2. ДА за периода'!F$155:F$175)</f>
        <v>0</v>
      </c>
      <c r="G231" s="1226">
        <f>$E231-SUMIF('11.2. ДА за периода'!$B$155:$B$175,$B231,'11.2. ДА за периода'!$E$155:$E$175)+SUMIF('11.2. ДА за периода'!$B$155:$B$175,$B231,'11.2. ДА за периода'!G$155:G$175)</f>
        <v>0</v>
      </c>
      <c r="H231" s="1226">
        <f>$E231-SUMIF('11.2. ДА за периода'!$B$155:$B$175,$B231,'11.2. ДА за периода'!$E$155:$E$175)+SUMIF('11.2. ДА за периода'!$B$155:$B$175,$B231,'11.2. ДА за периода'!H$155:H$175)</f>
        <v>0</v>
      </c>
      <c r="I231" s="1226">
        <f>$E231-SUMIF('11.2. ДА за периода'!$B$155:$B$175,$B231,'11.2. ДА за периода'!$E$155:$E$175)+SUMIF('11.2. ДА за периода'!$B$155:$B$175,$B231,'11.2. ДА за периода'!I$155:I$175)</f>
        <v>0</v>
      </c>
      <c r="J231" s="1226">
        <f>$E231-SUMIF('11.2. ДА за периода'!$B$155:$B$175,$B231,'11.2. ДА за периода'!$E$155:$E$175)+SUMIF('11.2. ДА за периода'!$B$155:$B$175,$B231,'11.2. ДА за периода'!J$155:J$175)</f>
        <v>0</v>
      </c>
      <c r="K231" s="2972">
        <f>$E231-SUMIF('11.2. ДА за периода'!$B$155:$B$175,$B231,'11.2. ДА за периода'!$E$155:$E$175)+SUMIF('11.2. ДА за периода'!$B$155:$B$175,$B231,'11.2. ДА за периода'!K$155:K$175)</f>
        <v>0</v>
      </c>
      <c r="L231" s="448">
        <f>149+563.314</f>
        <v>712.31399999999996</v>
      </c>
      <c r="M231" s="2971">
        <f>$L231-SUMIF('11.2. ДА за периода'!$B$155:$B$175,$B231,'11.2. ДА за периода'!$L$155:$L$175)+SUMIF('11.2. ДА за периода'!$B$155:$B$175,$B231,'11.2. ДА за периода'!M$155:M$175)</f>
        <v>712.31399999999996</v>
      </c>
      <c r="N231" s="1226">
        <f>$L231-SUMIF('11.2. ДА за периода'!$B$155:$B$175,$B231,'11.2. ДА за периода'!$L$155:$L$175)+SUMIF('11.2. ДА за периода'!$B$155:$B$175,$B231,'11.2. ДА за периода'!N$155:N$175)</f>
        <v>712.31399999999996</v>
      </c>
      <c r="O231" s="1226">
        <f>$L231-SUMIF('11.2. ДА за периода'!$B$155:$B$175,$B231,'11.2. ДА за периода'!$L$155:$L$175)+SUMIF('11.2. ДА за периода'!$B$155:$B$175,$B231,'11.2. ДА за периода'!O$155:O$175)</f>
        <v>712.31399999999996</v>
      </c>
      <c r="P231" s="1226">
        <f>$L231-SUMIF('11.2. ДА за периода'!$B$155:$B$175,$B231,'11.2. ДА за периода'!$L$155:$L$175)+SUMIF('11.2. ДА за периода'!$B$155:$B$175,$B231,'11.2. ДА за периода'!P$155:P$175)</f>
        <v>1062.15446</v>
      </c>
      <c r="Q231" s="1226">
        <f>$L231-SUMIF('11.2. ДА за периода'!$B$155:$B$175,$B231,'11.2. ДА за периода'!$L$155:$L$175)+SUMIF('11.2. ДА за периода'!$B$155:$B$175,$B231,'11.2. ДА за периода'!Q$155:Q$175)</f>
        <v>1062.15446</v>
      </c>
      <c r="R231" s="2972">
        <f>$L231-SUMIF('11.2. ДА за периода'!$B$155:$B$175,$B231,'11.2. ДА за периода'!$L$155:$L$175)+SUMIF('11.2. ДА за периода'!$B$155:$B$175,$B231,'11.2. ДА за периода'!R$155:R$175)</f>
        <v>1062.15446</v>
      </c>
      <c r="S231" s="448">
        <v>0</v>
      </c>
      <c r="T231" s="2971">
        <f>$S231-SUMIF('11.2. ДА за периода'!$B$155:$B$175,$B231,'11.2. ДА за периода'!$S$155:$S$175)+SUMIF('11.2. ДА за периода'!$B$155:$B$175,$B231,'11.2. ДА за периода'!T$155:T$175)</f>
        <v>0</v>
      </c>
      <c r="U231" s="1226">
        <f>$S231-SUMIF('11.2. ДА за периода'!$B$155:$B$175,$B231,'11.2. ДА за периода'!$S$155:$S$175)+SUMIF('11.2. ДА за периода'!$B$155:$B$175,$B231,'11.2. ДА за периода'!U$155:U$175)</f>
        <v>0</v>
      </c>
      <c r="V231" s="1226">
        <f>$S231-SUMIF('11.2. ДА за периода'!$B$155:$B$175,$B231,'11.2. ДА за периода'!$S$155:$S$175)+SUMIF('11.2. ДА за периода'!$B$155:$B$175,$B231,'11.2. ДА за периода'!V$155:V$175)</f>
        <v>0</v>
      </c>
      <c r="W231" s="1226">
        <f>$S231-SUMIF('11.2. ДА за периода'!$B$155:$B$175,$B231,'11.2. ДА за периода'!$S$155:$S$175)+SUMIF('11.2. ДА за периода'!$B$155:$B$175,$B231,'11.2. ДА за периода'!W$155:W$175)</f>
        <v>0</v>
      </c>
      <c r="X231" s="1226">
        <f>$S231-SUMIF('11.2. ДА за периода'!$B$155:$B$175,$B231,'11.2. ДА за периода'!$S$155:$S$175)+SUMIF('11.2. ДА за периода'!$B$155:$B$175,$B231,'11.2. ДА за периода'!X$155:X$175)</f>
        <v>0</v>
      </c>
      <c r="Y231" s="2972">
        <f>$S231-SUMIF('11.2. ДА за периода'!$B$155:$B$175,$B231,'11.2. ДА за периода'!$S$155:$S$175)+SUMIF('11.2. ДА за периода'!$B$155:$B$175,$B231,'11.2. ДА за периода'!Y$155:Y$175)</f>
        <v>0</v>
      </c>
      <c r="Z231" s="448">
        <v>0</v>
      </c>
      <c r="AA231" s="2971">
        <f>$Z231-SUMIF('11.2. ДА за периода'!$B$155:$B$175,$B231,'11.2. ДА за периода'!$Z$155:$Z$175)+SUMIF('11.2. ДА за периода'!$B$155:$B$175,$B231,'11.2. ДА за периода'!AA$155:AA$175)</f>
        <v>0</v>
      </c>
      <c r="AB231" s="1226">
        <f>$Z231-SUMIF('11.2. ДА за периода'!$B$155:$B$175,$B231,'11.2. ДА за периода'!$Z$155:$Z$175)+SUMIF('11.2. ДА за периода'!$B$155:$B$175,$B231,'11.2. ДА за периода'!AB$155:AB$175)</f>
        <v>0</v>
      </c>
      <c r="AC231" s="1226">
        <f>$Z231-SUMIF('11.2. ДА за периода'!$B$155:$B$175,$B231,'11.2. ДА за периода'!$Z$155:$Z$175)+SUMIF('11.2. ДА за периода'!$B$155:$B$175,$B231,'11.2. ДА за периода'!AC$155:AC$175)</f>
        <v>0</v>
      </c>
      <c r="AD231" s="1226">
        <f>$Z231-SUMIF('11.2. ДА за периода'!$B$155:$B$175,$B231,'11.2. ДА за периода'!$Z$155:$Z$175)+SUMIF('11.2. ДА за периода'!$B$155:$B$175,$B231,'11.2. ДА за периода'!AD$155:AD$175)</f>
        <v>0</v>
      </c>
      <c r="AE231" s="1226">
        <f>$Z231-SUMIF('11.2. ДА за периода'!$B$155:$B$175,$B231,'11.2. ДА за периода'!$Z$155:$Z$175)+SUMIF('11.2. ДА за периода'!$B$155:$B$175,$B231,'11.2. ДА за периода'!AE$155:AE$175)</f>
        <v>0</v>
      </c>
      <c r="AF231" s="2972">
        <f>$Z231-SUMIF('11.2. ДА за периода'!$B$155:$B$175,$B231,'11.2. ДА за периода'!$Z$155:$Z$175)+SUMIF('11.2. ДА за периода'!$B$155:$B$175,$B231,'11.2. ДА за периода'!AF$155:AF$175)</f>
        <v>0</v>
      </c>
      <c r="AG231" s="448"/>
      <c r="AH231" s="2971">
        <f>$AG231-SUMIF('11.2. ДА за периода'!$B$155:$B$175,$B231,'11.2. ДА за периода'!$AG$155:$AG$175)+SUMIF('11.2. ДА за периода'!$B$155:$B$175,$B231,'11.2. ДА за периода'!AH$155:AH$175)</f>
        <v>0</v>
      </c>
      <c r="AI231" s="1226">
        <f>$AG231-SUMIF('11.2. ДА за периода'!$B$155:$B$175,$B231,'11.2. ДА за периода'!$AG$155:$AG$175)+SUMIF('11.2. ДА за периода'!$B$155:$B$175,$B231,'11.2. ДА за периода'!AI$155:AI$175)</f>
        <v>0</v>
      </c>
      <c r="AJ231" s="1226">
        <f>$AG231-SUMIF('11.2. ДА за периода'!$B$155:$B$175,$B231,'11.2. ДА за периода'!$AG$155:$AG$175)+SUMIF('11.2. ДА за периода'!$B$155:$B$175,$B231,'11.2. ДА за периода'!AJ$155:AJ$175)</f>
        <v>0</v>
      </c>
      <c r="AK231" s="1226">
        <f>$AG231-SUMIF('11.2. ДА за периода'!$B$155:$B$175,$B231,'11.2. ДА за периода'!$AG$155:$AG$175)+SUMIF('11.2. ДА за периода'!$B$155:$B$175,$B231,'11.2. ДА за периода'!AK$155:AK$175)</f>
        <v>0</v>
      </c>
      <c r="AL231" s="1226">
        <f>$AG231-SUMIF('11.2. ДА за периода'!$B$155:$B$175,$B231,'11.2. ДА за периода'!$AG$155:$AG$175)+SUMIF('11.2. ДА за периода'!$B$155:$B$175,$B231,'11.2. ДА за периода'!AL$155:AL$175)</f>
        <v>0</v>
      </c>
      <c r="AM231" s="2972">
        <f>$AG231-SUMIF('11.2. ДА за периода'!$B$155:$B$175,$B231,'11.2. ДА за периода'!$AG$155:$AG$175)+SUMIF('11.2. ДА за периода'!$B$155:$B$175,$B231,'11.2. ДА за периода'!AM$155:AM$175)</f>
        <v>0</v>
      </c>
      <c r="AN231" s="2871"/>
      <c r="AO231" s="2898"/>
      <c r="AP231" s="1426"/>
    </row>
    <row r="232" spans="1:42" s="1422" customFormat="1" ht="24">
      <c r="A232" s="2920">
        <v>18</v>
      </c>
      <c r="B232" s="2863" t="s">
        <v>711</v>
      </c>
      <c r="C232" s="2864">
        <v>0.04</v>
      </c>
      <c r="D232" s="2899" t="s">
        <v>427</v>
      </c>
      <c r="E232" s="448">
        <v>1</v>
      </c>
      <c r="F232" s="2971">
        <f>$E232-SUMIF('11.2. ДА за периода'!$B$155:$B$175,$B232,'11.2. ДА за периода'!$E$155:$E$175)+SUMIF('11.2. ДА за периода'!$B$155:$B$175,$B232,'11.2. ДА за периода'!F$155:F$175)</f>
        <v>1</v>
      </c>
      <c r="G232" s="1226">
        <f>$E232-SUMIF('11.2. ДА за периода'!$B$155:$B$175,$B232,'11.2. ДА за периода'!$E$155:$E$175)+SUMIF('11.2. ДА за периода'!$B$155:$B$175,$B232,'11.2. ДА за периода'!G$155:G$175)</f>
        <v>1</v>
      </c>
      <c r="H232" s="1226">
        <f>$E232-SUMIF('11.2. ДА за периода'!$B$155:$B$175,$B232,'11.2. ДА за периода'!$E$155:$E$175)+SUMIF('11.2. ДА за периода'!$B$155:$B$175,$B232,'11.2. ДА за периода'!H$155:H$175)</f>
        <v>1</v>
      </c>
      <c r="I232" s="1226">
        <f>$E232-SUMIF('11.2. ДА за периода'!$B$155:$B$175,$B232,'11.2. ДА за периода'!$E$155:$E$175)+SUMIF('11.2. ДА за периода'!$B$155:$B$175,$B232,'11.2. ДА за периода'!I$155:I$175)</f>
        <v>24.619</v>
      </c>
      <c r="J232" s="1226">
        <f>$E232-SUMIF('11.2. ДА за периода'!$B$155:$B$175,$B232,'11.2. ДА за периода'!$E$155:$E$175)+SUMIF('11.2. ДА за периода'!$B$155:$B$175,$B232,'11.2. ДА за периода'!J$155:J$175)</f>
        <v>24.619</v>
      </c>
      <c r="K232" s="2972">
        <f>$E232-SUMIF('11.2. ДА за периода'!$B$155:$B$175,$B232,'11.2. ДА за периода'!$E$155:$E$175)+SUMIF('11.2. ДА за периода'!$B$155:$B$175,$B232,'11.2. ДА за периода'!K$155:K$175)</f>
        <v>24.619</v>
      </c>
      <c r="L232" s="448">
        <v>0</v>
      </c>
      <c r="M232" s="2971">
        <f>$L232-SUMIF('11.2. ДА за периода'!$B$155:$B$175,$B232,'11.2. ДА за периода'!$L$155:$L$175)+SUMIF('11.2. ДА за периода'!$B$155:$B$175,$B232,'11.2. ДА за периода'!M$155:M$175)</f>
        <v>0</v>
      </c>
      <c r="N232" s="1226">
        <f>$L232-SUMIF('11.2. ДА за периода'!$B$155:$B$175,$B232,'11.2. ДА за периода'!$L$155:$L$175)+SUMIF('11.2. ДА за периода'!$B$155:$B$175,$B232,'11.2. ДА за периода'!N$155:N$175)</f>
        <v>0</v>
      </c>
      <c r="O232" s="1226">
        <f>$L232-SUMIF('11.2. ДА за периода'!$B$155:$B$175,$B232,'11.2. ДА за периода'!$L$155:$L$175)+SUMIF('11.2. ДА за периода'!$B$155:$B$175,$B232,'11.2. ДА за периода'!O$155:O$175)</f>
        <v>0</v>
      </c>
      <c r="P232" s="1226">
        <f>$L232-SUMIF('11.2. ДА за периода'!$B$155:$B$175,$B232,'11.2. ДА за периода'!$L$155:$L$175)+SUMIF('11.2. ДА за периода'!$B$155:$B$175,$B232,'11.2. ДА за периода'!P$155:P$175)</f>
        <v>427.44</v>
      </c>
      <c r="Q232" s="1226">
        <f>$L232-SUMIF('11.2. ДА за периода'!$B$155:$B$175,$B232,'11.2. ДА за периода'!$L$155:$L$175)+SUMIF('11.2. ДА за периода'!$B$155:$B$175,$B232,'11.2. ДА за периода'!Q$155:Q$175)</f>
        <v>427.44</v>
      </c>
      <c r="R232" s="2972">
        <f>$L232-SUMIF('11.2. ДА за периода'!$B$155:$B$175,$B232,'11.2. ДА за периода'!$L$155:$L$175)+SUMIF('11.2. ДА за периода'!$B$155:$B$175,$B232,'11.2. ДА за периода'!R$155:R$175)</f>
        <v>427.44</v>
      </c>
      <c r="S232" s="448">
        <v>63</v>
      </c>
      <c r="T232" s="2971">
        <f>$S232-SUMIF('11.2. ДА за периода'!$B$155:$B$175,$B232,'11.2. ДА за периода'!$S$155:$S$175)+SUMIF('11.2. ДА за периода'!$B$155:$B$175,$B232,'11.2. ДА за периода'!T$155:T$175)</f>
        <v>63</v>
      </c>
      <c r="U232" s="1226">
        <f>$S232-SUMIF('11.2. ДА за периода'!$B$155:$B$175,$B232,'11.2. ДА за периода'!$S$155:$S$175)+SUMIF('11.2. ДА за периода'!$B$155:$B$175,$B232,'11.2. ДА за периода'!U$155:U$175)</f>
        <v>63</v>
      </c>
      <c r="V232" s="1226">
        <f>$S232-SUMIF('11.2. ДА за периода'!$B$155:$B$175,$B232,'11.2. ДА за периода'!$S$155:$S$175)+SUMIF('11.2. ДА за периода'!$B$155:$B$175,$B232,'11.2. ДА за периода'!V$155:V$175)</f>
        <v>63</v>
      </c>
      <c r="W232" s="1226">
        <f>$S232-SUMIF('11.2. ДА за периода'!$B$155:$B$175,$B232,'11.2. ДА за периода'!$S$155:$S$175)+SUMIF('11.2. ДА за периода'!$B$155:$B$175,$B232,'11.2. ДА за периода'!W$155:W$175)</f>
        <v>808.95360000000005</v>
      </c>
      <c r="X232" s="1226">
        <f>$S232-SUMIF('11.2. ДА за периода'!$B$155:$B$175,$B232,'11.2. ДА за периода'!$S$155:$S$175)+SUMIF('11.2. ДА за периода'!$B$155:$B$175,$B232,'11.2. ДА за периода'!X$155:X$175)</f>
        <v>808.95360000000005</v>
      </c>
      <c r="Y232" s="2972">
        <f>$S232-SUMIF('11.2. ДА за периода'!$B$155:$B$175,$B232,'11.2. ДА за периода'!$S$155:$S$175)+SUMIF('11.2. ДА за периода'!$B$155:$B$175,$B232,'11.2. ДА за периода'!Y$155:Y$175)</f>
        <v>808.95360000000005</v>
      </c>
      <c r="Z232" s="448">
        <v>0.4</v>
      </c>
      <c r="AA232" s="2971">
        <f>$Z232-SUMIF('11.2. ДА за периода'!$B$155:$B$175,$B232,'11.2. ДА за периода'!$Z$155:$Z$175)+SUMIF('11.2. ДА за периода'!$B$155:$B$175,$B232,'11.2. ДА за периода'!AA$155:AA$175)</f>
        <v>0.4</v>
      </c>
      <c r="AB232" s="1226">
        <f>$Z232-SUMIF('11.2. ДА за периода'!$B$155:$B$175,$B232,'11.2. ДА за периода'!$Z$155:$Z$175)+SUMIF('11.2. ДА за периода'!$B$155:$B$175,$B232,'11.2. ДА за периода'!AB$155:AB$175)</f>
        <v>0.4</v>
      </c>
      <c r="AC232" s="1226">
        <f>$Z232-SUMIF('11.2. ДА за периода'!$B$155:$B$175,$B232,'11.2. ДА за периода'!$Z$155:$Z$175)+SUMIF('11.2. ДА за периода'!$B$155:$B$175,$B232,'11.2. ДА за периода'!AC$155:AC$175)</f>
        <v>0.4</v>
      </c>
      <c r="AD232" s="1226">
        <f>$Z232-SUMIF('11.2. ДА за периода'!$B$155:$B$175,$B232,'11.2. ДА за периода'!$Z$155:$Z$175)+SUMIF('11.2. ДА за периода'!$B$155:$B$175,$B232,'11.2. ДА за периода'!AD$155:AD$175)</f>
        <v>0.4</v>
      </c>
      <c r="AE232" s="1226">
        <f>$Z232-SUMIF('11.2. ДА за периода'!$B$155:$B$175,$B232,'11.2. ДА за периода'!$Z$155:$Z$175)+SUMIF('11.2. ДА за периода'!$B$155:$B$175,$B232,'11.2. ДА за периода'!AE$155:AE$175)</f>
        <v>0.4</v>
      </c>
      <c r="AF232" s="2972">
        <f>$Z232-SUMIF('11.2. ДА за периода'!$B$155:$B$175,$B232,'11.2. ДА за периода'!$Z$155:$Z$175)+SUMIF('11.2. ДА за периода'!$B$155:$B$175,$B232,'11.2. ДА за периода'!AF$155:AF$175)</f>
        <v>0.4</v>
      </c>
      <c r="AG232" s="448"/>
      <c r="AH232" s="2971">
        <f>$AG232-SUMIF('11.2. ДА за периода'!$B$155:$B$175,$B232,'11.2. ДА за периода'!$AG$155:$AG$175)+SUMIF('11.2. ДА за периода'!$B$155:$B$175,$B232,'11.2. ДА за периода'!AH$155:AH$175)</f>
        <v>0</v>
      </c>
      <c r="AI232" s="1226">
        <f>$AG232-SUMIF('11.2. ДА за периода'!$B$155:$B$175,$B232,'11.2. ДА за периода'!$AG$155:$AG$175)+SUMIF('11.2. ДА за периода'!$B$155:$B$175,$B232,'11.2. ДА за периода'!AI$155:AI$175)</f>
        <v>0</v>
      </c>
      <c r="AJ232" s="1226">
        <f>$AG232-SUMIF('11.2. ДА за периода'!$B$155:$B$175,$B232,'11.2. ДА за периода'!$AG$155:$AG$175)+SUMIF('11.2. ДА за периода'!$B$155:$B$175,$B232,'11.2. ДА за периода'!AJ$155:AJ$175)</f>
        <v>0</v>
      </c>
      <c r="AK232" s="1226">
        <f>$AG232-SUMIF('11.2. ДА за периода'!$B$155:$B$175,$B232,'11.2. ДА за периода'!$AG$155:$AG$175)+SUMIF('11.2. ДА за периода'!$B$155:$B$175,$B232,'11.2. ДА за периода'!AK$155:AK$175)</f>
        <v>0</v>
      </c>
      <c r="AL232" s="1226">
        <f>$AG232-SUMIF('11.2. ДА за периода'!$B$155:$B$175,$B232,'11.2. ДА за периода'!$AG$155:$AG$175)+SUMIF('11.2. ДА за периода'!$B$155:$B$175,$B232,'11.2. ДА за периода'!AL$155:AL$175)</f>
        <v>0</v>
      </c>
      <c r="AM232" s="2972">
        <f>$AG232-SUMIF('11.2. ДА за периода'!$B$155:$B$175,$B232,'11.2. ДА за периода'!$AG$155:$AG$175)+SUMIF('11.2. ДА за периода'!$B$155:$B$175,$B232,'11.2. ДА за периода'!AM$155:AM$175)</f>
        <v>0</v>
      </c>
      <c r="AN232" s="2871"/>
      <c r="AO232" s="2898"/>
      <c r="AP232" s="1426"/>
    </row>
    <row r="233" spans="1:42" s="1422" customFormat="1">
      <c r="A233" s="2920">
        <v>19</v>
      </c>
      <c r="B233" s="2863" t="s">
        <v>712</v>
      </c>
      <c r="C233" s="2864">
        <v>0.04</v>
      </c>
      <c r="D233" s="2899" t="s">
        <v>428</v>
      </c>
      <c r="E233" s="448">
        <v>0</v>
      </c>
      <c r="F233" s="2971">
        <f>$E233-SUMIF('11.2. ДА за периода'!$B$155:$B$175,$B233,'11.2. ДА за периода'!$E$155:$E$175)+SUMIF('11.2. ДА за периода'!$B$155:$B$175,$B233,'11.2. ДА за периода'!F$155:F$175)</f>
        <v>0</v>
      </c>
      <c r="G233" s="1226">
        <f>$E233-SUMIF('11.2. ДА за периода'!$B$155:$B$175,$B233,'11.2. ДА за периода'!$E$155:$E$175)+SUMIF('11.2. ДА за периода'!$B$155:$B$175,$B233,'11.2. ДА за периода'!G$155:G$175)</f>
        <v>0</v>
      </c>
      <c r="H233" s="1226">
        <f>$E233-SUMIF('11.2. ДА за периода'!$B$155:$B$175,$B233,'11.2. ДА за периода'!$E$155:$E$175)+SUMIF('11.2. ДА за периода'!$B$155:$B$175,$B233,'11.2. ДА за периода'!H$155:H$175)</f>
        <v>0</v>
      </c>
      <c r="I233" s="1226">
        <f>$E233-SUMIF('11.2. ДА за периода'!$B$155:$B$175,$B233,'11.2. ДА за периода'!$E$155:$E$175)+SUMIF('11.2. ДА за периода'!$B$155:$B$175,$B233,'11.2. ДА за периода'!I$155:I$175)</f>
        <v>0</v>
      </c>
      <c r="J233" s="1226">
        <f>$E233-SUMIF('11.2. ДА за периода'!$B$155:$B$175,$B233,'11.2. ДА за периода'!$E$155:$E$175)+SUMIF('11.2. ДА за периода'!$B$155:$B$175,$B233,'11.2. ДА за периода'!J$155:J$175)</f>
        <v>0</v>
      </c>
      <c r="K233" s="2972">
        <f>$E233-SUMIF('11.2. ДА за периода'!$B$155:$B$175,$B233,'11.2. ДА за периода'!$E$155:$E$175)+SUMIF('11.2. ДА за периода'!$B$155:$B$175,$B233,'11.2. ДА за периода'!K$155:K$175)</f>
        <v>0</v>
      </c>
      <c r="L233" s="448">
        <v>0</v>
      </c>
      <c r="M233" s="2971">
        <f>$L233-SUMIF('11.2. ДА за периода'!$B$155:$B$175,$B233,'11.2. ДА за периода'!$L$155:$L$175)+SUMIF('11.2. ДА за периода'!$B$155:$B$175,$B233,'11.2. ДА за периода'!M$155:M$175)</f>
        <v>0</v>
      </c>
      <c r="N233" s="1226">
        <f>$L233-SUMIF('11.2. ДА за периода'!$B$155:$B$175,$B233,'11.2. ДА за периода'!$L$155:$L$175)+SUMIF('11.2. ДА за периода'!$B$155:$B$175,$B233,'11.2. ДА за периода'!N$155:N$175)</f>
        <v>0</v>
      </c>
      <c r="O233" s="1226">
        <f>$L233-SUMIF('11.2. ДА за периода'!$B$155:$B$175,$B233,'11.2. ДА за периода'!$L$155:$L$175)+SUMIF('11.2. ДА за периода'!$B$155:$B$175,$B233,'11.2. ДА за периода'!O$155:O$175)</f>
        <v>0</v>
      </c>
      <c r="P233" s="1226">
        <f>$L233-SUMIF('11.2. ДА за периода'!$B$155:$B$175,$B233,'11.2. ДА за периода'!$L$155:$L$175)+SUMIF('11.2. ДА за периода'!$B$155:$B$175,$B233,'11.2. ДА за периода'!P$155:P$175)</f>
        <v>0</v>
      </c>
      <c r="Q233" s="1226">
        <f>$L233-SUMIF('11.2. ДА за периода'!$B$155:$B$175,$B233,'11.2. ДА за периода'!$L$155:$L$175)+SUMIF('11.2. ДА за периода'!$B$155:$B$175,$B233,'11.2. ДА за периода'!Q$155:Q$175)</f>
        <v>0</v>
      </c>
      <c r="R233" s="2972">
        <f>$L233-SUMIF('11.2. ДА за периода'!$B$155:$B$175,$B233,'11.2. ДА за периода'!$L$155:$L$175)+SUMIF('11.2. ДА за периода'!$B$155:$B$175,$B233,'11.2. ДА за периода'!R$155:R$175)</f>
        <v>0</v>
      </c>
      <c r="S233" s="448">
        <v>2</v>
      </c>
      <c r="T233" s="2971">
        <f>$S233-SUMIF('11.2. ДА за периода'!$B$155:$B$175,$B233,'11.2. ДА за периода'!$S$155:$S$175)+SUMIF('11.2. ДА за периода'!$B$155:$B$175,$B233,'11.2. ДА за периода'!T$155:T$175)</f>
        <v>2</v>
      </c>
      <c r="U233" s="1226">
        <f>$S233-SUMIF('11.2. ДА за периода'!$B$155:$B$175,$B233,'11.2. ДА за периода'!$S$155:$S$175)+SUMIF('11.2. ДА за периода'!$B$155:$B$175,$B233,'11.2. ДА за периода'!U$155:U$175)</f>
        <v>2</v>
      </c>
      <c r="V233" s="1226">
        <f>$S233-SUMIF('11.2. ДА за периода'!$B$155:$B$175,$B233,'11.2. ДА за периода'!$S$155:$S$175)+SUMIF('11.2. ДА за периода'!$B$155:$B$175,$B233,'11.2. ДА за периода'!V$155:V$175)</f>
        <v>2</v>
      </c>
      <c r="W233" s="1226">
        <f>$S233-SUMIF('11.2. ДА за периода'!$B$155:$B$175,$B233,'11.2. ДА за периода'!$S$155:$S$175)+SUMIF('11.2. ДА за периода'!$B$155:$B$175,$B233,'11.2. ДА за периода'!W$155:W$175)</f>
        <v>2</v>
      </c>
      <c r="X233" s="1226">
        <f>$S233-SUMIF('11.2. ДА за периода'!$B$155:$B$175,$B233,'11.2. ДА за периода'!$S$155:$S$175)+SUMIF('11.2. ДА за периода'!$B$155:$B$175,$B233,'11.2. ДА за периода'!X$155:X$175)</f>
        <v>2</v>
      </c>
      <c r="Y233" s="2972">
        <f>$S233-SUMIF('11.2. ДА за периода'!$B$155:$B$175,$B233,'11.2. ДА за периода'!$S$155:$S$175)+SUMIF('11.2. ДА за периода'!$B$155:$B$175,$B233,'11.2. ДА за периода'!Y$155:Y$175)</f>
        <v>2</v>
      </c>
      <c r="Z233" s="448">
        <v>0</v>
      </c>
      <c r="AA233" s="2971">
        <f>$Z233-SUMIF('11.2. ДА за периода'!$B$155:$B$175,$B233,'11.2. ДА за периода'!$Z$155:$Z$175)+SUMIF('11.2. ДА за периода'!$B$155:$B$175,$B233,'11.2. ДА за периода'!AA$155:AA$175)</f>
        <v>0</v>
      </c>
      <c r="AB233" s="1226">
        <f>$Z233-SUMIF('11.2. ДА за периода'!$B$155:$B$175,$B233,'11.2. ДА за периода'!$Z$155:$Z$175)+SUMIF('11.2. ДА за периода'!$B$155:$B$175,$B233,'11.2. ДА за периода'!AB$155:AB$175)</f>
        <v>0</v>
      </c>
      <c r="AC233" s="1226">
        <f>$Z233-SUMIF('11.2. ДА за периода'!$B$155:$B$175,$B233,'11.2. ДА за периода'!$Z$155:$Z$175)+SUMIF('11.2. ДА за периода'!$B$155:$B$175,$B233,'11.2. ДА за периода'!AC$155:AC$175)</f>
        <v>0</v>
      </c>
      <c r="AD233" s="1226">
        <f>$Z233-SUMIF('11.2. ДА за периода'!$B$155:$B$175,$B233,'11.2. ДА за периода'!$Z$155:$Z$175)+SUMIF('11.2. ДА за периода'!$B$155:$B$175,$B233,'11.2. ДА за периода'!AD$155:AD$175)</f>
        <v>0</v>
      </c>
      <c r="AE233" s="1226">
        <f>$Z233-SUMIF('11.2. ДА за периода'!$B$155:$B$175,$B233,'11.2. ДА за периода'!$Z$155:$Z$175)+SUMIF('11.2. ДА за периода'!$B$155:$B$175,$B233,'11.2. ДА за периода'!AE$155:AE$175)</f>
        <v>0</v>
      </c>
      <c r="AF233" s="2972">
        <f>$Z233-SUMIF('11.2. ДА за периода'!$B$155:$B$175,$B233,'11.2. ДА за периода'!$Z$155:$Z$175)+SUMIF('11.2. ДА за периода'!$B$155:$B$175,$B233,'11.2. ДА за периода'!AF$155:AF$175)</f>
        <v>0</v>
      </c>
      <c r="AG233" s="448"/>
      <c r="AH233" s="2971">
        <f>$AG233-SUMIF('11.2. ДА за периода'!$B$155:$B$175,$B233,'11.2. ДА за периода'!$AG$155:$AG$175)+SUMIF('11.2. ДА за периода'!$B$155:$B$175,$B233,'11.2. ДА за периода'!AH$155:AH$175)</f>
        <v>0</v>
      </c>
      <c r="AI233" s="1226">
        <f>$AG233-SUMIF('11.2. ДА за периода'!$B$155:$B$175,$B233,'11.2. ДА за периода'!$AG$155:$AG$175)+SUMIF('11.2. ДА за периода'!$B$155:$B$175,$B233,'11.2. ДА за периода'!AI$155:AI$175)</f>
        <v>0</v>
      </c>
      <c r="AJ233" s="1226">
        <f>$AG233-SUMIF('11.2. ДА за периода'!$B$155:$B$175,$B233,'11.2. ДА за периода'!$AG$155:$AG$175)+SUMIF('11.2. ДА за периода'!$B$155:$B$175,$B233,'11.2. ДА за периода'!AJ$155:AJ$175)</f>
        <v>0</v>
      </c>
      <c r="AK233" s="1226">
        <f>$AG233-SUMIF('11.2. ДА за периода'!$B$155:$B$175,$B233,'11.2. ДА за периода'!$AG$155:$AG$175)+SUMIF('11.2. ДА за периода'!$B$155:$B$175,$B233,'11.2. ДА за периода'!AK$155:AK$175)</f>
        <v>0</v>
      </c>
      <c r="AL233" s="1226">
        <f>$AG233-SUMIF('11.2. ДА за периода'!$B$155:$B$175,$B233,'11.2. ДА за периода'!$AG$155:$AG$175)+SUMIF('11.2. ДА за периода'!$B$155:$B$175,$B233,'11.2. ДА за периода'!AL$155:AL$175)</f>
        <v>0</v>
      </c>
      <c r="AM233" s="2972">
        <f>$AG233-SUMIF('11.2. ДА за периода'!$B$155:$B$175,$B233,'11.2. ДА за периода'!$AG$155:$AG$175)+SUMIF('11.2. ДА за периода'!$B$155:$B$175,$B233,'11.2. ДА за периода'!AM$155:AM$175)</f>
        <v>0</v>
      </c>
      <c r="AN233" s="2871"/>
      <c r="AO233" s="2898"/>
      <c r="AP233" s="1426"/>
    </row>
    <row r="234" spans="1:42" s="1422" customFormat="1">
      <c r="A234" s="2920">
        <v>20</v>
      </c>
      <c r="B234" s="2863" t="s">
        <v>724</v>
      </c>
      <c r="C234" s="2864">
        <v>0.04</v>
      </c>
      <c r="D234" s="2918" t="s">
        <v>439</v>
      </c>
      <c r="E234" s="448">
        <v>1</v>
      </c>
      <c r="F234" s="2971">
        <f>$E234-SUMIF('11.2. ДА за периода'!$B$155:$B$175,$B234,'11.2. ДА за периода'!$E$155:$E$175)+SUMIF('11.2. ДА за периода'!$B$155:$B$175,$B234,'11.2. ДА за периода'!F$155:F$175)</f>
        <v>1</v>
      </c>
      <c r="G234" s="1226">
        <f>$E234-SUMIF('11.2. ДА за периода'!$B$155:$B$175,$B234,'11.2. ДА за периода'!$E$155:$E$175)+SUMIF('11.2. ДА за периода'!$B$155:$B$175,$B234,'11.2. ДА за периода'!G$155:G$175)</f>
        <v>1</v>
      </c>
      <c r="H234" s="1226">
        <f>$E234-SUMIF('11.2. ДА за периода'!$B$155:$B$175,$B234,'11.2. ДА за периода'!$E$155:$E$175)+SUMIF('11.2. ДА за периода'!$B$155:$B$175,$B234,'11.2. ДА за периода'!H$155:H$175)</f>
        <v>1</v>
      </c>
      <c r="I234" s="1226">
        <f>$E234-SUMIF('11.2. ДА за периода'!$B$155:$B$175,$B234,'11.2. ДА за периода'!$E$155:$E$175)+SUMIF('11.2. ДА за периода'!$B$155:$B$175,$B234,'11.2. ДА за периода'!I$155:I$175)</f>
        <v>1</v>
      </c>
      <c r="J234" s="1226">
        <f>$E234-SUMIF('11.2. ДА за периода'!$B$155:$B$175,$B234,'11.2. ДА за периода'!$E$155:$E$175)+SUMIF('11.2. ДА за периода'!$B$155:$B$175,$B234,'11.2. ДА за периода'!J$155:J$175)</f>
        <v>1</v>
      </c>
      <c r="K234" s="2972">
        <f>$E234-SUMIF('11.2. ДА за периода'!$B$155:$B$175,$B234,'11.2. ДА за периода'!$E$155:$E$175)+SUMIF('11.2. ДА за периода'!$B$155:$B$175,$B234,'11.2. ДА за периода'!K$155:K$175)</f>
        <v>1</v>
      </c>
      <c r="L234" s="448">
        <v>0</v>
      </c>
      <c r="M234" s="2971">
        <f>$L234-SUMIF('11.2. ДА за периода'!$B$155:$B$175,$B234,'11.2. ДА за периода'!$L$155:$L$175)+SUMIF('11.2. ДА за периода'!$B$155:$B$175,$B234,'11.2. ДА за периода'!M$155:M$175)</f>
        <v>0</v>
      </c>
      <c r="N234" s="1226">
        <f>$L234-SUMIF('11.2. ДА за периода'!$B$155:$B$175,$B234,'11.2. ДА за периода'!$L$155:$L$175)+SUMIF('11.2. ДА за периода'!$B$155:$B$175,$B234,'11.2. ДА за периода'!N$155:N$175)</f>
        <v>0</v>
      </c>
      <c r="O234" s="1226">
        <f>$L234-SUMIF('11.2. ДА за периода'!$B$155:$B$175,$B234,'11.2. ДА за периода'!$L$155:$L$175)+SUMIF('11.2. ДА за периода'!$B$155:$B$175,$B234,'11.2. ДА за периода'!O$155:O$175)</f>
        <v>0</v>
      </c>
      <c r="P234" s="1226">
        <f>$L234-SUMIF('11.2. ДА за периода'!$B$155:$B$175,$B234,'11.2. ДА за периода'!$L$155:$L$175)+SUMIF('11.2. ДА за периода'!$B$155:$B$175,$B234,'11.2. ДА за периода'!P$155:P$175)</f>
        <v>0</v>
      </c>
      <c r="Q234" s="1226">
        <f>$L234-SUMIF('11.2. ДА за периода'!$B$155:$B$175,$B234,'11.2. ДА за периода'!$L$155:$L$175)+SUMIF('11.2. ДА за периода'!$B$155:$B$175,$B234,'11.2. ДА за периода'!Q$155:Q$175)</f>
        <v>0</v>
      </c>
      <c r="R234" s="2972">
        <f>$L234-SUMIF('11.2. ДА за периода'!$B$155:$B$175,$B234,'11.2. ДА за периода'!$L$155:$L$175)+SUMIF('11.2. ДА за периода'!$B$155:$B$175,$B234,'11.2. ДА за периода'!R$155:R$175)</f>
        <v>0</v>
      </c>
      <c r="S234" s="448">
        <v>2</v>
      </c>
      <c r="T234" s="2971">
        <f>$S234-SUMIF('11.2. ДА за периода'!$B$155:$B$175,$B234,'11.2. ДА за периода'!$S$155:$S$175)+SUMIF('11.2. ДА за периода'!$B$155:$B$175,$B234,'11.2. ДА за периода'!T$155:T$175)</f>
        <v>2</v>
      </c>
      <c r="U234" s="1226">
        <f>$S234-SUMIF('11.2. ДА за периода'!$B$155:$B$175,$B234,'11.2. ДА за периода'!$S$155:$S$175)+SUMIF('11.2. ДА за периода'!$B$155:$B$175,$B234,'11.2. ДА за периода'!U$155:U$175)</f>
        <v>2</v>
      </c>
      <c r="V234" s="1226">
        <f>$S234-SUMIF('11.2. ДА за периода'!$B$155:$B$175,$B234,'11.2. ДА за периода'!$S$155:$S$175)+SUMIF('11.2. ДА за периода'!$B$155:$B$175,$B234,'11.2. ДА за периода'!V$155:V$175)</f>
        <v>2</v>
      </c>
      <c r="W234" s="1226">
        <f>$S234-SUMIF('11.2. ДА за периода'!$B$155:$B$175,$B234,'11.2. ДА за периода'!$S$155:$S$175)+SUMIF('11.2. ДА за периода'!$B$155:$B$175,$B234,'11.2. ДА за периода'!W$155:W$175)</f>
        <v>2</v>
      </c>
      <c r="X234" s="1226">
        <f>$S234-SUMIF('11.2. ДА за периода'!$B$155:$B$175,$B234,'11.2. ДА за периода'!$S$155:$S$175)+SUMIF('11.2. ДА за периода'!$B$155:$B$175,$B234,'11.2. ДА за периода'!X$155:X$175)</f>
        <v>2</v>
      </c>
      <c r="Y234" s="2972">
        <f>$S234-SUMIF('11.2. ДА за периода'!$B$155:$B$175,$B234,'11.2. ДА за периода'!$S$155:$S$175)+SUMIF('11.2. ДА за периода'!$B$155:$B$175,$B234,'11.2. ДА за периода'!Y$155:Y$175)</f>
        <v>2</v>
      </c>
      <c r="Z234" s="448">
        <v>0</v>
      </c>
      <c r="AA234" s="2971">
        <f>$Z234-SUMIF('11.2. ДА за периода'!$B$155:$B$175,$B234,'11.2. ДА за периода'!$Z$155:$Z$175)+SUMIF('11.2. ДА за периода'!$B$155:$B$175,$B234,'11.2. ДА за периода'!AA$155:AA$175)</f>
        <v>0</v>
      </c>
      <c r="AB234" s="1226">
        <f>$Z234-SUMIF('11.2. ДА за периода'!$B$155:$B$175,$B234,'11.2. ДА за периода'!$Z$155:$Z$175)+SUMIF('11.2. ДА за периода'!$B$155:$B$175,$B234,'11.2. ДА за периода'!AB$155:AB$175)</f>
        <v>0</v>
      </c>
      <c r="AC234" s="1226">
        <f>$Z234-SUMIF('11.2. ДА за периода'!$B$155:$B$175,$B234,'11.2. ДА за периода'!$Z$155:$Z$175)+SUMIF('11.2. ДА за периода'!$B$155:$B$175,$B234,'11.2. ДА за периода'!AC$155:AC$175)</f>
        <v>0</v>
      </c>
      <c r="AD234" s="1226">
        <f>$Z234-SUMIF('11.2. ДА за периода'!$B$155:$B$175,$B234,'11.2. ДА за периода'!$Z$155:$Z$175)+SUMIF('11.2. ДА за периода'!$B$155:$B$175,$B234,'11.2. ДА за периода'!AD$155:AD$175)</f>
        <v>0</v>
      </c>
      <c r="AE234" s="1226">
        <f>$Z234-SUMIF('11.2. ДА за периода'!$B$155:$B$175,$B234,'11.2. ДА за периода'!$Z$155:$Z$175)+SUMIF('11.2. ДА за периода'!$B$155:$B$175,$B234,'11.2. ДА за периода'!AE$155:AE$175)</f>
        <v>0</v>
      </c>
      <c r="AF234" s="2972">
        <f>$Z234-SUMIF('11.2. ДА за периода'!$B$155:$B$175,$B234,'11.2. ДА за периода'!$Z$155:$Z$175)+SUMIF('11.2. ДА за периода'!$B$155:$B$175,$B234,'11.2. ДА за периода'!AF$155:AF$175)</f>
        <v>0</v>
      </c>
      <c r="AG234" s="448"/>
      <c r="AH234" s="2971">
        <f>$AG234-SUMIF('11.2. ДА за периода'!$B$155:$B$175,$B234,'11.2. ДА за периода'!$AG$155:$AG$175)+SUMIF('11.2. ДА за периода'!$B$155:$B$175,$B234,'11.2. ДА за периода'!AH$155:AH$175)</f>
        <v>0</v>
      </c>
      <c r="AI234" s="1226">
        <f>$AG234-SUMIF('11.2. ДА за периода'!$B$155:$B$175,$B234,'11.2. ДА за периода'!$AG$155:$AG$175)+SUMIF('11.2. ДА за периода'!$B$155:$B$175,$B234,'11.2. ДА за периода'!AI$155:AI$175)</f>
        <v>0</v>
      </c>
      <c r="AJ234" s="1226">
        <f>$AG234-SUMIF('11.2. ДА за периода'!$B$155:$B$175,$B234,'11.2. ДА за периода'!$AG$155:$AG$175)+SUMIF('11.2. ДА за периода'!$B$155:$B$175,$B234,'11.2. ДА за периода'!AJ$155:AJ$175)</f>
        <v>0</v>
      </c>
      <c r="AK234" s="1226">
        <f>$AG234-SUMIF('11.2. ДА за периода'!$B$155:$B$175,$B234,'11.2. ДА за периода'!$AG$155:$AG$175)+SUMIF('11.2. ДА за периода'!$B$155:$B$175,$B234,'11.2. ДА за периода'!AK$155:AK$175)</f>
        <v>0</v>
      </c>
      <c r="AL234" s="1226">
        <f>$AG234-SUMIF('11.2. ДА за периода'!$B$155:$B$175,$B234,'11.2. ДА за периода'!$AG$155:$AG$175)+SUMIF('11.2. ДА за периода'!$B$155:$B$175,$B234,'11.2. ДА за периода'!AL$155:AL$175)</f>
        <v>0</v>
      </c>
      <c r="AM234" s="2972">
        <f>$AG234-SUMIF('11.2. ДА за периода'!$B$155:$B$175,$B234,'11.2. ДА за периода'!$AG$155:$AG$175)+SUMIF('11.2. ДА за периода'!$B$155:$B$175,$B234,'11.2. ДА за периода'!AM$155:AM$175)</f>
        <v>0</v>
      </c>
      <c r="AN234" s="2871"/>
      <c r="AO234" s="2898"/>
      <c r="AP234" s="1426"/>
    </row>
    <row r="235" spans="1:42" s="1422" customFormat="1" ht="24.75" thickBot="1">
      <c r="A235" s="2920">
        <v>21</v>
      </c>
      <c r="B235" s="2863" t="s">
        <v>714</v>
      </c>
      <c r="C235" s="2869">
        <v>0.2</v>
      </c>
      <c r="D235" s="2899" t="s">
        <v>685</v>
      </c>
      <c r="E235" s="448">
        <v>0</v>
      </c>
      <c r="F235" s="2988">
        <f>$E235-SUMIF('11.2. ДА за периода'!$B$155:$B$175,$B235,'11.2. ДА за периода'!$E$155:$E$175)+SUMIF('11.2. ДА за периода'!$B$155:$B$175,$B235,'11.2. ДА за периода'!F$155:F$175)</f>
        <v>0</v>
      </c>
      <c r="G235" s="1228">
        <f>$E235-SUMIF('11.2. ДА за периода'!$B$155:$B$175,$B235,'11.2. ДА за периода'!$E$155:$E$175)+SUMIF('11.2. ДА за периода'!$B$155:$B$175,$B235,'11.2. ДА за периода'!G$155:G$175)</f>
        <v>0</v>
      </c>
      <c r="H235" s="1228">
        <f>$E235-SUMIF('11.2. ДА за периода'!$B$155:$B$175,$B235,'11.2. ДА за периода'!$E$155:$E$175)+SUMIF('11.2. ДА за периода'!$B$155:$B$175,$B235,'11.2. ДА за периода'!H$155:H$175)</f>
        <v>0</v>
      </c>
      <c r="I235" s="1228">
        <f>$E235-SUMIF('11.2. ДА за периода'!$B$155:$B$175,$B235,'11.2. ДА за периода'!$E$155:$E$175)+SUMIF('11.2. ДА за периода'!$B$155:$B$175,$B235,'11.2. ДА за периода'!I$155:I$175)</f>
        <v>68.273600000000002</v>
      </c>
      <c r="J235" s="1228">
        <f>$E235-SUMIF('11.2. ДА за периода'!$B$155:$B$175,$B235,'11.2. ДА за периода'!$E$155:$E$175)+SUMIF('11.2. ДА за периода'!$B$155:$B$175,$B235,'11.2. ДА за периода'!J$155:J$175)</f>
        <v>68.273600000000002</v>
      </c>
      <c r="K235" s="2989">
        <f>$E235-SUMIF('11.2. ДА за периода'!$B$155:$B$175,$B235,'11.2. ДА за периода'!$E$155:$E$175)+SUMIF('11.2. ДА за периода'!$B$155:$B$175,$B235,'11.2. ДА за периода'!K$155:K$175)</f>
        <v>68.273600000000002</v>
      </c>
      <c r="L235" s="448">
        <v>0</v>
      </c>
      <c r="M235" s="2988">
        <f>$L235-SUMIF('11.2. ДА за периода'!$B$155:$B$175,$B235,'11.2. ДА за периода'!$L$155:$L$175)+SUMIF('11.2. ДА за периода'!$B$155:$B$175,$B235,'11.2. ДА за периода'!M$155:M$175)</f>
        <v>0</v>
      </c>
      <c r="N235" s="1228">
        <f>$L235-SUMIF('11.2. ДА за периода'!$B$155:$B$175,$B235,'11.2. ДА за периода'!$L$155:$L$175)+SUMIF('11.2. ДА за периода'!$B$155:$B$175,$B235,'11.2. ДА за периода'!N$155:N$175)</f>
        <v>0</v>
      </c>
      <c r="O235" s="1228">
        <f>$L235-SUMIF('11.2. ДА за периода'!$B$155:$B$175,$B235,'11.2. ДА за периода'!$L$155:$L$175)+SUMIF('11.2. ДА за периода'!$B$155:$B$175,$B235,'11.2. ДА за периода'!O$155:O$175)</f>
        <v>0</v>
      </c>
      <c r="P235" s="1228">
        <f>$L235-SUMIF('11.2. ДА за периода'!$B$155:$B$175,$B235,'11.2. ДА за периода'!$L$155:$L$175)+SUMIF('11.2. ДА за периода'!$B$155:$B$175,$B235,'11.2. ДА за периода'!P$155:P$175)</f>
        <v>116.00080000000001</v>
      </c>
      <c r="Q235" s="1228">
        <f>$L235-SUMIF('11.2. ДА за периода'!$B$155:$B$175,$B235,'11.2. ДА за периода'!$L$155:$L$175)+SUMIF('11.2. ДА за периода'!$B$155:$B$175,$B235,'11.2. ДА за периода'!Q$155:Q$175)</f>
        <v>116.00080000000001</v>
      </c>
      <c r="R235" s="2989">
        <f>$L235-SUMIF('11.2. ДА за периода'!$B$155:$B$175,$B235,'11.2. ДА за периода'!$L$155:$L$175)+SUMIF('11.2. ДА за периода'!$B$155:$B$175,$B235,'11.2. ДА за периода'!R$155:R$175)</f>
        <v>116.00080000000001</v>
      </c>
      <c r="S235" s="448">
        <v>0</v>
      </c>
      <c r="T235" s="2988">
        <f>$S235-SUMIF('11.2. ДА за периода'!$B$155:$B$175,$B235,'11.2. ДА за периода'!$S$155:$S$175)+SUMIF('11.2. ДА за периода'!$B$155:$B$175,$B235,'11.2. ДА за периода'!T$155:T$175)</f>
        <v>0</v>
      </c>
      <c r="U235" s="1228">
        <f>$S235-SUMIF('11.2. ДА за периода'!$B$155:$B$175,$B235,'11.2. ДА за периода'!$S$155:$S$175)+SUMIF('11.2. ДА за периода'!$B$155:$B$175,$B235,'11.2. ДА за периода'!U$155:U$175)</f>
        <v>0</v>
      </c>
      <c r="V235" s="1228">
        <f>$S235-SUMIF('11.2. ДА за периода'!$B$155:$B$175,$B235,'11.2. ДА за периода'!$S$155:$S$175)+SUMIF('11.2. ДА за периода'!$B$155:$B$175,$B235,'11.2. ДА за периода'!V$155:V$175)</f>
        <v>0</v>
      </c>
      <c r="W235" s="1228">
        <f>$S235-SUMIF('11.2. ДА за периода'!$B$155:$B$175,$B235,'11.2. ДА за периода'!$S$155:$S$175)+SUMIF('11.2. ДА за периода'!$B$155:$B$175,$B235,'11.2. ДА за периода'!W$155:W$175)</f>
        <v>0</v>
      </c>
      <c r="X235" s="1228">
        <f>$S235-SUMIF('11.2. ДА за периода'!$B$155:$B$175,$B235,'11.2. ДА за периода'!$S$155:$S$175)+SUMIF('11.2. ДА за периода'!$B$155:$B$175,$B235,'11.2. ДА за периода'!X$155:X$175)</f>
        <v>0</v>
      </c>
      <c r="Y235" s="2989">
        <f>$S235-SUMIF('11.2. ДА за периода'!$B$155:$B$175,$B235,'11.2. ДА за периода'!$S$155:$S$175)+SUMIF('11.2. ДА за периода'!$B$155:$B$175,$B235,'11.2. ДА за периода'!Y$155:Y$175)</f>
        <v>0</v>
      </c>
      <c r="Z235" s="448">
        <v>0</v>
      </c>
      <c r="AA235" s="2988">
        <f>$Z235-SUMIF('11.2. ДА за периода'!$B$155:$B$175,$B235,'11.2. ДА за периода'!$Z$155:$Z$175)+SUMIF('11.2. ДА за периода'!$B$155:$B$175,$B235,'11.2. ДА за периода'!AA$155:AA$175)</f>
        <v>0</v>
      </c>
      <c r="AB235" s="1228">
        <f>$Z235-SUMIF('11.2. ДА за периода'!$B$155:$B$175,$B235,'11.2. ДА за периода'!$Z$155:$Z$175)+SUMIF('11.2. ДА за периода'!$B$155:$B$175,$B235,'11.2. ДА за периода'!AB$155:AB$175)</f>
        <v>0</v>
      </c>
      <c r="AC235" s="1228">
        <f>$Z235-SUMIF('11.2. ДА за периода'!$B$155:$B$175,$B235,'11.2. ДА за периода'!$Z$155:$Z$175)+SUMIF('11.2. ДА за периода'!$B$155:$B$175,$B235,'11.2. ДА за периода'!AC$155:AC$175)</f>
        <v>0</v>
      </c>
      <c r="AD235" s="1228">
        <f>$Z235-SUMIF('11.2. ДА за периода'!$B$155:$B$175,$B235,'11.2. ДА за периода'!$Z$155:$Z$175)+SUMIF('11.2. ДА за периода'!$B$155:$B$175,$B235,'11.2. ДА за периода'!AD$155:AD$175)</f>
        <v>0</v>
      </c>
      <c r="AE235" s="1228">
        <f>$Z235-SUMIF('11.2. ДА за периода'!$B$155:$B$175,$B235,'11.2. ДА за периода'!$Z$155:$Z$175)+SUMIF('11.2. ДА за периода'!$B$155:$B$175,$B235,'11.2. ДА за периода'!AE$155:AE$175)</f>
        <v>0</v>
      </c>
      <c r="AF235" s="2989">
        <f>$Z235-SUMIF('11.2. ДА за периода'!$B$155:$B$175,$B235,'11.2. ДА за периода'!$Z$155:$Z$175)+SUMIF('11.2. ДА за периода'!$B$155:$B$175,$B235,'11.2. ДА за периода'!AF$155:AF$175)</f>
        <v>0</v>
      </c>
      <c r="AG235" s="448"/>
      <c r="AH235" s="2988">
        <f>$AG235-SUMIF('11.2. ДА за периода'!$B$155:$B$175,$B235,'11.2. ДА за периода'!$AG$155:$AG$175)+SUMIF('11.2. ДА за периода'!$B$155:$B$175,$B235,'11.2. ДА за периода'!AH$155:AH$175)</f>
        <v>0</v>
      </c>
      <c r="AI235" s="1228">
        <f>$AG235-SUMIF('11.2. ДА за периода'!$B$155:$B$175,$B235,'11.2. ДА за периода'!$AG$155:$AG$175)+SUMIF('11.2. ДА за периода'!$B$155:$B$175,$B235,'11.2. ДА за периода'!AI$155:AI$175)</f>
        <v>0</v>
      </c>
      <c r="AJ235" s="1228">
        <f>$AG235-SUMIF('11.2. ДА за периода'!$B$155:$B$175,$B235,'11.2. ДА за периода'!$AG$155:$AG$175)+SUMIF('11.2. ДА за периода'!$B$155:$B$175,$B235,'11.2. ДА за периода'!AJ$155:AJ$175)</f>
        <v>0</v>
      </c>
      <c r="AK235" s="1228">
        <f>$AG235-SUMIF('11.2. ДА за периода'!$B$155:$B$175,$B235,'11.2. ДА за периода'!$AG$155:$AG$175)+SUMIF('11.2. ДА за периода'!$B$155:$B$175,$B235,'11.2. ДА за периода'!AK$155:AK$175)</f>
        <v>0</v>
      </c>
      <c r="AL235" s="1228">
        <f>$AG235-SUMIF('11.2. ДА за периода'!$B$155:$B$175,$B235,'11.2. ДА за периода'!$AG$155:$AG$175)+SUMIF('11.2. ДА за периода'!$B$155:$B$175,$B235,'11.2. ДА за периода'!AL$155:AL$175)</f>
        <v>0</v>
      </c>
      <c r="AM235" s="2989">
        <f>$AG235-SUMIF('11.2. ДА за периода'!$B$155:$B$175,$B235,'11.2. ДА за периода'!$AG$155:$AG$175)+SUMIF('11.2. ДА за периода'!$B$155:$B$175,$B235,'11.2. ДА за периода'!AM$155:AM$175)</f>
        <v>0</v>
      </c>
      <c r="AN235" s="2871"/>
      <c r="AO235" s="2898"/>
      <c r="AP235" s="1426"/>
    </row>
    <row r="236" spans="1:42" s="1422" customFormat="1" ht="13.5" thickBot="1">
      <c r="A236" s="4440" t="s">
        <v>224</v>
      </c>
      <c r="B236" s="2886"/>
      <c r="C236" s="2886"/>
      <c r="D236" s="2849" t="s">
        <v>225</v>
      </c>
      <c r="E236" s="1343">
        <f t="shared" ref="E236:AM236" si="89">SUM(E237:E257)</f>
        <v>10126.906999999999</v>
      </c>
      <c r="F236" s="2986">
        <f t="shared" si="89"/>
        <v>10497.206</v>
      </c>
      <c r="G236" s="1237">
        <f t="shared" si="89"/>
        <v>10864.505000000001</v>
      </c>
      <c r="H236" s="1237">
        <f t="shared" si="89"/>
        <v>11218.804</v>
      </c>
      <c r="I236" s="1237">
        <f t="shared" si="89"/>
        <v>12166.67532</v>
      </c>
      <c r="J236" s="1237">
        <f t="shared" si="89"/>
        <v>13111.54664</v>
      </c>
      <c r="K236" s="2987">
        <f t="shared" si="89"/>
        <v>14056.417959999999</v>
      </c>
      <c r="L236" s="1343">
        <f t="shared" si="89"/>
        <v>8471.5689999999995</v>
      </c>
      <c r="M236" s="2986">
        <f t="shared" si="89"/>
        <v>9184.8829999999998</v>
      </c>
      <c r="N236" s="1237">
        <f t="shared" si="89"/>
        <v>9898.1970000000001</v>
      </c>
      <c r="O236" s="1237">
        <f t="shared" si="89"/>
        <v>10611.511</v>
      </c>
      <c r="P236" s="1238">
        <f t="shared" si="89"/>
        <v>12278.471360000001</v>
      </c>
      <c r="Q236" s="1237">
        <f t="shared" si="89"/>
        <v>13945.431719999999</v>
      </c>
      <c r="R236" s="1237">
        <f t="shared" si="89"/>
        <v>15612.39208</v>
      </c>
      <c r="S236" s="1343">
        <f t="shared" si="89"/>
        <v>1408</v>
      </c>
      <c r="T236" s="2986">
        <f t="shared" si="89"/>
        <v>1486.7</v>
      </c>
      <c r="U236" s="1237">
        <f t="shared" si="89"/>
        <v>1565.4</v>
      </c>
      <c r="V236" s="1237">
        <f t="shared" si="89"/>
        <v>1640.1</v>
      </c>
      <c r="W236" s="1238">
        <f t="shared" si="89"/>
        <v>2461.7536</v>
      </c>
      <c r="X236" s="1237">
        <f t="shared" si="89"/>
        <v>3283.4072000000001</v>
      </c>
      <c r="Y236" s="2987">
        <f t="shared" si="89"/>
        <v>4105.0608000000011</v>
      </c>
      <c r="Z236" s="1343">
        <f t="shared" si="89"/>
        <v>328.7</v>
      </c>
      <c r="AA236" s="2986">
        <f t="shared" si="89"/>
        <v>329.49999999999994</v>
      </c>
      <c r="AB236" s="1237">
        <f t="shared" si="89"/>
        <v>330.29999999999995</v>
      </c>
      <c r="AC236" s="1237">
        <f t="shared" si="89"/>
        <v>331.09999999999991</v>
      </c>
      <c r="AD236" s="1238">
        <f t="shared" si="89"/>
        <v>331.89999999999992</v>
      </c>
      <c r="AE236" s="1237">
        <f t="shared" si="89"/>
        <v>332.69999999999987</v>
      </c>
      <c r="AF236" s="2987">
        <f t="shared" si="89"/>
        <v>333.49999999999983</v>
      </c>
      <c r="AG236" s="1343">
        <f t="shared" si="89"/>
        <v>0</v>
      </c>
      <c r="AH236" s="2986">
        <f t="shared" si="89"/>
        <v>0</v>
      </c>
      <c r="AI236" s="1237">
        <f t="shared" si="89"/>
        <v>0</v>
      </c>
      <c r="AJ236" s="1237">
        <f t="shared" si="89"/>
        <v>0</v>
      </c>
      <c r="AK236" s="1238">
        <f t="shared" si="89"/>
        <v>0</v>
      </c>
      <c r="AL236" s="1237">
        <f t="shared" si="89"/>
        <v>0</v>
      </c>
      <c r="AM236" s="2987">
        <f t="shared" si="89"/>
        <v>0</v>
      </c>
      <c r="AN236" s="2860"/>
      <c r="AO236" s="2898"/>
      <c r="AP236" s="1426"/>
    </row>
    <row r="237" spans="1:42" s="1422" customFormat="1">
      <c r="A237" s="2862">
        <v>1</v>
      </c>
      <c r="B237" s="2923" t="s">
        <v>703</v>
      </c>
      <c r="C237" s="2880">
        <v>0</v>
      </c>
      <c r="D237" s="2910" t="s">
        <v>564</v>
      </c>
      <c r="E237" s="448">
        <v>592</v>
      </c>
      <c r="F237" s="2959">
        <f t="shared" ref="F237:K252" si="90">E237+F215</f>
        <v>606</v>
      </c>
      <c r="G237" s="2957">
        <f t="shared" si="90"/>
        <v>620</v>
      </c>
      <c r="H237" s="2957">
        <f t="shared" si="90"/>
        <v>634</v>
      </c>
      <c r="I237" s="2957">
        <f t="shared" si="90"/>
        <v>648</v>
      </c>
      <c r="J237" s="2957">
        <f t="shared" si="90"/>
        <v>662</v>
      </c>
      <c r="K237" s="2958">
        <f t="shared" si="90"/>
        <v>676</v>
      </c>
      <c r="L237" s="448">
        <v>0</v>
      </c>
      <c r="M237" s="2959">
        <f t="shared" ref="M237:R252" si="91">L237+M215</f>
        <v>0</v>
      </c>
      <c r="N237" s="2957">
        <f t="shared" si="91"/>
        <v>0</v>
      </c>
      <c r="O237" s="2957">
        <f t="shared" si="91"/>
        <v>0</v>
      </c>
      <c r="P237" s="2957">
        <f t="shared" si="91"/>
        <v>0</v>
      </c>
      <c r="Q237" s="2957">
        <f t="shared" si="91"/>
        <v>0</v>
      </c>
      <c r="R237" s="2958">
        <f t="shared" si="91"/>
        <v>0</v>
      </c>
      <c r="S237" s="448">
        <v>0</v>
      </c>
      <c r="T237" s="2959">
        <f t="shared" ref="T237:Y252" si="92">S237+T215</f>
        <v>0</v>
      </c>
      <c r="U237" s="2957">
        <f t="shared" si="92"/>
        <v>0</v>
      </c>
      <c r="V237" s="2957">
        <f t="shared" si="92"/>
        <v>0</v>
      </c>
      <c r="W237" s="2957">
        <f t="shared" si="92"/>
        <v>0</v>
      </c>
      <c r="X237" s="2957">
        <f t="shared" si="92"/>
        <v>0</v>
      </c>
      <c r="Y237" s="2958">
        <f t="shared" si="92"/>
        <v>0</v>
      </c>
      <c r="Z237" s="448">
        <v>0</v>
      </c>
      <c r="AA237" s="2959">
        <f t="shared" ref="AA237:AF252" si="93">Z237+AA215</f>
        <v>0</v>
      </c>
      <c r="AB237" s="2957">
        <f t="shared" si="93"/>
        <v>0</v>
      </c>
      <c r="AC237" s="2957">
        <f t="shared" si="93"/>
        <v>0</v>
      </c>
      <c r="AD237" s="2957">
        <f t="shared" si="93"/>
        <v>0</v>
      </c>
      <c r="AE237" s="2957">
        <f t="shared" si="93"/>
        <v>0</v>
      </c>
      <c r="AF237" s="2958">
        <f t="shared" si="93"/>
        <v>0</v>
      </c>
      <c r="AG237" s="448"/>
      <c r="AH237" s="2959">
        <f t="shared" ref="AH237:AM252" si="94">AG237+AH215</f>
        <v>0</v>
      </c>
      <c r="AI237" s="2957">
        <f t="shared" si="94"/>
        <v>0</v>
      </c>
      <c r="AJ237" s="2957">
        <f t="shared" si="94"/>
        <v>0</v>
      </c>
      <c r="AK237" s="2957">
        <f t="shared" si="94"/>
        <v>0</v>
      </c>
      <c r="AL237" s="2957">
        <f t="shared" si="94"/>
        <v>0</v>
      </c>
      <c r="AM237" s="2958">
        <f t="shared" si="94"/>
        <v>0</v>
      </c>
      <c r="AN237" s="2860"/>
      <c r="AO237" s="2898"/>
      <c r="AP237" s="1426"/>
    </row>
    <row r="238" spans="1:42" s="1422" customFormat="1">
      <c r="A238" s="2862">
        <v>2</v>
      </c>
      <c r="B238" s="2863" t="s">
        <v>704</v>
      </c>
      <c r="C238" s="2864">
        <v>0.03</v>
      </c>
      <c r="D238" s="2918" t="s">
        <v>431</v>
      </c>
      <c r="E238" s="448">
        <f>120+16.73</f>
        <v>136.72999999999999</v>
      </c>
      <c r="F238" s="1325">
        <f t="shared" si="90"/>
        <v>143.71299999999999</v>
      </c>
      <c r="G238" s="1321">
        <f t="shared" si="90"/>
        <v>150.696</v>
      </c>
      <c r="H238" s="1321">
        <f t="shared" si="90"/>
        <v>157.679</v>
      </c>
      <c r="I238" s="1321">
        <f t="shared" si="90"/>
        <v>164.66200000000001</v>
      </c>
      <c r="J238" s="1321">
        <f t="shared" si="90"/>
        <v>171.64500000000001</v>
      </c>
      <c r="K238" s="1326">
        <f t="shared" si="90"/>
        <v>178.62800000000001</v>
      </c>
      <c r="L238" s="448">
        <v>0</v>
      </c>
      <c r="M238" s="1325">
        <f t="shared" si="91"/>
        <v>0</v>
      </c>
      <c r="N238" s="1321">
        <f t="shared" si="91"/>
        <v>0</v>
      </c>
      <c r="O238" s="1321">
        <f t="shared" si="91"/>
        <v>0</v>
      </c>
      <c r="P238" s="1321">
        <f t="shared" si="91"/>
        <v>60.365099999999998</v>
      </c>
      <c r="Q238" s="1321">
        <f t="shared" si="91"/>
        <v>120.7302</v>
      </c>
      <c r="R238" s="1326">
        <f t="shared" si="91"/>
        <v>181.09530000000001</v>
      </c>
      <c r="S238" s="448">
        <v>129.5</v>
      </c>
      <c r="T238" s="1325">
        <f t="shared" si="92"/>
        <v>134.80000000000001</v>
      </c>
      <c r="U238" s="1321">
        <f t="shared" si="92"/>
        <v>140.10000000000002</v>
      </c>
      <c r="V238" s="1321">
        <f t="shared" si="92"/>
        <v>145.40000000000003</v>
      </c>
      <c r="W238" s="1321">
        <f t="shared" si="92"/>
        <v>150.70000000000005</v>
      </c>
      <c r="X238" s="1321">
        <f t="shared" si="92"/>
        <v>156.00000000000006</v>
      </c>
      <c r="Y238" s="1326">
        <f t="shared" si="92"/>
        <v>161.30000000000007</v>
      </c>
      <c r="Z238" s="448">
        <v>2</v>
      </c>
      <c r="AA238" s="1325">
        <f t="shared" si="93"/>
        <v>2</v>
      </c>
      <c r="AB238" s="1321">
        <f t="shared" si="93"/>
        <v>2</v>
      </c>
      <c r="AC238" s="1321">
        <f t="shared" si="93"/>
        <v>2</v>
      </c>
      <c r="AD238" s="1321">
        <f t="shared" si="93"/>
        <v>2</v>
      </c>
      <c r="AE238" s="1321">
        <f t="shared" si="93"/>
        <v>2</v>
      </c>
      <c r="AF238" s="1326">
        <f t="shared" si="93"/>
        <v>2</v>
      </c>
      <c r="AG238" s="448"/>
      <c r="AH238" s="1325">
        <f t="shared" si="94"/>
        <v>0</v>
      </c>
      <c r="AI238" s="1321">
        <f t="shared" si="94"/>
        <v>0</v>
      </c>
      <c r="AJ238" s="1321">
        <f t="shared" si="94"/>
        <v>0</v>
      </c>
      <c r="AK238" s="1321">
        <f t="shared" si="94"/>
        <v>0</v>
      </c>
      <c r="AL238" s="1321">
        <f t="shared" si="94"/>
        <v>0</v>
      </c>
      <c r="AM238" s="1326">
        <f t="shared" si="94"/>
        <v>0</v>
      </c>
      <c r="AN238" s="2860"/>
      <c r="AO238" s="2898"/>
      <c r="AP238" s="1426"/>
    </row>
    <row r="239" spans="1:42" s="1422" customFormat="1">
      <c r="A239" s="2862">
        <v>3</v>
      </c>
      <c r="B239" s="2863">
        <v>911301</v>
      </c>
      <c r="C239" s="2864">
        <v>0.1</v>
      </c>
      <c r="D239" s="2918" t="s">
        <v>432</v>
      </c>
      <c r="E239" s="448">
        <v>0</v>
      </c>
      <c r="F239" s="1325">
        <f t="shared" si="90"/>
        <v>0</v>
      </c>
      <c r="G239" s="1321">
        <f t="shared" si="90"/>
        <v>0</v>
      </c>
      <c r="H239" s="1321">
        <f t="shared" si="90"/>
        <v>0</v>
      </c>
      <c r="I239" s="1321">
        <f t="shared" si="90"/>
        <v>0</v>
      </c>
      <c r="J239" s="1321">
        <f t="shared" si="90"/>
        <v>0</v>
      </c>
      <c r="K239" s="1326">
        <f t="shared" si="90"/>
        <v>0</v>
      </c>
      <c r="L239" s="448">
        <v>0</v>
      </c>
      <c r="M239" s="1325">
        <f t="shared" si="91"/>
        <v>0</v>
      </c>
      <c r="N239" s="1321">
        <f t="shared" si="91"/>
        <v>0</v>
      </c>
      <c r="O239" s="1321">
        <f t="shared" si="91"/>
        <v>0</v>
      </c>
      <c r="P239" s="1321">
        <f t="shared" si="91"/>
        <v>0</v>
      </c>
      <c r="Q239" s="1321">
        <f t="shared" si="91"/>
        <v>0</v>
      </c>
      <c r="R239" s="1326">
        <f t="shared" si="91"/>
        <v>0</v>
      </c>
      <c r="S239" s="448">
        <v>0</v>
      </c>
      <c r="T239" s="1325">
        <f t="shared" si="92"/>
        <v>0</v>
      </c>
      <c r="U239" s="1321">
        <f t="shared" si="92"/>
        <v>0</v>
      </c>
      <c r="V239" s="1321">
        <f t="shared" si="92"/>
        <v>0</v>
      </c>
      <c r="W239" s="1321">
        <f t="shared" si="92"/>
        <v>0</v>
      </c>
      <c r="X239" s="1321">
        <f t="shared" si="92"/>
        <v>0</v>
      </c>
      <c r="Y239" s="1326">
        <f t="shared" si="92"/>
        <v>0</v>
      </c>
      <c r="Z239" s="448">
        <v>0</v>
      </c>
      <c r="AA239" s="1325">
        <f t="shared" si="93"/>
        <v>0</v>
      </c>
      <c r="AB239" s="1321">
        <f t="shared" si="93"/>
        <v>0</v>
      </c>
      <c r="AC239" s="1321">
        <f t="shared" si="93"/>
        <v>0</v>
      </c>
      <c r="AD239" s="1321">
        <f t="shared" si="93"/>
        <v>0</v>
      </c>
      <c r="AE239" s="1321">
        <f t="shared" si="93"/>
        <v>0</v>
      </c>
      <c r="AF239" s="1326">
        <f t="shared" si="93"/>
        <v>0</v>
      </c>
      <c r="AG239" s="448"/>
      <c r="AH239" s="1325">
        <f t="shared" si="94"/>
        <v>0</v>
      </c>
      <c r="AI239" s="1321">
        <f t="shared" si="94"/>
        <v>0</v>
      </c>
      <c r="AJ239" s="1321">
        <f t="shared" si="94"/>
        <v>0</v>
      </c>
      <c r="AK239" s="1321">
        <f t="shared" si="94"/>
        <v>0</v>
      </c>
      <c r="AL239" s="1321">
        <f t="shared" si="94"/>
        <v>0</v>
      </c>
      <c r="AM239" s="1326">
        <f t="shared" si="94"/>
        <v>0</v>
      </c>
      <c r="AN239" s="2860"/>
      <c r="AO239" s="2898"/>
      <c r="AP239" s="1426"/>
    </row>
    <row r="240" spans="1:42" s="1422" customFormat="1">
      <c r="A240" s="2862">
        <v>4</v>
      </c>
      <c r="B240" s="2863">
        <v>911302</v>
      </c>
      <c r="C240" s="2864">
        <v>0.1</v>
      </c>
      <c r="D240" s="2918" t="s">
        <v>433</v>
      </c>
      <c r="E240" s="448">
        <v>0</v>
      </c>
      <c r="F240" s="1325">
        <f t="shared" si="90"/>
        <v>0</v>
      </c>
      <c r="G240" s="1321">
        <f t="shared" si="90"/>
        <v>0</v>
      </c>
      <c r="H240" s="1321">
        <f t="shared" si="90"/>
        <v>0</v>
      </c>
      <c r="I240" s="1321">
        <f t="shared" si="90"/>
        <v>0</v>
      </c>
      <c r="J240" s="1321">
        <f t="shared" si="90"/>
        <v>0</v>
      </c>
      <c r="K240" s="1326">
        <f t="shared" si="90"/>
        <v>0</v>
      </c>
      <c r="L240" s="448">
        <v>0</v>
      </c>
      <c r="M240" s="1325">
        <f t="shared" si="91"/>
        <v>0</v>
      </c>
      <c r="N240" s="1321">
        <f t="shared" si="91"/>
        <v>0</v>
      </c>
      <c r="O240" s="1321">
        <f t="shared" si="91"/>
        <v>0</v>
      </c>
      <c r="P240" s="1321">
        <f t="shared" si="91"/>
        <v>0</v>
      </c>
      <c r="Q240" s="1321">
        <f t="shared" si="91"/>
        <v>0</v>
      </c>
      <c r="R240" s="1326">
        <f t="shared" si="91"/>
        <v>0</v>
      </c>
      <c r="S240" s="448">
        <v>0</v>
      </c>
      <c r="T240" s="1325">
        <f t="shared" si="92"/>
        <v>0</v>
      </c>
      <c r="U240" s="1321">
        <f t="shared" si="92"/>
        <v>0</v>
      </c>
      <c r="V240" s="1321">
        <f t="shared" si="92"/>
        <v>0</v>
      </c>
      <c r="W240" s="1321">
        <f t="shared" si="92"/>
        <v>0</v>
      </c>
      <c r="X240" s="1321">
        <f t="shared" si="92"/>
        <v>0</v>
      </c>
      <c r="Y240" s="1326">
        <f t="shared" si="92"/>
        <v>0</v>
      </c>
      <c r="Z240" s="448">
        <v>0</v>
      </c>
      <c r="AA240" s="1325">
        <f t="shared" si="93"/>
        <v>0</v>
      </c>
      <c r="AB240" s="1321">
        <f t="shared" si="93"/>
        <v>0</v>
      </c>
      <c r="AC240" s="1321">
        <f t="shared" si="93"/>
        <v>0</v>
      </c>
      <c r="AD240" s="1321">
        <f t="shared" si="93"/>
        <v>0</v>
      </c>
      <c r="AE240" s="1321">
        <f t="shared" si="93"/>
        <v>0</v>
      </c>
      <c r="AF240" s="1326">
        <f t="shared" si="93"/>
        <v>0</v>
      </c>
      <c r="AG240" s="448"/>
      <c r="AH240" s="1325">
        <f t="shared" si="94"/>
        <v>0</v>
      </c>
      <c r="AI240" s="1321">
        <f t="shared" si="94"/>
        <v>0</v>
      </c>
      <c r="AJ240" s="1321">
        <f t="shared" si="94"/>
        <v>0</v>
      </c>
      <c r="AK240" s="1321">
        <f t="shared" si="94"/>
        <v>0</v>
      </c>
      <c r="AL240" s="1321">
        <f t="shared" si="94"/>
        <v>0</v>
      </c>
      <c r="AM240" s="1326">
        <f t="shared" si="94"/>
        <v>0</v>
      </c>
      <c r="AN240" s="2860"/>
      <c r="AO240" s="2898"/>
      <c r="AP240" s="1426"/>
    </row>
    <row r="241" spans="1:42" s="1422" customFormat="1">
      <c r="A241" s="2862">
        <v>5</v>
      </c>
      <c r="B241" s="2863" t="s">
        <v>721</v>
      </c>
      <c r="C241" s="2864">
        <v>0.1</v>
      </c>
      <c r="D241" s="2899" t="s">
        <v>412</v>
      </c>
      <c r="E241" s="448">
        <v>245</v>
      </c>
      <c r="F241" s="1325">
        <f t="shared" si="90"/>
        <v>261</v>
      </c>
      <c r="G241" s="1321">
        <f t="shared" si="90"/>
        <v>274</v>
      </c>
      <c r="H241" s="1321">
        <f t="shared" si="90"/>
        <v>274</v>
      </c>
      <c r="I241" s="1321">
        <f t="shared" si="90"/>
        <v>274</v>
      </c>
      <c r="J241" s="1321">
        <f t="shared" si="90"/>
        <v>274</v>
      </c>
      <c r="K241" s="1326">
        <f t="shared" si="90"/>
        <v>274</v>
      </c>
      <c r="L241" s="448">
        <v>0</v>
      </c>
      <c r="M241" s="1325">
        <f t="shared" si="91"/>
        <v>0</v>
      </c>
      <c r="N241" s="1321">
        <f t="shared" si="91"/>
        <v>0</v>
      </c>
      <c r="O241" s="1321">
        <f t="shared" si="91"/>
        <v>0</v>
      </c>
      <c r="P241" s="1321">
        <f t="shared" si="91"/>
        <v>0</v>
      </c>
      <c r="Q241" s="1321">
        <f t="shared" si="91"/>
        <v>0</v>
      </c>
      <c r="R241" s="1326">
        <f t="shared" si="91"/>
        <v>0</v>
      </c>
      <c r="S241" s="448">
        <v>54.5</v>
      </c>
      <c r="T241" s="1325">
        <f t="shared" si="92"/>
        <v>60.9</v>
      </c>
      <c r="U241" s="1321">
        <f t="shared" si="92"/>
        <v>67.3</v>
      </c>
      <c r="V241" s="1321">
        <f t="shared" si="92"/>
        <v>69.7</v>
      </c>
      <c r="W241" s="1321">
        <f t="shared" si="92"/>
        <v>73.100000000000009</v>
      </c>
      <c r="X241" s="1321">
        <f t="shared" si="92"/>
        <v>76.500000000000014</v>
      </c>
      <c r="Y241" s="1326">
        <f t="shared" si="92"/>
        <v>79.90000000000002</v>
      </c>
      <c r="Z241" s="448">
        <v>0</v>
      </c>
      <c r="AA241" s="1325">
        <f t="shared" si="93"/>
        <v>0</v>
      </c>
      <c r="AB241" s="1321">
        <f t="shared" si="93"/>
        <v>0</v>
      </c>
      <c r="AC241" s="1321">
        <f t="shared" si="93"/>
        <v>0</v>
      </c>
      <c r="AD241" s="1321">
        <f t="shared" si="93"/>
        <v>0</v>
      </c>
      <c r="AE241" s="1321">
        <f t="shared" si="93"/>
        <v>0</v>
      </c>
      <c r="AF241" s="1326">
        <f t="shared" si="93"/>
        <v>0</v>
      </c>
      <c r="AG241" s="448"/>
      <c r="AH241" s="1325">
        <f t="shared" si="94"/>
        <v>0</v>
      </c>
      <c r="AI241" s="1321">
        <f t="shared" si="94"/>
        <v>0</v>
      </c>
      <c r="AJ241" s="1321">
        <f t="shared" si="94"/>
        <v>0</v>
      </c>
      <c r="AK241" s="1321">
        <f t="shared" si="94"/>
        <v>0</v>
      </c>
      <c r="AL241" s="1321">
        <f t="shared" si="94"/>
        <v>0</v>
      </c>
      <c r="AM241" s="1326">
        <f t="shared" si="94"/>
        <v>0</v>
      </c>
      <c r="AN241" s="2860"/>
      <c r="AO241" s="2898"/>
      <c r="AP241" s="1426"/>
    </row>
    <row r="242" spans="1:42" s="1422" customFormat="1">
      <c r="A242" s="2862">
        <v>6</v>
      </c>
      <c r="B242" s="2863" t="s">
        <v>722</v>
      </c>
      <c r="C242" s="2864">
        <v>0.1</v>
      </c>
      <c r="D242" s="2899" t="s">
        <v>1009</v>
      </c>
      <c r="E242" s="448">
        <v>107</v>
      </c>
      <c r="F242" s="1325">
        <f t="shared" si="90"/>
        <v>111</v>
      </c>
      <c r="G242" s="1321">
        <f t="shared" si="90"/>
        <v>115</v>
      </c>
      <c r="H242" s="1321">
        <f t="shared" si="90"/>
        <v>119</v>
      </c>
      <c r="I242" s="1321">
        <f t="shared" si="90"/>
        <v>121</v>
      </c>
      <c r="J242" s="1321">
        <f t="shared" si="90"/>
        <v>121</v>
      </c>
      <c r="K242" s="1326">
        <f t="shared" si="90"/>
        <v>121</v>
      </c>
      <c r="L242" s="448">
        <v>0</v>
      </c>
      <c r="M242" s="1325">
        <f t="shared" si="91"/>
        <v>0</v>
      </c>
      <c r="N242" s="1321">
        <f t="shared" si="91"/>
        <v>0</v>
      </c>
      <c r="O242" s="1321">
        <f t="shared" si="91"/>
        <v>0</v>
      </c>
      <c r="P242" s="1321">
        <f t="shared" si="91"/>
        <v>0</v>
      </c>
      <c r="Q242" s="1321">
        <f t="shared" si="91"/>
        <v>0</v>
      </c>
      <c r="R242" s="1326">
        <f t="shared" si="91"/>
        <v>0</v>
      </c>
      <c r="S242" s="448">
        <v>2</v>
      </c>
      <c r="T242" s="1325">
        <f t="shared" si="92"/>
        <v>2</v>
      </c>
      <c r="U242" s="1321">
        <f t="shared" si="92"/>
        <v>2</v>
      </c>
      <c r="V242" s="1321">
        <f t="shared" si="92"/>
        <v>2</v>
      </c>
      <c r="W242" s="1321">
        <f t="shared" si="92"/>
        <v>2</v>
      </c>
      <c r="X242" s="1321">
        <f t="shared" si="92"/>
        <v>2</v>
      </c>
      <c r="Y242" s="1326">
        <f t="shared" si="92"/>
        <v>2</v>
      </c>
      <c r="Z242" s="448">
        <v>1</v>
      </c>
      <c r="AA242" s="1325">
        <f t="shared" si="93"/>
        <v>1</v>
      </c>
      <c r="AB242" s="1321">
        <f t="shared" si="93"/>
        <v>1</v>
      </c>
      <c r="AC242" s="1321">
        <f t="shared" si="93"/>
        <v>1</v>
      </c>
      <c r="AD242" s="1321">
        <f t="shared" si="93"/>
        <v>1</v>
      </c>
      <c r="AE242" s="1321">
        <f t="shared" si="93"/>
        <v>1</v>
      </c>
      <c r="AF242" s="1326">
        <f t="shared" si="93"/>
        <v>1</v>
      </c>
      <c r="AG242" s="448"/>
      <c r="AH242" s="1325">
        <f t="shared" si="94"/>
        <v>0</v>
      </c>
      <c r="AI242" s="1321">
        <f t="shared" si="94"/>
        <v>0</v>
      </c>
      <c r="AJ242" s="1321">
        <f t="shared" si="94"/>
        <v>0</v>
      </c>
      <c r="AK242" s="1321">
        <f t="shared" si="94"/>
        <v>0</v>
      </c>
      <c r="AL242" s="1321">
        <f t="shared" si="94"/>
        <v>0</v>
      </c>
      <c r="AM242" s="1326">
        <f t="shared" si="94"/>
        <v>0</v>
      </c>
      <c r="AN242" s="2860"/>
      <c r="AO242" s="2898"/>
      <c r="AP242" s="1426"/>
    </row>
    <row r="243" spans="1:42" s="1422" customFormat="1" ht="24">
      <c r="A243" s="2862">
        <v>7</v>
      </c>
      <c r="B243" s="2863" t="s">
        <v>713</v>
      </c>
      <c r="C243" s="2864">
        <v>0.1</v>
      </c>
      <c r="D243" s="2899" t="s">
        <v>702</v>
      </c>
      <c r="E243" s="448">
        <v>68</v>
      </c>
      <c r="F243" s="1325">
        <f t="shared" si="90"/>
        <v>70</v>
      </c>
      <c r="G243" s="1321">
        <f t="shared" si="90"/>
        <v>72</v>
      </c>
      <c r="H243" s="1321">
        <f t="shared" si="90"/>
        <v>74</v>
      </c>
      <c r="I243" s="1321">
        <f t="shared" si="90"/>
        <v>75</v>
      </c>
      <c r="J243" s="1321">
        <f t="shared" si="90"/>
        <v>75</v>
      </c>
      <c r="K243" s="1326">
        <f t="shared" si="90"/>
        <v>75</v>
      </c>
      <c r="L243" s="448">
        <v>0</v>
      </c>
      <c r="M243" s="1325">
        <f t="shared" si="91"/>
        <v>0</v>
      </c>
      <c r="N243" s="1321">
        <f t="shared" si="91"/>
        <v>0</v>
      </c>
      <c r="O243" s="1321">
        <f t="shared" si="91"/>
        <v>0</v>
      </c>
      <c r="P243" s="1321">
        <f t="shared" si="91"/>
        <v>0</v>
      </c>
      <c r="Q243" s="1321">
        <f t="shared" si="91"/>
        <v>0</v>
      </c>
      <c r="R243" s="1326">
        <f t="shared" si="91"/>
        <v>0</v>
      </c>
      <c r="S243" s="448">
        <v>0</v>
      </c>
      <c r="T243" s="1325">
        <f t="shared" si="92"/>
        <v>0</v>
      </c>
      <c r="U243" s="1321">
        <f t="shared" si="92"/>
        <v>0</v>
      </c>
      <c r="V243" s="1321">
        <f t="shared" si="92"/>
        <v>0</v>
      </c>
      <c r="W243" s="1321">
        <f t="shared" si="92"/>
        <v>0</v>
      </c>
      <c r="X243" s="1321">
        <f t="shared" si="92"/>
        <v>0</v>
      </c>
      <c r="Y243" s="1326">
        <f t="shared" si="92"/>
        <v>0</v>
      </c>
      <c r="Z243" s="448">
        <v>0</v>
      </c>
      <c r="AA243" s="1325">
        <f t="shared" si="93"/>
        <v>0</v>
      </c>
      <c r="AB243" s="1321">
        <f t="shared" si="93"/>
        <v>0</v>
      </c>
      <c r="AC243" s="1321">
        <f t="shared" si="93"/>
        <v>0</v>
      </c>
      <c r="AD243" s="1321">
        <f t="shared" si="93"/>
        <v>0</v>
      </c>
      <c r="AE243" s="1321">
        <f t="shared" si="93"/>
        <v>0</v>
      </c>
      <c r="AF243" s="1326">
        <f t="shared" si="93"/>
        <v>0</v>
      </c>
      <c r="AG243" s="448"/>
      <c r="AH243" s="1325">
        <f t="shared" si="94"/>
        <v>0</v>
      </c>
      <c r="AI243" s="1321">
        <f t="shared" si="94"/>
        <v>0</v>
      </c>
      <c r="AJ243" s="1321">
        <f t="shared" si="94"/>
        <v>0</v>
      </c>
      <c r="AK243" s="1321">
        <f t="shared" si="94"/>
        <v>0</v>
      </c>
      <c r="AL243" s="1321">
        <f t="shared" si="94"/>
        <v>0</v>
      </c>
      <c r="AM243" s="1326">
        <f t="shared" si="94"/>
        <v>0</v>
      </c>
      <c r="AN243" s="2860"/>
      <c r="AO243" s="2898"/>
      <c r="AP243" s="1426"/>
    </row>
    <row r="244" spans="1:42" s="1422" customFormat="1">
      <c r="A244" s="2862">
        <v>8</v>
      </c>
      <c r="B244" s="2863" t="s">
        <v>723</v>
      </c>
      <c r="C244" s="2864">
        <v>0.1</v>
      </c>
      <c r="D244" s="2899" t="s">
        <v>720</v>
      </c>
      <c r="E244" s="448">
        <v>0</v>
      </c>
      <c r="F244" s="1325">
        <f t="shared" si="90"/>
        <v>0</v>
      </c>
      <c r="G244" s="1321">
        <f t="shared" si="90"/>
        <v>0</v>
      </c>
      <c r="H244" s="1321">
        <f t="shared" si="90"/>
        <v>0</v>
      </c>
      <c r="I244" s="1321">
        <f t="shared" si="90"/>
        <v>0</v>
      </c>
      <c r="J244" s="1321">
        <f t="shared" si="90"/>
        <v>0</v>
      </c>
      <c r="K244" s="1326">
        <f t="shared" si="90"/>
        <v>0</v>
      </c>
      <c r="L244" s="448">
        <v>0</v>
      </c>
      <c r="M244" s="1325">
        <f t="shared" si="91"/>
        <v>0</v>
      </c>
      <c r="N244" s="1321">
        <f t="shared" si="91"/>
        <v>0</v>
      </c>
      <c r="O244" s="1321">
        <f t="shared" si="91"/>
        <v>0</v>
      </c>
      <c r="P244" s="1321">
        <f t="shared" si="91"/>
        <v>0</v>
      </c>
      <c r="Q244" s="1321">
        <f t="shared" si="91"/>
        <v>0</v>
      </c>
      <c r="R244" s="1326">
        <f t="shared" si="91"/>
        <v>0</v>
      </c>
      <c r="S244" s="448">
        <v>0</v>
      </c>
      <c r="T244" s="1325">
        <f t="shared" si="92"/>
        <v>0</v>
      </c>
      <c r="U244" s="1321">
        <f t="shared" si="92"/>
        <v>0</v>
      </c>
      <c r="V244" s="1321">
        <f t="shared" si="92"/>
        <v>0</v>
      </c>
      <c r="W244" s="1321">
        <f t="shared" si="92"/>
        <v>0</v>
      </c>
      <c r="X244" s="1321">
        <f t="shared" si="92"/>
        <v>0</v>
      </c>
      <c r="Y244" s="1326">
        <f t="shared" si="92"/>
        <v>0</v>
      </c>
      <c r="Z244" s="448">
        <v>0</v>
      </c>
      <c r="AA244" s="1325">
        <f t="shared" si="93"/>
        <v>0</v>
      </c>
      <c r="AB244" s="1321">
        <f t="shared" si="93"/>
        <v>0</v>
      </c>
      <c r="AC244" s="1321">
        <f t="shared" si="93"/>
        <v>0</v>
      </c>
      <c r="AD244" s="1321">
        <f t="shared" si="93"/>
        <v>0</v>
      </c>
      <c r="AE244" s="1321">
        <f t="shared" si="93"/>
        <v>0</v>
      </c>
      <c r="AF244" s="1326">
        <f t="shared" si="93"/>
        <v>0</v>
      </c>
      <c r="AG244" s="448"/>
      <c r="AH244" s="1325">
        <f t="shared" si="94"/>
        <v>0</v>
      </c>
      <c r="AI244" s="1321">
        <f t="shared" si="94"/>
        <v>0</v>
      </c>
      <c r="AJ244" s="1321">
        <f t="shared" si="94"/>
        <v>0</v>
      </c>
      <c r="AK244" s="1321">
        <f t="shared" si="94"/>
        <v>0</v>
      </c>
      <c r="AL244" s="1321">
        <f t="shared" si="94"/>
        <v>0</v>
      </c>
      <c r="AM244" s="1326">
        <f t="shared" si="94"/>
        <v>0</v>
      </c>
      <c r="AN244" s="2860"/>
      <c r="AO244" s="2898"/>
      <c r="AP244" s="1426"/>
    </row>
    <row r="245" spans="1:42" s="1422" customFormat="1">
      <c r="A245" s="2920">
        <v>9</v>
      </c>
      <c r="B245" s="2863">
        <v>911306</v>
      </c>
      <c r="C245" s="2864">
        <v>0.1</v>
      </c>
      <c r="D245" s="2899" t="s">
        <v>1040</v>
      </c>
      <c r="E245" s="448">
        <f>3+0.85</f>
        <v>3.85</v>
      </c>
      <c r="F245" s="1325">
        <f t="shared" si="90"/>
        <v>4.0810000000000004</v>
      </c>
      <c r="G245" s="1321">
        <f t="shared" si="90"/>
        <v>4.3120000000000003</v>
      </c>
      <c r="H245" s="1321">
        <f t="shared" si="90"/>
        <v>4.5430000000000001</v>
      </c>
      <c r="I245" s="1321">
        <f t="shared" si="90"/>
        <v>4.774</v>
      </c>
      <c r="J245" s="1321">
        <f t="shared" si="90"/>
        <v>5.0049999999999999</v>
      </c>
      <c r="K245" s="1326">
        <f t="shared" si="90"/>
        <v>5.2359999999999998</v>
      </c>
      <c r="L245" s="448">
        <v>10</v>
      </c>
      <c r="M245" s="1325">
        <f t="shared" si="91"/>
        <v>11</v>
      </c>
      <c r="N245" s="1321">
        <f t="shared" si="91"/>
        <v>12</v>
      </c>
      <c r="O245" s="1321">
        <f t="shared" si="91"/>
        <v>13</v>
      </c>
      <c r="P245" s="1321">
        <f t="shared" si="91"/>
        <v>14</v>
      </c>
      <c r="Q245" s="1321">
        <f t="shared" si="91"/>
        <v>15</v>
      </c>
      <c r="R245" s="1326">
        <f t="shared" si="91"/>
        <v>16</v>
      </c>
      <c r="S245" s="448">
        <v>1</v>
      </c>
      <c r="T245" s="1325">
        <f t="shared" si="92"/>
        <v>1</v>
      </c>
      <c r="U245" s="1321">
        <f t="shared" si="92"/>
        <v>1</v>
      </c>
      <c r="V245" s="1321">
        <f t="shared" si="92"/>
        <v>1</v>
      </c>
      <c r="W245" s="1321">
        <f t="shared" si="92"/>
        <v>1</v>
      </c>
      <c r="X245" s="1321">
        <f t="shared" si="92"/>
        <v>1</v>
      </c>
      <c r="Y245" s="1326">
        <f t="shared" si="92"/>
        <v>1</v>
      </c>
      <c r="Z245" s="448">
        <v>0</v>
      </c>
      <c r="AA245" s="1325">
        <f t="shared" si="93"/>
        <v>0</v>
      </c>
      <c r="AB245" s="1321">
        <f t="shared" si="93"/>
        <v>0</v>
      </c>
      <c r="AC245" s="1321">
        <f t="shared" si="93"/>
        <v>0</v>
      </c>
      <c r="AD245" s="1321">
        <f t="shared" si="93"/>
        <v>0</v>
      </c>
      <c r="AE245" s="1321">
        <f t="shared" si="93"/>
        <v>0</v>
      </c>
      <c r="AF245" s="1326">
        <f t="shared" si="93"/>
        <v>0</v>
      </c>
      <c r="AG245" s="448"/>
      <c r="AH245" s="1325">
        <f t="shared" si="94"/>
        <v>0</v>
      </c>
      <c r="AI245" s="1321">
        <f t="shared" si="94"/>
        <v>0</v>
      </c>
      <c r="AJ245" s="1321">
        <f t="shared" si="94"/>
        <v>0</v>
      </c>
      <c r="AK245" s="1321">
        <f t="shared" si="94"/>
        <v>0</v>
      </c>
      <c r="AL245" s="1321">
        <f t="shared" si="94"/>
        <v>0</v>
      </c>
      <c r="AM245" s="1326">
        <f t="shared" si="94"/>
        <v>0</v>
      </c>
      <c r="AN245" s="2860"/>
      <c r="AO245" s="2898"/>
      <c r="AP245" s="1426"/>
    </row>
    <row r="246" spans="1:42" s="1422" customFormat="1">
      <c r="A246" s="2920">
        <v>10</v>
      </c>
      <c r="B246" s="2863">
        <v>91140101</v>
      </c>
      <c r="C246" s="2919">
        <v>0.1</v>
      </c>
      <c r="D246" s="2893" t="s">
        <v>1024</v>
      </c>
      <c r="E246" s="448">
        <v>1</v>
      </c>
      <c r="F246" s="1325">
        <f t="shared" si="90"/>
        <v>1</v>
      </c>
      <c r="G246" s="1321">
        <f t="shared" si="90"/>
        <v>1</v>
      </c>
      <c r="H246" s="1321">
        <f t="shared" si="90"/>
        <v>1</v>
      </c>
      <c r="I246" s="1321">
        <f t="shared" si="90"/>
        <v>1</v>
      </c>
      <c r="J246" s="1321">
        <f t="shared" si="90"/>
        <v>1</v>
      </c>
      <c r="K246" s="1326">
        <f t="shared" si="90"/>
        <v>1</v>
      </c>
      <c r="L246" s="448">
        <v>0</v>
      </c>
      <c r="M246" s="1325">
        <f t="shared" si="91"/>
        <v>0</v>
      </c>
      <c r="N246" s="1321">
        <f t="shared" si="91"/>
        <v>0</v>
      </c>
      <c r="O246" s="1321">
        <f t="shared" si="91"/>
        <v>0</v>
      </c>
      <c r="P246" s="1321">
        <f t="shared" si="91"/>
        <v>0</v>
      </c>
      <c r="Q246" s="1321">
        <f t="shared" si="91"/>
        <v>0</v>
      </c>
      <c r="R246" s="1326">
        <f t="shared" si="91"/>
        <v>0</v>
      </c>
      <c r="S246" s="448">
        <v>47.5</v>
      </c>
      <c r="T246" s="1325">
        <f t="shared" si="92"/>
        <v>47.5</v>
      </c>
      <c r="U246" s="1321">
        <f t="shared" si="92"/>
        <v>47.5</v>
      </c>
      <c r="V246" s="1321">
        <f t="shared" si="92"/>
        <v>47.5</v>
      </c>
      <c r="W246" s="1321">
        <f t="shared" si="92"/>
        <v>47.5</v>
      </c>
      <c r="X246" s="1321">
        <f t="shared" si="92"/>
        <v>47.5</v>
      </c>
      <c r="Y246" s="1326">
        <f t="shared" si="92"/>
        <v>47.5</v>
      </c>
      <c r="Z246" s="448">
        <v>0</v>
      </c>
      <c r="AA246" s="1325">
        <f t="shared" si="93"/>
        <v>0</v>
      </c>
      <c r="AB246" s="1321">
        <f t="shared" si="93"/>
        <v>0</v>
      </c>
      <c r="AC246" s="1321">
        <f t="shared" si="93"/>
        <v>0</v>
      </c>
      <c r="AD246" s="1321">
        <f t="shared" si="93"/>
        <v>0</v>
      </c>
      <c r="AE246" s="1321">
        <f t="shared" si="93"/>
        <v>0</v>
      </c>
      <c r="AF246" s="1326">
        <f t="shared" si="93"/>
        <v>0</v>
      </c>
      <c r="AG246" s="448"/>
      <c r="AH246" s="1325">
        <f t="shared" si="94"/>
        <v>0</v>
      </c>
      <c r="AI246" s="1321">
        <f t="shared" si="94"/>
        <v>0</v>
      </c>
      <c r="AJ246" s="1321">
        <f t="shared" si="94"/>
        <v>0</v>
      </c>
      <c r="AK246" s="1321">
        <f t="shared" si="94"/>
        <v>0</v>
      </c>
      <c r="AL246" s="1321">
        <f t="shared" si="94"/>
        <v>0</v>
      </c>
      <c r="AM246" s="1326">
        <f t="shared" si="94"/>
        <v>0</v>
      </c>
      <c r="AN246" s="2860"/>
      <c r="AO246" s="2898"/>
      <c r="AP246" s="1426"/>
    </row>
    <row r="247" spans="1:42" s="1422" customFormat="1">
      <c r="A247" s="2920">
        <v>11</v>
      </c>
      <c r="B247" s="2863">
        <v>91140102</v>
      </c>
      <c r="C247" s="2919">
        <v>0.04</v>
      </c>
      <c r="D247" s="2893" t="s">
        <v>437</v>
      </c>
      <c r="E247" s="448">
        <f>1+1.335</f>
        <v>2.335</v>
      </c>
      <c r="F247" s="1325">
        <f t="shared" si="90"/>
        <v>2.6989999999999998</v>
      </c>
      <c r="G247" s="1321">
        <f t="shared" si="90"/>
        <v>3.0629999999999997</v>
      </c>
      <c r="H247" s="1321">
        <f t="shared" si="90"/>
        <v>3.4269999999999996</v>
      </c>
      <c r="I247" s="1321">
        <f t="shared" si="90"/>
        <v>3.7909999999999995</v>
      </c>
      <c r="J247" s="1321">
        <f t="shared" si="90"/>
        <v>4.1549999999999994</v>
      </c>
      <c r="K247" s="1326">
        <f t="shared" si="90"/>
        <v>4.5189999999999992</v>
      </c>
      <c r="L247" s="448">
        <v>0</v>
      </c>
      <c r="M247" s="1325">
        <f t="shared" si="91"/>
        <v>0</v>
      </c>
      <c r="N247" s="1321">
        <f t="shared" si="91"/>
        <v>0</v>
      </c>
      <c r="O247" s="1321">
        <f t="shared" si="91"/>
        <v>0</v>
      </c>
      <c r="P247" s="1321">
        <f t="shared" si="91"/>
        <v>0</v>
      </c>
      <c r="Q247" s="1321">
        <f t="shared" si="91"/>
        <v>0</v>
      </c>
      <c r="R247" s="1326">
        <f t="shared" si="91"/>
        <v>0</v>
      </c>
      <c r="S247" s="448">
        <v>0</v>
      </c>
      <c r="T247" s="1325">
        <f t="shared" si="92"/>
        <v>0</v>
      </c>
      <c r="U247" s="1321">
        <f t="shared" si="92"/>
        <v>0</v>
      </c>
      <c r="V247" s="1321">
        <f t="shared" si="92"/>
        <v>0</v>
      </c>
      <c r="W247" s="1321">
        <f t="shared" si="92"/>
        <v>0</v>
      </c>
      <c r="X247" s="1321">
        <f t="shared" si="92"/>
        <v>0</v>
      </c>
      <c r="Y247" s="1326">
        <f t="shared" si="92"/>
        <v>0</v>
      </c>
      <c r="Z247" s="448">
        <v>0</v>
      </c>
      <c r="AA247" s="1325">
        <f t="shared" si="93"/>
        <v>0</v>
      </c>
      <c r="AB247" s="1321">
        <f t="shared" si="93"/>
        <v>0</v>
      </c>
      <c r="AC247" s="1321">
        <f t="shared" si="93"/>
        <v>0</v>
      </c>
      <c r="AD247" s="1321">
        <f t="shared" si="93"/>
        <v>0</v>
      </c>
      <c r="AE247" s="1321">
        <f t="shared" si="93"/>
        <v>0</v>
      </c>
      <c r="AF247" s="1326">
        <f t="shared" si="93"/>
        <v>0</v>
      </c>
      <c r="AG247" s="448"/>
      <c r="AH247" s="1325">
        <f t="shared" si="94"/>
        <v>0</v>
      </c>
      <c r="AI247" s="1321">
        <f t="shared" si="94"/>
        <v>0</v>
      </c>
      <c r="AJ247" s="1321">
        <f t="shared" si="94"/>
        <v>0</v>
      </c>
      <c r="AK247" s="1321">
        <f t="shared" si="94"/>
        <v>0</v>
      </c>
      <c r="AL247" s="1321">
        <f t="shared" si="94"/>
        <v>0</v>
      </c>
      <c r="AM247" s="1326">
        <f t="shared" si="94"/>
        <v>0</v>
      </c>
      <c r="AN247" s="2860"/>
      <c r="AO247" s="2898"/>
      <c r="AP247" s="1426"/>
    </row>
    <row r="248" spans="1:42" s="1422" customFormat="1">
      <c r="A248" s="2920">
        <v>12</v>
      </c>
      <c r="B248" s="2863" t="s">
        <v>705</v>
      </c>
      <c r="C248" s="2864">
        <v>0.02</v>
      </c>
      <c r="D248" s="2894" t="s">
        <v>746</v>
      </c>
      <c r="E248" s="448">
        <v>1094</v>
      </c>
      <c r="F248" s="1325">
        <f t="shared" si="90"/>
        <v>1094</v>
      </c>
      <c r="G248" s="1321">
        <f t="shared" si="90"/>
        <v>1094</v>
      </c>
      <c r="H248" s="1321">
        <f t="shared" si="90"/>
        <v>1094</v>
      </c>
      <c r="I248" s="1321">
        <f t="shared" si="90"/>
        <v>1094</v>
      </c>
      <c r="J248" s="1321">
        <f t="shared" si="90"/>
        <v>1094</v>
      </c>
      <c r="K248" s="1326">
        <f t="shared" si="90"/>
        <v>1094</v>
      </c>
      <c r="L248" s="448">
        <v>0</v>
      </c>
      <c r="M248" s="1325">
        <f t="shared" si="91"/>
        <v>0</v>
      </c>
      <c r="N248" s="1321">
        <f t="shared" si="91"/>
        <v>0</v>
      </c>
      <c r="O248" s="1321">
        <f t="shared" si="91"/>
        <v>0</v>
      </c>
      <c r="P248" s="1321">
        <f t="shared" si="91"/>
        <v>0</v>
      </c>
      <c r="Q248" s="1321">
        <f t="shared" si="91"/>
        <v>0</v>
      </c>
      <c r="R248" s="1326">
        <f t="shared" si="91"/>
        <v>0</v>
      </c>
      <c r="S248" s="448">
        <v>0</v>
      </c>
      <c r="T248" s="1325">
        <f t="shared" si="92"/>
        <v>0</v>
      </c>
      <c r="U248" s="1321">
        <f t="shared" si="92"/>
        <v>0</v>
      </c>
      <c r="V248" s="1321">
        <f t="shared" si="92"/>
        <v>0</v>
      </c>
      <c r="W248" s="1321">
        <f t="shared" si="92"/>
        <v>0</v>
      </c>
      <c r="X248" s="1321">
        <f t="shared" si="92"/>
        <v>0</v>
      </c>
      <c r="Y248" s="1326">
        <f t="shared" si="92"/>
        <v>0</v>
      </c>
      <c r="Z248" s="448">
        <v>20.3</v>
      </c>
      <c r="AA248" s="1325">
        <f t="shared" si="93"/>
        <v>20.3</v>
      </c>
      <c r="AB248" s="1321">
        <f t="shared" si="93"/>
        <v>20.3</v>
      </c>
      <c r="AC248" s="1321">
        <f t="shared" si="93"/>
        <v>20.3</v>
      </c>
      <c r="AD248" s="1321">
        <f t="shared" si="93"/>
        <v>20.3</v>
      </c>
      <c r="AE248" s="1321">
        <f t="shared" si="93"/>
        <v>20.3</v>
      </c>
      <c r="AF248" s="1326">
        <f t="shared" si="93"/>
        <v>20.3</v>
      </c>
      <c r="AG248" s="448"/>
      <c r="AH248" s="1325">
        <f t="shared" si="94"/>
        <v>0</v>
      </c>
      <c r="AI248" s="1321">
        <f t="shared" si="94"/>
        <v>0</v>
      </c>
      <c r="AJ248" s="1321">
        <f t="shared" si="94"/>
        <v>0</v>
      </c>
      <c r="AK248" s="1321">
        <f t="shared" si="94"/>
        <v>0</v>
      </c>
      <c r="AL248" s="1321">
        <f t="shared" si="94"/>
        <v>0</v>
      </c>
      <c r="AM248" s="1326">
        <f t="shared" si="94"/>
        <v>0</v>
      </c>
      <c r="AN248" s="2860"/>
      <c r="AO248" s="2898"/>
      <c r="AP248" s="1426"/>
    </row>
    <row r="249" spans="1:42" s="1422" customFormat="1">
      <c r="A249" s="2920">
        <v>13</v>
      </c>
      <c r="B249" s="2863" t="s">
        <v>706</v>
      </c>
      <c r="C249" s="2864">
        <v>0.02</v>
      </c>
      <c r="D249" s="2894" t="s">
        <v>747</v>
      </c>
      <c r="E249" s="448">
        <f>464+2.21</f>
        <v>466.21</v>
      </c>
      <c r="F249" s="1325">
        <f t="shared" si="90"/>
        <v>480.41299999999995</v>
      </c>
      <c r="G249" s="1321">
        <f t="shared" si="90"/>
        <v>494.61599999999993</v>
      </c>
      <c r="H249" s="1321">
        <f t="shared" si="90"/>
        <v>508.8189999999999</v>
      </c>
      <c r="I249" s="1321">
        <f t="shared" si="90"/>
        <v>610.38171999999986</v>
      </c>
      <c r="J249" s="1321">
        <f t="shared" si="90"/>
        <v>711.94443999999987</v>
      </c>
      <c r="K249" s="1326">
        <f t="shared" si="90"/>
        <v>813.50715999999989</v>
      </c>
      <c r="L249" s="448">
        <v>0</v>
      </c>
      <c r="M249" s="1325">
        <f t="shared" si="91"/>
        <v>0</v>
      </c>
      <c r="N249" s="1321">
        <f t="shared" si="91"/>
        <v>0</v>
      </c>
      <c r="O249" s="1321">
        <f t="shared" si="91"/>
        <v>0</v>
      </c>
      <c r="P249" s="1321">
        <f t="shared" si="91"/>
        <v>0</v>
      </c>
      <c r="Q249" s="1321">
        <f t="shared" si="91"/>
        <v>0</v>
      </c>
      <c r="R249" s="1326">
        <f t="shared" si="91"/>
        <v>0</v>
      </c>
      <c r="S249" s="448">
        <v>0</v>
      </c>
      <c r="T249" s="1325">
        <f t="shared" si="92"/>
        <v>0</v>
      </c>
      <c r="U249" s="1321">
        <f t="shared" si="92"/>
        <v>0</v>
      </c>
      <c r="V249" s="1321">
        <f t="shared" si="92"/>
        <v>0</v>
      </c>
      <c r="W249" s="1321">
        <f t="shared" si="92"/>
        <v>0</v>
      </c>
      <c r="X249" s="1321">
        <f t="shared" si="92"/>
        <v>0</v>
      </c>
      <c r="Y249" s="1326">
        <f t="shared" si="92"/>
        <v>0</v>
      </c>
      <c r="Z249" s="448">
        <v>0</v>
      </c>
      <c r="AA249" s="1325">
        <f t="shared" si="93"/>
        <v>0</v>
      </c>
      <c r="AB249" s="1321">
        <f t="shared" si="93"/>
        <v>0</v>
      </c>
      <c r="AC249" s="1321">
        <f t="shared" si="93"/>
        <v>0</v>
      </c>
      <c r="AD249" s="1321">
        <f t="shared" si="93"/>
        <v>0</v>
      </c>
      <c r="AE249" s="1321">
        <f t="shared" si="93"/>
        <v>0</v>
      </c>
      <c r="AF249" s="1326">
        <f t="shared" si="93"/>
        <v>0</v>
      </c>
      <c r="AG249" s="448"/>
      <c r="AH249" s="1325">
        <f t="shared" si="94"/>
        <v>0</v>
      </c>
      <c r="AI249" s="1321">
        <f t="shared" si="94"/>
        <v>0</v>
      </c>
      <c r="AJ249" s="1321">
        <f t="shared" si="94"/>
        <v>0</v>
      </c>
      <c r="AK249" s="1321">
        <f t="shared" si="94"/>
        <v>0</v>
      </c>
      <c r="AL249" s="1321">
        <f t="shared" si="94"/>
        <v>0</v>
      </c>
      <c r="AM249" s="1326">
        <f t="shared" si="94"/>
        <v>0</v>
      </c>
      <c r="AN249" s="2860"/>
      <c r="AO249" s="2898"/>
      <c r="AP249" s="1426"/>
    </row>
    <row r="250" spans="1:42" s="1422" customFormat="1">
      <c r="A250" s="2920">
        <v>14</v>
      </c>
      <c r="B250" s="2863" t="s">
        <v>707</v>
      </c>
      <c r="C250" s="2864">
        <v>0.02</v>
      </c>
      <c r="D250" s="2894" t="s">
        <v>423</v>
      </c>
      <c r="E250" s="448">
        <f>181+33.005</f>
        <v>214.005</v>
      </c>
      <c r="F250" s="1325">
        <f t="shared" si="90"/>
        <v>226.06700000000001</v>
      </c>
      <c r="G250" s="1321">
        <f t="shared" si="90"/>
        <v>238.12900000000002</v>
      </c>
      <c r="H250" s="1321">
        <f t="shared" si="90"/>
        <v>250.19100000000003</v>
      </c>
      <c r="I250" s="1321">
        <f t="shared" si="90"/>
        <v>262.25300000000004</v>
      </c>
      <c r="J250" s="1321">
        <f t="shared" si="90"/>
        <v>274.31500000000005</v>
      </c>
      <c r="K250" s="1326">
        <f t="shared" si="90"/>
        <v>286.37700000000007</v>
      </c>
      <c r="L250" s="448">
        <v>0</v>
      </c>
      <c r="M250" s="1325">
        <f t="shared" si="91"/>
        <v>0</v>
      </c>
      <c r="N250" s="1321">
        <f t="shared" si="91"/>
        <v>0</v>
      </c>
      <c r="O250" s="1321">
        <f t="shared" si="91"/>
        <v>0</v>
      </c>
      <c r="P250" s="1321">
        <f t="shared" si="91"/>
        <v>0</v>
      </c>
      <c r="Q250" s="1321">
        <f t="shared" si="91"/>
        <v>0</v>
      </c>
      <c r="R250" s="1326">
        <f t="shared" si="91"/>
        <v>0</v>
      </c>
      <c r="S250" s="448">
        <v>0</v>
      </c>
      <c r="T250" s="1325">
        <f t="shared" si="92"/>
        <v>0</v>
      </c>
      <c r="U250" s="1321">
        <f t="shared" si="92"/>
        <v>0</v>
      </c>
      <c r="V250" s="1321">
        <f t="shared" si="92"/>
        <v>0</v>
      </c>
      <c r="W250" s="1321">
        <f t="shared" si="92"/>
        <v>0</v>
      </c>
      <c r="X250" s="1321">
        <f t="shared" si="92"/>
        <v>0</v>
      </c>
      <c r="Y250" s="1326">
        <f t="shared" si="92"/>
        <v>0</v>
      </c>
      <c r="Z250" s="448">
        <v>0</v>
      </c>
      <c r="AA250" s="1325">
        <f t="shared" si="93"/>
        <v>0</v>
      </c>
      <c r="AB250" s="1321">
        <f t="shared" si="93"/>
        <v>0</v>
      </c>
      <c r="AC250" s="1321">
        <f t="shared" si="93"/>
        <v>0</v>
      </c>
      <c r="AD250" s="1321">
        <f t="shared" si="93"/>
        <v>0</v>
      </c>
      <c r="AE250" s="1321">
        <f t="shared" si="93"/>
        <v>0</v>
      </c>
      <c r="AF250" s="1326">
        <f t="shared" si="93"/>
        <v>0</v>
      </c>
      <c r="AG250" s="448"/>
      <c r="AH250" s="1325">
        <f t="shared" si="94"/>
        <v>0</v>
      </c>
      <c r="AI250" s="1321">
        <f t="shared" si="94"/>
        <v>0</v>
      </c>
      <c r="AJ250" s="1321">
        <f t="shared" si="94"/>
        <v>0</v>
      </c>
      <c r="AK250" s="1321">
        <f t="shared" si="94"/>
        <v>0</v>
      </c>
      <c r="AL250" s="1321">
        <f t="shared" si="94"/>
        <v>0</v>
      </c>
      <c r="AM250" s="1326">
        <f t="shared" si="94"/>
        <v>0</v>
      </c>
      <c r="AN250" s="2860"/>
      <c r="AO250" s="2898"/>
      <c r="AP250" s="1426"/>
    </row>
    <row r="251" spans="1:42" s="1422" customFormat="1">
      <c r="A251" s="2920">
        <v>15</v>
      </c>
      <c r="B251" s="2863" t="s">
        <v>708</v>
      </c>
      <c r="C251" s="2864">
        <v>0.02</v>
      </c>
      <c r="D251" s="2893" t="s">
        <v>424</v>
      </c>
      <c r="E251" s="448">
        <v>18</v>
      </c>
      <c r="F251" s="1325">
        <f t="shared" si="90"/>
        <v>19</v>
      </c>
      <c r="G251" s="1321">
        <f t="shared" si="90"/>
        <v>20</v>
      </c>
      <c r="H251" s="1321">
        <f t="shared" si="90"/>
        <v>21</v>
      </c>
      <c r="I251" s="1321">
        <f t="shared" si="90"/>
        <v>22</v>
      </c>
      <c r="J251" s="1321">
        <f t="shared" si="90"/>
        <v>23</v>
      </c>
      <c r="K251" s="1326">
        <f t="shared" si="90"/>
        <v>24</v>
      </c>
      <c r="L251" s="448">
        <v>0</v>
      </c>
      <c r="M251" s="1325">
        <f t="shared" si="91"/>
        <v>0</v>
      </c>
      <c r="N251" s="1321">
        <f t="shared" si="91"/>
        <v>0</v>
      </c>
      <c r="O251" s="1321">
        <f t="shared" si="91"/>
        <v>0</v>
      </c>
      <c r="P251" s="1321">
        <f t="shared" si="91"/>
        <v>0</v>
      </c>
      <c r="Q251" s="1321">
        <f t="shared" si="91"/>
        <v>0</v>
      </c>
      <c r="R251" s="1326">
        <f t="shared" si="91"/>
        <v>0</v>
      </c>
      <c r="S251" s="448">
        <v>0</v>
      </c>
      <c r="T251" s="1325">
        <f t="shared" si="92"/>
        <v>0</v>
      </c>
      <c r="U251" s="1321">
        <f t="shared" si="92"/>
        <v>0</v>
      </c>
      <c r="V251" s="1321">
        <f t="shared" si="92"/>
        <v>0</v>
      </c>
      <c r="W251" s="1321">
        <f t="shared" si="92"/>
        <v>0</v>
      </c>
      <c r="X251" s="1321">
        <f t="shared" si="92"/>
        <v>0</v>
      </c>
      <c r="Y251" s="1326">
        <f t="shared" si="92"/>
        <v>0</v>
      </c>
      <c r="Z251" s="448">
        <v>0</v>
      </c>
      <c r="AA251" s="1325">
        <f t="shared" si="93"/>
        <v>0</v>
      </c>
      <c r="AB251" s="1321">
        <f t="shared" si="93"/>
        <v>0</v>
      </c>
      <c r="AC251" s="1321">
        <f t="shared" si="93"/>
        <v>0</v>
      </c>
      <c r="AD251" s="1321">
        <f t="shared" si="93"/>
        <v>0</v>
      </c>
      <c r="AE251" s="1321">
        <f t="shared" si="93"/>
        <v>0</v>
      </c>
      <c r="AF251" s="1326">
        <f t="shared" si="93"/>
        <v>0</v>
      </c>
      <c r="AG251" s="448"/>
      <c r="AH251" s="1325">
        <f t="shared" si="94"/>
        <v>0</v>
      </c>
      <c r="AI251" s="1321">
        <f t="shared" si="94"/>
        <v>0</v>
      </c>
      <c r="AJ251" s="1321">
        <f t="shared" si="94"/>
        <v>0</v>
      </c>
      <c r="AK251" s="1321">
        <f t="shared" si="94"/>
        <v>0</v>
      </c>
      <c r="AL251" s="1321">
        <f t="shared" si="94"/>
        <v>0</v>
      </c>
      <c r="AM251" s="1326">
        <f t="shared" si="94"/>
        <v>0</v>
      </c>
      <c r="AN251" s="2860"/>
      <c r="AO251" s="2898"/>
      <c r="AP251" s="1426"/>
    </row>
    <row r="252" spans="1:42" s="1422" customFormat="1">
      <c r="A252" s="2920">
        <v>16</v>
      </c>
      <c r="B252" s="2863" t="s">
        <v>709</v>
      </c>
      <c r="C252" s="2864">
        <v>0.02</v>
      </c>
      <c r="D252" s="2894" t="s">
        <v>425</v>
      </c>
      <c r="E252" s="448">
        <f>5558+878.777</f>
        <v>6436.777</v>
      </c>
      <c r="F252" s="1325">
        <f t="shared" si="90"/>
        <v>6734.2330000000002</v>
      </c>
      <c r="G252" s="1321">
        <f t="shared" si="90"/>
        <v>7031.6890000000003</v>
      </c>
      <c r="H252" s="1321">
        <f t="shared" si="90"/>
        <v>7329.1450000000004</v>
      </c>
      <c r="I252" s="1321">
        <f t="shared" si="90"/>
        <v>8043.9210000000003</v>
      </c>
      <c r="J252" s="1321">
        <f t="shared" si="90"/>
        <v>8758.6970000000001</v>
      </c>
      <c r="K252" s="1326">
        <f t="shared" si="90"/>
        <v>9473.473</v>
      </c>
      <c r="L252" s="448">
        <v>0</v>
      </c>
      <c r="M252" s="1325">
        <f t="shared" si="91"/>
        <v>0</v>
      </c>
      <c r="N252" s="1321">
        <f t="shared" si="91"/>
        <v>0</v>
      </c>
      <c r="O252" s="1321">
        <f t="shared" si="91"/>
        <v>0</v>
      </c>
      <c r="P252" s="1321">
        <f t="shared" si="91"/>
        <v>0</v>
      </c>
      <c r="Q252" s="1321">
        <f t="shared" si="91"/>
        <v>0</v>
      </c>
      <c r="R252" s="1326">
        <f t="shared" si="91"/>
        <v>0</v>
      </c>
      <c r="S252" s="448">
        <v>0</v>
      </c>
      <c r="T252" s="1325">
        <f t="shared" si="92"/>
        <v>0</v>
      </c>
      <c r="U252" s="1321">
        <f t="shared" si="92"/>
        <v>0</v>
      </c>
      <c r="V252" s="1321">
        <f t="shared" si="92"/>
        <v>0</v>
      </c>
      <c r="W252" s="1321">
        <f t="shared" si="92"/>
        <v>0</v>
      </c>
      <c r="X252" s="1321">
        <f t="shared" si="92"/>
        <v>0</v>
      </c>
      <c r="Y252" s="1326">
        <f t="shared" si="92"/>
        <v>0</v>
      </c>
      <c r="Z252" s="448">
        <v>283.39999999999998</v>
      </c>
      <c r="AA252" s="1325">
        <f t="shared" si="93"/>
        <v>283.79999999999995</v>
      </c>
      <c r="AB252" s="1321">
        <f t="shared" si="93"/>
        <v>284.19999999999993</v>
      </c>
      <c r="AC252" s="1321">
        <f t="shared" si="93"/>
        <v>284.59999999999991</v>
      </c>
      <c r="AD252" s="1321">
        <f t="shared" si="93"/>
        <v>284.99999999999989</v>
      </c>
      <c r="AE252" s="1321">
        <f t="shared" si="93"/>
        <v>285.39999999999986</v>
      </c>
      <c r="AF252" s="1326">
        <f t="shared" si="93"/>
        <v>285.79999999999984</v>
      </c>
      <c r="AG252" s="448"/>
      <c r="AH252" s="1325">
        <f t="shared" si="94"/>
        <v>0</v>
      </c>
      <c r="AI252" s="1321">
        <f t="shared" si="94"/>
        <v>0</v>
      </c>
      <c r="AJ252" s="1321">
        <f t="shared" si="94"/>
        <v>0</v>
      </c>
      <c r="AK252" s="1321">
        <f t="shared" si="94"/>
        <v>0</v>
      </c>
      <c r="AL252" s="1321">
        <f t="shared" si="94"/>
        <v>0</v>
      </c>
      <c r="AM252" s="1326">
        <f t="shared" si="94"/>
        <v>0</v>
      </c>
      <c r="AN252" s="2860"/>
      <c r="AO252" s="2898"/>
      <c r="AP252" s="1426"/>
    </row>
    <row r="253" spans="1:42" s="1422" customFormat="1">
      <c r="A253" s="2920">
        <v>17</v>
      </c>
      <c r="B253" s="2863" t="s">
        <v>710</v>
      </c>
      <c r="C253" s="2864">
        <v>0.02</v>
      </c>
      <c r="D253" s="2899" t="s">
        <v>426</v>
      </c>
      <c r="E253" s="448">
        <v>0</v>
      </c>
      <c r="F253" s="1325">
        <f t="shared" ref="F253:K257" si="95">E253+F231</f>
        <v>0</v>
      </c>
      <c r="G253" s="1321">
        <f t="shared" si="95"/>
        <v>0</v>
      </c>
      <c r="H253" s="1321">
        <f t="shared" si="95"/>
        <v>0</v>
      </c>
      <c r="I253" s="1321">
        <f t="shared" si="95"/>
        <v>0</v>
      </c>
      <c r="J253" s="1321">
        <f t="shared" si="95"/>
        <v>0</v>
      </c>
      <c r="K253" s="1326">
        <f t="shared" si="95"/>
        <v>0</v>
      </c>
      <c r="L253" s="448">
        <f>3874+4587.569</f>
        <v>8461.5689999999995</v>
      </c>
      <c r="M253" s="1325">
        <f t="shared" ref="M253:R257" si="96">L253+M231</f>
        <v>9173.8829999999998</v>
      </c>
      <c r="N253" s="1321">
        <f t="shared" si="96"/>
        <v>9886.1970000000001</v>
      </c>
      <c r="O253" s="1321">
        <f t="shared" si="96"/>
        <v>10598.511</v>
      </c>
      <c r="P253" s="1321">
        <f t="shared" si="96"/>
        <v>11660.66546</v>
      </c>
      <c r="Q253" s="1321">
        <f t="shared" si="96"/>
        <v>12722.81992</v>
      </c>
      <c r="R253" s="1326">
        <f t="shared" si="96"/>
        <v>13784.97438</v>
      </c>
      <c r="S253" s="448">
        <v>1</v>
      </c>
      <c r="T253" s="1325">
        <f t="shared" ref="T253:Y257" si="97">S253+T231</f>
        <v>1</v>
      </c>
      <c r="U253" s="1321">
        <f t="shared" si="97"/>
        <v>1</v>
      </c>
      <c r="V253" s="1321">
        <f t="shared" si="97"/>
        <v>1</v>
      </c>
      <c r="W253" s="1321">
        <f t="shared" si="97"/>
        <v>1</v>
      </c>
      <c r="X253" s="1321">
        <f t="shared" si="97"/>
        <v>1</v>
      </c>
      <c r="Y253" s="1326">
        <f t="shared" si="97"/>
        <v>1</v>
      </c>
      <c r="Z253" s="448">
        <v>0</v>
      </c>
      <c r="AA253" s="1325">
        <f t="shared" ref="AA253:AF257" si="98">Z253+AA231</f>
        <v>0</v>
      </c>
      <c r="AB253" s="1321">
        <f t="shared" si="98"/>
        <v>0</v>
      </c>
      <c r="AC253" s="1321">
        <f t="shared" si="98"/>
        <v>0</v>
      </c>
      <c r="AD253" s="1321">
        <f t="shared" si="98"/>
        <v>0</v>
      </c>
      <c r="AE253" s="1321">
        <f t="shared" si="98"/>
        <v>0</v>
      </c>
      <c r="AF253" s="1326">
        <f t="shared" si="98"/>
        <v>0</v>
      </c>
      <c r="AG253" s="448"/>
      <c r="AH253" s="1325">
        <f t="shared" ref="AH253:AM257" si="99">AG253+AH231</f>
        <v>0</v>
      </c>
      <c r="AI253" s="1321">
        <f t="shared" si="99"/>
        <v>0</v>
      </c>
      <c r="AJ253" s="1321">
        <f t="shared" si="99"/>
        <v>0</v>
      </c>
      <c r="AK253" s="1321">
        <f t="shared" si="99"/>
        <v>0</v>
      </c>
      <c r="AL253" s="1321">
        <f t="shared" si="99"/>
        <v>0</v>
      </c>
      <c r="AM253" s="1326">
        <f t="shared" si="99"/>
        <v>0</v>
      </c>
      <c r="AN253" s="2860"/>
      <c r="AO253" s="2898"/>
      <c r="AP253" s="1426"/>
    </row>
    <row r="254" spans="1:42" s="1422" customFormat="1" ht="24">
      <c r="A254" s="2920">
        <v>18</v>
      </c>
      <c r="B254" s="2863" t="s">
        <v>711</v>
      </c>
      <c r="C254" s="2864">
        <v>0.04</v>
      </c>
      <c r="D254" s="2899" t="s">
        <v>427</v>
      </c>
      <c r="E254" s="448">
        <v>85</v>
      </c>
      <c r="F254" s="1325">
        <f t="shared" si="95"/>
        <v>86</v>
      </c>
      <c r="G254" s="1321">
        <f t="shared" si="95"/>
        <v>87</v>
      </c>
      <c r="H254" s="1321">
        <f t="shared" si="95"/>
        <v>88</v>
      </c>
      <c r="I254" s="1321">
        <f t="shared" si="95"/>
        <v>112.619</v>
      </c>
      <c r="J254" s="1321">
        <f t="shared" si="95"/>
        <v>137.238</v>
      </c>
      <c r="K254" s="1326">
        <f t="shared" si="95"/>
        <v>161.857</v>
      </c>
      <c r="L254" s="448">
        <v>0</v>
      </c>
      <c r="M254" s="1325">
        <f t="shared" si="96"/>
        <v>0</v>
      </c>
      <c r="N254" s="1321">
        <f t="shared" si="96"/>
        <v>0</v>
      </c>
      <c r="O254" s="1321">
        <f t="shared" si="96"/>
        <v>0</v>
      </c>
      <c r="P254" s="1321">
        <f t="shared" si="96"/>
        <v>427.44</v>
      </c>
      <c r="Q254" s="1321">
        <f t="shared" si="96"/>
        <v>854.88</v>
      </c>
      <c r="R254" s="1326">
        <f t="shared" si="96"/>
        <v>1282.32</v>
      </c>
      <c r="S254" s="448">
        <v>998.5</v>
      </c>
      <c r="T254" s="1325">
        <f t="shared" si="97"/>
        <v>1061.5</v>
      </c>
      <c r="U254" s="1321">
        <f t="shared" si="97"/>
        <v>1124.5</v>
      </c>
      <c r="V254" s="1321">
        <f t="shared" si="97"/>
        <v>1187.5</v>
      </c>
      <c r="W254" s="1321">
        <f t="shared" si="97"/>
        <v>1996.4536000000001</v>
      </c>
      <c r="X254" s="1321">
        <f t="shared" si="97"/>
        <v>2805.4072000000001</v>
      </c>
      <c r="Y254" s="1326">
        <f t="shared" si="97"/>
        <v>3614.3608000000004</v>
      </c>
      <c r="Z254" s="448">
        <v>11</v>
      </c>
      <c r="AA254" s="1325">
        <f t="shared" si="98"/>
        <v>11.4</v>
      </c>
      <c r="AB254" s="1321">
        <f t="shared" si="98"/>
        <v>11.8</v>
      </c>
      <c r="AC254" s="1321">
        <f t="shared" si="98"/>
        <v>12.200000000000001</v>
      </c>
      <c r="AD254" s="1321">
        <f t="shared" si="98"/>
        <v>12.600000000000001</v>
      </c>
      <c r="AE254" s="1321">
        <f t="shared" si="98"/>
        <v>13.000000000000002</v>
      </c>
      <c r="AF254" s="1326">
        <f t="shared" si="98"/>
        <v>13.400000000000002</v>
      </c>
      <c r="AG254" s="448"/>
      <c r="AH254" s="1325">
        <f t="shared" si="99"/>
        <v>0</v>
      </c>
      <c r="AI254" s="1321">
        <f t="shared" si="99"/>
        <v>0</v>
      </c>
      <c r="AJ254" s="1321">
        <f t="shared" si="99"/>
        <v>0</v>
      </c>
      <c r="AK254" s="1321">
        <f t="shared" si="99"/>
        <v>0</v>
      </c>
      <c r="AL254" s="1321">
        <f t="shared" si="99"/>
        <v>0</v>
      </c>
      <c r="AM254" s="1326">
        <f t="shared" si="99"/>
        <v>0</v>
      </c>
      <c r="AN254" s="2860"/>
      <c r="AO254" s="2898"/>
      <c r="AP254" s="1426"/>
    </row>
    <row r="255" spans="1:42" s="1422" customFormat="1">
      <c r="A255" s="2920">
        <v>19</v>
      </c>
      <c r="B255" s="2863" t="s">
        <v>712</v>
      </c>
      <c r="C255" s="2864">
        <v>0.04</v>
      </c>
      <c r="D255" s="2899" t="s">
        <v>428</v>
      </c>
      <c r="E255" s="448">
        <v>612</v>
      </c>
      <c r="F255" s="1325">
        <f t="shared" si="95"/>
        <v>612</v>
      </c>
      <c r="G255" s="1321">
        <f t="shared" si="95"/>
        <v>612</v>
      </c>
      <c r="H255" s="1321">
        <f t="shared" si="95"/>
        <v>612</v>
      </c>
      <c r="I255" s="1321">
        <f t="shared" si="95"/>
        <v>612</v>
      </c>
      <c r="J255" s="1321">
        <f t="shared" si="95"/>
        <v>612</v>
      </c>
      <c r="K255" s="1326">
        <f t="shared" si="95"/>
        <v>612</v>
      </c>
      <c r="L255" s="448">
        <v>0</v>
      </c>
      <c r="M255" s="1325">
        <f t="shared" si="96"/>
        <v>0</v>
      </c>
      <c r="N255" s="1321">
        <f t="shared" si="96"/>
        <v>0</v>
      </c>
      <c r="O255" s="1321">
        <f t="shared" si="96"/>
        <v>0</v>
      </c>
      <c r="P255" s="1321">
        <f t="shared" si="96"/>
        <v>0</v>
      </c>
      <c r="Q255" s="1321">
        <f t="shared" si="96"/>
        <v>0</v>
      </c>
      <c r="R255" s="1326">
        <f t="shared" si="96"/>
        <v>0</v>
      </c>
      <c r="S255" s="448">
        <v>68</v>
      </c>
      <c r="T255" s="1325">
        <f t="shared" si="97"/>
        <v>70</v>
      </c>
      <c r="U255" s="1321">
        <f t="shared" si="97"/>
        <v>72</v>
      </c>
      <c r="V255" s="1321">
        <f t="shared" si="97"/>
        <v>74</v>
      </c>
      <c r="W255" s="1321">
        <f t="shared" si="97"/>
        <v>76</v>
      </c>
      <c r="X255" s="1321">
        <f t="shared" si="97"/>
        <v>78</v>
      </c>
      <c r="Y255" s="1326">
        <f t="shared" si="97"/>
        <v>80</v>
      </c>
      <c r="Z255" s="448">
        <v>11</v>
      </c>
      <c r="AA255" s="1325">
        <f t="shared" si="98"/>
        <v>11</v>
      </c>
      <c r="AB255" s="1321">
        <f t="shared" si="98"/>
        <v>11</v>
      </c>
      <c r="AC255" s="1321">
        <f t="shared" si="98"/>
        <v>11</v>
      </c>
      <c r="AD255" s="1321">
        <f t="shared" si="98"/>
        <v>11</v>
      </c>
      <c r="AE255" s="1321">
        <f t="shared" si="98"/>
        <v>11</v>
      </c>
      <c r="AF255" s="1326">
        <f t="shared" si="98"/>
        <v>11</v>
      </c>
      <c r="AG255" s="448"/>
      <c r="AH255" s="1325">
        <f t="shared" si="99"/>
        <v>0</v>
      </c>
      <c r="AI255" s="1321">
        <f t="shared" si="99"/>
        <v>0</v>
      </c>
      <c r="AJ255" s="1321">
        <f t="shared" si="99"/>
        <v>0</v>
      </c>
      <c r="AK255" s="1321">
        <f t="shared" si="99"/>
        <v>0</v>
      </c>
      <c r="AL255" s="1321">
        <f t="shared" si="99"/>
        <v>0</v>
      </c>
      <c r="AM255" s="1326">
        <f t="shared" si="99"/>
        <v>0</v>
      </c>
      <c r="AN255" s="2860"/>
      <c r="AO255" s="2898"/>
      <c r="AP255" s="1426"/>
    </row>
    <row r="256" spans="1:42" s="1422" customFormat="1">
      <c r="A256" s="2920">
        <v>20</v>
      </c>
      <c r="B256" s="2863" t="s">
        <v>724</v>
      </c>
      <c r="C256" s="2864">
        <v>0.04</v>
      </c>
      <c r="D256" s="2918" t="s">
        <v>439</v>
      </c>
      <c r="E256" s="448">
        <v>45</v>
      </c>
      <c r="F256" s="1325">
        <f t="shared" si="95"/>
        <v>46</v>
      </c>
      <c r="G256" s="1321">
        <f t="shared" si="95"/>
        <v>47</v>
      </c>
      <c r="H256" s="1321">
        <f t="shared" si="95"/>
        <v>48</v>
      </c>
      <c r="I256" s="1321">
        <f t="shared" si="95"/>
        <v>49</v>
      </c>
      <c r="J256" s="1321">
        <f t="shared" si="95"/>
        <v>50</v>
      </c>
      <c r="K256" s="1326">
        <f t="shared" si="95"/>
        <v>51</v>
      </c>
      <c r="L256" s="448">
        <v>0</v>
      </c>
      <c r="M256" s="1325">
        <f t="shared" si="96"/>
        <v>0</v>
      </c>
      <c r="N256" s="1321">
        <f t="shared" si="96"/>
        <v>0</v>
      </c>
      <c r="O256" s="1321">
        <f t="shared" si="96"/>
        <v>0</v>
      </c>
      <c r="P256" s="1321">
        <f t="shared" si="96"/>
        <v>0</v>
      </c>
      <c r="Q256" s="1321">
        <f t="shared" si="96"/>
        <v>0</v>
      </c>
      <c r="R256" s="1326">
        <f t="shared" si="96"/>
        <v>0</v>
      </c>
      <c r="S256" s="448">
        <v>106</v>
      </c>
      <c r="T256" s="1325">
        <f t="shared" si="97"/>
        <v>108</v>
      </c>
      <c r="U256" s="1321">
        <f t="shared" si="97"/>
        <v>110</v>
      </c>
      <c r="V256" s="1321">
        <f t="shared" si="97"/>
        <v>112</v>
      </c>
      <c r="W256" s="1321">
        <f t="shared" si="97"/>
        <v>114</v>
      </c>
      <c r="X256" s="1321">
        <f t="shared" si="97"/>
        <v>116</v>
      </c>
      <c r="Y256" s="1326">
        <f t="shared" si="97"/>
        <v>118</v>
      </c>
      <c r="Z256" s="448">
        <v>0</v>
      </c>
      <c r="AA256" s="1325">
        <f t="shared" si="98"/>
        <v>0</v>
      </c>
      <c r="AB256" s="1321">
        <f t="shared" si="98"/>
        <v>0</v>
      </c>
      <c r="AC256" s="1321">
        <f t="shared" si="98"/>
        <v>0</v>
      </c>
      <c r="AD256" s="1321">
        <f t="shared" si="98"/>
        <v>0</v>
      </c>
      <c r="AE256" s="1321">
        <f t="shared" si="98"/>
        <v>0</v>
      </c>
      <c r="AF256" s="1326">
        <f t="shared" si="98"/>
        <v>0</v>
      </c>
      <c r="AG256" s="448"/>
      <c r="AH256" s="1325">
        <f t="shared" si="99"/>
        <v>0</v>
      </c>
      <c r="AI256" s="1321">
        <f t="shared" si="99"/>
        <v>0</v>
      </c>
      <c r="AJ256" s="1321">
        <f t="shared" si="99"/>
        <v>0</v>
      </c>
      <c r="AK256" s="1321">
        <f t="shared" si="99"/>
        <v>0</v>
      </c>
      <c r="AL256" s="1321">
        <f t="shared" si="99"/>
        <v>0</v>
      </c>
      <c r="AM256" s="1326">
        <f t="shared" si="99"/>
        <v>0</v>
      </c>
      <c r="AN256" s="2860"/>
      <c r="AO256" s="2898"/>
      <c r="AP256" s="1426"/>
    </row>
    <row r="257" spans="1:42" s="1422" customFormat="1" ht="24.75" thickBot="1">
      <c r="A257" s="2920">
        <v>21</v>
      </c>
      <c r="B257" s="2863" t="s">
        <v>714</v>
      </c>
      <c r="C257" s="2869">
        <v>0.2</v>
      </c>
      <c r="D257" s="2899" t="s">
        <v>685</v>
      </c>
      <c r="E257" s="448">
        <v>0</v>
      </c>
      <c r="F257" s="2990">
        <f t="shared" si="95"/>
        <v>0</v>
      </c>
      <c r="G257" s="2991">
        <f t="shared" si="95"/>
        <v>0</v>
      </c>
      <c r="H257" s="2991">
        <f t="shared" si="95"/>
        <v>0</v>
      </c>
      <c r="I257" s="2991">
        <f t="shared" si="95"/>
        <v>68.273600000000002</v>
      </c>
      <c r="J257" s="2991">
        <f t="shared" si="95"/>
        <v>136.5472</v>
      </c>
      <c r="K257" s="2992">
        <f t="shared" si="95"/>
        <v>204.82080000000002</v>
      </c>
      <c r="L257" s="448">
        <v>0</v>
      </c>
      <c r="M257" s="2990">
        <f t="shared" si="96"/>
        <v>0</v>
      </c>
      <c r="N257" s="2991">
        <f t="shared" si="96"/>
        <v>0</v>
      </c>
      <c r="O257" s="2991">
        <f t="shared" si="96"/>
        <v>0</v>
      </c>
      <c r="P257" s="2991">
        <f t="shared" si="96"/>
        <v>116.00080000000001</v>
      </c>
      <c r="Q257" s="2991">
        <f t="shared" si="96"/>
        <v>232.00160000000002</v>
      </c>
      <c r="R257" s="2992">
        <f t="shared" si="96"/>
        <v>348.00240000000002</v>
      </c>
      <c r="S257" s="448">
        <v>0</v>
      </c>
      <c r="T257" s="2990">
        <f t="shared" si="97"/>
        <v>0</v>
      </c>
      <c r="U257" s="2991">
        <f t="shared" si="97"/>
        <v>0</v>
      </c>
      <c r="V257" s="2991">
        <f t="shared" si="97"/>
        <v>0</v>
      </c>
      <c r="W257" s="2991">
        <f t="shared" si="97"/>
        <v>0</v>
      </c>
      <c r="X257" s="2991">
        <f t="shared" si="97"/>
        <v>0</v>
      </c>
      <c r="Y257" s="2992">
        <f t="shared" si="97"/>
        <v>0</v>
      </c>
      <c r="Z257" s="448">
        <v>0</v>
      </c>
      <c r="AA257" s="2990">
        <f t="shared" si="98"/>
        <v>0</v>
      </c>
      <c r="AB257" s="2991">
        <f t="shared" si="98"/>
        <v>0</v>
      </c>
      <c r="AC257" s="2991">
        <f t="shared" si="98"/>
        <v>0</v>
      </c>
      <c r="AD257" s="2991">
        <f t="shared" si="98"/>
        <v>0</v>
      </c>
      <c r="AE257" s="2991">
        <f t="shared" si="98"/>
        <v>0</v>
      </c>
      <c r="AF257" s="2992">
        <f t="shared" si="98"/>
        <v>0</v>
      </c>
      <c r="AG257" s="448"/>
      <c r="AH257" s="2990">
        <f t="shared" si="99"/>
        <v>0</v>
      </c>
      <c r="AI257" s="2991">
        <f t="shared" si="99"/>
        <v>0</v>
      </c>
      <c r="AJ257" s="2991">
        <f t="shared" si="99"/>
        <v>0</v>
      </c>
      <c r="AK257" s="2991">
        <f t="shared" si="99"/>
        <v>0</v>
      </c>
      <c r="AL257" s="2991">
        <f t="shared" si="99"/>
        <v>0</v>
      </c>
      <c r="AM257" s="2992">
        <f t="shared" si="99"/>
        <v>0</v>
      </c>
      <c r="AN257" s="2860"/>
      <c r="AO257" s="2898"/>
      <c r="AP257" s="1426"/>
    </row>
    <row r="258" spans="1:42" s="1422" customFormat="1" ht="13.5" thickBot="1">
      <c r="A258" s="4440" t="s">
        <v>226</v>
      </c>
      <c r="B258" s="2886"/>
      <c r="C258" s="2886"/>
      <c r="D258" s="2849" t="s">
        <v>227</v>
      </c>
      <c r="E258" s="1343">
        <f t="shared" ref="E258:AM258" si="100">SUM(E259:E279)</f>
        <v>10520.691000000001</v>
      </c>
      <c r="F258" s="2986">
        <f t="shared" si="100"/>
        <v>10150.392</v>
      </c>
      <c r="G258" s="1237">
        <f t="shared" si="100"/>
        <v>9783.0930000000008</v>
      </c>
      <c r="H258" s="1237">
        <f t="shared" si="100"/>
        <v>9428.7939999999999</v>
      </c>
      <c r="I258" s="1238">
        <f t="shared" si="100"/>
        <v>34646.751679999994</v>
      </c>
      <c r="J258" s="1237">
        <f t="shared" si="100"/>
        <v>33701.880360000003</v>
      </c>
      <c r="K258" s="1237">
        <f t="shared" si="100"/>
        <v>32757.009039999997</v>
      </c>
      <c r="L258" s="1343">
        <f t="shared" si="100"/>
        <v>28278.814000000002</v>
      </c>
      <c r="M258" s="2986">
        <f t="shared" si="100"/>
        <v>27565.5</v>
      </c>
      <c r="N258" s="1237">
        <f t="shared" si="100"/>
        <v>26852.186000000002</v>
      </c>
      <c r="O258" s="1237">
        <f t="shared" si="100"/>
        <v>26138.872000000003</v>
      </c>
      <c r="P258" s="1238">
        <f t="shared" si="100"/>
        <v>55242.108639999999</v>
      </c>
      <c r="Q258" s="1237">
        <f t="shared" si="100"/>
        <v>53575.148280000001</v>
      </c>
      <c r="R258" s="1237">
        <f t="shared" si="100"/>
        <v>51908.187920000004</v>
      </c>
      <c r="S258" s="1343">
        <f t="shared" si="100"/>
        <v>1494</v>
      </c>
      <c r="T258" s="2986">
        <f t="shared" si="100"/>
        <v>1415.3</v>
      </c>
      <c r="U258" s="1237">
        <f t="shared" si="100"/>
        <v>1336.6</v>
      </c>
      <c r="V258" s="1237">
        <f t="shared" si="100"/>
        <v>1261.9000000000001</v>
      </c>
      <c r="W258" s="1238">
        <f t="shared" si="100"/>
        <v>19099.0864</v>
      </c>
      <c r="X258" s="1237">
        <f t="shared" si="100"/>
        <v>18277.432799999999</v>
      </c>
      <c r="Y258" s="2987">
        <f t="shared" si="100"/>
        <v>17455.779200000001</v>
      </c>
      <c r="Z258" s="1343">
        <f t="shared" si="100"/>
        <v>10.900000000000034</v>
      </c>
      <c r="AA258" s="2986">
        <f t="shared" si="100"/>
        <v>10.100000000000055</v>
      </c>
      <c r="AB258" s="1237">
        <f t="shared" si="100"/>
        <v>9.3000000000000789</v>
      </c>
      <c r="AC258" s="1237">
        <f t="shared" si="100"/>
        <v>8.5000000000000995</v>
      </c>
      <c r="AD258" s="1238">
        <f t="shared" si="100"/>
        <v>7.7000000000001227</v>
      </c>
      <c r="AE258" s="1237">
        <f t="shared" si="100"/>
        <v>6.9000000000001451</v>
      </c>
      <c r="AF258" s="2987">
        <f t="shared" si="100"/>
        <v>6.1000000000001675</v>
      </c>
      <c r="AG258" s="1343">
        <f t="shared" si="100"/>
        <v>0</v>
      </c>
      <c r="AH258" s="2986">
        <f t="shared" si="100"/>
        <v>0</v>
      </c>
      <c r="AI258" s="1237">
        <f t="shared" si="100"/>
        <v>0</v>
      </c>
      <c r="AJ258" s="1237">
        <f t="shared" si="100"/>
        <v>0</v>
      </c>
      <c r="AK258" s="1238">
        <f t="shared" si="100"/>
        <v>0</v>
      </c>
      <c r="AL258" s="1237">
        <f t="shared" si="100"/>
        <v>0</v>
      </c>
      <c r="AM258" s="2987">
        <f t="shared" si="100"/>
        <v>0</v>
      </c>
      <c r="AN258" s="2860"/>
      <c r="AO258" s="2898"/>
      <c r="AP258" s="1426"/>
    </row>
    <row r="259" spans="1:42">
      <c r="A259" s="2862">
        <v>1</v>
      </c>
      <c r="B259" s="2923" t="s">
        <v>703</v>
      </c>
      <c r="C259" s="2880">
        <v>0</v>
      </c>
      <c r="D259" s="2910" t="s">
        <v>564</v>
      </c>
      <c r="E259" s="1346">
        <f>E193-E237</f>
        <v>261</v>
      </c>
      <c r="F259" s="2959">
        <f t="shared" ref="F259:L274" si="101">F193-F237</f>
        <v>247</v>
      </c>
      <c r="G259" s="2957">
        <f t="shared" si="101"/>
        <v>233</v>
      </c>
      <c r="H259" s="2957">
        <f t="shared" si="101"/>
        <v>219</v>
      </c>
      <c r="I259" s="2957">
        <f t="shared" si="101"/>
        <v>205</v>
      </c>
      <c r="J259" s="2957">
        <f t="shared" si="101"/>
        <v>191</v>
      </c>
      <c r="K259" s="2958">
        <f t="shared" si="101"/>
        <v>177</v>
      </c>
      <c r="L259" s="2993">
        <f>L193-L237</f>
        <v>0</v>
      </c>
      <c r="M259" s="2956">
        <f t="shared" ref="M259:S274" si="102">M193-M237</f>
        <v>0</v>
      </c>
      <c r="N259" s="2957">
        <f t="shared" si="102"/>
        <v>0</v>
      </c>
      <c r="O259" s="2957">
        <f t="shared" si="102"/>
        <v>0</v>
      </c>
      <c r="P259" s="2957">
        <f t="shared" si="102"/>
        <v>0</v>
      </c>
      <c r="Q259" s="2957">
        <f t="shared" si="102"/>
        <v>0</v>
      </c>
      <c r="R259" s="2958">
        <f t="shared" si="102"/>
        <v>0</v>
      </c>
      <c r="S259" s="1346">
        <f>S193-S237</f>
        <v>0</v>
      </c>
      <c r="T259" s="2959">
        <f t="shared" ref="T259:Z274" si="103">T193-T237</f>
        <v>0</v>
      </c>
      <c r="U259" s="2957">
        <f t="shared" si="103"/>
        <v>0</v>
      </c>
      <c r="V259" s="2957">
        <f t="shared" si="103"/>
        <v>0</v>
      </c>
      <c r="W259" s="2957">
        <f t="shared" si="103"/>
        <v>0</v>
      </c>
      <c r="X259" s="2957">
        <f t="shared" si="103"/>
        <v>0</v>
      </c>
      <c r="Y259" s="2958">
        <f t="shared" si="103"/>
        <v>0</v>
      </c>
      <c r="Z259" s="1346">
        <f>Z193-Z237</f>
        <v>0</v>
      </c>
      <c r="AA259" s="2959">
        <f t="shared" ref="AA259:AM274" si="104">AA193-AA237</f>
        <v>0</v>
      </c>
      <c r="AB259" s="2957">
        <f t="shared" si="104"/>
        <v>0</v>
      </c>
      <c r="AC259" s="2957">
        <f t="shared" si="104"/>
        <v>0</v>
      </c>
      <c r="AD259" s="2957">
        <f t="shared" si="104"/>
        <v>0</v>
      </c>
      <c r="AE259" s="2957">
        <f t="shared" si="104"/>
        <v>0</v>
      </c>
      <c r="AF259" s="2958">
        <f t="shared" si="104"/>
        <v>0</v>
      </c>
      <c r="AG259" s="1346">
        <f>AG193-AG237</f>
        <v>0</v>
      </c>
      <c r="AH259" s="2959">
        <f t="shared" ref="AH259:AM261" si="105">AH193-AH237</f>
        <v>0</v>
      </c>
      <c r="AI259" s="2957">
        <f t="shared" si="105"/>
        <v>0</v>
      </c>
      <c r="AJ259" s="2957">
        <f t="shared" si="105"/>
        <v>0</v>
      </c>
      <c r="AK259" s="2957">
        <f t="shared" si="105"/>
        <v>0</v>
      </c>
      <c r="AL259" s="2957">
        <f t="shared" si="105"/>
        <v>0</v>
      </c>
      <c r="AM259" s="2958">
        <f t="shared" si="105"/>
        <v>0</v>
      </c>
      <c r="AN259" s="2860"/>
      <c r="AO259" s="2898"/>
    </row>
    <row r="260" spans="1:42">
      <c r="A260" s="2862">
        <v>2</v>
      </c>
      <c r="B260" s="2863" t="s">
        <v>704</v>
      </c>
      <c r="C260" s="2864">
        <v>0.03</v>
      </c>
      <c r="D260" s="2918" t="s">
        <v>431</v>
      </c>
      <c r="E260" s="1346">
        <f>E194-E238</f>
        <v>174.04099999999997</v>
      </c>
      <c r="F260" s="1325">
        <f t="shared" si="101"/>
        <v>167.05799999999996</v>
      </c>
      <c r="G260" s="1321">
        <f t="shared" si="101"/>
        <v>160.07499999999996</v>
      </c>
      <c r="H260" s="1321">
        <f t="shared" si="101"/>
        <v>153.09199999999996</v>
      </c>
      <c r="I260" s="1321">
        <f t="shared" si="101"/>
        <v>146.10899999999995</v>
      </c>
      <c r="J260" s="1321">
        <f t="shared" si="101"/>
        <v>139.12599999999995</v>
      </c>
      <c r="K260" s="1326">
        <f t="shared" si="101"/>
        <v>132.14299999999994</v>
      </c>
      <c r="L260" s="2995">
        <f>L194-L238</f>
        <v>0</v>
      </c>
      <c r="M260" s="996">
        <f t="shared" si="102"/>
        <v>0</v>
      </c>
      <c r="N260" s="1321">
        <f t="shared" si="102"/>
        <v>0</v>
      </c>
      <c r="O260" s="1321">
        <f t="shared" si="102"/>
        <v>0</v>
      </c>
      <c r="P260" s="1321">
        <f t="shared" si="102"/>
        <v>1951.8049000000001</v>
      </c>
      <c r="Q260" s="1321">
        <f t="shared" si="102"/>
        <v>1891.4398000000001</v>
      </c>
      <c r="R260" s="1326">
        <f t="shared" si="102"/>
        <v>1831.0747000000001</v>
      </c>
      <c r="S260" s="1346">
        <f>S194-S238</f>
        <v>360.5</v>
      </c>
      <c r="T260" s="1325">
        <f t="shared" si="103"/>
        <v>355.2</v>
      </c>
      <c r="U260" s="1321">
        <f t="shared" si="103"/>
        <v>349.9</v>
      </c>
      <c r="V260" s="1321">
        <f t="shared" si="103"/>
        <v>344.59999999999997</v>
      </c>
      <c r="W260" s="1321">
        <f t="shared" si="103"/>
        <v>339.29999999999995</v>
      </c>
      <c r="X260" s="1321">
        <f t="shared" si="103"/>
        <v>333.99999999999994</v>
      </c>
      <c r="Y260" s="1326">
        <f t="shared" si="103"/>
        <v>328.69999999999993</v>
      </c>
      <c r="Z260" s="1346">
        <f>Z194-Z238</f>
        <v>1.2000000000000002</v>
      </c>
      <c r="AA260" s="1325">
        <f t="shared" si="104"/>
        <v>1.2000000000000002</v>
      </c>
      <c r="AB260" s="1321">
        <f t="shared" si="104"/>
        <v>1.2000000000000002</v>
      </c>
      <c r="AC260" s="1321">
        <f t="shared" si="104"/>
        <v>1.2000000000000002</v>
      </c>
      <c r="AD260" s="1321">
        <f t="shared" si="104"/>
        <v>1.2000000000000002</v>
      </c>
      <c r="AE260" s="1321">
        <f t="shared" si="104"/>
        <v>1.2000000000000002</v>
      </c>
      <c r="AF260" s="1326">
        <f t="shared" si="104"/>
        <v>1.2000000000000002</v>
      </c>
      <c r="AG260" s="1346">
        <f>AG194-AG238</f>
        <v>0</v>
      </c>
      <c r="AH260" s="1325">
        <f t="shared" si="105"/>
        <v>0</v>
      </c>
      <c r="AI260" s="1321">
        <f t="shared" si="105"/>
        <v>0</v>
      </c>
      <c r="AJ260" s="1321">
        <f t="shared" si="105"/>
        <v>0</v>
      </c>
      <c r="AK260" s="1321">
        <f t="shared" si="105"/>
        <v>0</v>
      </c>
      <c r="AL260" s="1321">
        <f t="shared" si="105"/>
        <v>0</v>
      </c>
      <c r="AM260" s="1326">
        <f t="shared" si="105"/>
        <v>0</v>
      </c>
      <c r="AN260" s="2860"/>
      <c r="AO260" s="2898"/>
    </row>
    <row r="261" spans="1:42">
      <c r="A261" s="2862">
        <v>3</v>
      </c>
      <c r="B261" s="2863">
        <v>911301</v>
      </c>
      <c r="C261" s="2864">
        <v>0.1</v>
      </c>
      <c r="D261" s="2918" t="s">
        <v>432</v>
      </c>
      <c r="E261" s="1346">
        <f>E195-E239</f>
        <v>0</v>
      </c>
      <c r="F261" s="1325">
        <f t="shared" si="101"/>
        <v>0</v>
      </c>
      <c r="G261" s="1321">
        <f t="shared" si="101"/>
        <v>0</v>
      </c>
      <c r="H261" s="1321">
        <f t="shared" si="101"/>
        <v>0</v>
      </c>
      <c r="I261" s="1321">
        <f t="shared" si="101"/>
        <v>0</v>
      </c>
      <c r="J261" s="1321">
        <f t="shared" si="101"/>
        <v>0</v>
      </c>
      <c r="K261" s="1326">
        <f t="shared" si="101"/>
        <v>0</v>
      </c>
      <c r="L261" s="2995">
        <f>L195-L239</f>
        <v>0</v>
      </c>
      <c r="M261" s="996">
        <f t="shared" si="102"/>
        <v>0</v>
      </c>
      <c r="N261" s="1321">
        <f t="shared" si="102"/>
        <v>0</v>
      </c>
      <c r="O261" s="1321">
        <f t="shared" si="102"/>
        <v>0</v>
      </c>
      <c r="P261" s="1321">
        <f t="shared" si="102"/>
        <v>0</v>
      </c>
      <c r="Q261" s="1321">
        <f t="shared" si="102"/>
        <v>0</v>
      </c>
      <c r="R261" s="1326">
        <f t="shared" si="102"/>
        <v>0</v>
      </c>
      <c r="S261" s="1346">
        <f>S195-S239</f>
        <v>0</v>
      </c>
      <c r="T261" s="1325">
        <f t="shared" si="103"/>
        <v>0</v>
      </c>
      <c r="U261" s="1321">
        <f t="shared" si="103"/>
        <v>0</v>
      </c>
      <c r="V261" s="1321">
        <f t="shared" si="103"/>
        <v>0</v>
      </c>
      <c r="W261" s="1321">
        <f t="shared" si="103"/>
        <v>0</v>
      </c>
      <c r="X261" s="1321">
        <f t="shared" si="103"/>
        <v>0</v>
      </c>
      <c r="Y261" s="1326">
        <f t="shared" si="103"/>
        <v>0</v>
      </c>
      <c r="Z261" s="1346">
        <f>Z195-Z239</f>
        <v>0</v>
      </c>
      <c r="AA261" s="1325">
        <f t="shared" si="104"/>
        <v>0</v>
      </c>
      <c r="AB261" s="1321">
        <f t="shared" si="104"/>
        <v>0</v>
      </c>
      <c r="AC261" s="1321">
        <f t="shared" si="104"/>
        <v>0</v>
      </c>
      <c r="AD261" s="1321">
        <f t="shared" si="104"/>
        <v>0</v>
      </c>
      <c r="AE261" s="1321">
        <f t="shared" si="104"/>
        <v>0</v>
      </c>
      <c r="AF261" s="1326">
        <f t="shared" si="104"/>
        <v>0</v>
      </c>
      <c r="AG261" s="1346">
        <f>AG195-AG239</f>
        <v>0</v>
      </c>
      <c r="AH261" s="1325">
        <f t="shared" si="105"/>
        <v>0</v>
      </c>
      <c r="AI261" s="1321">
        <f t="shared" si="105"/>
        <v>0</v>
      </c>
      <c r="AJ261" s="1321">
        <f t="shared" si="105"/>
        <v>0</v>
      </c>
      <c r="AK261" s="1321">
        <f t="shared" si="105"/>
        <v>0</v>
      </c>
      <c r="AL261" s="1321">
        <f t="shared" si="105"/>
        <v>0</v>
      </c>
      <c r="AM261" s="1326">
        <f t="shared" si="105"/>
        <v>0</v>
      </c>
      <c r="AN261" s="2860"/>
      <c r="AO261" s="2898"/>
    </row>
    <row r="262" spans="1:42">
      <c r="A262" s="2862">
        <v>4</v>
      </c>
      <c r="B262" s="2863">
        <v>911302</v>
      </c>
      <c r="C262" s="2864">
        <v>0.1</v>
      </c>
      <c r="D262" s="2918" t="s">
        <v>433</v>
      </c>
      <c r="E262" s="1346">
        <f t="shared" ref="E262:T277" si="106">E196-E240</f>
        <v>0</v>
      </c>
      <c r="F262" s="1325">
        <f t="shared" si="101"/>
        <v>0</v>
      </c>
      <c r="G262" s="1321">
        <f t="shared" si="101"/>
        <v>0</v>
      </c>
      <c r="H262" s="1321">
        <f t="shared" si="101"/>
        <v>0</v>
      </c>
      <c r="I262" s="1321">
        <f t="shared" si="101"/>
        <v>0</v>
      </c>
      <c r="J262" s="1321">
        <f t="shared" si="101"/>
        <v>0</v>
      </c>
      <c r="K262" s="1326">
        <f t="shared" si="101"/>
        <v>0</v>
      </c>
      <c r="L262" s="2995">
        <f t="shared" si="101"/>
        <v>0</v>
      </c>
      <c r="M262" s="996">
        <f t="shared" si="102"/>
        <v>0</v>
      </c>
      <c r="N262" s="1321">
        <f t="shared" si="102"/>
        <v>0</v>
      </c>
      <c r="O262" s="1321">
        <f t="shared" si="102"/>
        <v>0</v>
      </c>
      <c r="P262" s="1321">
        <f t="shared" si="102"/>
        <v>0</v>
      </c>
      <c r="Q262" s="1321">
        <f t="shared" si="102"/>
        <v>0</v>
      </c>
      <c r="R262" s="1326">
        <f t="shared" si="102"/>
        <v>0</v>
      </c>
      <c r="S262" s="1346">
        <f t="shared" si="102"/>
        <v>0</v>
      </c>
      <c r="T262" s="1325">
        <f t="shared" si="103"/>
        <v>0</v>
      </c>
      <c r="U262" s="1321">
        <f t="shared" si="103"/>
        <v>0</v>
      </c>
      <c r="V262" s="1321">
        <f t="shared" si="103"/>
        <v>0</v>
      </c>
      <c r="W262" s="1321">
        <f t="shared" si="103"/>
        <v>0</v>
      </c>
      <c r="X262" s="1321">
        <f t="shared" si="103"/>
        <v>0</v>
      </c>
      <c r="Y262" s="1326">
        <f t="shared" si="103"/>
        <v>0</v>
      </c>
      <c r="Z262" s="1346">
        <f t="shared" si="103"/>
        <v>0</v>
      </c>
      <c r="AA262" s="1325">
        <f t="shared" si="104"/>
        <v>0</v>
      </c>
      <c r="AB262" s="1321">
        <f t="shared" si="104"/>
        <v>0</v>
      </c>
      <c r="AC262" s="1321">
        <f t="shared" si="104"/>
        <v>0</v>
      </c>
      <c r="AD262" s="1321">
        <f t="shared" si="104"/>
        <v>0</v>
      </c>
      <c r="AE262" s="1321">
        <f t="shared" si="104"/>
        <v>0</v>
      </c>
      <c r="AF262" s="1326">
        <f t="shared" si="104"/>
        <v>0</v>
      </c>
      <c r="AG262" s="1346">
        <f t="shared" si="104"/>
        <v>0</v>
      </c>
      <c r="AH262" s="1325">
        <f t="shared" si="104"/>
        <v>0</v>
      </c>
      <c r="AI262" s="1321">
        <f t="shared" si="104"/>
        <v>0</v>
      </c>
      <c r="AJ262" s="1321">
        <f t="shared" si="104"/>
        <v>0</v>
      </c>
      <c r="AK262" s="1321">
        <f t="shared" si="104"/>
        <v>0</v>
      </c>
      <c r="AL262" s="1321">
        <f t="shared" si="104"/>
        <v>0</v>
      </c>
      <c r="AM262" s="1326">
        <f t="shared" si="104"/>
        <v>0</v>
      </c>
      <c r="AN262" s="2860"/>
      <c r="AO262" s="2898"/>
    </row>
    <row r="263" spans="1:42">
      <c r="A263" s="2862">
        <v>5</v>
      </c>
      <c r="B263" s="2863" t="s">
        <v>721</v>
      </c>
      <c r="C263" s="2864">
        <v>0.1</v>
      </c>
      <c r="D263" s="2899" t="s">
        <v>412</v>
      </c>
      <c r="E263" s="1346">
        <f t="shared" si="106"/>
        <v>29</v>
      </c>
      <c r="F263" s="1325">
        <f t="shared" si="101"/>
        <v>13</v>
      </c>
      <c r="G263" s="1321">
        <f t="shared" si="101"/>
        <v>0</v>
      </c>
      <c r="H263" s="1321">
        <f t="shared" si="101"/>
        <v>0</v>
      </c>
      <c r="I263" s="1321">
        <f t="shared" si="101"/>
        <v>0</v>
      </c>
      <c r="J263" s="1321">
        <f t="shared" si="101"/>
        <v>0</v>
      </c>
      <c r="K263" s="1326">
        <f t="shared" si="101"/>
        <v>0</v>
      </c>
      <c r="L263" s="2995">
        <f t="shared" si="101"/>
        <v>0</v>
      </c>
      <c r="M263" s="996">
        <f t="shared" si="102"/>
        <v>0</v>
      </c>
      <c r="N263" s="1321">
        <f t="shared" si="102"/>
        <v>0</v>
      </c>
      <c r="O263" s="1321">
        <f t="shared" si="102"/>
        <v>0</v>
      </c>
      <c r="P263" s="1321">
        <f t="shared" si="102"/>
        <v>0</v>
      </c>
      <c r="Q263" s="1321">
        <f t="shared" si="102"/>
        <v>0</v>
      </c>
      <c r="R263" s="1326">
        <f t="shared" si="102"/>
        <v>0</v>
      </c>
      <c r="S263" s="1346">
        <f t="shared" si="102"/>
        <v>15.5</v>
      </c>
      <c r="T263" s="1325">
        <f t="shared" si="103"/>
        <v>9.1000000000000014</v>
      </c>
      <c r="U263" s="1321">
        <f t="shared" si="103"/>
        <v>2.7000000000000028</v>
      </c>
      <c r="V263" s="1321">
        <f t="shared" si="103"/>
        <v>0.29999999999999716</v>
      </c>
      <c r="W263" s="1321">
        <f t="shared" si="103"/>
        <v>6.8999999999999915</v>
      </c>
      <c r="X263" s="1321">
        <f t="shared" si="103"/>
        <v>3.4999999999999858</v>
      </c>
      <c r="Y263" s="1326">
        <f t="shared" si="103"/>
        <v>9.9999999999980105E-2</v>
      </c>
      <c r="Z263" s="1346">
        <f t="shared" si="103"/>
        <v>0</v>
      </c>
      <c r="AA263" s="1325">
        <f t="shared" si="104"/>
        <v>0</v>
      </c>
      <c r="AB263" s="1321">
        <f t="shared" si="104"/>
        <v>0</v>
      </c>
      <c r="AC263" s="1321">
        <f t="shared" si="104"/>
        <v>0</v>
      </c>
      <c r="AD263" s="1321">
        <f t="shared" si="104"/>
        <v>0</v>
      </c>
      <c r="AE263" s="1321">
        <f t="shared" si="104"/>
        <v>0</v>
      </c>
      <c r="AF263" s="1326">
        <f t="shared" si="104"/>
        <v>0</v>
      </c>
      <c r="AG263" s="1346">
        <f t="shared" si="104"/>
        <v>0</v>
      </c>
      <c r="AH263" s="1325">
        <f t="shared" si="104"/>
        <v>0</v>
      </c>
      <c r="AI263" s="1321">
        <f t="shared" si="104"/>
        <v>0</v>
      </c>
      <c r="AJ263" s="1321">
        <f t="shared" si="104"/>
        <v>0</v>
      </c>
      <c r="AK263" s="1321">
        <f t="shared" si="104"/>
        <v>0</v>
      </c>
      <c r="AL263" s="1321">
        <f t="shared" si="104"/>
        <v>0</v>
      </c>
      <c r="AM263" s="1326">
        <f t="shared" si="104"/>
        <v>0</v>
      </c>
      <c r="AN263" s="2860"/>
      <c r="AO263" s="2898"/>
    </row>
    <row r="264" spans="1:42">
      <c r="A264" s="2862">
        <v>6</v>
      </c>
      <c r="B264" s="2863" t="s">
        <v>722</v>
      </c>
      <c r="C264" s="2864">
        <v>0.1</v>
      </c>
      <c r="D264" s="2899" t="s">
        <v>1009</v>
      </c>
      <c r="E264" s="1346">
        <f t="shared" si="106"/>
        <v>14</v>
      </c>
      <c r="F264" s="1325">
        <f t="shared" si="101"/>
        <v>10</v>
      </c>
      <c r="G264" s="1321">
        <f t="shared" si="101"/>
        <v>6</v>
      </c>
      <c r="H264" s="1321">
        <f t="shared" si="101"/>
        <v>2</v>
      </c>
      <c r="I264" s="1321">
        <f t="shared" si="101"/>
        <v>0</v>
      </c>
      <c r="J264" s="1321">
        <f t="shared" si="101"/>
        <v>0</v>
      </c>
      <c r="K264" s="1326">
        <f t="shared" si="101"/>
        <v>0</v>
      </c>
      <c r="L264" s="2995">
        <f t="shared" si="101"/>
        <v>0</v>
      </c>
      <c r="M264" s="996">
        <f t="shared" si="102"/>
        <v>0</v>
      </c>
      <c r="N264" s="1321">
        <f t="shared" si="102"/>
        <v>0</v>
      </c>
      <c r="O264" s="1321">
        <f t="shared" si="102"/>
        <v>0</v>
      </c>
      <c r="P264" s="1321">
        <f t="shared" si="102"/>
        <v>0</v>
      </c>
      <c r="Q264" s="1321">
        <f t="shared" si="102"/>
        <v>0</v>
      </c>
      <c r="R264" s="1326">
        <f t="shared" si="102"/>
        <v>0</v>
      </c>
      <c r="S264" s="1346">
        <f t="shared" si="102"/>
        <v>0</v>
      </c>
      <c r="T264" s="1325">
        <f t="shared" si="103"/>
        <v>0</v>
      </c>
      <c r="U264" s="1321">
        <f t="shared" si="103"/>
        <v>0</v>
      </c>
      <c r="V264" s="1321">
        <f t="shared" si="103"/>
        <v>0</v>
      </c>
      <c r="W264" s="1321">
        <f t="shared" si="103"/>
        <v>0</v>
      </c>
      <c r="X264" s="1321">
        <f t="shared" si="103"/>
        <v>0</v>
      </c>
      <c r="Y264" s="1326">
        <f t="shared" si="103"/>
        <v>0</v>
      </c>
      <c r="Z264" s="1346">
        <f t="shared" si="103"/>
        <v>0</v>
      </c>
      <c r="AA264" s="1325">
        <f t="shared" si="104"/>
        <v>0</v>
      </c>
      <c r="AB264" s="1321">
        <f t="shared" si="104"/>
        <v>0</v>
      </c>
      <c r="AC264" s="1321">
        <f t="shared" si="104"/>
        <v>0</v>
      </c>
      <c r="AD264" s="1321">
        <f t="shared" si="104"/>
        <v>0</v>
      </c>
      <c r="AE264" s="1321">
        <f t="shared" si="104"/>
        <v>0</v>
      </c>
      <c r="AF264" s="1326">
        <f t="shared" si="104"/>
        <v>0</v>
      </c>
      <c r="AG264" s="1346">
        <f t="shared" si="104"/>
        <v>0</v>
      </c>
      <c r="AH264" s="1325">
        <f t="shared" si="104"/>
        <v>0</v>
      </c>
      <c r="AI264" s="1321">
        <f t="shared" si="104"/>
        <v>0</v>
      </c>
      <c r="AJ264" s="1321">
        <f t="shared" si="104"/>
        <v>0</v>
      </c>
      <c r="AK264" s="1321">
        <f t="shared" si="104"/>
        <v>0</v>
      </c>
      <c r="AL264" s="1321">
        <f t="shared" si="104"/>
        <v>0</v>
      </c>
      <c r="AM264" s="1326">
        <f t="shared" si="104"/>
        <v>0</v>
      </c>
      <c r="AN264" s="2860"/>
      <c r="AO264" s="2898"/>
    </row>
    <row r="265" spans="1:42" ht="24">
      <c r="A265" s="2862">
        <v>7</v>
      </c>
      <c r="B265" s="2863" t="s">
        <v>713</v>
      </c>
      <c r="C265" s="2864">
        <v>0.1</v>
      </c>
      <c r="D265" s="2899" t="s">
        <v>702</v>
      </c>
      <c r="E265" s="1346">
        <f t="shared" si="106"/>
        <v>7</v>
      </c>
      <c r="F265" s="1325">
        <f t="shared" si="101"/>
        <v>5</v>
      </c>
      <c r="G265" s="1321">
        <f t="shared" si="101"/>
        <v>3</v>
      </c>
      <c r="H265" s="1321">
        <f t="shared" si="101"/>
        <v>1</v>
      </c>
      <c r="I265" s="1321">
        <f t="shared" si="101"/>
        <v>0</v>
      </c>
      <c r="J265" s="1321">
        <f t="shared" si="101"/>
        <v>0</v>
      </c>
      <c r="K265" s="1326">
        <f t="shared" si="101"/>
        <v>0</v>
      </c>
      <c r="L265" s="2995">
        <f t="shared" si="101"/>
        <v>0</v>
      </c>
      <c r="M265" s="996">
        <f t="shared" si="102"/>
        <v>0</v>
      </c>
      <c r="N265" s="1321">
        <f t="shared" si="102"/>
        <v>0</v>
      </c>
      <c r="O265" s="1321">
        <f t="shared" si="102"/>
        <v>0</v>
      </c>
      <c r="P265" s="1321">
        <f t="shared" si="102"/>
        <v>0</v>
      </c>
      <c r="Q265" s="1321">
        <f t="shared" si="102"/>
        <v>0</v>
      </c>
      <c r="R265" s="1326">
        <f t="shared" si="102"/>
        <v>0</v>
      </c>
      <c r="S265" s="1346">
        <f t="shared" si="102"/>
        <v>0</v>
      </c>
      <c r="T265" s="1325">
        <f t="shared" si="103"/>
        <v>0</v>
      </c>
      <c r="U265" s="1321">
        <f t="shared" si="103"/>
        <v>0</v>
      </c>
      <c r="V265" s="1321">
        <f t="shared" si="103"/>
        <v>0</v>
      </c>
      <c r="W265" s="1321">
        <f t="shared" si="103"/>
        <v>0</v>
      </c>
      <c r="X265" s="1321">
        <f t="shared" si="103"/>
        <v>0</v>
      </c>
      <c r="Y265" s="1326">
        <f t="shared" si="103"/>
        <v>0</v>
      </c>
      <c r="Z265" s="1346">
        <f t="shared" si="103"/>
        <v>0</v>
      </c>
      <c r="AA265" s="1325">
        <f t="shared" si="104"/>
        <v>0</v>
      </c>
      <c r="AB265" s="1321">
        <f t="shared" si="104"/>
        <v>0</v>
      </c>
      <c r="AC265" s="1321">
        <f t="shared" si="104"/>
        <v>0</v>
      </c>
      <c r="AD265" s="1321">
        <f t="shared" si="104"/>
        <v>0</v>
      </c>
      <c r="AE265" s="1321">
        <f t="shared" si="104"/>
        <v>0</v>
      </c>
      <c r="AF265" s="1326">
        <f t="shared" si="104"/>
        <v>0</v>
      </c>
      <c r="AG265" s="1346">
        <f t="shared" si="104"/>
        <v>0</v>
      </c>
      <c r="AH265" s="1325">
        <f t="shared" si="104"/>
        <v>0</v>
      </c>
      <c r="AI265" s="1321">
        <f t="shared" si="104"/>
        <v>0</v>
      </c>
      <c r="AJ265" s="1321">
        <f t="shared" si="104"/>
        <v>0</v>
      </c>
      <c r="AK265" s="1321">
        <f t="shared" si="104"/>
        <v>0</v>
      </c>
      <c r="AL265" s="1321">
        <f t="shared" si="104"/>
        <v>0</v>
      </c>
      <c r="AM265" s="1326">
        <f t="shared" si="104"/>
        <v>0</v>
      </c>
      <c r="AN265" s="2860"/>
      <c r="AO265" s="2898"/>
    </row>
    <row r="266" spans="1:42">
      <c r="A266" s="2862">
        <v>8</v>
      </c>
      <c r="B266" s="2863" t="s">
        <v>723</v>
      </c>
      <c r="C266" s="2864">
        <v>0.1</v>
      </c>
      <c r="D266" s="2899" t="s">
        <v>720</v>
      </c>
      <c r="E266" s="1346">
        <f t="shared" si="106"/>
        <v>0</v>
      </c>
      <c r="F266" s="1325">
        <f t="shared" si="101"/>
        <v>0</v>
      </c>
      <c r="G266" s="1321">
        <f t="shared" si="101"/>
        <v>0</v>
      </c>
      <c r="H266" s="1321">
        <f t="shared" si="101"/>
        <v>0</v>
      </c>
      <c r="I266" s="1321">
        <f t="shared" si="101"/>
        <v>0</v>
      </c>
      <c r="J266" s="1321">
        <f t="shared" si="101"/>
        <v>0</v>
      </c>
      <c r="K266" s="1326">
        <f t="shared" si="101"/>
        <v>0</v>
      </c>
      <c r="L266" s="2995">
        <f t="shared" si="101"/>
        <v>0</v>
      </c>
      <c r="M266" s="996">
        <f t="shared" si="102"/>
        <v>0</v>
      </c>
      <c r="N266" s="1321">
        <f t="shared" si="102"/>
        <v>0</v>
      </c>
      <c r="O266" s="1321">
        <f t="shared" si="102"/>
        <v>0</v>
      </c>
      <c r="P266" s="1321">
        <f t="shared" si="102"/>
        <v>0</v>
      </c>
      <c r="Q266" s="1321">
        <f t="shared" si="102"/>
        <v>0</v>
      </c>
      <c r="R266" s="1326">
        <f t="shared" si="102"/>
        <v>0</v>
      </c>
      <c r="S266" s="1346">
        <f t="shared" si="102"/>
        <v>0</v>
      </c>
      <c r="T266" s="1325">
        <f t="shared" si="103"/>
        <v>0</v>
      </c>
      <c r="U266" s="1321">
        <f t="shared" si="103"/>
        <v>0</v>
      </c>
      <c r="V266" s="1321">
        <f t="shared" si="103"/>
        <v>0</v>
      </c>
      <c r="W266" s="1321">
        <f t="shared" si="103"/>
        <v>0</v>
      </c>
      <c r="X266" s="1321">
        <f t="shared" si="103"/>
        <v>0</v>
      </c>
      <c r="Y266" s="1326">
        <f t="shared" si="103"/>
        <v>0</v>
      </c>
      <c r="Z266" s="1346">
        <f t="shared" si="103"/>
        <v>0</v>
      </c>
      <c r="AA266" s="1325">
        <f t="shared" si="104"/>
        <v>0</v>
      </c>
      <c r="AB266" s="1321">
        <f t="shared" si="104"/>
        <v>0</v>
      </c>
      <c r="AC266" s="1321">
        <f t="shared" si="104"/>
        <v>0</v>
      </c>
      <c r="AD266" s="1321">
        <f t="shared" si="104"/>
        <v>0</v>
      </c>
      <c r="AE266" s="1321">
        <f t="shared" si="104"/>
        <v>0</v>
      </c>
      <c r="AF266" s="1326">
        <f t="shared" si="104"/>
        <v>0</v>
      </c>
      <c r="AG266" s="1346">
        <f t="shared" si="104"/>
        <v>0</v>
      </c>
      <c r="AH266" s="1325">
        <f t="shared" si="104"/>
        <v>0</v>
      </c>
      <c r="AI266" s="1321">
        <f t="shared" si="104"/>
        <v>0</v>
      </c>
      <c r="AJ266" s="1321">
        <f t="shared" si="104"/>
        <v>0</v>
      </c>
      <c r="AK266" s="1321">
        <f t="shared" si="104"/>
        <v>0</v>
      </c>
      <c r="AL266" s="1321">
        <f t="shared" si="104"/>
        <v>0</v>
      </c>
      <c r="AM266" s="1326">
        <f t="shared" si="104"/>
        <v>0</v>
      </c>
      <c r="AN266" s="2860"/>
      <c r="AO266" s="2898"/>
    </row>
    <row r="267" spans="1:42">
      <c r="A267" s="2920">
        <v>9</v>
      </c>
      <c r="B267" s="2863">
        <v>911306</v>
      </c>
      <c r="C267" s="2864">
        <v>0.1</v>
      </c>
      <c r="D267" s="2899" t="s">
        <v>1040</v>
      </c>
      <c r="E267" s="1346">
        <f t="shared" si="106"/>
        <v>20.742999999999999</v>
      </c>
      <c r="F267" s="1325">
        <f t="shared" si="101"/>
        <v>20.512</v>
      </c>
      <c r="G267" s="1321">
        <f t="shared" si="101"/>
        <v>20.280999999999999</v>
      </c>
      <c r="H267" s="1321">
        <f t="shared" si="101"/>
        <v>20.05</v>
      </c>
      <c r="I267" s="1321">
        <f t="shared" si="101"/>
        <v>19.818999999999999</v>
      </c>
      <c r="J267" s="1321">
        <f t="shared" si="101"/>
        <v>19.588000000000001</v>
      </c>
      <c r="K267" s="1326">
        <f t="shared" si="101"/>
        <v>19.356999999999999</v>
      </c>
      <c r="L267" s="2995">
        <f t="shared" si="101"/>
        <v>12</v>
      </c>
      <c r="M267" s="996">
        <f t="shared" si="102"/>
        <v>11</v>
      </c>
      <c r="N267" s="1321">
        <f t="shared" si="102"/>
        <v>10</v>
      </c>
      <c r="O267" s="1321">
        <f t="shared" si="102"/>
        <v>9</v>
      </c>
      <c r="P267" s="1321">
        <f t="shared" si="102"/>
        <v>8</v>
      </c>
      <c r="Q267" s="1321">
        <f t="shared" si="102"/>
        <v>7</v>
      </c>
      <c r="R267" s="1326">
        <f t="shared" si="102"/>
        <v>6</v>
      </c>
      <c r="S267" s="1346">
        <f t="shared" si="102"/>
        <v>2</v>
      </c>
      <c r="T267" s="1325">
        <f t="shared" si="103"/>
        <v>2</v>
      </c>
      <c r="U267" s="1321">
        <f t="shared" si="103"/>
        <v>2</v>
      </c>
      <c r="V267" s="1321">
        <f t="shared" si="103"/>
        <v>2</v>
      </c>
      <c r="W267" s="1321">
        <f t="shared" si="103"/>
        <v>2</v>
      </c>
      <c r="X267" s="1321">
        <f t="shared" si="103"/>
        <v>2</v>
      </c>
      <c r="Y267" s="1326">
        <f t="shared" si="103"/>
        <v>2</v>
      </c>
      <c r="Z267" s="1346">
        <f t="shared" si="103"/>
        <v>0</v>
      </c>
      <c r="AA267" s="1325">
        <f t="shared" si="104"/>
        <v>0</v>
      </c>
      <c r="AB267" s="1321">
        <f t="shared" si="104"/>
        <v>0</v>
      </c>
      <c r="AC267" s="1321">
        <f t="shared" si="104"/>
        <v>0</v>
      </c>
      <c r="AD267" s="1321">
        <f t="shared" si="104"/>
        <v>0</v>
      </c>
      <c r="AE267" s="1321">
        <f t="shared" si="104"/>
        <v>0</v>
      </c>
      <c r="AF267" s="1326">
        <f t="shared" si="104"/>
        <v>0</v>
      </c>
      <c r="AG267" s="1346">
        <f t="shared" si="104"/>
        <v>0</v>
      </c>
      <c r="AH267" s="1325">
        <f t="shared" si="104"/>
        <v>0</v>
      </c>
      <c r="AI267" s="1321">
        <f t="shared" si="104"/>
        <v>0</v>
      </c>
      <c r="AJ267" s="1321">
        <f t="shared" si="104"/>
        <v>0</v>
      </c>
      <c r="AK267" s="1321">
        <f t="shared" si="104"/>
        <v>0</v>
      </c>
      <c r="AL267" s="1321">
        <f t="shared" si="104"/>
        <v>0</v>
      </c>
      <c r="AM267" s="1326">
        <f t="shared" si="104"/>
        <v>0</v>
      </c>
      <c r="AN267" s="2860"/>
      <c r="AO267" s="2898"/>
    </row>
    <row r="268" spans="1:42">
      <c r="A268" s="2920">
        <v>10</v>
      </c>
      <c r="B268" s="2863">
        <v>91140101</v>
      </c>
      <c r="C268" s="2919">
        <v>0.1</v>
      </c>
      <c r="D268" s="2893" t="s">
        <v>1024</v>
      </c>
      <c r="E268" s="1346">
        <f t="shared" si="106"/>
        <v>1</v>
      </c>
      <c r="F268" s="1325">
        <f t="shared" si="101"/>
        <v>1</v>
      </c>
      <c r="G268" s="1321">
        <f t="shared" si="101"/>
        <v>1</v>
      </c>
      <c r="H268" s="1321">
        <f t="shared" si="101"/>
        <v>1</v>
      </c>
      <c r="I268" s="1321">
        <f t="shared" si="101"/>
        <v>1</v>
      </c>
      <c r="J268" s="1321">
        <f t="shared" si="101"/>
        <v>1</v>
      </c>
      <c r="K268" s="1326">
        <f t="shared" si="101"/>
        <v>1</v>
      </c>
      <c r="L268" s="2995">
        <f t="shared" si="101"/>
        <v>0</v>
      </c>
      <c r="M268" s="996">
        <f t="shared" si="102"/>
        <v>0</v>
      </c>
      <c r="N268" s="1321">
        <f t="shared" si="102"/>
        <v>0</v>
      </c>
      <c r="O268" s="1321">
        <f t="shared" si="102"/>
        <v>0</v>
      </c>
      <c r="P268" s="1321">
        <f t="shared" si="102"/>
        <v>0</v>
      </c>
      <c r="Q268" s="1321">
        <f t="shared" si="102"/>
        <v>0</v>
      </c>
      <c r="R268" s="1326">
        <f t="shared" si="102"/>
        <v>0</v>
      </c>
      <c r="S268" s="1346">
        <f t="shared" si="102"/>
        <v>0.5</v>
      </c>
      <c r="T268" s="1325">
        <f t="shared" si="103"/>
        <v>0.5</v>
      </c>
      <c r="U268" s="1321">
        <f t="shared" si="103"/>
        <v>0.5</v>
      </c>
      <c r="V268" s="1321">
        <f t="shared" si="103"/>
        <v>0.5</v>
      </c>
      <c r="W268" s="1321">
        <f t="shared" si="103"/>
        <v>0.5</v>
      </c>
      <c r="X268" s="1321">
        <f t="shared" si="103"/>
        <v>0.5</v>
      </c>
      <c r="Y268" s="1326">
        <f t="shared" si="103"/>
        <v>0.5</v>
      </c>
      <c r="Z268" s="1346">
        <f t="shared" si="103"/>
        <v>0</v>
      </c>
      <c r="AA268" s="1325">
        <f t="shared" si="104"/>
        <v>0</v>
      </c>
      <c r="AB268" s="1321">
        <f t="shared" si="104"/>
        <v>0</v>
      </c>
      <c r="AC268" s="1321">
        <f t="shared" si="104"/>
        <v>0</v>
      </c>
      <c r="AD268" s="1321">
        <f t="shared" si="104"/>
        <v>0</v>
      </c>
      <c r="AE268" s="1321">
        <f t="shared" si="104"/>
        <v>0</v>
      </c>
      <c r="AF268" s="1326">
        <f t="shared" si="104"/>
        <v>0</v>
      </c>
      <c r="AG268" s="1346">
        <f t="shared" si="104"/>
        <v>0</v>
      </c>
      <c r="AH268" s="1325">
        <f t="shared" si="104"/>
        <v>0</v>
      </c>
      <c r="AI268" s="1321">
        <f t="shared" si="104"/>
        <v>0</v>
      </c>
      <c r="AJ268" s="1321">
        <f t="shared" si="104"/>
        <v>0</v>
      </c>
      <c r="AK268" s="1321">
        <f t="shared" si="104"/>
        <v>0</v>
      </c>
      <c r="AL268" s="1321">
        <f t="shared" si="104"/>
        <v>0</v>
      </c>
      <c r="AM268" s="1326">
        <f t="shared" si="104"/>
        <v>0</v>
      </c>
      <c r="AN268" s="2860"/>
      <c r="AO268" s="2898"/>
    </row>
    <row r="269" spans="1:42">
      <c r="A269" s="2920">
        <v>11</v>
      </c>
      <c r="B269" s="2863">
        <v>91140102</v>
      </c>
      <c r="C269" s="2919">
        <v>0.04</v>
      </c>
      <c r="D269" s="2893" t="s">
        <v>437</v>
      </c>
      <c r="E269" s="1346">
        <f t="shared" si="106"/>
        <v>7.7670000000000003</v>
      </c>
      <c r="F269" s="1325">
        <f t="shared" si="101"/>
        <v>7.4030000000000005</v>
      </c>
      <c r="G269" s="1321">
        <f t="shared" si="101"/>
        <v>7.0390000000000006</v>
      </c>
      <c r="H269" s="1321">
        <f t="shared" si="101"/>
        <v>6.6750000000000007</v>
      </c>
      <c r="I269" s="1321">
        <f t="shared" si="101"/>
        <v>6.3110000000000008</v>
      </c>
      <c r="J269" s="1321">
        <f t="shared" si="101"/>
        <v>5.947000000000001</v>
      </c>
      <c r="K269" s="1326">
        <f t="shared" si="101"/>
        <v>5.5830000000000011</v>
      </c>
      <c r="L269" s="2995">
        <f t="shared" si="101"/>
        <v>0</v>
      </c>
      <c r="M269" s="996">
        <f t="shared" si="102"/>
        <v>0</v>
      </c>
      <c r="N269" s="1321">
        <f t="shared" si="102"/>
        <v>0</v>
      </c>
      <c r="O269" s="1321">
        <f t="shared" si="102"/>
        <v>0</v>
      </c>
      <c r="P269" s="1321">
        <f t="shared" si="102"/>
        <v>0</v>
      </c>
      <c r="Q269" s="1321">
        <f t="shared" si="102"/>
        <v>0</v>
      </c>
      <c r="R269" s="1326">
        <f t="shared" si="102"/>
        <v>0</v>
      </c>
      <c r="S269" s="1346">
        <f t="shared" si="102"/>
        <v>0</v>
      </c>
      <c r="T269" s="1325">
        <f t="shared" si="103"/>
        <v>0</v>
      </c>
      <c r="U269" s="1321">
        <f t="shared" si="103"/>
        <v>0</v>
      </c>
      <c r="V269" s="1321">
        <f t="shared" si="103"/>
        <v>0</v>
      </c>
      <c r="W269" s="1321">
        <f t="shared" si="103"/>
        <v>0</v>
      </c>
      <c r="X269" s="1321">
        <f t="shared" si="103"/>
        <v>0</v>
      </c>
      <c r="Y269" s="1326">
        <f t="shared" si="103"/>
        <v>0</v>
      </c>
      <c r="Z269" s="1346">
        <f t="shared" si="103"/>
        <v>0</v>
      </c>
      <c r="AA269" s="1325">
        <f t="shared" si="104"/>
        <v>0</v>
      </c>
      <c r="AB269" s="1321">
        <f t="shared" si="104"/>
        <v>0</v>
      </c>
      <c r="AC269" s="1321">
        <f t="shared" si="104"/>
        <v>0</v>
      </c>
      <c r="AD269" s="1321">
        <f t="shared" si="104"/>
        <v>0</v>
      </c>
      <c r="AE269" s="1321">
        <f t="shared" si="104"/>
        <v>0</v>
      </c>
      <c r="AF269" s="1326">
        <f t="shared" si="104"/>
        <v>0</v>
      </c>
      <c r="AG269" s="1346">
        <f t="shared" si="104"/>
        <v>0</v>
      </c>
      <c r="AH269" s="1325">
        <f t="shared" si="104"/>
        <v>0</v>
      </c>
      <c r="AI269" s="1321">
        <f t="shared" si="104"/>
        <v>0</v>
      </c>
      <c r="AJ269" s="1321">
        <f t="shared" si="104"/>
        <v>0</v>
      </c>
      <c r="AK269" s="1321">
        <f t="shared" si="104"/>
        <v>0</v>
      </c>
      <c r="AL269" s="1321">
        <f t="shared" si="104"/>
        <v>0</v>
      </c>
      <c r="AM269" s="1326">
        <f t="shared" si="104"/>
        <v>0</v>
      </c>
      <c r="AN269" s="2860"/>
      <c r="AO269" s="2898"/>
    </row>
    <row r="270" spans="1:42">
      <c r="A270" s="2920">
        <v>12</v>
      </c>
      <c r="B270" s="2863" t="s">
        <v>705</v>
      </c>
      <c r="C270" s="2864">
        <v>0.02</v>
      </c>
      <c r="D270" s="2894" t="s">
        <v>746</v>
      </c>
      <c r="E270" s="1346">
        <f t="shared" si="106"/>
        <v>1</v>
      </c>
      <c r="F270" s="1325">
        <f t="shared" si="101"/>
        <v>1</v>
      </c>
      <c r="G270" s="1321">
        <f t="shared" si="101"/>
        <v>1</v>
      </c>
      <c r="H270" s="1321">
        <f t="shared" si="101"/>
        <v>1</v>
      </c>
      <c r="I270" s="1321">
        <f t="shared" si="101"/>
        <v>1</v>
      </c>
      <c r="J270" s="1321">
        <f t="shared" si="101"/>
        <v>1</v>
      </c>
      <c r="K270" s="1326">
        <f t="shared" si="101"/>
        <v>1</v>
      </c>
      <c r="L270" s="2995">
        <f t="shared" si="101"/>
        <v>0</v>
      </c>
      <c r="M270" s="996">
        <f t="shared" si="102"/>
        <v>0</v>
      </c>
      <c r="N270" s="1321">
        <f t="shared" si="102"/>
        <v>0</v>
      </c>
      <c r="O270" s="1321">
        <f t="shared" si="102"/>
        <v>0</v>
      </c>
      <c r="P270" s="1321">
        <f t="shared" si="102"/>
        <v>0</v>
      </c>
      <c r="Q270" s="1321">
        <f t="shared" si="102"/>
        <v>0</v>
      </c>
      <c r="R270" s="1326">
        <f t="shared" si="102"/>
        <v>0</v>
      </c>
      <c r="S270" s="1346">
        <f t="shared" si="102"/>
        <v>0</v>
      </c>
      <c r="T270" s="1325">
        <f t="shared" si="103"/>
        <v>0</v>
      </c>
      <c r="U270" s="1321">
        <f t="shared" si="103"/>
        <v>0</v>
      </c>
      <c r="V270" s="1321">
        <f t="shared" si="103"/>
        <v>0</v>
      </c>
      <c r="W270" s="1321">
        <f t="shared" si="103"/>
        <v>0</v>
      </c>
      <c r="X270" s="1321">
        <f t="shared" si="103"/>
        <v>0</v>
      </c>
      <c r="Y270" s="1326">
        <f t="shared" si="103"/>
        <v>0</v>
      </c>
      <c r="Z270" s="1346">
        <f t="shared" si="103"/>
        <v>9.9999999999997868E-2</v>
      </c>
      <c r="AA270" s="1325">
        <f t="shared" si="104"/>
        <v>9.9999999999997868E-2</v>
      </c>
      <c r="AB270" s="1321">
        <f t="shared" si="104"/>
        <v>9.9999999999997868E-2</v>
      </c>
      <c r="AC270" s="1321">
        <f t="shared" si="104"/>
        <v>9.9999999999997868E-2</v>
      </c>
      <c r="AD270" s="1321">
        <f t="shared" si="104"/>
        <v>9.9999999999997868E-2</v>
      </c>
      <c r="AE270" s="1321">
        <f t="shared" si="104"/>
        <v>9.9999999999997868E-2</v>
      </c>
      <c r="AF270" s="1326">
        <f t="shared" si="104"/>
        <v>9.9999999999997868E-2</v>
      </c>
      <c r="AG270" s="1346">
        <f t="shared" si="104"/>
        <v>0</v>
      </c>
      <c r="AH270" s="1325">
        <f t="shared" si="104"/>
        <v>0</v>
      </c>
      <c r="AI270" s="1321">
        <f t="shared" si="104"/>
        <v>0</v>
      </c>
      <c r="AJ270" s="1321">
        <f t="shared" si="104"/>
        <v>0</v>
      </c>
      <c r="AK270" s="1321">
        <f t="shared" si="104"/>
        <v>0</v>
      </c>
      <c r="AL270" s="1321">
        <f t="shared" si="104"/>
        <v>0</v>
      </c>
      <c r="AM270" s="1326">
        <f t="shared" si="104"/>
        <v>0</v>
      </c>
      <c r="AN270" s="2860"/>
      <c r="AO270" s="2898"/>
    </row>
    <row r="271" spans="1:42">
      <c r="A271" s="2920">
        <v>13</v>
      </c>
      <c r="B271" s="2863" t="s">
        <v>706</v>
      </c>
      <c r="C271" s="2864">
        <v>0.02</v>
      </c>
      <c r="D271" s="2894" t="s">
        <v>747</v>
      </c>
      <c r="E271" s="1346">
        <f t="shared" si="106"/>
        <v>283.95400000000001</v>
      </c>
      <c r="F271" s="1325">
        <f t="shared" si="101"/>
        <v>269.75100000000003</v>
      </c>
      <c r="G271" s="1321">
        <f t="shared" si="101"/>
        <v>255.54800000000006</v>
      </c>
      <c r="H271" s="1321">
        <f t="shared" si="101"/>
        <v>241.34500000000008</v>
      </c>
      <c r="I271" s="1321">
        <f t="shared" si="101"/>
        <v>4507.7682800000002</v>
      </c>
      <c r="J271" s="1321">
        <f t="shared" si="101"/>
        <v>4406.2055599999994</v>
      </c>
      <c r="K271" s="1326">
        <f t="shared" si="101"/>
        <v>4304.6428399999995</v>
      </c>
      <c r="L271" s="2995">
        <f t="shared" si="101"/>
        <v>0</v>
      </c>
      <c r="M271" s="996">
        <f t="shared" si="102"/>
        <v>0</v>
      </c>
      <c r="N271" s="1321">
        <f t="shared" si="102"/>
        <v>0</v>
      </c>
      <c r="O271" s="1321">
        <f t="shared" si="102"/>
        <v>0</v>
      </c>
      <c r="P271" s="1321">
        <f t="shared" si="102"/>
        <v>0</v>
      </c>
      <c r="Q271" s="1321">
        <f t="shared" si="102"/>
        <v>0</v>
      </c>
      <c r="R271" s="1326">
        <f t="shared" si="102"/>
        <v>0</v>
      </c>
      <c r="S271" s="1346">
        <f t="shared" si="102"/>
        <v>0</v>
      </c>
      <c r="T271" s="1325">
        <f t="shared" si="103"/>
        <v>0</v>
      </c>
      <c r="U271" s="1321">
        <f t="shared" si="103"/>
        <v>0</v>
      </c>
      <c r="V271" s="1321">
        <f t="shared" si="103"/>
        <v>0</v>
      </c>
      <c r="W271" s="1321">
        <f t="shared" si="103"/>
        <v>0</v>
      </c>
      <c r="X271" s="1321">
        <f t="shared" si="103"/>
        <v>0</v>
      </c>
      <c r="Y271" s="1326">
        <f t="shared" si="103"/>
        <v>0</v>
      </c>
      <c r="Z271" s="1346">
        <f t="shared" si="103"/>
        <v>0</v>
      </c>
      <c r="AA271" s="1325">
        <f t="shared" si="104"/>
        <v>0</v>
      </c>
      <c r="AB271" s="1321">
        <f t="shared" si="104"/>
        <v>0</v>
      </c>
      <c r="AC271" s="1321">
        <f t="shared" si="104"/>
        <v>0</v>
      </c>
      <c r="AD271" s="1321">
        <f t="shared" si="104"/>
        <v>0</v>
      </c>
      <c r="AE271" s="1321">
        <f t="shared" si="104"/>
        <v>0</v>
      </c>
      <c r="AF271" s="1326">
        <f t="shared" si="104"/>
        <v>0</v>
      </c>
      <c r="AG271" s="1346">
        <f t="shared" si="104"/>
        <v>0</v>
      </c>
      <c r="AH271" s="1325">
        <f t="shared" si="104"/>
        <v>0</v>
      </c>
      <c r="AI271" s="1321">
        <f t="shared" si="104"/>
        <v>0</v>
      </c>
      <c r="AJ271" s="1321">
        <f t="shared" si="104"/>
        <v>0</v>
      </c>
      <c r="AK271" s="1321">
        <f t="shared" si="104"/>
        <v>0</v>
      </c>
      <c r="AL271" s="1321">
        <f t="shared" si="104"/>
        <v>0</v>
      </c>
      <c r="AM271" s="1326">
        <f t="shared" si="104"/>
        <v>0</v>
      </c>
      <c r="AN271" s="2860"/>
      <c r="AO271" s="2898"/>
    </row>
    <row r="272" spans="1:42">
      <c r="A272" s="2920">
        <v>14</v>
      </c>
      <c r="B272" s="2863" t="s">
        <v>707</v>
      </c>
      <c r="C272" s="2864">
        <v>0.02</v>
      </c>
      <c r="D272" s="2894" t="s">
        <v>423</v>
      </c>
      <c r="E272" s="1346">
        <f t="shared" si="106"/>
        <v>384.13800000000003</v>
      </c>
      <c r="F272" s="1325">
        <f t="shared" si="101"/>
        <v>372.07600000000002</v>
      </c>
      <c r="G272" s="1321">
        <f t="shared" si="101"/>
        <v>360.01400000000001</v>
      </c>
      <c r="H272" s="1321">
        <f t="shared" si="101"/>
        <v>347.952</v>
      </c>
      <c r="I272" s="1321">
        <f t="shared" si="101"/>
        <v>335.89</v>
      </c>
      <c r="J272" s="1321">
        <f t="shared" si="101"/>
        <v>323.82799999999997</v>
      </c>
      <c r="K272" s="1326">
        <f t="shared" si="101"/>
        <v>311.76599999999996</v>
      </c>
      <c r="L272" s="2995">
        <f t="shared" si="101"/>
        <v>0</v>
      </c>
      <c r="M272" s="996">
        <f t="shared" si="102"/>
        <v>0</v>
      </c>
      <c r="N272" s="1321">
        <f t="shared" si="102"/>
        <v>0</v>
      </c>
      <c r="O272" s="1321">
        <f t="shared" si="102"/>
        <v>0</v>
      </c>
      <c r="P272" s="1321">
        <f t="shared" si="102"/>
        <v>0</v>
      </c>
      <c r="Q272" s="1321">
        <f t="shared" si="102"/>
        <v>0</v>
      </c>
      <c r="R272" s="1326">
        <f t="shared" si="102"/>
        <v>0</v>
      </c>
      <c r="S272" s="1346">
        <f t="shared" si="102"/>
        <v>0</v>
      </c>
      <c r="T272" s="1325">
        <f t="shared" si="103"/>
        <v>0</v>
      </c>
      <c r="U272" s="1321">
        <f t="shared" si="103"/>
        <v>0</v>
      </c>
      <c r="V272" s="1321">
        <f t="shared" si="103"/>
        <v>0</v>
      </c>
      <c r="W272" s="1321">
        <f t="shared" si="103"/>
        <v>0</v>
      </c>
      <c r="X272" s="1321">
        <f t="shared" si="103"/>
        <v>0</v>
      </c>
      <c r="Y272" s="1326">
        <f t="shared" si="103"/>
        <v>0</v>
      </c>
      <c r="Z272" s="1346">
        <f t="shared" si="103"/>
        <v>0</v>
      </c>
      <c r="AA272" s="1325">
        <f t="shared" si="104"/>
        <v>0</v>
      </c>
      <c r="AB272" s="1321">
        <f t="shared" si="104"/>
        <v>0</v>
      </c>
      <c r="AC272" s="1321">
        <f t="shared" si="104"/>
        <v>0</v>
      </c>
      <c r="AD272" s="1321">
        <f t="shared" si="104"/>
        <v>0</v>
      </c>
      <c r="AE272" s="1321">
        <f t="shared" si="104"/>
        <v>0</v>
      </c>
      <c r="AF272" s="1326">
        <f t="shared" si="104"/>
        <v>0</v>
      </c>
      <c r="AG272" s="1346">
        <f t="shared" si="104"/>
        <v>0</v>
      </c>
      <c r="AH272" s="1325">
        <f t="shared" si="104"/>
        <v>0</v>
      </c>
      <c r="AI272" s="1321">
        <f t="shared" si="104"/>
        <v>0</v>
      </c>
      <c r="AJ272" s="1321">
        <f t="shared" si="104"/>
        <v>0</v>
      </c>
      <c r="AK272" s="1321">
        <f t="shared" si="104"/>
        <v>0</v>
      </c>
      <c r="AL272" s="1321">
        <f t="shared" si="104"/>
        <v>0</v>
      </c>
      <c r="AM272" s="1326">
        <f t="shared" si="104"/>
        <v>0</v>
      </c>
      <c r="AN272" s="2860"/>
      <c r="AO272" s="2898"/>
    </row>
    <row r="273" spans="1:42">
      <c r="A273" s="2920">
        <v>15</v>
      </c>
      <c r="B273" s="2863" t="s">
        <v>708</v>
      </c>
      <c r="C273" s="2864">
        <v>0.02</v>
      </c>
      <c r="D273" s="2893" t="s">
        <v>424</v>
      </c>
      <c r="E273" s="1346">
        <f t="shared" si="106"/>
        <v>40</v>
      </c>
      <c r="F273" s="1325">
        <f t="shared" si="101"/>
        <v>39</v>
      </c>
      <c r="G273" s="1321">
        <f t="shared" si="101"/>
        <v>38</v>
      </c>
      <c r="H273" s="1321">
        <f t="shared" si="101"/>
        <v>37</v>
      </c>
      <c r="I273" s="1321">
        <f t="shared" si="101"/>
        <v>36</v>
      </c>
      <c r="J273" s="1321">
        <f t="shared" si="101"/>
        <v>35</v>
      </c>
      <c r="K273" s="1326">
        <f t="shared" si="101"/>
        <v>34</v>
      </c>
      <c r="L273" s="2995">
        <f t="shared" si="101"/>
        <v>0</v>
      </c>
      <c r="M273" s="996">
        <f t="shared" si="102"/>
        <v>0</v>
      </c>
      <c r="N273" s="1321">
        <f t="shared" si="102"/>
        <v>0</v>
      </c>
      <c r="O273" s="1321">
        <f t="shared" si="102"/>
        <v>0</v>
      </c>
      <c r="P273" s="1321">
        <f t="shared" si="102"/>
        <v>0</v>
      </c>
      <c r="Q273" s="1321">
        <f t="shared" si="102"/>
        <v>0</v>
      </c>
      <c r="R273" s="1326">
        <f t="shared" si="102"/>
        <v>0</v>
      </c>
      <c r="S273" s="1346">
        <f t="shared" si="102"/>
        <v>0</v>
      </c>
      <c r="T273" s="1325">
        <f t="shared" si="103"/>
        <v>0</v>
      </c>
      <c r="U273" s="1321">
        <f t="shared" si="103"/>
        <v>0</v>
      </c>
      <c r="V273" s="1321">
        <f t="shared" si="103"/>
        <v>0</v>
      </c>
      <c r="W273" s="1321">
        <f t="shared" si="103"/>
        <v>0</v>
      </c>
      <c r="X273" s="1321">
        <f t="shared" si="103"/>
        <v>0</v>
      </c>
      <c r="Y273" s="1326">
        <f t="shared" si="103"/>
        <v>0</v>
      </c>
      <c r="Z273" s="1346">
        <f t="shared" si="103"/>
        <v>0</v>
      </c>
      <c r="AA273" s="1325">
        <f t="shared" si="104"/>
        <v>0</v>
      </c>
      <c r="AB273" s="1321">
        <f t="shared" si="104"/>
        <v>0</v>
      </c>
      <c r="AC273" s="1321">
        <f t="shared" si="104"/>
        <v>0</v>
      </c>
      <c r="AD273" s="1321">
        <f t="shared" si="104"/>
        <v>0</v>
      </c>
      <c r="AE273" s="1321">
        <f t="shared" si="104"/>
        <v>0</v>
      </c>
      <c r="AF273" s="1326">
        <f t="shared" si="104"/>
        <v>0</v>
      </c>
      <c r="AG273" s="1346">
        <f t="shared" si="104"/>
        <v>0</v>
      </c>
      <c r="AH273" s="1325">
        <f t="shared" si="104"/>
        <v>0</v>
      </c>
      <c r="AI273" s="1321">
        <f t="shared" si="104"/>
        <v>0</v>
      </c>
      <c r="AJ273" s="1321">
        <f t="shared" si="104"/>
        <v>0</v>
      </c>
      <c r="AK273" s="1321">
        <f t="shared" si="104"/>
        <v>0</v>
      </c>
      <c r="AL273" s="1321">
        <f t="shared" si="104"/>
        <v>0</v>
      </c>
      <c r="AM273" s="1326">
        <f t="shared" si="104"/>
        <v>0</v>
      </c>
      <c r="AN273" s="2860"/>
      <c r="AO273" s="2898"/>
    </row>
    <row r="274" spans="1:42">
      <c r="A274" s="2920">
        <v>16</v>
      </c>
      <c r="B274" s="2863" t="s">
        <v>709</v>
      </c>
      <c r="C274" s="2864">
        <v>0.02</v>
      </c>
      <c r="D274" s="2894" t="s">
        <v>425</v>
      </c>
      <c r="E274" s="1346">
        <f t="shared" si="106"/>
        <v>9273.0480000000007</v>
      </c>
      <c r="F274" s="1325">
        <f t="shared" si="101"/>
        <v>8975.5920000000006</v>
      </c>
      <c r="G274" s="1321">
        <f t="shared" si="101"/>
        <v>8678.1360000000004</v>
      </c>
      <c r="H274" s="1321">
        <f t="shared" si="101"/>
        <v>8380.68</v>
      </c>
      <c r="I274" s="1321">
        <f t="shared" si="101"/>
        <v>28531.903999999995</v>
      </c>
      <c r="J274" s="1321">
        <f t="shared" si="101"/>
        <v>27817.127999999997</v>
      </c>
      <c r="K274" s="1326">
        <f t="shared" si="101"/>
        <v>27102.351999999999</v>
      </c>
      <c r="L274" s="2995">
        <f t="shared" si="101"/>
        <v>0</v>
      </c>
      <c r="M274" s="996">
        <f t="shared" si="102"/>
        <v>0</v>
      </c>
      <c r="N274" s="1321">
        <f t="shared" si="102"/>
        <v>0</v>
      </c>
      <c r="O274" s="1321">
        <f t="shared" si="102"/>
        <v>0</v>
      </c>
      <c r="P274" s="1321">
        <f t="shared" si="102"/>
        <v>0</v>
      </c>
      <c r="Q274" s="1321">
        <f t="shared" si="102"/>
        <v>0</v>
      </c>
      <c r="R274" s="1326">
        <f t="shared" si="102"/>
        <v>0</v>
      </c>
      <c r="S274" s="1346">
        <f t="shared" si="102"/>
        <v>0</v>
      </c>
      <c r="T274" s="1325">
        <f t="shared" si="103"/>
        <v>0</v>
      </c>
      <c r="U274" s="1321">
        <f t="shared" si="103"/>
        <v>0</v>
      </c>
      <c r="V274" s="1321">
        <f t="shared" si="103"/>
        <v>0</v>
      </c>
      <c r="W274" s="1321">
        <f t="shared" si="103"/>
        <v>0</v>
      </c>
      <c r="X274" s="1321">
        <f t="shared" si="103"/>
        <v>0</v>
      </c>
      <c r="Y274" s="1326">
        <f t="shared" si="103"/>
        <v>0</v>
      </c>
      <c r="Z274" s="1346">
        <f t="shared" si="103"/>
        <v>3.9000000000000341</v>
      </c>
      <c r="AA274" s="1325">
        <f t="shared" si="104"/>
        <v>3.5000000000000568</v>
      </c>
      <c r="AB274" s="1321">
        <f t="shared" si="104"/>
        <v>3.1000000000000796</v>
      </c>
      <c r="AC274" s="1321">
        <f t="shared" si="104"/>
        <v>2.7000000000001023</v>
      </c>
      <c r="AD274" s="1321">
        <f t="shared" si="104"/>
        <v>2.3000000000001251</v>
      </c>
      <c r="AE274" s="1321">
        <f t="shared" si="104"/>
        <v>1.9000000000001478</v>
      </c>
      <c r="AF274" s="1326">
        <f t="shared" si="104"/>
        <v>1.5000000000001705</v>
      </c>
      <c r="AG274" s="1346">
        <f t="shared" si="104"/>
        <v>0</v>
      </c>
      <c r="AH274" s="1325">
        <f t="shared" si="104"/>
        <v>0</v>
      </c>
      <c r="AI274" s="1321">
        <f t="shared" si="104"/>
        <v>0</v>
      </c>
      <c r="AJ274" s="1321">
        <f t="shared" si="104"/>
        <v>0</v>
      </c>
      <c r="AK274" s="1321">
        <f t="shared" si="104"/>
        <v>0</v>
      </c>
      <c r="AL274" s="1321">
        <f t="shared" si="104"/>
        <v>0</v>
      </c>
      <c r="AM274" s="1326">
        <f t="shared" si="104"/>
        <v>0</v>
      </c>
      <c r="AN274" s="2860"/>
      <c r="AO274" s="2898"/>
    </row>
    <row r="275" spans="1:42">
      <c r="A275" s="2920">
        <v>17</v>
      </c>
      <c r="B275" s="2863" t="s">
        <v>710</v>
      </c>
      <c r="C275" s="2864">
        <v>0.02</v>
      </c>
      <c r="D275" s="2899" t="s">
        <v>426</v>
      </c>
      <c r="E275" s="1346">
        <f t="shared" si="106"/>
        <v>0</v>
      </c>
      <c r="F275" s="1325">
        <f t="shared" si="106"/>
        <v>0</v>
      </c>
      <c r="G275" s="1321">
        <f t="shared" si="106"/>
        <v>0</v>
      </c>
      <c r="H275" s="1321">
        <f t="shared" si="106"/>
        <v>0</v>
      </c>
      <c r="I275" s="1321">
        <f t="shared" si="106"/>
        <v>0</v>
      </c>
      <c r="J275" s="1321">
        <f t="shared" si="106"/>
        <v>0</v>
      </c>
      <c r="K275" s="1326">
        <f t="shared" si="106"/>
        <v>0</v>
      </c>
      <c r="L275" s="2995">
        <f t="shared" si="106"/>
        <v>28266.814000000002</v>
      </c>
      <c r="M275" s="996">
        <f t="shared" si="106"/>
        <v>27554.5</v>
      </c>
      <c r="N275" s="1321">
        <f t="shared" si="106"/>
        <v>26842.186000000002</v>
      </c>
      <c r="O275" s="1321">
        <f t="shared" si="106"/>
        <v>26129.872000000003</v>
      </c>
      <c r="P275" s="1321">
        <f t="shared" si="106"/>
        <v>42559.740539999999</v>
      </c>
      <c r="Q275" s="1321">
        <f t="shared" si="106"/>
        <v>41497.586080000001</v>
      </c>
      <c r="R275" s="1326">
        <f t="shared" si="106"/>
        <v>40435.431620000003</v>
      </c>
      <c r="S275" s="1346">
        <f t="shared" si="106"/>
        <v>1</v>
      </c>
      <c r="T275" s="1325">
        <f t="shared" si="106"/>
        <v>1</v>
      </c>
      <c r="U275" s="1321">
        <f t="shared" ref="U275:AM279" si="107">U209-U253</f>
        <v>1</v>
      </c>
      <c r="V275" s="1321">
        <f t="shared" si="107"/>
        <v>1</v>
      </c>
      <c r="W275" s="1321">
        <f t="shared" si="107"/>
        <v>1</v>
      </c>
      <c r="X275" s="1321">
        <f t="shared" si="107"/>
        <v>1</v>
      </c>
      <c r="Y275" s="1326">
        <f t="shared" si="107"/>
        <v>1</v>
      </c>
      <c r="Z275" s="1346">
        <f t="shared" si="107"/>
        <v>0</v>
      </c>
      <c r="AA275" s="1325">
        <f t="shared" si="107"/>
        <v>0</v>
      </c>
      <c r="AB275" s="1321">
        <f t="shared" si="107"/>
        <v>0</v>
      </c>
      <c r="AC275" s="1321">
        <f t="shared" si="107"/>
        <v>0</v>
      </c>
      <c r="AD275" s="1321">
        <f t="shared" si="107"/>
        <v>0</v>
      </c>
      <c r="AE275" s="1321">
        <f t="shared" si="107"/>
        <v>0</v>
      </c>
      <c r="AF275" s="1326">
        <f t="shared" si="107"/>
        <v>0</v>
      </c>
      <c r="AG275" s="1346">
        <f t="shared" si="107"/>
        <v>0</v>
      </c>
      <c r="AH275" s="1325">
        <f t="shared" si="107"/>
        <v>0</v>
      </c>
      <c r="AI275" s="1321">
        <f t="shared" si="107"/>
        <v>0</v>
      </c>
      <c r="AJ275" s="1321">
        <f t="shared" si="107"/>
        <v>0</v>
      </c>
      <c r="AK275" s="1321">
        <f t="shared" si="107"/>
        <v>0</v>
      </c>
      <c r="AL275" s="1321">
        <f t="shared" si="107"/>
        <v>0</v>
      </c>
      <c r="AM275" s="1326">
        <f t="shared" si="107"/>
        <v>0</v>
      </c>
      <c r="AN275" s="2860"/>
      <c r="AO275" s="2898"/>
    </row>
    <row r="276" spans="1:42" ht="24">
      <c r="A276" s="2920">
        <v>18</v>
      </c>
      <c r="B276" s="2863" t="s">
        <v>711</v>
      </c>
      <c r="C276" s="2864">
        <v>0.04</v>
      </c>
      <c r="D276" s="2899" t="s">
        <v>427</v>
      </c>
      <c r="E276" s="1346">
        <f t="shared" si="106"/>
        <v>8</v>
      </c>
      <c r="F276" s="1325">
        <f t="shared" si="106"/>
        <v>7</v>
      </c>
      <c r="G276" s="1321">
        <f t="shared" si="106"/>
        <v>6</v>
      </c>
      <c r="H276" s="1321">
        <f t="shared" si="106"/>
        <v>5</v>
      </c>
      <c r="I276" s="1321">
        <f t="shared" si="106"/>
        <v>570.85599999999999</v>
      </c>
      <c r="J276" s="1321">
        <f t="shared" si="106"/>
        <v>546.23700000000008</v>
      </c>
      <c r="K276" s="1326">
        <f t="shared" si="106"/>
        <v>521.61800000000005</v>
      </c>
      <c r="L276" s="2995">
        <f t="shared" si="106"/>
        <v>0</v>
      </c>
      <c r="M276" s="996">
        <f t="shared" si="106"/>
        <v>0</v>
      </c>
      <c r="N276" s="1321">
        <f t="shared" si="106"/>
        <v>0</v>
      </c>
      <c r="O276" s="1321">
        <f t="shared" si="106"/>
        <v>0</v>
      </c>
      <c r="P276" s="1321">
        <f t="shared" si="106"/>
        <v>10258.56</v>
      </c>
      <c r="Q276" s="1321">
        <f t="shared" si="106"/>
        <v>9831.1200000000008</v>
      </c>
      <c r="R276" s="1326">
        <f t="shared" si="106"/>
        <v>9403.68</v>
      </c>
      <c r="S276" s="1346">
        <f t="shared" si="106"/>
        <v>1054.5</v>
      </c>
      <c r="T276" s="1325">
        <f t="shared" si="106"/>
        <v>991.5</v>
      </c>
      <c r="U276" s="1321">
        <f t="shared" si="107"/>
        <v>928.5</v>
      </c>
      <c r="V276" s="1321">
        <f t="shared" si="107"/>
        <v>865.5</v>
      </c>
      <c r="W276" s="1321">
        <f t="shared" si="107"/>
        <v>18705.386399999999</v>
      </c>
      <c r="X276" s="1321">
        <f t="shared" si="107"/>
        <v>17896.432799999999</v>
      </c>
      <c r="Y276" s="1326">
        <f t="shared" si="107"/>
        <v>17087.479200000002</v>
      </c>
      <c r="Z276" s="1346">
        <f t="shared" si="107"/>
        <v>4.4000000000000004</v>
      </c>
      <c r="AA276" s="1325">
        <f t="shared" si="107"/>
        <v>4</v>
      </c>
      <c r="AB276" s="1321">
        <f t="shared" si="107"/>
        <v>3.5999999999999996</v>
      </c>
      <c r="AC276" s="1321">
        <f t="shared" si="107"/>
        <v>3.1999999999999993</v>
      </c>
      <c r="AD276" s="1321">
        <f t="shared" si="107"/>
        <v>2.7999999999999989</v>
      </c>
      <c r="AE276" s="1321">
        <f t="shared" si="107"/>
        <v>2.3999999999999986</v>
      </c>
      <c r="AF276" s="1326">
        <f t="shared" si="107"/>
        <v>1.9999999999999982</v>
      </c>
      <c r="AG276" s="1346">
        <f t="shared" si="107"/>
        <v>0</v>
      </c>
      <c r="AH276" s="1325">
        <f t="shared" si="107"/>
        <v>0</v>
      </c>
      <c r="AI276" s="1321">
        <f t="shared" si="107"/>
        <v>0</v>
      </c>
      <c r="AJ276" s="1321">
        <f t="shared" si="107"/>
        <v>0</v>
      </c>
      <c r="AK276" s="1321">
        <f t="shared" si="107"/>
        <v>0</v>
      </c>
      <c r="AL276" s="1321">
        <f t="shared" si="107"/>
        <v>0</v>
      </c>
      <c r="AM276" s="1326">
        <f t="shared" si="107"/>
        <v>0</v>
      </c>
      <c r="AN276" s="2860"/>
      <c r="AO276" s="2898"/>
    </row>
    <row r="277" spans="1:42">
      <c r="A277" s="2920">
        <v>19</v>
      </c>
      <c r="B277" s="2863" t="s">
        <v>712</v>
      </c>
      <c r="C277" s="2864">
        <v>0.04</v>
      </c>
      <c r="D277" s="2899" t="s">
        <v>428</v>
      </c>
      <c r="E277" s="1346">
        <f t="shared" si="106"/>
        <v>0</v>
      </c>
      <c r="F277" s="1325">
        <f t="shared" si="106"/>
        <v>0</v>
      </c>
      <c r="G277" s="1321">
        <f t="shared" si="106"/>
        <v>0</v>
      </c>
      <c r="H277" s="1321">
        <f t="shared" si="106"/>
        <v>0</v>
      </c>
      <c r="I277" s="1321">
        <f t="shared" si="106"/>
        <v>0</v>
      </c>
      <c r="J277" s="1321">
        <f t="shared" si="106"/>
        <v>0</v>
      </c>
      <c r="K277" s="1326">
        <f t="shared" si="106"/>
        <v>0</v>
      </c>
      <c r="L277" s="2995">
        <f t="shared" si="106"/>
        <v>0</v>
      </c>
      <c r="M277" s="996">
        <f t="shared" si="106"/>
        <v>0</v>
      </c>
      <c r="N277" s="1321">
        <f t="shared" si="106"/>
        <v>0</v>
      </c>
      <c r="O277" s="1321">
        <f t="shared" si="106"/>
        <v>0</v>
      </c>
      <c r="P277" s="1321">
        <f t="shared" si="106"/>
        <v>0</v>
      </c>
      <c r="Q277" s="1321">
        <f t="shared" si="106"/>
        <v>0</v>
      </c>
      <c r="R277" s="1326">
        <f t="shared" si="106"/>
        <v>0</v>
      </c>
      <c r="S277" s="1346">
        <f t="shared" si="106"/>
        <v>20</v>
      </c>
      <c r="T277" s="1325">
        <f t="shared" si="106"/>
        <v>18</v>
      </c>
      <c r="U277" s="1321">
        <f t="shared" si="107"/>
        <v>16</v>
      </c>
      <c r="V277" s="1321">
        <f t="shared" si="107"/>
        <v>14</v>
      </c>
      <c r="W277" s="1321">
        <f t="shared" si="107"/>
        <v>12</v>
      </c>
      <c r="X277" s="1321">
        <f t="shared" si="107"/>
        <v>10</v>
      </c>
      <c r="Y277" s="1326">
        <f t="shared" si="107"/>
        <v>8</v>
      </c>
      <c r="Z277" s="1346">
        <f t="shared" si="107"/>
        <v>0.30000000000000071</v>
      </c>
      <c r="AA277" s="1325">
        <f t="shared" si="107"/>
        <v>0.30000000000000071</v>
      </c>
      <c r="AB277" s="1321">
        <f t="shared" si="107"/>
        <v>0.30000000000000071</v>
      </c>
      <c r="AC277" s="1321">
        <f t="shared" si="107"/>
        <v>0.30000000000000071</v>
      </c>
      <c r="AD277" s="1321">
        <f t="shared" si="107"/>
        <v>0.30000000000000071</v>
      </c>
      <c r="AE277" s="1321">
        <f t="shared" si="107"/>
        <v>0.30000000000000071</v>
      </c>
      <c r="AF277" s="1326">
        <f t="shared" si="107"/>
        <v>0.30000000000000071</v>
      </c>
      <c r="AG277" s="1346">
        <f t="shared" si="107"/>
        <v>0</v>
      </c>
      <c r="AH277" s="1325">
        <f t="shared" si="107"/>
        <v>0</v>
      </c>
      <c r="AI277" s="1321">
        <f t="shared" si="107"/>
        <v>0</v>
      </c>
      <c r="AJ277" s="1321">
        <f t="shared" si="107"/>
        <v>0</v>
      </c>
      <c r="AK277" s="1321">
        <f t="shared" si="107"/>
        <v>0</v>
      </c>
      <c r="AL277" s="1321">
        <f t="shared" si="107"/>
        <v>0</v>
      </c>
      <c r="AM277" s="1326">
        <f t="shared" si="107"/>
        <v>0</v>
      </c>
      <c r="AN277" s="2860"/>
      <c r="AO277" s="2898"/>
    </row>
    <row r="278" spans="1:42">
      <c r="A278" s="2920">
        <v>20</v>
      </c>
      <c r="B278" s="2863" t="s">
        <v>724</v>
      </c>
      <c r="C278" s="2864">
        <v>0.04</v>
      </c>
      <c r="D278" s="2918" t="s">
        <v>439</v>
      </c>
      <c r="E278" s="1346">
        <f t="shared" ref="E278:Z279" si="108">E212-E256</f>
        <v>16</v>
      </c>
      <c r="F278" s="1325">
        <f t="shared" si="108"/>
        <v>15</v>
      </c>
      <c r="G278" s="1321">
        <f t="shared" si="108"/>
        <v>14</v>
      </c>
      <c r="H278" s="1321">
        <f t="shared" si="108"/>
        <v>13</v>
      </c>
      <c r="I278" s="1321">
        <f t="shared" si="108"/>
        <v>12</v>
      </c>
      <c r="J278" s="1321">
        <f t="shared" si="108"/>
        <v>11</v>
      </c>
      <c r="K278" s="1326">
        <f t="shared" si="108"/>
        <v>10</v>
      </c>
      <c r="L278" s="2995">
        <f t="shared" si="108"/>
        <v>0</v>
      </c>
      <c r="M278" s="996">
        <f t="shared" si="108"/>
        <v>0</v>
      </c>
      <c r="N278" s="1321">
        <f t="shared" si="108"/>
        <v>0</v>
      </c>
      <c r="O278" s="1321">
        <f t="shared" si="108"/>
        <v>0</v>
      </c>
      <c r="P278" s="1321">
        <f t="shared" si="108"/>
        <v>0</v>
      </c>
      <c r="Q278" s="1321">
        <f t="shared" si="108"/>
        <v>0</v>
      </c>
      <c r="R278" s="1326">
        <f t="shared" si="108"/>
        <v>0</v>
      </c>
      <c r="S278" s="1346">
        <f t="shared" si="108"/>
        <v>40</v>
      </c>
      <c r="T278" s="1325">
        <f t="shared" si="108"/>
        <v>38</v>
      </c>
      <c r="U278" s="1321">
        <f t="shared" si="108"/>
        <v>36</v>
      </c>
      <c r="V278" s="1321">
        <f t="shared" si="108"/>
        <v>34</v>
      </c>
      <c r="W278" s="1321">
        <f t="shared" si="108"/>
        <v>32</v>
      </c>
      <c r="X278" s="1321">
        <f t="shared" si="108"/>
        <v>30</v>
      </c>
      <c r="Y278" s="1326">
        <f t="shared" si="108"/>
        <v>28</v>
      </c>
      <c r="Z278" s="1346">
        <f t="shared" si="108"/>
        <v>1</v>
      </c>
      <c r="AA278" s="1325">
        <f t="shared" si="107"/>
        <v>1</v>
      </c>
      <c r="AB278" s="1321">
        <f t="shared" si="107"/>
        <v>1</v>
      </c>
      <c r="AC278" s="1321">
        <f t="shared" si="107"/>
        <v>1</v>
      </c>
      <c r="AD278" s="1321">
        <f t="shared" si="107"/>
        <v>1</v>
      </c>
      <c r="AE278" s="1321">
        <f t="shared" si="107"/>
        <v>1</v>
      </c>
      <c r="AF278" s="1326">
        <f t="shared" si="107"/>
        <v>1</v>
      </c>
      <c r="AG278" s="1346">
        <f t="shared" si="107"/>
        <v>0</v>
      </c>
      <c r="AH278" s="1325">
        <f t="shared" si="107"/>
        <v>0</v>
      </c>
      <c r="AI278" s="1321">
        <f t="shared" si="107"/>
        <v>0</v>
      </c>
      <c r="AJ278" s="1321">
        <f t="shared" si="107"/>
        <v>0</v>
      </c>
      <c r="AK278" s="1321">
        <f t="shared" si="107"/>
        <v>0</v>
      </c>
      <c r="AL278" s="1321">
        <f t="shared" si="107"/>
        <v>0</v>
      </c>
      <c r="AM278" s="1326">
        <f t="shared" si="107"/>
        <v>0</v>
      </c>
      <c r="AN278" s="2860"/>
      <c r="AO278" s="2898"/>
    </row>
    <row r="279" spans="1:42" ht="24.75" thickBot="1">
      <c r="A279" s="2920">
        <v>21</v>
      </c>
      <c r="B279" s="2863" t="s">
        <v>714</v>
      </c>
      <c r="C279" s="2869">
        <v>0.2</v>
      </c>
      <c r="D279" s="2899" t="s">
        <v>685</v>
      </c>
      <c r="E279" s="1346">
        <f t="shared" si="108"/>
        <v>0</v>
      </c>
      <c r="F279" s="1325">
        <f t="shared" si="108"/>
        <v>0</v>
      </c>
      <c r="G279" s="1321">
        <f t="shared" si="108"/>
        <v>0</v>
      </c>
      <c r="H279" s="1321">
        <f t="shared" si="108"/>
        <v>0</v>
      </c>
      <c r="I279" s="1321">
        <f t="shared" si="108"/>
        <v>273.09440000000001</v>
      </c>
      <c r="J279" s="1321">
        <f t="shared" si="108"/>
        <v>204.82079999999999</v>
      </c>
      <c r="K279" s="1326">
        <f t="shared" si="108"/>
        <v>136.54719999999998</v>
      </c>
      <c r="L279" s="2995">
        <f t="shared" si="108"/>
        <v>0</v>
      </c>
      <c r="M279" s="1333">
        <f t="shared" si="108"/>
        <v>0</v>
      </c>
      <c r="N279" s="1322">
        <f t="shared" si="108"/>
        <v>0</v>
      </c>
      <c r="O279" s="1322">
        <f t="shared" si="108"/>
        <v>0</v>
      </c>
      <c r="P279" s="1322">
        <f t="shared" si="108"/>
        <v>464.00319999999999</v>
      </c>
      <c r="Q279" s="1322">
        <f t="shared" si="108"/>
        <v>348.00239999999997</v>
      </c>
      <c r="R279" s="1328">
        <f t="shared" si="108"/>
        <v>232.0016</v>
      </c>
      <c r="S279" s="1346">
        <f t="shared" si="108"/>
        <v>0</v>
      </c>
      <c r="T279" s="1327">
        <f t="shared" si="108"/>
        <v>0</v>
      </c>
      <c r="U279" s="1322">
        <f t="shared" si="108"/>
        <v>0</v>
      </c>
      <c r="V279" s="1322">
        <f t="shared" si="108"/>
        <v>0</v>
      </c>
      <c r="W279" s="1322">
        <f t="shared" si="108"/>
        <v>0</v>
      </c>
      <c r="X279" s="1322">
        <f t="shared" si="108"/>
        <v>0</v>
      </c>
      <c r="Y279" s="1328">
        <f t="shared" si="108"/>
        <v>0</v>
      </c>
      <c r="Z279" s="1346">
        <f t="shared" si="108"/>
        <v>0</v>
      </c>
      <c r="AA279" s="1327">
        <f t="shared" si="107"/>
        <v>0</v>
      </c>
      <c r="AB279" s="1322">
        <f t="shared" si="107"/>
        <v>0</v>
      </c>
      <c r="AC279" s="1322">
        <f t="shared" si="107"/>
        <v>0</v>
      </c>
      <c r="AD279" s="1322">
        <f t="shared" si="107"/>
        <v>0</v>
      </c>
      <c r="AE279" s="1322">
        <f t="shared" si="107"/>
        <v>0</v>
      </c>
      <c r="AF279" s="1328">
        <f t="shared" si="107"/>
        <v>0</v>
      </c>
      <c r="AG279" s="1346">
        <f t="shared" si="107"/>
        <v>0</v>
      </c>
      <c r="AH279" s="1327">
        <f t="shared" si="107"/>
        <v>0</v>
      </c>
      <c r="AI279" s="1322">
        <f t="shared" si="107"/>
        <v>0</v>
      </c>
      <c r="AJ279" s="1322">
        <f t="shared" si="107"/>
        <v>0</v>
      </c>
      <c r="AK279" s="1322">
        <f t="shared" si="107"/>
        <v>0</v>
      </c>
      <c r="AL279" s="1322">
        <f t="shared" si="107"/>
        <v>0</v>
      </c>
      <c r="AM279" s="1328">
        <f t="shared" si="107"/>
        <v>0</v>
      </c>
      <c r="AN279" s="2860"/>
      <c r="AO279" s="2898"/>
    </row>
    <row r="280" spans="1:42" ht="13.5" thickBot="1">
      <c r="A280" s="2925"/>
      <c r="B280" s="2925"/>
      <c r="C280" s="2925"/>
      <c r="D280" s="2926" t="s">
        <v>565</v>
      </c>
      <c r="E280" s="2996">
        <f>E10+E111+E192</f>
        <v>26822.598000000002</v>
      </c>
      <c r="F280" s="2997">
        <f t="shared" ref="F280:AM280" si="109">F10+F111+F192</f>
        <v>27819.019179624665</v>
      </c>
      <c r="G280" s="2998">
        <f t="shared" si="109"/>
        <v>29601.459179624668</v>
      </c>
      <c r="H280" s="2998">
        <f t="shared" si="109"/>
        <v>31920.890512958002</v>
      </c>
      <c r="I280" s="2998">
        <f t="shared" si="109"/>
        <v>58717.719512957992</v>
      </c>
      <c r="J280" s="2998">
        <f t="shared" si="109"/>
        <v>59192.719512957992</v>
      </c>
      <c r="K280" s="2999">
        <f t="shared" si="109"/>
        <v>59693.552846291328</v>
      </c>
      <c r="L280" s="2996">
        <f t="shared" si="109"/>
        <v>38315.383000000002</v>
      </c>
      <c r="M280" s="2997">
        <f t="shared" si="109"/>
        <v>38433.245734584452</v>
      </c>
      <c r="N280" s="2998">
        <f t="shared" si="109"/>
        <v>39044.794734584451</v>
      </c>
      <c r="O280" s="2998">
        <f t="shared" si="109"/>
        <v>41992.563067917785</v>
      </c>
      <c r="P280" s="2998">
        <f t="shared" si="109"/>
        <v>72907.860067917791</v>
      </c>
      <c r="Q280" s="2998">
        <f t="shared" si="109"/>
        <v>73029.260067917785</v>
      </c>
      <c r="R280" s="2999">
        <f t="shared" si="109"/>
        <v>73147.893401251116</v>
      </c>
      <c r="S280" s="2996">
        <f t="shared" si="109"/>
        <v>3321.52</v>
      </c>
      <c r="T280" s="2997">
        <f t="shared" si="109"/>
        <v>3328.7360857908848</v>
      </c>
      <c r="U280" s="2998">
        <f t="shared" si="109"/>
        <v>4456.6700857908845</v>
      </c>
      <c r="V280" s="2998">
        <f t="shared" si="109"/>
        <v>5600.1284191242175</v>
      </c>
      <c r="W280" s="2998">
        <f t="shared" si="109"/>
        <v>24350.96841912422</v>
      </c>
      <c r="X280" s="2998">
        <f t="shared" si="109"/>
        <v>24389.46841912422</v>
      </c>
      <c r="Y280" s="3000">
        <f t="shared" si="109"/>
        <v>24428.301752457552</v>
      </c>
      <c r="Z280" s="2996">
        <f t="shared" si="109"/>
        <v>351.3</v>
      </c>
      <c r="AA280" s="2997">
        <f t="shared" si="109"/>
        <v>351.3</v>
      </c>
      <c r="AB280" s="2998">
        <f t="shared" si="109"/>
        <v>352.3</v>
      </c>
      <c r="AC280" s="2998">
        <f t="shared" si="109"/>
        <v>353.3</v>
      </c>
      <c r="AD280" s="2998">
        <f t="shared" si="109"/>
        <v>353.3</v>
      </c>
      <c r="AE280" s="2998">
        <f t="shared" si="109"/>
        <v>353.3</v>
      </c>
      <c r="AF280" s="3000">
        <f t="shared" si="109"/>
        <v>353.3</v>
      </c>
      <c r="AG280" s="2996">
        <f t="shared" si="109"/>
        <v>0</v>
      </c>
      <c r="AH280" s="2997">
        <f t="shared" si="109"/>
        <v>0</v>
      </c>
      <c r="AI280" s="2998">
        <f t="shared" si="109"/>
        <v>0</v>
      </c>
      <c r="AJ280" s="2998">
        <f t="shared" si="109"/>
        <v>0</v>
      </c>
      <c r="AK280" s="2998">
        <f t="shared" si="109"/>
        <v>0</v>
      </c>
      <c r="AL280" s="2998">
        <f t="shared" si="109"/>
        <v>0</v>
      </c>
      <c r="AM280" s="3000">
        <f t="shared" si="109"/>
        <v>0</v>
      </c>
      <c r="AN280" s="2917"/>
      <c r="AO280" s="2896"/>
      <c r="AP280" s="1424"/>
    </row>
    <row r="281" spans="1:42" ht="13.5" thickBot="1">
      <c r="A281" s="2925"/>
      <c r="B281" s="2925"/>
      <c r="C281" s="2925"/>
      <c r="D281" s="2926" t="s">
        <v>566</v>
      </c>
      <c r="E281" s="2996">
        <f t="shared" ref="E281:AM281" si="110">E35+E131+E214</f>
        <v>608.29899999999998</v>
      </c>
      <c r="F281" s="2997">
        <f t="shared" si="110"/>
        <v>661.26145272816484</v>
      </c>
      <c r="G281" s="2998">
        <f t="shared" si="110"/>
        <v>724.04693649581236</v>
      </c>
      <c r="H281" s="2998">
        <f t="shared" si="110"/>
        <v>773.51326220986016</v>
      </c>
      <c r="I281" s="2998">
        <f t="shared" si="110"/>
        <v>1410.6550218383322</v>
      </c>
      <c r="J281" s="2998">
        <f t="shared" si="110"/>
        <v>1417.7529534477096</v>
      </c>
      <c r="K281" s="2999">
        <f t="shared" si="110"/>
        <v>1448.2346465685814</v>
      </c>
      <c r="L281" s="2996">
        <f t="shared" si="110"/>
        <v>784.31399999999996</v>
      </c>
      <c r="M281" s="2997">
        <f t="shared" si="110"/>
        <v>790.87404606476935</v>
      </c>
      <c r="N281" s="2998">
        <f t="shared" si="110"/>
        <v>799.92638381462859</v>
      </c>
      <c r="O281" s="2998">
        <f t="shared" si="110"/>
        <v>849.91924856464016</v>
      </c>
      <c r="P281" s="2998">
        <f t="shared" si="110"/>
        <v>1843.6097878465021</v>
      </c>
      <c r="Q281" s="2998">
        <f t="shared" si="110"/>
        <v>1827.5075371407436</v>
      </c>
      <c r="R281" s="2999">
        <f t="shared" si="110"/>
        <v>1825.620002447615</v>
      </c>
      <c r="S281" s="2996">
        <f t="shared" si="110"/>
        <v>97.800000000000011</v>
      </c>
      <c r="T281" s="2997">
        <f t="shared" si="110"/>
        <v>96.415131207065755</v>
      </c>
      <c r="U281" s="2998">
        <f t="shared" si="110"/>
        <v>122.67021968955912</v>
      </c>
      <c r="V281" s="2998">
        <f t="shared" si="110"/>
        <v>169.30803922549984</v>
      </c>
      <c r="W281" s="2998">
        <f t="shared" si="110"/>
        <v>940.29312031516611</v>
      </c>
      <c r="X281" s="2998">
        <f t="shared" si="110"/>
        <v>939.63243941154724</v>
      </c>
      <c r="Y281" s="3000">
        <f t="shared" si="110"/>
        <v>940.59028098380395</v>
      </c>
      <c r="Z281" s="2996">
        <f t="shared" si="110"/>
        <v>1.6</v>
      </c>
      <c r="AA281" s="2997">
        <f t="shared" si="110"/>
        <v>1.6231300000000002</v>
      </c>
      <c r="AB281" s="2998">
        <f t="shared" si="110"/>
        <v>1.6731300000000002</v>
      </c>
      <c r="AC281" s="2998">
        <f t="shared" si="110"/>
        <v>1.7731300000000003</v>
      </c>
      <c r="AD281" s="2998">
        <f t="shared" si="110"/>
        <v>1.0231300000000001</v>
      </c>
      <c r="AE281" s="2998">
        <f t="shared" si="110"/>
        <v>1.0231300000000001</v>
      </c>
      <c r="AF281" s="3000">
        <f t="shared" si="110"/>
        <v>1.0231300000000001</v>
      </c>
      <c r="AG281" s="2996">
        <f t="shared" si="110"/>
        <v>0</v>
      </c>
      <c r="AH281" s="2997">
        <f t="shared" si="110"/>
        <v>0</v>
      </c>
      <c r="AI281" s="2998">
        <f t="shared" si="110"/>
        <v>0</v>
      </c>
      <c r="AJ281" s="2998">
        <f t="shared" si="110"/>
        <v>0</v>
      </c>
      <c r="AK281" s="2998">
        <f t="shared" si="110"/>
        <v>0</v>
      </c>
      <c r="AL281" s="2998">
        <f t="shared" si="110"/>
        <v>0</v>
      </c>
      <c r="AM281" s="3000">
        <f t="shared" si="110"/>
        <v>0</v>
      </c>
      <c r="AN281" s="2917"/>
      <c r="AO281" s="2896"/>
      <c r="AP281" s="1424"/>
    </row>
    <row r="282" spans="1:42" ht="13.5" thickBot="1">
      <c r="A282" s="2925"/>
      <c r="B282" s="2925"/>
      <c r="C282" s="2925"/>
      <c r="D282" s="2926" t="s">
        <v>567</v>
      </c>
      <c r="E282" s="2996">
        <f t="shared" ref="E282:AM282" si="111">E60+E151+E236</f>
        <v>13407.706999999999</v>
      </c>
      <c r="F282" s="2997">
        <f t="shared" si="111"/>
        <v>14068.968452728164</v>
      </c>
      <c r="G282" s="2998">
        <f t="shared" si="111"/>
        <v>14793.01538922398</v>
      </c>
      <c r="H282" s="2998">
        <f t="shared" si="111"/>
        <v>15566.52865143384</v>
      </c>
      <c r="I282" s="2998">
        <f t="shared" si="111"/>
        <v>16977.183673272171</v>
      </c>
      <c r="J282" s="2998">
        <f t="shared" si="111"/>
        <v>18394.936626719878</v>
      </c>
      <c r="K282" s="2999">
        <f t="shared" si="111"/>
        <v>19843.171273288459</v>
      </c>
      <c r="L282" s="2996">
        <f t="shared" si="111"/>
        <v>9426.5689999999995</v>
      </c>
      <c r="M282" s="2997">
        <f t="shared" si="111"/>
        <v>10217.443046064769</v>
      </c>
      <c r="N282" s="2998">
        <f t="shared" si="111"/>
        <v>11017.369429879398</v>
      </c>
      <c r="O282" s="2998">
        <f t="shared" si="111"/>
        <v>11867.288678444038</v>
      </c>
      <c r="P282" s="2998">
        <f t="shared" si="111"/>
        <v>13710.898466290542</v>
      </c>
      <c r="Q282" s="2998">
        <f t="shared" si="111"/>
        <v>15538.406003431282</v>
      </c>
      <c r="R282" s="2999">
        <f t="shared" si="111"/>
        <v>17364.026005878899</v>
      </c>
      <c r="S282" s="2996">
        <f t="shared" si="111"/>
        <v>1678.5</v>
      </c>
      <c r="T282" s="2997">
        <f t="shared" si="111"/>
        <v>1774.9151312070658</v>
      </c>
      <c r="U282" s="2998">
        <f t="shared" si="111"/>
        <v>1897.585350896625</v>
      </c>
      <c r="V282" s="2998">
        <f t="shared" si="111"/>
        <v>2066.8933901221244</v>
      </c>
      <c r="W282" s="2998">
        <f t="shared" si="111"/>
        <v>3007.186510437291</v>
      </c>
      <c r="X282" s="2998">
        <f t="shared" si="111"/>
        <v>3946.8189498488382</v>
      </c>
      <c r="Y282" s="3000">
        <f t="shared" si="111"/>
        <v>4887.4092308326435</v>
      </c>
      <c r="Z282" s="2996">
        <f t="shared" si="111"/>
        <v>335.25</v>
      </c>
      <c r="AA282" s="2997">
        <f t="shared" si="111"/>
        <v>336.87312999999995</v>
      </c>
      <c r="AB282" s="2998">
        <f t="shared" si="111"/>
        <v>338.54625999999996</v>
      </c>
      <c r="AC282" s="2998">
        <f t="shared" si="111"/>
        <v>340.31938999999988</v>
      </c>
      <c r="AD282" s="2998">
        <f t="shared" si="111"/>
        <v>341.34251999999992</v>
      </c>
      <c r="AE282" s="2998">
        <f t="shared" si="111"/>
        <v>342.36564999999985</v>
      </c>
      <c r="AF282" s="3000">
        <f t="shared" si="111"/>
        <v>343.38877999999983</v>
      </c>
      <c r="AG282" s="2996">
        <f t="shared" si="111"/>
        <v>0</v>
      </c>
      <c r="AH282" s="2997">
        <f t="shared" si="111"/>
        <v>0</v>
      </c>
      <c r="AI282" s="2998">
        <f t="shared" si="111"/>
        <v>0</v>
      </c>
      <c r="AJ282" s="2998">
        <f t="shared" si="111"/>
        <v>0</v>
      </c>
      <c r="AK282" s="2998">
        <f t="shared" si="111"/>
        <v>0</v>
      </c>
      <c r="AL282" s="2998">
        <f t="shared" si="111"/>
        <v>0</v>
      </c>
      <c r="AM282" s="3000">
        <f t="shared" si="111"/>
        <v>0</v>
      </c>
      <c r="AN282" s="2917"/>
      <c r="AO282" s="2896"/>
      <c r="AP282" s="1424"/>
    </row>
    <row r="283" spans="1:42" ht="13.5" thickBot="1">
      <c r="A283" s="2925"/>
      <c r="B283" s="2925"/>
      <c r="C283" s="2925"/>
      <c r="D283" s="2926" t="s">
        <v>568</v>
      </c>
      <c r="E283" s="2996">
        <f t="shared" ref="E283:AM283" si="112">E85+E171+E258</f>
        <v>13414.891</v>
      </c>
      <c r="F283" s="2997">
        <f>F85+F171+F258</f>
        <v>13750.050726896501</v>
      </c>
      <c r="G283" s="2998">
        <f t="shared" si="112"/>
        <v>14808.443790400688</v>
      </c>
      <c r="H283" s="2998">
        <f t="shared" si="112"/>
        <v>16354.361861524161</v>
      </c>
      <c r="I283" s="2998">
        <f t="shared" si="112"/>
        <v>41740.535839685821</v>
      </c>
      <c r="J283" s="2998">
        <f t="shared" si="112"/>
        <v>40797.782886238121</v>
      </c>
      <c r="K283" s="2999">
        <f t="shared" si="112"/>
        <v>39850.381573002865</v>
      </c>
      <c r="L283" s="2996">
        <f t="shared" si="112"/>
        <v>28888.814000000002</v>
      </c>
      <c r="M283" s="2997">
        <f t="shared" si="112"/>
        <v>28215.802688519681</v>
      </c>
      <c r="N283" s="2998">
        <f t="shared" si="112"/>
        <v>28027.425304705055</v>
      </c>
      <c r="O283" s="2998">
        <f t="shared" si="112"/>
        <v>30125.27438947375</v>
      </c>
      <c r="P283" s="2998">
        <f t="shared" si="112"/>
        <v>59196.961601627241</v>
      </c>
      <c r="Q283" s="2998">
        <f t="shared" si="112"/>
        <v>57490.854064486499</v>
      </c>
      <c r="R283" s="2999">
        <f t="shared" si="112"/>
        <v>55783.867395372225</v>
      </c>
      <c r="S283" s="2996">
        <f t="shared" si="112"/>
        <v>1643.02</v>
      </c>
      <c r="T283" s="2997">
        <f t="shared" si="112"/>
        <v>1553.820954583819</v>
      </c>
      <c r="U283" s="2998">
        <f t="shared" si="112"/>
        <v>2559.0847348942598</v>
      </c>
      <c r="V283" s="2998">
        <f t="shared" si="112"/>
        <v>3533.2350290020931</v>
      </c>
      <c r="W283" s="2998">
        <f t="shared" si="112"/>
        <v>21343.781908686928</v>
      </c>
      <c r="X283" s="2998">
        <f t="shared" si="112"/>
        <v>20442.649469275377</v>
      </c>
      <c r="Y283" s="3000">
        <f t="shared" si="112"/>
        <v>19540.892521624912</v>
      </c>
      <c r="Z283" s="2996">
        <f t="shared" si="112"/>
        <v>16.050000000000033</v>
      </c>
      <c r="AA283" s="2997">
        <f t="shared" si="112"/>
        <v>14.426870000000054</v>
      </c>
      <c r="AB283" s="2998">
        <f t="shared" si="112"/>
        <v>13.75374000000008</v>
      </c>
      <c r="AC283" s="2998">
        <f t="shared" si="112"/>
        <v>12.9806100000001</v>
      </c>
      <c r="AD283" s="2998">
        <f t="shared" si="112"/>
        <v>11.957480000000125</v>
      </c>
      <c r="AE283" s="2998">
        <f t="shared" si="112"/>
        <v>10.934350000000144</v>
      </c>
      <c r="AF283" s="3000">
        <f t="shared" si="112"/>
        <v>9.9112200000001707</v>
      </c>
      <c r="AG283" s="2996">
        <f t="shared" si="112"/>
        <v>0</v>
      </c>
      <c r="AH283" s="2997">
        <f t="shared" si="112"/>
        <v>0</v>
      </c>
      <c r="AI283" s="2998">
        <f t="shared" si="112"/>
        <v>0</v>
      </c>
      <c r="AJ283" s="2998">
        <f t="shared" si="112"/>
        <v>0</v>
      </c>
      <c r="AK283" s="2998">
        <f t="shared" si="112"/>
        <v>0</v>
      </c>
      <c r="AL283" s="2998">
        <f t="shared" si="112"/>
        <v>0</v>
      </c>
      <c r="AM283" s="3000">
        <f t="shared" si="112"/>
        <v>0</v>
      </c>
      <c r="AN283" s="2917"/>
      <c r="AO283" s="2927"/>
      <c r="AP283" s="1424"/>
    </row>
    <row r="284" spans="1:42" ht="13.5" thickBot="1">
      <c r="A284" s="194"/>
      <c r="B284" s="35"/>
      <c r="C284" s="35"/>
      <c r="D284" s="2928"/>
      <c r="E284" s="385"/>
      <c r="F284" s="384"/>
      <c r="G284" s="384"/>
      <c r="H284" s="384"/>
      <c r="I284" s="384"/>
      <c r="J284" s="384"/>
      <c r="K284" s="384"/>
      <c r="L284" s="385"/>
      <c r="M284" s="384"/>
      <c r="N284" s="384"/>
      <c r="O284" s="384"/>
      <c r="P284" s="384"/>
      <c r="Q284" s="384"/>
      <c r="R284" s="384"/>
      <c r="S284" s="385"/>
      <c r="T284" s="384"/>
      <c r="U284" s="384"/>
      <c r="V284" s="384"/>
      <c r="W284" s="384"/>
      <c r="X284" s="384"/>
      <c r="Y284" s="384"/>
      <c r="Z284" s="385"/>
      <c r="AA284" s="384"/>
      <c r="AB284" s="384"/>
      <c r="AC284" s="384"/>
      <c r="AD284" s="384"/>
      <c r="AE284" s="384"/>
      <c r="AF284" s="384"/>
      <c r="AG284" s="385"/>
      <c r="AH284" s="384"/>
      <c r="AI284" s="384"/>
      <c r="AJ284" s="384"/>
      <c r="AK284" s="384"/>
      <c r="AL284" s="384"/>
      <c r="AM284" s="384"/>
      <c r="AN284" s="2826"/>
      <c r="AO284" s="2824"/>
    </row>
    <row r="285" spans="1:42" ht="13.5" thickBot="1">
      <c r="A285" s="2823"/>
      <c r="B285" s="2824"/>
      <c r="C285" s="2824"/>
      <c r="D285" s="283" t="s">
        <v>1048</v>
      </c>
      <c r="E285" s="284">
        <f>E280-E282-E283</f>
        <v>0</v>
      </c>
      <c r="F285" s="284">
        <f t="shared" ref="F285:AM285" si="113">F280-F282-F283</f>
        <v>0</v>
      </c>
      <c r="G285" s="284">
        <f t="shared" si="113"/>
        <v>0</v>
      </c>
      <c r="H285" s="284">
        <f t="shared" si="113"/>
        <v>0</v>
      </c>
      <c r="I285" s="284">
        <f t="shared" si="113"/>
        <v>0</v>
      </c>
      <c r="J285" s="284">
        <f t="shared" si="113"/>
        <v>0</v>
      </c>
      <c r="K285" s="284">
        <f t="shared" si="113"/>
        <v>0</v>
      </c>
      <c r="L285" s="284">
        <f t="shared" si="113"/>
        <v>0</v>
      </c>
      <c r="M285" s="284">
        <f t="shared" si="113"/>
        <v>0</v>
      </c>
      <c r="N285" s="284">
        <f t="shared" si="113"/>
        <v>0</v>
      </c>
      <c r="O285" s="284">
        <f t="shared" si="113"/>
        <v>0</v>
      </c>
      <c r="P285" s="284">
        <f t="shared" si="113"/>
        <v>0</v>
      </c>
      <c r="Q285" s="284">
        <f t="shared" si="113"/>
        <v>0</v>
      </c>
      <c r="R285" s="284">
        <f t="shared" si="113"/>
        <v>0</v>
      </c>
      <c r="S285" s="284">
        <f t="shared" si="113"/>
        <v>0</v>
      </c>
      <c r="T285" s="284">
        <f t="shared" si="113"/>
        <v>0</v>
      </c>
      <c r="U285" s="284">
        <f t="shared" si="113"/>
        <v>0</v>
      </c>
      <c r="V285" s="284">
        <f t="shared" si="113"/>
        <v>0</v>
      </c>
      <c r="W285" s="284">
        <f t="shared" si="113"/>
        <v>0</v>
      </c>
      <c r="X285" s="284">
        <f t="shared" si="113"/>
        <v>0</v>
      </c>
      <c r="Y285" s="284">
        <f t="shared" si="113"/>
        <v>0</v>
      </c>
      <c r="Z285" s="284">
        <f t="shared" si="113"/>
        <v>0</v>
      </c>
      <c r="AA285" s="284">
        <f t="shared" si="113"/>
        <v>0</v>
      </c>
      <c r="AB285" s="284">
        <f t="shared" si="113"/>
        <v>-3.0198066269804258E-14</v>
      </c>
      <c r="AC285" s="284">
        <f t="shared" si="113"/>
        <v>2.6645352591003757E-14</v>
      </c>
      <c r="AD285" s="284">
        <f t="shared" si="113"/>
        <v>-3.5527136788005009E-14</v>
      </c>
      <c r="AE285" s="284">
        <f t="shared" si="113"/>
        <v>2.1316282072803006E-14</v>
      </c>
      <c r="AF285" s="284">
        <f t="shared" si="113"/>
        <v>1.4210854715202004E-14</v>
      </c>
      <c r="AG285" s="284">
        <f t="shared" si="113"/>
        <v>0</v>
      </c>
      <c r="AH285" s="284">
        <f t="shared" si="113"/>
        <v>0</v>
      </c>
      <c r="AI285" s="284">
        <f t="shared" si="113"/>
        <v>0</v>
      </c>
      <c r="AJ285" s="284">
        <f t="shared" si="113"/>
        <v>0</v>
      </c>
      <c r="AK285" s="284">
        <f t="shared" si="113"/>
        <v>0</v>
      </c>
      <c r="AL285" s="284">
        <f t="shared" si="113"/>
        <v>0</v>
      </c>
      <c r="AM285" s="284">
        <f t="shared" si="113"/>
        <v>0</v>
      </c>
      <c r="AN285" s="2826"/>
      <c r="AO285" s="2824"/>
    </row>
    <row r="286" spans="1:42">
      <c r="A286" s="2823"/>
      <c r="B286" s="2824"/>
      <c r="C286" s="2824"/>
      <c r="D286" s="1567"/>
      <c r="E286" s="1568"/>
      <c r="F286" s="1568"/>
      <c r="G286" s="1568"/>
      <c r="H286" s="1568"/>
      <c r="I286" s="1568"/>
      <c r="J286" s="1568"/>
      <c r="K286" s="1568"/>
      <c r="L286" s="1568"/>
      <c r="M286" s="1568"/>
      <c r="N286" s="1568"/>
      <c r="O286" s="1568"/>
      <c r="P286" s="1568"/>
      <c r="Q286" s="1568"/>
      <c r="R286" s="1568"/>
      <c r="S286" s="1568"/>
      <c r="T286" s="1568"/>
      <c r="U286" s="1568"/>
      <c r="V286" s="1568"/>
      <c r="W286" s="1568"/>
      <c r="X286" s="1568"/>
      <c r="Y286" s="1568"/>
      <c r="Z286" s="1568"/>
      <c r="AA286" s="1568"/>
      <c r="AB286" s="1568"/>
      <c r="AC286" s="1568"/>
      <c r="AD286" s="1568"/>
      <c r="AE286" s="1568"/>
      <c r="AF286" s="1568"/>
      <c r="AG286" s="1568"/>
      <c r="AH286" s="1568"/>
      <c r="AI286" s="1568"/>
      <c r="AJ286" s="1568"/>
      <c r="AK286" s="1568"/>
      <c r="AL286" s="1568"/>
      <c r="AM286" s="1568"/>
      <c r="AN286" s="2826"/>
      <c r="AO286" s="2824"/>
    </row>
    <row r="287" spans="1:42">
      <c r="A287" s="2823"/>
      <c r="B287" s="2824"/>
      <c r="C287" s="2824"/>
      <c r="D287" s="1567"/>
      <c r="E287" s="1568"/>
      <c r="F287" s="1568"/>
      <c r="G287" s="1568"/>
      <c r="H287" s="1568"/>
      <c r="I287" s="1568"/>
      <c r="J287" s="1568"/>
      <c r="K287" s="1568"/>
      <c r="L287" s="1568"/>
      <c r="M287" s="1568"/>
      <c r="N287" s="1568"/>
      <c r="O287" s="1568"/>
      <c r="P287" s="1568"/>
      <c r="Q287" s="1568"/>
      <c r="R287" s="1568"/>
      <c r="S287" s="1568"/>
      <c r="T287" s="1568"/>
      <c r="U287" s="1568"/>
      <c r="V287" s="1568"/>
      <c r="W287" s="1568"/>
      <c r="X287" s="1568"/>
      <c r="Y287" s="1568"/>
      <c r="Z287" s="1568"/>
      <c r="AA287" s="1568"/>
      <c r="AB287" s="1568"/>
      <c r="AC287" s="1568"/>
      <c r="AD287" s="1568"/>
      <c r="AE287" s="1568"/>
      <c r="AF287" s="1568"/>
      <c r="AG287" s="1568"/>
      <c r="AH287" s="1568"/>
      <c r="AI287" s="1568"/>
      <c r="AJ287" s="1568"/>
      <c r="AK287" s="1568"/>
      <c r="AL287" s="1568"/>
      <c r="AM287" s="1568"/>
      <c r="AN287" s="2826"/>
      <c r="AO287" s="2824"/>
    </row>
    <row r="288" spans="1:42">
      <c r="A288" s="194"/>
      <c r="B288" s="35"/>
      <c r="C288" s="35"/>
      <c r="D288" s="2928"/>
      <c r="E288" s="4645" t="s">
        <v>191</v>
      </c>
      <c r="F288" s="384"/>
      <c r="G288" s="384"/>
      <c r="H288" s="384"/>
      <c r="I288" s="384"/>
      <c r="J288" s="384"/>
      <c r="K288" s="384"/>
      <c r="L288" s="385"/>
      <c r="M288" s="384"/>
      <c r="N288" s="384"/>
      <c r="O288" s="384"/>
      <c r="P288" s="384"/>
      <c r="Q288" s="384"/>
      <c r="R288" s="384"/>
      <c r="S288" s="385"/>
      <c r="T288" s="384"/>
      <c r="U288" s="384"/>
      <c r="V288" s="384"/>
      <c r="W288" s="384"/>
      <c r="X288" s="384"/>
      <c r="Y288" s="384"/>
      <c r="Z288" s="385"/>
      <c r="AA288" s="384"/>
      <c r="AB288" s="384"/>
      <c r="AC288" s="384"/>
      <c r="AD288" s="384"/>
      <c r="AE288" s="384"/>
      <c r="AF288" s="384"/>
      <c r="AG288" s="385"/>
      <c r="AH288" s="384"/>
      <c r="AI288" s="384"/>
      <c r="AJ288" s="384"/>
      <c r="AK288" s="384"/>
      <c r="AL288" s="384"/>
      <c r="AM288" s="384"/>
      <c r="AN288" s="2826"/>
      <c r="AO288" s="2824"/>
    </row>
    <row r="289" spans="1:41">
      <c r="A289" s="2823"/>
      <c r="B289" s="2824"/>
      <c r="C289" s="2929"/>
      <c r="D289" s="2824"/>
      <c r="E289" s="2942" t="s">
        <v>192</v>
      </c>
      <c r="F289" s="2930"/>
      <c r="G289" s="2930"/>
      <c r="H289" s="2930"/>
      <c r="I289" s="2930"/>
      <c r="J289" s="2930"/>
      <c r="K289" s="2931"/>
      <c r="L289" s="2823"/>
      <c r="M289" s="2931"/>
      <c r="N289" s="2824"/>
      <c r="O289" s="2824"/>
      <c r="P289" s="2824"/>
      <c r="Q289" s="2824"/>
      <c r="R289" s="2824"/>
      <c r="S289" s="2823"/>
      <c r="T289" s="2824"/>
      <c r="U289" s="2824"/>
      <c r="V289" s="2824"/>
      <c r="W289" s="2824"/>
      <c r="X289" s="2824"/>
      <c r="Y289" s="2824"/>
      <c r="Z289" s="2932"/>
      <c r="AA289" s="2824"/>
      <c r="AB289" s="2933" t="str">
        <f>'Приложение '!B81</f>
        <v>Дата: 24 юни 2021 година</v>
      </c>
      <c r="AC289" s="2934"/>
      <c r="AD289" s="2935"/>
      <c r="AE289" s="2935"/>
      <c r="AF289" s="2935"/>
      <c r="AG289" s="2936"/>
      <c r="AH289" s="2932"/>
      <c r="AI289" s="2830"/>
      <c r="AJ289" s="2937"/>
      <c r="AK289" s="2938" t="str">
        <f>'Приложение '!C81</f>
        <v xml:space="preserve">Гл. счетоводител/Фин.директор: </v>
      </c>
      <c r="AL289" s="2939" t="str">
        <f>'Приложение '!D81</f>
        <v>..............................................</v>
      </c>
      <c r="AM289" s="2824"/>
      <c r="AN289" s="2826"/>
      <c r="AO289" s="2824"/>
    </row>
    <row r="290" spans="1:41" ht="27" customHeight="1">
      <c r="A290" s="2823"/>
      <c r="B290" s="2824"/>
      <c r="C290" s="2824"/>
      <c r="D290" s="2824"/>
      <c r="E290" s="5407" t="s">
        <v>1538</v>
      </c>
      <c r="F290" s="5407"/>
      <c r="G290" s="5407"/>
      <c r="H290" s="5407"/>
      <c r="I290" s="5407"/>
      <c r="J290" s="5407"/>
      <c r="K290" s="5407"/>
      <c r="L290" s="5407"/>
      <c r="M290" s="5407"/>
      <c r="N290" s="5407"/>
      <c r="O290" s="5407"/>
      <c r="P290" s="5407"/>
      <c r="Q290" s="5407"/>
      <c r="R290" s="5407"/>
      <c r="S290" s="5407"/>
      <c r="T290" s="5407"/>
      <c r="U290" s="5407"/>
      <c r="V290" s="5407"/>
      <c r="W290" s="5407"/>
      <c r="X290" s="5407"/>
      <c r="Y290" s="5407"/>
      <c r="Z290" s="2932"/>
      <c r="AA290" s="2824"/>
      <c r="AB290" s="2824"/>
      <c r="AC290" s="2824"/>
      <c r="AD290" s="2936"/>
      <c r="AE290" s="2940"/>
      <c r="AF290" s="2935"/>
      <c r="AG290" s="2941"/>
      <c r="AH290" s="2932"/>
      <c r="AI290" s="2830"/>
      <c r="AJ290" s="2830"/>
      <c r="AK290" s="2824"/>
      <c r="AL290" s="2942" t="str">
        <f>'Приложение '!D82</f>
        <v>(подпис)</v>
      </c>
      <c r="AM290" s="2824"/>
      <c r="AN290" s="2826"/>
      <c r="AO290" s="2824"/>
    </row>
    <row r="291" spans="1:41" ht="27" customHeight="1">
      <c r="A291" s="2823"/>
      <c r="B291" s="2824"/>
      <c r="C291" s="2824"/>
      <c r="D291" s="2824"/>
      <c r="E291" s="5407" t="s">
        <v>1539</v>
      </c>
      <c r="F291" s="5407"/>
      <c r="G291" s="5407"/>
      <c r="H291" s="5407"/>
      <c r="I291" s="5407"/>
      <c r="J291" s="5407"/>
      <c r="K291" s="5407"/>
      <c r="L291" s="5407"/>
      <c r="M291" s="5407"/>
      <c r="N291" s="5407"/>
      <c r="O291" s="5407"/>
      <c r="P291" s="5407"/>
      <c r="Q291" s="5407"/>
      <c r="R291" s="5407"/>
      <c r="S291" s="5407"/>
      <c r="T291" s="5407"/>
      <c r="U291" s="5407"/>
      <c r="V291" s="5407"/>
      <c r="W291" s="5407"/>
      <c r="X291" s="5407"/>
      <c r="Y291" s="5407"/>
      <c r="Z291" s="2932"/>
      <c r="AA291" s="2824"/>
      <c r="AB291" s="2824"/>
      <c r="AC291" s="2824"/>
      <c r="AD291" s="2936"/>
      <c r="AE291" s="2940"/>
      <c r="AF291" s="2943"/>
      <c r="AG291" s="2941"/>
      <c r="AH291" s="2932"/>
      <c r="AI291" s="2830"/>
      <c r="AJ291" s="2830"/>
      <c r="AK291" s="2824"/>
      <c r="AL291" s="2944"/>
      <c r="AM291" s="2824"/>
      <c r="AN291" s="2826"/>
      <c r="AO291" s="2824"/>
    </row>
    <row r="292" spans="1:41" ht="27" customHeight="1">
      <c r="A292" s="2823"/>
      <c r="B292" s="2824"/>
      <c r="C292" s="2824"/>
      <c r="D292" s="2824"/>
      <c r="E292" s="5407" t="s">
        <v>1540</v>
      </c>
      <c r="F292" s="5407"/>
      <c r="G292" s="5407"/>
      <c r="H292" s="5407"/>
      <c r="I292" s="5407"/>
      <c r="J292" s="5407"/>
      <c r="K292" s="5407"/>
      <c r="L292" s="5407"/>
      <c r="M292" s="5407"/>
      <c r="N292" s="5407"/>
      <c r="O292" s="5407"/>
      <c r="P292" s="5407"/>
      <c r="Q292" s="5407"/>
      <c r="R292" s="5407"/>
      <c r="S292" s="5407"/>
      <c r="T292" s="5407"/>
      <c r="U292" s="5407"/>
      <c r="V292" s="5407"/>
      <c r="W292" s="5407"/>
      <c r="X292" s="5407"/>
      <c r="Y292" s="5407"/>
      <c r="Z292" s="2932"/>
      <c r="AA292" s="2824"/>
      <c r="AB292" s="2824"/>
      <c r="AC292" s="2824"/>
      <c r="AD292" s="2936"/>
      <c r="AE292" s="2940"/>
      <c r="AF292" s="2943"/>
      <c r="AG292" s="2941"/>
      <c r="AH292" s="2932"/>
      <c r="AI292" s="2830"/>
      <c r="AJ292" s="2830"/>
      <c r="AK292" s="2824"/>
      <c r="AL292" s="2944"/>
      <c r="AM292" s="2824"/>
      <c r="AN292" s="2826"/>
      <c r="AO292" s="2824"/>
    </row>
    <row r="293" spans="1:41" ht="27" customHeight="1">
      <c r="A293" s="2823"/>
      <c r="B293" s="2824"/>
      <c r="C293" s="2824"/>
      <c r="D293" s="2824"/>
      <c r="E293" s="5407" t="s">
        <v>1552</v>
      </c>
      <c r="F293" s="5407"/>
      <c r="G293" s="5407"/>
      <c r="H293" s="5407"/>
      <c r="I293" s="5407"/>
      <c r="J293" s="5407"/>
      <c r="K293" s="5407"/>
      <c r="L293" s="5407"/>
      <c r="M293" s="5407"/>
      <c r="N293" s="5407"/>
      <c r="O293" s="5407"/>
      <c r="P293" s="5407"/>
      <c r="Q293" s="5407"/>
      <c r="R293" s="5407"/>
      <c r="S293" s="5407"/>
      <c r="T293" s="5407"/>
      <c r="U293" s="5407"/>
      <c r="V293" s="5407"/>
      <c r="W293" s="5407"/>
      <c r="X293" s="5407"/>
      <c r="Y293" s="5407"/>
      <c r="Z293" s="2932"/>
      <c r="AA293" s="2824"/>
      <c r="AB293" s="2824"/>
      <c r="AC293" s="2824"/>
      <c r="AD293" s="2945"/>
      <c r="AE293" s="2946"/>
      <c r="AF293" s="2947"/>
      <c r="AG293" s="2948"/>
      <c r="AH293" s="2932"/>
      <c r="AI293" s="2830"/>
      <c r="AJ293" s="2830"/>
      <c r="AK293" s="2938" t="str">
        <f>'Приложение '!C85</f>
        <v xml:space="preserve">Управител/Изп.директор: </v>
      </c>
      <c r="AL293" s="2939" t="str">
        <f>'Приложение '!D85</f>
        <v>.............................................</v>
      </c>
      <c r="AM293" s="2824"/>
      <c r="AN293" s="2826"/>
      <c r="AO293" s="2824"/>
    </row>
    <row r="294" spans="1:41" ht="27" customHeight="1">
      <c r="A294" s="2823"/>
      <c r="B294" s="2824"/>
      <c r="C294" s="2824"/>
      <c r="D294" s="2824"/>
      <c r="E294" s="5407" t="s">
        <v>1553</v>
      </c>
      <c r="F294" s="5407"/>
      <c r="G294" s="5407"/>
      <c r="H294" s="5407"/>
      <c r="I294" s="5407"/>
      <c r="J294" s="5407"/>
      <c r="K294" s="5407"/>
      <c r="L294" s="5407"/>
      <c r="M294" s="5407"/>
      <c r="N294" s="5407"/>
      <c r="O294" s="5407"/>
      <c r="P294" s="5407"/>
      <c r="Q294" s="5407"/>
      <c r="R294" s="5407"/>
      <c r="S294" s="5407"/>
      <c r="T294" s="5407"/>
      <c r="U294" s="5407"/>
      <c r="V294" s="5407"/>
      <c r="W294" s="5407"/>
      <c r="X294" s="5407"/>
      <c r="Y294" s="5407"/>
      <c r="Z294" s="2949"/>
      <c r="AA294" s="2824"/>
      <c r="AB294" s="2824"/>
      <c r="AC294" s="2824"/>
      <c r="AD294" s="2936"/>
      <c r="AE294" s="2950"/>
      <c r="AF294" s="2935"/>
      <c r="AG294" s="2951"/>
      <c r="AH294" s="2949"/>
      <c r="AI294" s="2824"/>
      <c r="AJ294" s="2824"/>
      <c r="AK294" s="2824"/>
      <c r="AL294" s="2942" t="str">
        <f>'Приложение '!D86</f>
        <v>(подпис и печат)</v>
      </c>
      <c r="AM294" s="2824"/>
      <c r="AN294" s="2826"/>
      <c r="AO294" s="2824"/>
    </row>
    <row r="295" spans="1:41" ht="12.75" customHeight="1">
      <c r="B295" s="4644"/>
      <c r="C295" s="4644"/>
      <c r="D295" s="4644"/>
      <c r="E295" s="4644"/>
      <c r="F295" s="4644"/>
      <c r="G295" s="2952"/>
      <c r="H295" s="2952"/>
      <c r="I295" s="2952"/>
      <c r="J295" s="2952"/>
      <c r="K295" s="2953"/>
      <c r="L295" s="2953"/>
      <c r="M295" s="2953"/>
      <c r="N295" s="2953"/>
      <c r="O295" s="2953"/>
      <c r="P295" s="2953"/>
      <c r="Q295" s="2953"/>
      <c r="R295" s="2953"/>
      <c r="S295" s="2953"/>
      <c r="T295" s="2953"/>
      <c r="U295" s="2824"/>
      <c r="V295" s="2824"/>
      <c r="W295" s="2824"/>
      <c r="X295" s="2824"/>
      <c r="Y295" s="2824"/>
      <c r="Z295" s="2823"/>
      <c r="AA295" s="2824"/>
      <c r="AB295" s="2824"/>
      <c r="AC295" s="2824"/>
      <c r="AD295" s="2824"/>
      <c r="AE295" s="2824"/>
      <c r="AF295" s="2824"/>
      <c r="AG295" s="2823"/>
      <c r="AH295" s="2824"/>
      <c r="AI295" s="2824"/>
      <c r="AJ295" s="2824"/>
      <c r="AK295" s="2824"/>
      <c r="AL295" s="2824"/>
      <c r="AM295" s="2824"/>
      <c r="AN295" s="2826"/>
      <c r="AO295" s="2824"/>
    </row>
    <row r="296" spans="1:41" ht="12.75" customHeight="1">
      <c r="B296" s="4441"/>
      <c r="C296" s="4441"/>
      <c r="D296" s="4441"/>
      <c r="E296" s="4441"/>
      <c r="F296" s="4441"/>
      <c r="G296" s="2952"/>
      <c r="H296" s="2952"/>
      <c r="I296" s="2952"/>
      <c r="J296" s="2952"/>
      <c r="K296" s="2953"/>
      <c r="L296" s="2953"/>
      <c r="M296" s="2953"/>
      <c r="N296" s="2953"/>
      <c r="O296" s="2953"/>
      <c r="P296" s="2953"/>
      <c r="Q296" s="2953"/>
      <c r="R296" s="2953"/>
      <c r="S296" s="2953"/>
      <c r="T296" s="2953"/>
      <c r="U296" s="2824"/>
      <c r="V296" s="2824"/>
      <c r="W296" s="2824"/>
      <c r="X296" s="2824"/>
      <c r="Y296" s="2824"/>
      <c r="Z296" s="2823"/>
      <c r="AA296" s="2824"/>
      <c r="AB296" s="2824"/>
      <c r="AC296" s="2824"/>
      <c r="AD296" s="2824"/>
      <c r="AE296" s="2824"/>
      <c r="AF296" s="2824"/>
      <c r="AG296" s="2823"/>
      <c r="AH296" s="2824"/>
      <c r="AI296" s="2824"/>
      <c r="AJ296" s="2824"/>
      <c r="AK296" s="2824"/>
      <c r="AL296" s="2824"/>
      <c r="AM296" s="2824"/>
      <c r="AN296" s="2826"/>
      <c r="AO296" s="2824"/>
    </row>
    <row r="297" spans="1:41" ht="25.5" customHeight="1">
      <c r="B297" s="4441"/>
      <c r="C297" s="4441"/>
      <c r="D297" s="4441"/>
      <c r="E297" s="4441"/>
      <c r="F297" s="4441"/>
      <c r="G297" s="4441"/>
      <c r="H297" s="4441"/>
      <c r="I297" s="4441"/>
      <c r="J297" s="4441"/>
      <c r="K297" s="4441"/>
      <c r="L297" s="4441"/>
      <c r="M297" s="4441"/>
      <c r="N297" s="4441"/>
      <c r="O297" s="4441"/>
      <c r="P297" s="4441"/>
      <c r="Q297" s="4441"/>
      <c r="R297" s="4441"/>
      <c r="S297" s="4441"/>
      <c r="T297" s="4441"/>
      <c r="U297" s="2824"/>
      <c r="V297" s="2824"/>
      <c r="W297" s="2824"/>
      <c r="X297" s="2824"/>
      <c r="Y297" s="2824"/>
      <c r="Z297" s="2823"/>
      <c r="AA297" s="2824"/>
      <c r="AB297" s="2824"/>
      <c r="AC297" s="2824"/>
      <c r="AD297" s="2824"/>
      <c r="AE297" s="2824"/>
      <c r="AF297" s="2824"/>
      <c r="AG297" s="2823"/>
      <c r="AH297" s="2824"/>
      <c r="AI297" s="2824"/>
      <c r="AJ297" s="2824"/>
      <c r="AK297" s="2824"/>
      <c r="AL297" s="2824"/>
      <c r="AM297" s="2824"/>
      <c r="AN297" s="2826"/>
      <c r="AO297" s="2824"/>
    </row>
    <row r="298" spans="1:41" ht="27.75" customHeight="1">
      <c r="B298" s="4441"/>
      <c r="C298" s="4441"/>
      <c r="D298" s="4441"/>
      <c r="E298" s="4441"/>
      <c r="F298" s="4441"/>
      <c r="G298" s="4441"/>
      <c r="H298" s="4441"/>
      <c r="I298" s="4441"/>
      <c r="J298" s="4441"/>
      <c r="K298" s="4441"/>
      <c r="L298" s="4441"/>
      <c r="M298" s="4441"/>
      <c r="N298" s="4441"/>
      <c r="O298" s="4441"/>
      <c r="P298" s="4441"/>
      <c r="Q298" s="4441"/>
      <c r="R298" s="4441"/>
      <c r="S298" s="4441"/>
      <c r="T298" s="4441"/>
      <c r="U298" s="2824"/>
      <c r="V298" s="2824"/>
      <c r="W298" s="2824"/>
      <c r="X298" s="2824"/>
      <c r="Y298" s="2824"/>
      <c r="Z298" s="2823"/>
      <c r="AA298" s="2824"/>
      <c r="AB298" s="2824"/>
      <c r="AC298" s="2824"/>
      <c r="AD298" s="2824"/>
      <c r="AE298" s="2824"/>
      <c r="AF298" s="2824"/>
      <c r="AG298" s="2823"/>
      <c r="AH298" s="2824"/>
      <c r="AI298" s="2824"/>
      <c r="AJ298" s="2824"/>
      <c r="AK298" s="2824"/>
      <c r="AL298" s="2824"/>
      <c r="AM298" s="2824"/>
      <c r="AN298" s="2826"/>
      <c r="AO298" s="2824"/>
    </row>
    <row r="299" spans="1:41" ht="31.5" customHeight="1">
      <c r="B299" s="4441"/>
      <c r="C299" s="4441"/>
      <c r="D299" s="4441"/>
      <c r="E299" s="4441"/>
      <c r="F299" s="4441"/>
      <c r="G299" s="4441"/>
      <c r="H299" s="4441"/>
      <c r="I299" s="4441"/>
      <c r="J299" s="4441"/>
      <c r="K299" s="4441"/>
      <c r="L299" s="4441"/>
      <c r="M299" s="4441"/>
      <c r="N299" s="4441"/>
      <c r="O299" s="4441"/>
      <c r="P299" s="4441"/>
      <c r="Q299" s="4441"/>
      <c r="R299" s="4441"/>
      <c r="S299" s="4441"/>
      <c r="T299" s="4441"/>
      <c r="U299" s="2824"/>
      <c r="V299" s="2824"/>
      <c r="W299" s="2824"/>
      <c r="X299" s="2824"/>
      <c r="Y299" s="2824"/>
      <c r="Z299" s="2823"/>
      <c r="AA299" s="2824"/>
      <c r="AB299" s="2824"/>
      <c r="AC299" s="2824"/>
      <c r="AD299" s="2824"/>
      <c r="AE299" s="2824"/>
      <c r="AF299" s="2824"/>
      <c r="AG299" s="2823"/>
      <c r="AH299" s="2824"/>
      <c r="AI299" s="2824"/>
      <c r="AJ299" s="2824"/>
      <c r="AK299" s="2824"/>
      <c r="AL299" s="2824"/>
      <c r="AM299" s="2824"/>
      <c r="AN299" s="2826"/>
      <c r="AO299" s="2824"/>
    </row>
    <row r="300" spans="1:41" ht="30.75" customHeight="1">
      <c r="B300" s="4441"/>
      <c r="C300" s="4441"/>
      <c r="D300" s="4441"/>
      <c r="E300" s="4441"/>
      <c r="F300" s="4441"/>
      <c r="G300" s="4441"/>
      <c r="H300" s="4441"/>
      <c r="I300" s="4441"/>
      <c r="J300" s="4441"/>
      <c r="K300" s="4441"/>
      <c r="L300" s="4441"/>
      <c r="M300" s="4441"/>
      <c r="N300" s="4441"/>
      <c r="O300" s="4441"/>
      <c r="P300" s="4441"/>
      <c r="Q300" s="4441"/>
      <c r="R300" s="4441"/>
      <c r="S300" s="4441"/>
      <c r="T300" s="4441"/>
      <c r="U300" s="2824"/>
      <c r="V300" s="2824"/>
      <c r="W300" s="2824"/>
      <c r="X300" s="2824"/>
      <c r="Y300" s="2824"/>
      <c r="Z300" s="2823"/>
      <c r="AA300" s="2824"/>
      <c r="AB300" s="2824"/>
      <c r="AC300" s="2824"/>
      <c r="AD300" s="2824"/>
      <c r="AE300" s="2824"/>
      <c r="AF300" s="2824"/>
      <c r="AG300" s="2823"/>
      <c r="AH300" s="2824"/>
      <c r="AI300" s="2824"/>
      <c r="AJ300" s="2824"/>
      <c r="AK300" s="2824"/>
      <c r="AL300" s="2824"/>
      <c r="AM300" s="2824"/>
      <c r="AN300" s="2826"/>
      <c r="AO300" s="2824"/>
    </row>
    <row r="301" spans="1:41">
      <c r="B301" s="4441"/>
      <c r="C301" s="4441"/>
      <c r="D301" s="4441"/>
      <c r="E301" s="4441"/>
      <c r="F301" s="4441"/>
      <c r="G301" s="4441"/>
      <c r="H301" s="4441"/>
      <c r="I301" s="4441"/>
      <c r="J301" s="4441"/>
      <c r="K301" s="4441"/>
      <c r="L301" s="4441"/>
      <c r="M301" s="4441"/>
      <c r="N301" s="4441"/>
      <c r="O301" s="4441"/>
      <c r="P301" s="4441"/>
      <c r="Q301" s="4441"/>
      <c r="R301" s="4441"/>
      <c r="S301" s="4441"/>
      <c r="T301" s="4441"/>
      <c r="U301" s="2824"/>
      <c r="V301" s="2824"/>
      <c r="W301" s="2824"/>
      <c r="X301" s="2824"/>
      <c r="Y301" s="2824"/>
      <c r="Z301" s="2823"/>
      <c r="AA301" s="2824"/>
      <c r="AB301" s="2824"/>
      <c r="AC301" s="2824"/>
      <c r="AD301" s="2824"/>
      <c r="AE301" s="2824"/>
      <c r="AF301" s="2824"/>
      <c r="AG301" s="2823"/>
      <c r="AH301" s="2824"/>
      <c r="AI301" s="2824"/>
      <c r="AJ301" s="2824"/>
      <c r="AK301" s="2824"/>
      <c r="AL301" s="2824"/>
      <c r="AM301" s="2824"/>
      <c r="AN301" s="2826"/>
      <c r="AO301" s="2824"/>
    </row>
  </sheetData>
  <sheetProtection algorithmName="SHA-512" hashValue="nSl89JEGJ+O8N2jkpQ5gg3izIOgbBhVEAK5N0ngiKYuldzK9iyDz9XutSfzPKhxH2SYVHOlv8pr5lj8HcW6ozA==" saltValue="OL31f+kxQqjsEH8Qr+wjSw==" spinCount="100000" sheet="1" objects="1" scenarios="1" formatCells="0" formatColumns="0" formatRows="0"/>
  <mergeCells count="19">
    <mergeCell ref="A2:Y2"/>
    <mergeCell ref="A7:A8"/>
    <mergeCell ref="D7:D8"/>
    <mergeCell ref="E7:K7"/>
    <mergeCell ref="L7:R7"/>
    <mergeCell ref="S7:Y7"/>
    <mergeCell ref="B7:B8"/>
    <mergeCell ref="C7:C8"/>
    <mergeCell ref="A3:Y3"/>
    <mergeCell ref="AO7:AO8"/>
    <mergeCell ref="E290:Y290"/>
    <mergeCell ref="E291:Y291"/>
    <mergeCell ref="A4:Y4"/>
    <mergeCell ref="A5:Y5"/>
    <mergeCell ref="E292:Y292"/>
    <mergeCell ref="E293:Y293"/>
    <mergeCell ref="E294:Y294"/>
    <mergeCell ref="Z7:AF7"/>
    <mergeCell ref="AG7:AM7"/>
  </mergeCells>
  <printOptions horizontalCentered="1" verticalCentered="1"/>
  <pageMargins left="0" right="0" top="0.59055118110236227" bottom="0.31496062992125984" header="0.31496062992125984" footer="0"/>
  <pageSetup paperSize="9" scale="70" orientation="landscape" r:id="rId1"/>
  <headerFooter alignWithMargins="0">
    <oddFooter>&amp;C&amp;A&amp;RСтр. &amp;P от &amp;N</oddFooter>
  </headerFooter>
  <rowBreaks count="2" manualBreakCount="2">
    <brk id="201" max="40" man="1"/>
    <brk id="252" max="40" man="1"/>
  </rowBreaks>
  <colBreaks count="1" manualBreakCount="1">
    <brk id="25" max="293"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AV131"/>
  <sheetViews>
    <sheetView view="pageBreakPreview" topLeftCell="A94" zoomScale="80" zoomScaleNormal="100" zoomScaleSheetLayoutView="80" workbookViewId="0">
      <selection activeCell="J26" sqref="J26"/>
    </sheetView>
  </sheetViews>
  <sheetFormatPr defaultColWidth="9.140625" defaultRowHeight="12.75"/>
  <cols>
    <col min="1" max="1" width="3.140625" style="74" customWidth="1"/>
    <col min="2" max="2" width="8.85546875" style="32" customWidth="1"/>
    <col min="3" max="3" width="7" style="32" customWidth="1"/>
    <col min="4" max="4" width="46.7109375" style="32" customWidth="1"/>
    <col min="5" max="11" width="9" style="32" customWidth="1"/>
    <col min="12" max="12" width="9.140625" style="32" customWidth="1"/>
    <col min="13" max="18" width="8.7109375" style="32" customWidth="1"/>
    <col min="19" max="19" width="9.7109375" style="32" customWidth="1"/>
    <col min="20" max="25" width="7.7109375" style="32" customWidth="1"/>
    <col min="26" max="26" width="9.7109375" style="32" customWidth="1"/>
    <col min="27" max="32" width="7.7109375" style="32" customWidth="1"/>
    <col min="33" max="33" width="9.7109375" style="32" customWidth="1"/>
    <col min="34" max="39" width="7.7109375" style="32" customWidth="1"/>
    <col min="40" max="40" width="9.140625" style="32" customWidth="1"/>
    <col min="41" max="46" width="7.7109375" style="32" customWidth="1"/>
    <col min="47" max="47" width="1.5703125" style="47" customWidth="1"/>
    <col min="48" max="16384" width="9.140625" style="47"/>
  </cols>
  <sheetData>
    <row r="1" spans="1:48" ht="13.5">
      <c r="A1" s="3001"/>
      <c r="B1" s="3002"/>
      <c r="C1" s="3002"/>
      <c r="D1" s="3002"/>
      <c r="E1" s="3002"/>
      <c r="F1" s="3002"/>
      <c r="G1" s="3002"/>
      <c r="H1" s="3002"/>
      <c r="I1" s="3002"/>
      <c r="J1" s="3002"/>
      <c r="K1" s="3002"/>
      <c r="L1" s="3002"/>
      <c r="M1" s="3002"/>
      <c r="N1" s="3002"/>
      <c r="O1" s="3002"/>
      <c r="P1" s="3002"/>
      <c r="R1" s="3002"/>
      <c r="S1" s="3004"/>
      <c r="T1" s="3005"/>
      <c r="U1" s="3005"/>
      <c r="V1" s="3005"/>
      <c r="W1" s="3005"/>
      <c r="X1" s="3005"/>
      <c r="Y1" s="3003" t="s">
        <v>193</v>
      </c>
      <c r="Z1" s="3004"/>
      <c r="AA1" s="3005"/>
      <c r="AB1" s="3005"/>
      <c r="AC1" s="3005"/>
      <c r="AD1" s="3005"/>
      <c r="AE1" s="3005"/>
      <c r="AF1" s="3005"/>
      <c r="AG1" s="3004"/>
      <c r="AH1" s="3005"/>
      <c r="AI1" s="3005"/>
      <c r="AJ1" s="3005"/>
      <c r="AK1" s="3005"/>
      <c r="AL1" s="3005"/>
      <c r="AM1" s="3005"/>
      <c r="AN1" s="3006"/>
      <c r="AO1" s="3005"/>
      <c r="AP1" s="3005"/>
      <c r="AQ1" s="3005"/>
      <c r="AR1" s="3005"/>
      <c r="AS1" s="3005"/>
      <c r="AT1" s="3003"/>
      <c r="AU1" s="3007"/>
    </row>
    <row r="2" spans="1:48" s="721" customFormat="1" ht="22.5" customHeight="1">
      <c r="A2" s="5421" t="s">
        <v>1559</v>
      </c>
      <c r="B2" s="5421"/>
      <c r="C2" s="5421"/>
      <c r="D2" s="5421"/>
      <c r="E2" s="5421"/>
      <c r="F2" s="5421"/>
      <c r="G2" s="5421"/>
      <c r="H2" s="5421"/>
      <c r="I2" s="5421"/>
      <c r="J2" s="5421"/>
      <c r="K2" s="5421"/>
      <c r="L2" s="5421"/>
      <c r="M2" s="5421"/>
      <c r="N2" s="5421"/>
      <c r="O2" s="5421"/>
      <c r="P2" s="5421"/>
      <c r="Q2" s="5421"/>
      <c r="R2" s="5421"/>
      <c r="S2" s="5421"/>
      <c r="T2" s="5421"/>
      <c r="U2" s="5421"/>
      <c r="V2" s="5421"/>
      <c r="W2" s="5421"/>
      <c r="X2" s="5421"/>
      <c r="Y2" s="5421"/>
      <c r="Z2" s="3008"/>
      <c r="AA2" s="3008"/>
      <c r="AB2" s="3008"/>
      <c r="AC2" s="3008"/>
      <c r="AD2" s="3008"/>
      <c r="AE2" s="3008"/>
      <c r="AF2" s="3008"/>
      <c r="AG2" s="3008"/>
      <c r="AH2" s="3008"/>
      <c r="AI2" s="3008"/>
      <c r="AJ2" s="3008"/>
      <c r="AK2" s="3008"/>
      <c r="AL2" s="3008"/>
      <c r="AM2" s="3008"/>
      <c r="AN2" s="3008"/>
      <c r="AO2" s="3008"/>
      <c r="AP2" s="3008"/>
      <c r="AQ2" s="3008"/>
      <c r="AR2" s="3008"/>
      <c r="AS2" s="3008"/>
      <c r="AT2" s="3008"/>
      <c r="AU2" s="3009"/>
    </row>
    <row r="3" spans="1:48" ht="27" customHeight="1">
      <c r="A3" s="5421" t="s">
        <v>1558</v>
      </c>
      <c r="B3" s="5421"/>
      <c r="C3" s="5421"/>
      <c r="D3" s="5421"/>
      <c r="E3" s="5421"/>
      <c r="F3" s="5421"/>
      <c r="G3" s="5421"/>
      <c r="H3" s="5421"/>
      <c r="I3" s="5421"/>
      <c r="J3" s="5421"/>
      <c r="K3" s="5421"/>
      <c r="L3" s="5421"/>
      <c r="M3" s="5421"/>
      <c r="N3" s="5421"/>
      <c r="O3" s="5421"/>
      <c r="P3" s="5421"/>
      <c r="Q3" s="5421"/>
      <c r="R3" s="5421"/>
      <c r="S3" s="5421"/>
      <c r="T3" s="5421"/>
      <c r="U3" s="5421"/>
      <c r="V3" s="5421"/>
      <c r="W3" s="5421"/>
      <c r="X3" s="5421"/>
      <c r="Y3" s="5421"/>
      <c r="Z3" s="3010"/>
      <c r="AA3" s="3010"/>
      <c r="AB3" s="3010"/>
      <c r="AC3" s="3010"/>
      <c r="AD3" s="3010"/>
      <c r="AE3" s="3010"/>
      <c r="AF3" s="3010"/>
      <c r="AG3" s="3010"/>
      <c r="AH3" s="3010"/>
      <c r="AI3" s="3010"/>
      <c r="AJ3" s="3010"/>
      <c r="AK3" s="3010"/>
      <c r="AL3" s="3010"/>
      <c r="AM3" s="3010"/>
      <c r="AN3" s="3010"/>
      <c r="AO3" s="3010"/>
      <c r="AP3" s="3010"/>
      <c r="AQ3" s="3010"/>
      <c r="AR3" s="3010"/>
      <c r="AS3" s="3010"/>
      <c r="AT3" s="3010"/>
      <c r="AU3" s="3007"/>
    </row>
    <row r="4" spans="1:48" ht="15.75">
      <c r="A4" s="5422" t="str">
        <f>'1. Обща информация'!A4:D4</f>
        <v>на "Водоснабдяване и канализаиця"ООД, гр. Перник</v>
      </c>
      <c r="B4" s="5422"/>
      <c r="C4" s="5422"/>
      <c r="D4" s="5422"/>
      <c r="E4" s="5422"/>
      <c r="F4" s="5422"/>
      <c r="G4" s="5422"/>
      <c r="H4" s="5422"/>
      <c r="I4" s="5422"/>
      <c r="J4" s="5422"/>
      <c r="K4" s="5422"/>
      <c r="L4" s="5422"/>
      <c r="M4" s="5422"/>
      <c r="N4" s="5422"/>
      <c r="O4" s="5422"/>
      <c r="P4" s="5422"/>
      <c r="Q4" s="5422"/>
      <c r="R4" s="5422"/>
      <c r="S4" s="5422"/>
      <c r="T4" s="5422"/>
      <c r="U4" s="5422"/>
      <c r="V4" s="5422"/>
      <c r="W4" s="5422"/>
      <c r="X4" s="5422"/>
      <c r="Y4" s="5422"/>
      <c r="Z4" s="3011"/>
      <c r="AA4" s="3011"/>
      <c r="AB4" s="3011"/>
      <c r="AC4" s="3011"/>
      <c r="AD4" s="3011"/>
      <c r="AE4" s="3011"/>
      <c r="AF4" s="3011"/>
      <c r="AG4" s="3011"/>
      <c r="AH4" s="3011"/>
      <c r="AI4" s="3011"/>
      <c r="AJ4" s="3011"/>
      <c r="AK4" s="3011"/>
      <c r="AL4" s="3011"/>
      <c r="AM4" s="3011"/>
      <c r="AN4" s="3011"/>
      <c r="AO4" s="3011"/>
      <c r="AP4" s="3011"/>
      <c r="AQ4" s="3011"/>
      <c r="AR4" s="3011"/>
      <c r="AS4" s="3011"/>
      <c r="AT4" s="3011"/>
      <c r="AU4" s="3007"/>
    </row>
    <row r="5" spans="1:48" ht="16.5" thickBot="1">
      <c r="A5" s="5422" t="str">
        <f>'1. Обща информация'!A5:D5</f>
        <v>ЕИК по БУЛСТАТ: 823073638</v>
      </c>
      <c r="B5" s="5422"/>
      <c r="C5" s="5422"/>
      <c r="D5" s="5422"/>
      <c r="E5" s="5422"/>
      <c r="F5" s="5422"/>
      <c r="G5" s="5422"/>
      <c r="H5" s="5422"/>
      <c r="I5" s="5422"/>
      <c r="J5" s="5422"/>
      <c r="K5" s="5422"/>
      <c r="L5" s="5422"/>
      <c r="M5" s="5422"/>
      <c r="N5" s="5422"/>
      <c r="O5" s="5422"/>
      <c r="P5" s="5422"/>
      <c r="Q5" s="5422"/>
      <c r="R5" s="5422"/>
      <c r="S5" s="5422"/>
      <c r="T5" s="5422"/>
      <c r="U5" s="5422"/>
      <c r="V5" s="5422"/>
      <c r="W5" s="5422"/>
      <c r="X5" s="5422"/>
      <c r="Y5" s="5422"/>
      <c r="Z5" s="3011"/>
      <c r="AA5" s="3011"/>
      <c r="AB5" s="3011"/>
      <c r="AC5" s="3011"/>
      <c r="AD5" s="3011"/>
      <c r="AE5" s="3011"/>
      <c r="AF5" s="3011"/>
      <c r="AG5" s="3011"/>
      <c r="AH5" s="3011"/>
      <c r="AI5" s="3011"/>
      <c r="AJ5" s="3011"/>
      <c r="AK5" s="3011"/>
      <c r="AL5" s="3011"/>
      <c r="AM5" s="3011"/>
      <c r="AN5" s="3011"/>
      <c r="AO5" s="3011"/>
      <c r="AP5" s="3011"/>
      <c r="AQ5" s="3011"/>
      <c r="AR5" s="3011"/>
      <c r="AS5" s="3011"/>
      <c r="AT5" s="3011"/>
      <c r="AU5" s="3007"/>
    </row>
    <row r="6" spans="1:48" ht="16.5" thickBot="1">
      <c r="A6" s="3012"/>
      <c r="B6" s="3007"/>
      <c r="C6" s="3013"/>
      <c r="D6" s="3014" t="s">
        <v>633</v>
      </c>
      <c r="E6" s="3015">
        <v>1</v>
      </c>
      <c r="F6" s="3016"/>
      <c r="G6" s="3012"/>
      <c r="H6" s="3017"/>
      <c r="I6" s="3012"/>
      <c r="J6" s="3012"/>
      <c r="K6" s="3012"/>
      <c r="L6" s="3012"/>
      <c r="M6" s="3012"/>
      <c r="N6" s="3012"/>
      <c r="O6" s="3012"/>
      <c r="P6" s="3012"/>
      <c r="Q6" s="3012"/>
      <c r="R6" s="3012"/>
      <c r="S6" s="3012"/>
      <c r="T6" s="3012"/>
      <c r="U6" s="3012"/>
      <c r="V6" s="3012"/>
      <c r="W6" s="3012"/>
      <c r="X6" s="3012"/>
      <c r="Y6" s="3012"/>
      <c r="Z6" s="3012"/>
      <c r="AA6" s="3012"/>
      <c r="AB6" s="3012"/>
      <c r="AC6" s="3012"/>
      <c r="AD6" s="3012"/>
      <c r="AE6" s="3012"/>
      <c r="AF6" s="3012"/>
      <c r="AG6" s="3012"/>
      <c r="AH6" s="3012"/>
      <c r="AI6" s="3012"/>
      <c r="AJ6" s="3012"/>
      <c r="AK6" s="3012"/>
      <c r="AL6" s="3012"/>
      <c r="AM6" s="3012"/>
      <c r="AN6" s="3012"/>
      <c r="AO6" s="3012"/>
      <c r="AP6" s="3012"/>
      <c r="AQ6" s="3012"/>
      <c r="AR6" s="3012"/>
      <c r="AS6" s="3012"/>
      <c r="AT6" s="3012"/>
      <c r="AU6" s="3007"/>
    </row>
    <row r="7" spans="1:48" ht="16.5" thickBot="1">
      <c r="A7" s="3012"/>
      <c r="B7" s="3007"/>
      <c r="C7" s="3018"/>
      <c r="D7" s="3014" t="s">
        <v>649</v>
      </c>
      <c r="E7" s="3015">
        <f>12/6</f>
        <v>2</v>
      </c>
      <c r="F7" s="3012"/>
      <c r="G7" s="3012"/>
      <c r="H7" s="3017"/>
      <c r="I7" s="3012"/>
      <c r="J7" s="3012"/>
      <c r="K7" s="3012"/>
      <c r="L7" s="3012"/>
      <c r="M7" s="3012"/>
      <c r="N7" s="3012"/>
      <c r="O7" s="3012"/>
      <c r="P7" s="3012"/>
      <c r="Q7" s="3012"/>
      <c r="R7" s="3012"/>
      <c r="S7" s="3012"/>
      <c r="T7" s="3012"/>
      <c r="U7" s="3012"/>
      <c r="V7" s="3012"/>
      <c r="W7" s="3012"/>
      <c r="X7" s="3012"/>
      <c r="Y7" s="3012"/>
      <c r="Z7" s="3012"/>
      <c r="AA7" s="3012"/>
      <c r="AB7" s="3012"/>
      <c r="AC7" s="3012"/>
      <c r="AD7" s="3012"/>
      <c r="AE7" s="3012"/>
      <c r="AF7" s="3012"/>
      <c r="AG7" s="3012"/>
      <c r="AH7" s="3012"/>
      <c r="AI7" s="3012"/>
      <c r="AJ7" s="3012"/>
      <c r="AK7" s="3012"/>
      <c r="AL7" s="3012"/>
      <c r="AM7" s="3012"/>
      <c r="AN7" s="3012"/>
      <c r="AO7" s="3012"/>
      <c r="AP7" s="3012"/>
      <c r="AQ7" s="3012"/>
      <c r="AR7" s="3012"/>
      <c r="AS7" s="3012"/>
      <c r="AT7" s="3012"/>
      <c r="AU7" s="3007"/>
    </row>
    <row r="8" spans="1:48" ht="13.5" thickBot="1">
      <c r="A8" s="3002"/>
      <c r="B8" s="3005"/>
      <c r="C8" s="3005"/>
      <c r="D8" s="3005"/>
      <c r="E8" s="3005"/>
      <c r="F8" s="3005"/>
      <c r="G8" s="3005"/>
      <c r="H8" s="3019"/>
      <c r="I8" s="3005"/>
      <c r="J8" s="3005"/>
      <c r="K8" s="3005"/>
      <c r="L8" s="3005"/>
      <c r="M8" s="3005"/>
      <c r="N8" s="3005"/>
      <c r="O8" s="3005"/>
      <c r="P8" s="3005"/>
      <c r="Q8" s="3005"/>
      <c r="R8" s="3005"/>
      <c r="S8" s="3005"/>
      <c r="T8" s="3005"/>
      <c r="U8" s="3005"/>
      <c r="V8" s="3005"/>
      <c r="W8" s="3005"/>
      <c r="X8" s="3005"/>
      <c r="Y8" s="3005"/>
      <c r="Z8" s="3005"/>
      <c r="AA8" s="3005"/>
      <c r="AB8" s="3005"/>
      <c r="AC8" s="3005"/>
      <c r="AD8" s="3005"/>
      <c r="AE8" s="3005"/>
      <c r="AF8" s="3005"/>
      <c r="AG8" s="3005"/>
      <c r="AH8" s="3005"/>
      <c r="AI8" s="3005"/>
      <c r="AJ8" s="3005"/>
      <c r="AK8" s="3005"/>
      <c r="AL8" s="3005"/>
      <c r="AM8" s="3005"/>
      <c r="AN8" s="3005"/>
      <c r="AO8" s="3002"/>
      <c r="AP8" s="3005"/>
      <c r="AQ8" s="3005"/>
      <c r="AR8" s="3005"/>
      <c r="AS8" s="3005"/>
      <c r="AT8" s="3020"/>
      <c r="AU8" s="3007"/>
    </row>
    <row r="9" spans="1:48" ht="13.5" customHeight="1" thickBot="1">
      <c r="A9" s="5415" t="s">
        <v>1</v>
      </c>
      <c r="B9" s="5418" t="s">
        <v>1054</v>
      </c>
      <c r="C9" s="5418" t="s">
        <v>1053</v>
      </c>
      <c r="D9" s="5415" t="s">
        <v>90</v>
      </c>
      <c r="E9" s="5415" t="s">
        <v>215</v>
      </c>
      <c r="F9" s="5416"/>
      <c r="G9" s="5416"/>
      <c r="H9" s="5416"/>
      <c r="I9" s="5416"/>
      <c r="J9" s="5416"/>
      <c r="K9" s="5417"/>
      <c r="L9" s="5415" t="s">
        <v>178</v>
      </c>
      <c r="M9" s="5416"/>
      <c r="N9" s="5416"/>
      <c r="O9" s="5416"/>
      <c r="P9" s="5416"/>
      <c r="Q9" s="5416"/>
      <c r="R9" s="5417"/>
      <c r="S9" s="5415" t="s">
        <v>188</v>
      </c>
      <c r="T9" s="5416"/>
      <c r="U9" s="5416"/>
      <c r="V9" s="5416"/>
      <c r="W9" s="5416"/>
      <c r="X9" s="5416"/>
      <c r="Y9" s="5417"/>
      <c r="Z9" s="5415" t="s">
        <v>1037</v>
      </c>
      <c r="AA9" s="5416"/>
      <c r="AB9" s="5416"/>
      <c r="AC9" s="5416"/>
      <c r="AD9" s="5416"/>
      <c r="AE9" s="5416"/>
      <c r="AF9" s="5417"/>
      <c r="AG9" s="5415" t="s">
        <v>1102</v>
      </c>
      <c r="AH9" s="5416"/>
      <c r="AI9" s="5416"/>
      <c r="AJ9" s="5416"/>
      <c r="AK9" s="5416"/>
      <c r="AL9" s="5416"/>
      <c r="AM9" s="5417"/>
      <c r="AN9" s="5415" t="s">
        <v>668</v>
      </c>
      <c r="AO9" s="5416"/>
      <c r="AP9" s="5416"/>
      <c r="AQ9" s="5416"/>
      <c r="AR9" s="5416"/>
      <c r="AS9" s="5416"/>
      <c r="AT9" s="5417"/>
      <c r="AU9" s="3007"/>
    </row>
    <row r="10" spans="1:48" ht="20.25" customHeight="1" thickBot="1">
      <c r="A10" s="5420"/>
      <c r="B10" s="5419"/>
      <c r="C10" s="5419"/>
      <c r="D10" s="5420"/>
      <c r="E10" s="3021" t="str">
        <f>'Приложение '!C12</f>
        <v>2020 г.</v>
      </c>
      <c r="F10" s="3022" t="str">
        <f>'Приложение '!C13</f>
        <v>2021 г.</v>
      </c>
      <c r="G10" s="3023" t="str">
        <f>'Приложение '!C14</f>
        <v>2022 г.</v>
      </c>
      <c r="H10" s="3023" t="str">
        <f>'Приложение '!C15</f>
        <v>2023 г.</v>
      </c>
      <c r="I10" s="3023" t="str">
        <f>'Приложение '!C16</f>
        <v>2024 г.</v>
      </c>
      <c r="J10" s="3023" t="str">
        <f>'Приложение '!C17</f>
        <v>2025 г.</v>
      </c>
      <c r="K10" s="3024" t="str">
        <f>'Приложение '!C18</f>
        <v>2026 г.</v>
      </c>
      <c r="L10" s="3021" t="str">
        <f t="shared" ref="L10:AM10" si="0">E10</f>
        <v>2020 г.</v>
      </c>
      <c r="M10" s="3022" t="str">
        <f t="shared" si="0"/>
        <v>2021 г.</v>
      </c>
      <c r="N10" s="3023" t="str">
        <f t="shared" si="0"/>
        <v>2022 г.</v>
      </c>
      <c r="O10" s="3023" t="str">
        <f t="shared" si="0"/>
        <v>2023 г.</v>
      </c>
      <c r="P10" s="3023" t="str">
        <f t="shared" si="0"/>
        <v>2024 г.</v>
      </c>
      <c r="Q10" s="3023" t="str">
        <f t="shared" si="0"/>
        <v>2025 г.</v>
      </c>
      <c r="R10" s="3024" t="str">
        <f t="shared" si="0"/>
        <v>2026 г.</v>
      </c>
      <c r="S10" s="3025" t="str">
        <f t="shared" si="0"/>
        <v>2020 г.</v>
      </c>
      <c r="T10" s="3026" t="str">
        <f t="shared" si="0"/>
        <v>2021 г.</v>
      </c>
      <c r="U10" s="3023" t="str">
        <f t="shared" si="0"/>
        <v>2022 г.</v>
      </c>
      <c r="V10" s="3023" t="str">
        <f t="shared" si="0"/>
        <v>2023 г.</v>
      </c>
      <c r="W10" s="3026" t="str">
        <f t="shared" si="0"/>
        <v>2024 г.</v>
      </c>
      <c r="X10" s="3023" t="str">
        <f t="shared" si="0"/>
        <v>2025 г.</v>
      </c>
      <c r="Y10" s="3024" t="str">
        <f t="shared" si="0"/>
        <v>2026 г.</v>
      </c>
      <c r="Z10" s="3025" t="str">
        <f t="shared" si="0"/>
        <v>2020 г.</v>
      </c>
      <c r="AA10" s="3026" t="str">
        <f t="shared" si="0"/>
        <v>2021 г.</v>
      </c>
      <c r="AB10" s="3023" t="str">
        <f t="shared" si="0"/>
        <v>2022 г.</v>
      </c>
      <c r="AC10" s="3023" t="str">
        <f t="shared" si="0"/>
        <v>2023 г.</v>
      </c>
      <c r="AD10" s="3026" t="str">
        <f t="shared" si="0"/>
        <v>2024 г.</v>
      </c>
      <c r="AE10" s="3023" t="str">
        <f t="shared" si="0"/>
        <v>2025 г.</v>
      </c>
      <c r="AF10" s="3024" t="str">
        <f t="shared" si="0"/>
        <v>2026 г.</v>
      </c>
      <c r="AG10" s="3025" t="str">
        <f t="shared" si="0"/>
        <v>2020 г.</v>
      </c>
      <c r="AH10" s="3026" t="str">
        <f t="shared" si="0"/>
        <v>2021 г.</v>
      </c>
      <c r="AI10" s="3023" t="str">
        <f t="shared" si="0"/>
        <v>2022 г.</v>
      </c>
      <c r="AJ10" s="3023" t="str">
        <f t="shared" si="0"/>
        <v>2023 г.</v>
      </c>
      <c r="AK10" s="3026" t="str">
        <f t="shared" si="0"/>
        <v>2024 г.</v>
      </c>
      <c r="AL10" s="3023" t="str">
        <f t="shared" si="0"/>
        <v>2025 г.</v>
      </c>
      <c r="AM10" s="3024" t="str">
        <f t="shared" si="0"/>
        <v>2026 г.</v>
      </c>
      <c r="AN10" s="3025" t="str">
        <f t="shared" ref="AN10:AT10" si="1">S10</f>
        <v>2020 г.</v>
      </c>
      <c r="AO10" s="3026" t="str">
        <f t="shared" si="1"/>
        <v>2021 г.</v>
      </c>
      <c r="AP10" s="3023" t="str">
        <f t="shared" si="1"/>
        <v>2022 г.</v>
      </c>
      <c r="AQ10" s="3023" t="str">
        <f t="shared" si="1"/>
        <v>2023 г.</v>
      </c>
      <c r="AR10" s="3023" t="str">
        <f t="shared" si="1"/>
        <v>2024 г.</v>
      </c>
      <c r="AS10" s="3023" t="str">
        <f t="shared" si="1"/>
        <v>2025 г.</v>
      </c>
      <c r="AT10" s="3024" t="str">
        <f t="shared" si="1"/>
        <v>2026 г.</v>
      </c>
      <c r="AU10" s="3007"/>
    </row>
    <row r="11" spans="1:48" s="43" customFormat="1" ht="17.25" customHeight="1" thickBot="1">
      <c r="A11" s="3027" t="s">
        <v>210</v>
      </c>
      <c r="B11" s="3028"/>
      <c r="C11" s="3028"/>
      <c r="D11" s="3028" t="s">
        <v>339</v>
      </c>
      <c r="E11" s="3029">
        <f t="shared" ref="E11:AT11" si="2">E12+E15+E18+E30+E45+E50+SUM(E54:E59)</f>
        <v>567.77800000000013</v>
      </c>
      <c r="F11" s="3030">
        <f t="shared" si="2"/>
        <v>828.5</v>
      </c>
      <c r="G11" s="3031">
        <f t="shared" si="2"/>
        <v>1710.231</v>
      </c>
      <c r="H11" s="3031">
        <f t="shared" si="2"/>
        <v>2279.098</v>
      </c>
      <c r="I11" s="3031">
        <f t="shared" si="2"/>
        <v>590</v>
      </c>
      <c r="J11" s="3031">
        <f t="shared" si="2"/>
        <v>436.5</v>
      </c>
      <c r="K11" s="3032">
        <f t="shared" si="2"/>
        <v>462</v>
      </c>
      <c r="L11" s="3029">
        <f t="shared" si="2"/>
        <v>103.13400000000003</v>
      </c>
      <c r="M11" s="3030">
        <f t="shared" si="2"/>
        <v>98</v>
      </c>
      <c r="N11" s="3031">
        <f t="shared" si="2"/>
        <v>539.34</v>
      </c>
      <c r="O11" s="3031">
        <f t="shared" si="2"/>
        <v>2907.4350000000004</v>
      </c>
      <c r="P11" s="3031">
        <f t="shared" si="2"/>
        <v>104.1</v>
      </c>
      <c r="Q11" s="3031">
        <f t="shared" si="2"/>
        <v>82.9</v>
      </c>
      <c r="R11" s="3032">
        <f t="shared" si="2"/>
        <v>79.8</v>
      </c>
      <c r="S11" s="3033">
        <f t="shared" si="2"/>
        <v>4.5749999999999993</v>
      </c>
      <c r="T11" s="3034">
        <f t="shared" si="2"/>
        <v>6</v>
      </c>
      <c r="U11" s="3031">
        <f t="shared" si="2"/>
        <v>1055.7249999999999</v>
      </c>
      <c r="V11" s="3031">
        <f t="shared" si="2"/>
        <v>1103.125</v>
      </c>
      <c r="W11" s="3031">
        <f t="shared" si="2"/>
        <v>51</v>
      </c>
      <c r="X11" s="3031">
        <f t="shared" si="2"/>
        <v>0</v>
      </c>
      <c r="Y11" s="3032">
        <f t="shared" si="2"/>
        <v>0</v>
      </c>
      <c r="Z11" s="3033">
        <f t="shared" ref="Z11:AM11" si="3">Z12+Z15+Z18+Z30+Z45+Z50+SUM(Z54:Z59)</f>
        <v>0.2</v>
      </c>
      <c r="AA11" s="3034">
        <f t="shared" si="3"/>
        <v>0</v>
      </c>
      <c r="AB11" s="3031">
        <f t="shared" si="3"/>
        <v>1</v>
      </c>
      <c r="AC11" s="3031">
        <f t="shared" si="3"/>
        <v>1</v>
      </c>
      <c r="AD11" s="3031">
        <f t="shared" si="3"/>
        <v>0</v>
      </c>
      <c r="AE11" s="3031">
        <f t="shared" si="3"/>
        <v>0</v>
      </c>
      <c r="AF11" s="3032">
        <f t="shared" si="3"/>
        <v>0</v>
      </c>
      <c r="AG11" s="3033">
        <f t="shared" si="3"/>
        <v>0</v>
      </c>
      <c r="AH11" s="3034">
        <f t="shared" si="3"/>
        <v>0</v>
      </c>
      <c r="AI11" s="3031">
        <f t="shared" si="3"/>
        <v>0</v>
      </c>
      <c r="AJ11" s="3031">
        <f t="shared" si="3"/>
        <v>0</v>
      </c>
      <c r="AK11" s="3031">
        <f t="shared" si="3"/>
        <v>0</v>
      </c>
      <c r="AL11" s="3031">
        <f t="shared" si="3"/>
        <v>0</v>
      </c>
      <c r="AM11" s="3032">
        <f t="shared" si="3"/>
        <v>0</v>
      </c>
      <c r="AN11" s="3033">
        <f t="shared" si="2"/>
        <v>0</v>
      </c>
      <c r="AO11" s="3034">
        <f t="shared" si="2"/>
        <v>189</v>
      </c>
      <c r="AP11" s="3031">
        <f t="shared" si="2"/>
        <v>216.62700000000001</v>
      </c>
      <c r="AQ11" s="3031">
        <f t="shared" si="2"/>
        <v>121</v>
      </c>
      <c r="AR11" s="3031">
        <f t="shared" si="2"/>
        <v>123</v>
      </c>
      <c r="AS11" s="3031">
        <f t="shared" si="2"/>
        <v>115.5</v>
      </c>
      <c r="AT11" s="3032">
        <f t="shared" si="2"/>
        <v>116.5</v>
      </c>
      <c r="AU11" s="3035"/>
      <c r="AV11" s="44"/>
    </row>
    <row r="12" spans="1:48" s="34" customFormat="1">
      <c r="A12" s="3036">
        <v>1</v>
      </c>
      <c r="B12" s="4255">
        <v>201</v>
      </c>
      <c r="C12" s="4238">
        <v>0</v>
      </c>
      <c r="D12" s="3037" t="s">
        <v>222</v>
      </c>
      <c r="E12" s="3038">
        <f>SUM(E13:E14)</f>
        <v>0</v>
      </c>
      <c r="F12" s="3039">
        <f>SUM(F13:F14)</f>
        <v>0</v>
      </c>
      <c r="G12" s="3040">
        <f>SUM(G13:G14)</f>
        <v>0</v>
      </c>
      <c r="H12" s="3040">
        <f>SUM(H13:H14)</f>
        <v>0</v>
      </c>
      <c r="I12" s="3040">
        <f t="shared" ref="I12:K12" si="4">SUM(I13:I14)</f>
        <v>0</v>
      </c>
      <c r="J12" s="3040">
        <f t="shared" si="4"/>
        <v>0</v>
      </c>
      <c r="K12" s="3041">
        <f t="shared" si="4"/>
        <v>0</v>
      </c>
      <c r="L12" s="3038">
        <f>SUM(L13:L14)</f>
        <v>0</v>
      </c>
      <c r="M12" s="3039">
        <f>SUM(M13:M14)</f>
        <v>0</v>
      </c>
      <c r="N12" s="3040">
        <f>SUM(N13:N14)</f>
        <v>0</v>
      </c>
      <c r="O12" s="3040">
        <f>SUM(O13:O14)</f>
        <v>0</v>
      </c>
      <c r="P12" s="3040">
        <f t="shared" ref="P12:R12" si="5">SUM(P13:P14)</f>
        <v>0</v>
      </c>
      <c r="Q12" s="3040">
        <f t="shared" si="5"/>
        <v>0</v>
      </c>
      <c r="R12" s="3041">
        <f t="shared" si="5"/>
        <v>0</v>
      </c>
      <c r="S12" s="3042">
        <f>SUM(S13:S14)</f>
        <v>0.49199999999999999</v>
      </c>
      <c r="T12" s="3043">
        <f>SUM(T13:T14)</f>
        <v>0</v>
      </c>
      <c r="U12" s="3040">
        <f>SUM(U13:U14)</f>
        <v>0</v>
      </c>
      <c r="V12" s="3040">
        <f>SUM(V13:V14)</f>
        <v>0</v>
      </c>
      <c r="W12" s="3040">
        <f t="shared" ref="W12:Y12" si="6">SUM(W13:W14)</f>
        <v>0</v>
      </c>
      <c r="X12" s="3040">
        <f t="shared" si="6"/>
        <v>0</v>
      </c>
      <c r="Y12" s="3041">
        <f t="shared" si="6"/>
        <v>0</v>
      </c>
      <c r="Z12" s="3042">
        <f>SUM(Z13:Z14)</f>
        <v>0</v>
      </c>
      <c r="AA12" s="3043">
        <f>SUM(AA13:AA14)</f>
        <v>0</v>
      </c>
      <c r="AB12" s="3040">
        <f>SUM(AB13:AB14)</f>
        <v>0</v>
      </c>
      <c r="AC12" s="3040">
        <f>SUM(AC13:AC14)</f>
        <v>0</v>
      </c>
      <c r="AD12" s="3040">
        <f t="shared" ref="AD12:AF12" si="7">SUM(AD13:AD14)</f>
        <v>0</v>
      </c>
      <c r="AE12" s="3040">
        <f t="shared" si="7"/>
        <v>0</v>
      </c>
      <c r="AF12" s="3041">
        <f t="shared" si="7"/>
        <v>0</v>
      </c>
      <c r="AG12" s="3042">
        <f>SUM(AG13:AG14)</f>
        <v>0</v>
      </c>
      <c r="AH12" s="3043">
        <f>SUM(AH13:AH14)</f>
        <v>0</v>
      </c>
      <c r="AI12" s="3040">
        <f>SUM(AI13:AI14)</f>
        <v>0</v>
      </c>
      <c r="AJ12" s="3040">
        <f>SUM(AJ13:AJ14)</f>
        <v>0</v>
      </c>
      <c r="AK12" s="3040">
        <f t="shared" ref="AK12:AM12" si="8">SUM(AK13:AK14)</f>
        <v>0</v>
      </c>
      <c r="AL12" s="3040">
        <f t="shared" si="8"/>
        <v>0</v>
      </c>
      <c r="AM12" s="3041">
        <f t="shared" si="8"/>
        <v>0</v>
      </c>
      <c r="AN12" s="3042">
        <f>SUM(AN13:AN14)</f>
        <v>0</v>
      </c>
      <c r="AO12" s="3039">
        <f>SUM(AO13:AO14)</f>
        <v>0</v>
      </c>
      <c r="AP12" s="3040">
        <f>SUM(AP13:AP14)</f>
        <v>0</v>
      </c>
      <c r="AQ12" s="3040">
        <f>SUM(AQ13:AQ14)</f>
        <v>0</v>
      </c>
      <c r="AR12" s="3040">
        <f t="shared" ref="AR12:AT12" si="9">SUM(AR13:AR14)</f>
        <v>0</v>
      </c>
      <c r="AS12" s="3040">
        <f t="shared" si="9"/>
        <v>0</v>
      </c>
      <c r="AT12" s="3041">
        <f t="shared" si="9"/>
        <v>0</v>
      </c>
      <c r="AU12" s="3044"/>
    </row>
    <row r="13" spans="1:48" s="42" customFormat="1">
      <c r="A13" s="3045"/>
      <c r="B13" s="4256">
        <v>20101</v>
      </c>
      <c r="C13" s="4239">
        <v>0</v>
      </c>
      <c r="D13" s="3046" t="s">
        <v>562</v>
      </c>
      <c r="E13" s="3047">
        <f>'11.2. ДА за периода'!E13</f>
        <v>0</v>
      </c>
      <c r="F13" s="2971">
        <f>SUMIF('9.Инвестиционна програма'!$B$12:$B$35,$B13,'9.Инвестиционна програма'!G$12:G$35)*$E$6</f>
        <v>0</v>
      </c>
      <c r="G13" s="1321">
        <f>SUMIF('9.Инвестиционна програма'!$B$12:$B$35,$B13,'9.Инвестиционна програма'!H$12:H$35)*$E$6</f>
        <v>0</v>
      </c>
      <c r="H13" s="1321">
        <f>SUMIF('9.Инвестиционна програма'!$B$12:$B$35,$B13,'9.Инвестиционна програма'!I$12:I$35)*$E$6</f>
        <v>0</v>
      </c>
      <c r="I13" s="1321">
        <f>SUMIF('9.Инвестиционна програма'!$B$12:$B$35,$B13,'9.Инвестиционна програма'!J$12:J$35)*$E$6</f>
        <v>0</v>
      </c>
      <c r="J13" s="1321">
        <f>SUMIF('9.Инвестиционна програма'!$B$12:$B$35,$B13,'9.Инвестиционна програма'!K$12:K$35)*$E$6</f>
        <v>0</v>
      </c>
      <c r="K13" s="1326">
        <f>SUMIF('9.Инвестиционна програма'!$B$12:$B$35,$B13,'9.Инвестиционна програма'!L$12:L$35)*$E$6</f>
        <v>0</v>
      </c>
      <c r="L13" s="3047">
        <f>'11.2. ДА за периода'!L13</f>
        <v>0</v>
      </c>
      <c r="M13" s="1325">
        <f>SUMIF('9.Инвестиционна програма'!$B$37:$B$47,$B13,'9.Инвестиционна програма'!G$37:G$47)*$E$6</f>
        <v>0</v>
      </c>
      <c r="N13" s="1321">
        <f>SUMIF('9.Инвестиционна програма'!$B$37:$B$47,$B13,'9.Инвестиционна програма'!H$37:H$47)*$E$6</f>
        <v>0</v>
      </c>
      <c r="O13" s="1321">
        <f>SUMIF('9.Инвестиционна програма'!$B$37:$B$47,$B13,'9.Инвестиционна програма'!I$37:I$47)*$E$6</f>
        <v>0</v>
      </c>
      <c r="P13" s="1321">
        <f>SUMIF('9.Инвестиционна програма'!$B$37:$B$47,$B13,'9.Инвестиционна програма'!J$37:J$47)*$E$6</f>
        <v>0</v>
      </c>
      <c r="Q13" s="1321">
        <f>SUMIF('9.Инвестиционна програма'!$B$37:$B$47,$B13,'9.Инвестиционна програма'!K$37:K$47)*$E$6</f>
        <v>0</v>
      </c>
      <c r="R13" s="1326">
        <f>SUMIF('9.Инвестиционна програма'!$B$37:$B$47,$B13,'9.Инвестиционна програма'!L$37:L$47)*$E$6</f>
        <v>0</v>
      </c>
      <c r="S13" s="1203">
        <f>'11.2. ДА за периода'!S13</f>
        <v>0.49199999999999999</v>
      </c>
      <c r="T13" s="994">
        <f>SUMIF('9.Инвестиционна програма'!$B$49:$B$56,$B13,'9.Инвестиционна програма'!G$49:G$56)*$E$6</f>
        <v>0</v>
      </c>
      <c r="U13" s="994">
        <f>SUMIF('9.Инвестиционна програма'!$B$49:$B$56,$B13,'9.Инвестиционна програма'!H$49:H$56)*$E$6</f>
        <v>0</v>
      </c>
      <c r="V13" s="994">
        <f>SUMIF('9.Инвестиционна програма'!$B$49:$B$56,$B13,'9.Инвестиционна програма'!I$49:I$56)*$E$6</f>
        <v>0</v>
      </c>
      <c r="W13" s="994">
        <f>SUMIF('9.Инвестиционна програма'!$B$49:$B$56,$B13,'9.Инвестиционна програма'!J$49:J$56)*$E$6</f>
        <v>0</v>
      </c>
      <c r="X13" s="994">
        <f>SUMIF('9.Инвестиционна програма'!$B$49:$B$56,$B13,'9.Инвестиционна програма'!K$49:K$56)*$E$6</f>
        <v>0</v>
      </c>
      <c r="Y13" s="3048">
        <f>SUMIF('9.Инвестиционна програма'!$B$49:$B$56,$B13,'9.Инвестиционна програма'!L$49:L$56)*$E$6</f>
        <v>0</v>
      </c>
      <c r="Z13" s="1203">
        <f>'11.2. ДА за периода'!Z13</f>
        <v>0</v>
      </c>
      <c r="AA13" s="3049">
        <f>SUMIF('9.Инвестиционна програма'!$B$74:$B$97,$B13,'9.Инвестиционна програма'!G$74:G$97)*$E$6</f>
        <v>0</v>
      </c>
      <c r="AB13" s="994">
        <f>SUMIF('9.Инвестиционна програма'!$B$74:$B$97,$B13,'9.Инвестиционна програма'!H$74:H$97)*$E$6</f>
        <v>0</v>
      </c>
      <c r="AC13" s="994">
        <f>SUMIF('9.Инвестиционна програма'!$B$74:$B$97,$B13,'9.Инвестиционна програма'!I$74:I$97)*$E$6</f>
        <v>0</v>
      </c>
      <c r="AD13" s="994">
        <f>SUMIF('9.Инвестиционна програма'!$B$74:$B$97,$B13,'9.Инвестиционна програма'!J$74:J$97)*$E$6</f>
        <v>0</v>
      </c>
      <c r="AE13" s="994">
        <f>SUMIF('9.Инвестиционна програма'!$B$74:$B$97,$B13,'9.Инвестиционна програма'!K$74:K$97)*$E$6</f>
        <v>0</v>
      </c>
      <c r="AF13" s="994">
        <f>SUMIF('9.Инвестиционна програма'!$B$74:$B$97,$B13,'9.Инвестиционна програма'!L$74:L$97)*$E$6</f>
        <v>0</v>
      </c>
      <c r="AG13" s="1203">
        <f>'11.2. ДА за периода'!AG13</f>
        <v>0</v>
      </c>
      <c r="AH13" s="994">
        <f>SUMIF('9.Инвестиционна програма'!$B$100:$B$123,$B13,'9.Инвестиционна програма'!G$100:G$123)*$E$6</f>
        <v>0</v>
      </c>
      <c r="AI13" s="994">
        <f>SUMIF('9.Инвестиционна програма'!$B$100:$B$123,$B13,'9.Инвестиционна програма'!H$100:H$123)*$E$6</f>
        <v>0</v>
      </c>
      <c r="AJ13" s="994">
        <f>SUMIF('9.Инвестиционна програма'!$B$100:$B$123,$B13,'9.Инвестиционна програма'!I$100:I$123)*$E$6</f>
        <v>0</v>
      </c>
      <c r="AK13" s="994">
        <f>SUMIF('9.Инвестиционна програма'!$B$100:$B$123,$B13,'9.Инвестиционна програма'!J$100:J$123)*$E$6</f>
        <v>0</v>
      </c>
      <c r="AL13" s="994">
        <f>SUMIF('9.Инвестиционна програма'!$B$100:$B$123,$B13,'9.Инвестиционна програма'!K$100:K$123)*$E$6</f>
        <v>0</v>
      </c>
      <c r="AM13" s="994">
        <f>SUMIF('9.Инвестиционна програма'!$B$100:$B$123,$B13,'9.Инвестиционна програма'!L$100:L$123)*$E$6</f>
        <v>0</v>
      </c>
      <c r="AN13" s="1203">
        <f>'11.2. ДА за периода'!AN13</f>
        <v>0</v>
      </c>
      <c r="AO13" s="1325">
        <f>(SUMIF('9.Инвестиционна програма'!$B$58:$B$59,$B13,'9.Инвестиционна програма'!G$58:G$59)+SUMIF('9.Инвестиционна програма'!$B$61:$B$71,$B13,'9.Инвестиционна програма'!G$61:G$71))*$E$6</f>
        <v>0</v>
      </c>
      <c r="AP13" s="996">
        <f>(SUMIF('9.Инвестиционна програма'!$B$58:$B$59,$B13,'9.Инвестиционна програма'!H$58:H$59)+SUMIF('9.Инвестиционна програма'!$B$61:$B$71,$B13,'9.Инвестиционна програма'!H$61:H$71))*$E$6</f>
        <v>0</v>
      </c>
      <c r="AQ13" s="996">
        <f>(SUMIF('9.Инвестиционна програма'!$B$58:$B$59,$B13,'9.Инвестиционна програма'!I$58:I$59)+SUMIF('9.Инвестиционна програма'!$B$61:$B$71,$B13,'9.Инвестиционна програма'!I$61:I$71))*$E$6</f>
        <v>0</v>
      </c>
      <c r="AR13" s="996">
        <f>(SUMIF('9.Инвестиционна програма'!$B$58:$B$59,$B13,'9.Инвестиционна програма'!J$58:J$59)+SUMIF('9.Инвестиционна програма'!$B$61:$B$71,$B13,'9.Инвестиционна програма'!J$61:J$71))*$E$6</f>
        <v>0</v>
      </c>
      <c r="AS13" s="996">
        <f>(SUMIF('9.Инвестиционна програма'!$B$58:$B$59,$B13,'9.Инвестиционна програма'!K$58:K$59)+SUMIF('9.Инвестиционна програма'!$B$61:$B$71,$B13,'9.Инвестиционна програма'!K$61:K$71))*$E$6</f>
        <v>0</v>
      </c>
      <c r="AT13" s="3050">
        <f>(SUMIF('9.Инвестиционна програма'!$B$58:$B$59,$B13,'9.Инвестиционна програма'!L$58:L$59)+SUMIF('9.Инвестиционна програма'!$B$61:$B$71,$B13,'9.Инвестиционна програма'!L$61:L$71))*$E$6</f>
        <v>0</v>
      </c>
      <c r="AU13" s="3051"/>
    </row>
    <row r="14" spans="1:48" s="42" customFormat="1">
      <c r="A14" s="3045"/>
      <c r="B14" s="4257">
        <v>20102</v>
      </c>
      <c r="C14" s="4240">
        <v>0</v>
      </c>
      <c r="D14" s="3052" t="s">
        <v>564</v>
      </c>
      <c r="E14" s="3047">
        <f>'11.2. ДА за периода'!E14</f>
        <v>0</v>
      </c>
      <c r="F14" s="1325">
        <f>SUMIF('9.Инвестиционна програма'!$B$12:$B$35,$B14,'9.Инвестиционна програма'!G$12:G$35)*$E$6</f>
        <v>0</v>
      </c>
      <c r="G14" s="1321">
        <f>SUMIF('9.Инвестиционна програма'!$B$12:$B$35,$B14,'9.Инвестиционна програма'!H$12:H$35)*$E$6</f>
        <v>0</v>
      </c>
      <c r="H14" s="1321">
        <f>SUMIF('9.Инвестиционна програма'!$B$12:$B$35,$B14,'9.Инвестиционна програма'!I$12:I$35)*$E$6</f>
        <v>0</v>
      </c>
      <c r="I14" s="1321">
        <f>SUMIF('9.Инвестиционна програма'!$B$12:$B$35,$B14,'9.Инвестиционна програма'!J$12:J$35)*$E$6</f>
        <v>0</v>
      </c>
      <c r="J14" s="1321">
        <f>SUMIF('9.Инвестиционна програма'!$B$12:$B$35,$B14,'9.Инвестиционна програма'!K$12:K$35)*$E$6</f>
        <v>0</v>
      </c>
      <c r="K14" s="1326">
        <f>SUMIF('9.Инвестиционна програма'!$B$12:$B$35,$B14,'9.Инвестиционна програма'!L$12:L$35)*$E$6</f>
        <v>0</v>
      </c>
      <c r="L14" s="3047">
        <f>'11.2. ДА за периода'!L14</f>
        <v>0</v>
      </c>
      <c r="M14" s="1329">
        <f>SUMIF('9.Инвестиционна програма'!$B$37:$B$47,$B14,'9.Инвестиционна програма'!G$37:G$47)*$E$6</f>
        <v>0</v>
      </c>
      <c r="N14" s="1323">
        <f>SUMIF('9.Инвестиционна програма'!$B$37:$B$47,$B14,'9.Инвестиционна програма'!H$37:H$47)*$E$6</f>
        <v>0</v>
      </c>
      <c r="O14" s="1323">
        <f>SUMIF('9.Инвестиционна програма'!$B$37:$B$47,$B14,'9.Инвестиционна програма'!I$37:I$47)*$E$6</f>
        <v>0</v>
      </c>
      <c r="P14" s="1323">
        <f>SUMIF('9.Инвестиционна програма'!$B$37:$B$47,$B14,'9.Инвестиционна програма'!J$37:J$47)*$E$6</f>
        <v>0</v>
      </c>
      <c r="Q14" s="1323">
        <f>SUMIF('9.Инвестиционна програма'!$B$37:$B$47,$B14,'9.Инвестиционна програма'!K$37:K$47)*$E$6</f>
        <v>0</v>
      </c>
      <c r="R14" s="1324">
        <f>SUMIF('9.Инвестиционна програма'!$B$37:$B$47,$B14,'9.Инвестиционна програма'!L$37:L$47)*$E$6</f>
        <v>0</v>
      </c>
      <c r="S14" s="1203">
        <f>'11.2. ДА за периода'!S14</f>
        <v>0</v>
      </c>
      <c r="T14" s="994">
        <f>SUMIF('9.Инвестиционна програма'!$B$49:$B$56,$B14,'9.Инвестиционна програма'!G$49:G$56)*$E$6</f>
        <v>0</v>
      </c>
      <c r="U14" s="994">
        <f>SUMIF('9.Инвестиционна програма'!$B$49:$B$56,$B14,'9.Инвестиционна програма'!H$49:H$56)*$E$6</f>
        <v>0</v>
      </c>
      <c r="V14" s="994">
        <f>SUMIF('9.Инвестиционна програма'!$B$49:$B$56,$B14,'9.Инвестиционна програма'!I$49:I$56)*$E$6</f>
        <v>0</v>
      </c>
      <c r="W14" s="994">
        <f>SUMIF('9.Инвестиционна програма'!$B$49:$B$56,$B14,'9.Инвестиционна програма'!J$49:J$56)*$E$6</f>
        <v>0</v>
      </c>
      <c r="X14" s="994">
        <f>SUMIF('9.Инвестиционна програма'!$B$49:$B$56,$B14,'9.Инвестиционна програма'!K$49:K$56)*$E$6</f>
        <v>0</v>
      </c>
      <c r="Y14" s="3048">
        <f>SUMIF('9.Инвестиционна програма'!$B$49:$B$56,$B14,'9.Инвестиционна програма'!L$49:L$56)*$E$6</f>
        <v>0</v>
      </c>
      <c r="Z14" s="1203">
        <f>'11.2. ДА за периода'!Z14</f>
        <v>0</v>
      </c>
      <c r="AA14" s="994">
        <f>SUMIF('9.Инвестиционна програма'!$B$74:$B$97,$B14,'9.Инвестиционна програма'!G$74:G$97)*$E$6</f>
        <v>0</v>
      </c>
      <c r="AB14" s="994">
        <f>SUMIF('9.Инвестиционна програма'!$B$74:$B$97,$B14,'9.Инвестиционна програма'!H$74:H$97)*$E$6</f>
        <v>0</v>
      </c>
      <c r="AC14" s="994">
        <f>SUMIF('9.Инвестиционна програма'!$B$74:$B$97,$B14,'9.Инвестиционна програма'!I$74:I$97)*$E$6</f>
        <v>0</v>
      </c>
      <c r="AD14" s="994">
        <f>SUMIF('9.Инвестиционна програма'!$B$74:$B$97,$B14,'9.Инвестиционна програма'!J$74:J$97)*$E$6</f>
        <v>0</v>
      </c>
      <c r="AE14" s="994">
        <f>SUMIF('9.Инвестиционна програма'!$B$74:$B$97,$B14,'9.Инвестиционна програма'!K$74:K$97)*$E$6</f>
        <v>0</v>
      </c>
      <c r="AF14" s="994">
        <f>SUMIF('9.Инвестиционна програма'!$B$74:$B$97,$B14,'9.Инвестиционна програма'!L$74:L$97)*$E$6</f>
        <v>0</v>
      </c>
      <c r="AG14" s="1203">
        <f>'11.2. ДА за периода'!AG14</f>
        <v>0</v>
      </c>
      <c r="AH14" s="994">
        <f>SUMIF('9.Инвестиционна програма'!$B$100:$B$123,$B14,'9.Инвестиционна програма'!G$100:G$123)*$E$6</f>
        <v>0</v>
      </c>
      <c r="AI14" s="994">
        <f>SUMIF('9.Инвестиционна програма'!$B$100:$B$123,$B14,'9.Инвестиционна програма'!H$100:H$123)*$E$6</f>
        <v>0</v>
      </c>
      <c r="AJ14" s="994">
        <f>SUMIF('9.Инвестиционна програма'!$B$100:$B$123,$B14,'9.Инвестиционна програма'!I$100:I$123)*$E$6</f>
        <v>0</v>
      </c>
      <c r="AK14" s="994">
        <f>SUMIF('9.Инвестиционна програма'!$B$100:$B$123,$B14,'9.Инвестиционна програма'!J$100:J$123)*$E$6</f>
        <v>0</v>
      </c>
      <c r="AL14" s="994">
        <f>SUMIF('9.Инвестиционна програма'!$B$100:$B$123,$B14,'9.Инвестиционна програма'!K$100:K$123)*$E$6</f>
        <v>0</v>
      </c>
      <c r="AM14" s="994">
        <f>SUMIF('9.Инвестиционна програма'!$B$100:$B$123,$B14,'9.Инвестиционна програма'!L$100:L$123)*$E$6</f>
        <v>0</v>
      </c>
      <c r="AN14" s="1203">
        <f>'11.2. ДА за периода'!AN14</f>
        <v>0</v>
      </c>
      <c r="AO14" s="1329">
        <f>(SUMIF('9.Инвестиционна програма'!$B$58:$B$59,$B14,'9.Инвестиционна програма'!G$58:G$59)+SUMIF('9.Инвестиционна програма'!$B$61:$B$71,$B14,'9.Инвестиционна програма'!G$61:G$71))*$E$6</f>
        <v>0</v>
      </c>
      <c r="AP14" s="994">
        <f>(SUMIF('9.Инвестиционна програма'!$B$58:$B$59,$B14,'9.Инвестиционна програма'!H$58:H$59)+SUMIF('9.Инвестиционна програма'!$B$61:$B$71,$B14,'9.Инвестиционна програма'!H$61:H$71))*$E$6</f>
        <v>0</v>
      </c>
      <c r="AQ14" s="994">
        <f>(SUMIF('9.Инвестиционна програма'!$B$58:$B$59,$B14,'9.Инвестиционна програма'!I$58:I$59)+SUMIF('9.Инвестиционна програма'!$B$61:$B$71,$B14,'9.Инвестиционна програма'!I$61:I$71))*$E$6</f>
        <v>0</v>
      </c>
      <c r="AR14" s="994">
        <f>(SUMIF('9.Инвестиционна програма'!$B$58:$B$59,$B14,'9.Инвестиционна програма'!J$58:J$59)+SUMIF('9.Инвестиционна програма'!$B$61:$B$71,$B14,'9.Инвестиционна програма'!J$61:J$71))*$E$6</f>
        <v>0</v>
      </c>
      <c r="AS14" s="994">
        <f>(SUMIF('9.Инвестиционна програма'!$B$58:$B$59,$B14,'9.Инвестиционна програма'!K$58:K$59)+SUMIF('9.Инвестиционна програма'!$B$61:$B$71,$B14,'9.Инвестиционна програма'!K$61:K$71))*$E$6</f>
        <v>0</v>
      </c>
      <c r="AT14" s="3048">
        <f>(SUMIF('9.Инвестиционна програма'!$B$58:$B$59,$B14,'9.Инвестиционна програма'!L$58:L$59)+SUMIF('9.Инвестиционна програма'!$B$61:$B$71,$B14,'9.Инвестиционна програма'!L$61:L$71))*$E$6</f>
        <v>0</v>
      </c>
      <c r="AU14" s="3006"/>
    </row>
    <row r="15" spans="1:48" s="34" customFormat="1">
      <c r="A15" s="3053">
        <v>2</v>
      </c>
      <c r="B15" s="4258">
        <v>202</v>
      </c>
      <c r="C15" s="4241">
        <v>0.03</v>
      </c>
      <c r="D15" s="3054" t="s">
        <v>409</v>
      </c>
      <c r="E15" s="3055">
        <f>SUM(E16:E17)</f>
        <v>13.571</v>
      </c>
      <c r="F15" s="3056">
        <f>SUM(F16:F17)</f>
        <v>0</v>
      </c>
      <c r="G15" s="3057">
        <f t="shared" ref="G15:AT15" si="10">SUM(G16:G17)</f>
        <v>0</v>
      </c>
      <c r="H15" s="3057">
        <f t="shared" si="10"/>
        <v>0</v>
      </c>
      <c r="I15" s="3057">
        <f t="shared" si="10"/>
        <v>0</v>
      </c>
      <c r="J15" s="3057">
        <f t="shared" si="10"/>
        <v>0</v>
      </c>
      <c r="K15" s="3058">
        <f t="shared" si="10"/>
        <v>0</v>
      </c>
      <c r="L15" s="3055">
        <f t="shared" si="10"/>
        <v>1.1040000000000001</v>
      </c>
      <c r="M15" s="3056">
        <f t="shared" si="10"/>
        <v>0</v>
      </c>
      <c r="N15" s="3057">
        <f t="shared" si="10"/>
        <v>0</v>
      </c>
      <c r="O15" s="3057">
        <f t="shared" si="10"/>
        <v>0</v>
      </c>
      <c r="P15" s="3057">
        <f t="shared" si="10"/>
        <v>0</v>
      </c>
      <c r="Q15" s="3057">
        <f t="shared" si="10"/>
        <v>0</v>
      </c>
      <c r="R15" s="3058">
        <f t="shared" si="10"/>
        <v>0</v>
      </c>
      <c r="S15" s="3053">
        <f t="shared" si="10"/>
        <v>0</v>
      </c>
      <c r="T15" s="3059">
        <f t="shared" si="10"/>
        <v>0</v>
      </c>
      <c r="U15" s="3057">
        <f t="shared" si="10"/>
        <v>0</v>
      </c>
      <c r="V15" s="3057">
        <f t="shared" si="10"/>
        <v>0</v>
      </c>
      <c r="W15" s="3057">
        <f t="shared" si="10"/>
        <v>0</v>
      </c>
      <c r="X15" s="3057">
        <f t="shared" si="10"/>
        <v>0</v>
      </c>
      <c r="Y15" s="3058">
        <f t="shared" si="10"/>
        <v>0</v>
      </c>
      <c r="Z15" s="3053">
        <f t="shared" si="10"/>
        <v>2.1000000000000001E-2</v>
      </c>
      <c r="AA15" s="3059">
        <f t="shared" si="10"/>
        <v>0</v>
      </c>
      <c r="AB15" s="3057">
        <f t="shared" si="10"/>
        <v>0</v>
      </c>
      <c r="AC15" s="3057">
        <f t="shared" si="10"/>
        <v>0</v>
      </c>
      <c r="AD15" s="3057">
        <f t="shared" si="10"/>
        <v>0</v>
      </c>
      <c r="AE15" s="3057">
        <f t="shared" si="10"/>
        <v>0</v>
      </c>
      <c r="AF15" s="3058">
        <f t="shared" si="10"/>
        <v>0</v>
      </c>
      <c r="AG15" s="3053">
        <f t="shared" si="10"/>
        <v>0</v>
      </c>
      <c r="AH15" s="3059">
        <f t="shared" si="10"/>
        <v>0</v>
      </c>
      <c r="AI15" s="3057">
        <f t="shared" si="10"/>
        <v>0</v>
      </c>
      <c r="AJ15" s="3057">
        <f t="shared" si="10"/>
        <v>0</v>
      </c>
      <c r="AK15" s="3057">
        <f t="shared" si="10"/>
        <v>0</v>
      </c>
      <c r="AL15" s="3057">
        <f t="shared" si="10"/>
        <v>0</v>
      </c>
      <c r="AM15" s="3058">
        <f t="shared" si="10"/>
        <v>0</v>
      </c>
      <c r="AN15" s="3053">
        <f t="shared" si="10"/>
        <v>0</v>
      </c>
      <c r="AO15" s="3059">
        <f t="shared" si="10"/>
        <v>15</v>
      </c>
      <c r="AP15" s="3057">
        <f t="shared" si="10"/>
        <v>8</v>
      </c>
      <c r="AQ15" s="3057">
        <f t="shared" si="10"/>
        <v>17</v>
      </c>
      <c r="AR15" s="3057">
        <f t="shared" si="10"/>
        <v>13</v>
      </c>
      <c r="AS15" s="3057">
        <f t="shared" si="10"/>
        <v>2</v>
      </c>
      <c r="AT15" s="3058">
        <f t="shared" si="10"/>
        <v>16</v>
      </c>
      <c r="AU15" s="3044"/>
    </row>
    <row r="16" spans="1:48">
      <c r="A16" s="3060"/>
      <c r="B16" s="4259">
        <v>20201</v>
      </c>
      <c r="C16" s="4242">
        <v>0.03</v>
      </c>
      <c r="D16" s="3061" t="s">
        <v>430</v>
      </c>
      <c r="E16" s="3047">
        <f>'11.2. ДА за периода'!E16</f>
        <v>2.34</v>
      </c>
      <c r="F16" s="1325">
        <f>SUMIF('9.Инвестиционна програма'!$B$12:$B$35,$B16,'9.Инвестиционна програма'!G$12:G$35)*$E$6</f>
        <v>0</v>
      </c>
      <c r="G16" s="1321">
        <f>SUMIF('9.Инвестиционна програма'!$B$12:$B$35,$B16,'9.Инвестиционна програма'!H$12:H$35)*$E$6</f>
        <v>0</v>
      </c>
      <c r="H16" s="1321">
        <f>SUMIF('9.Инвестиционна програма'!$B$12:$B$35,$B16,'9.Инвестиционна програма'!I$12:I$35)*$E$6</f>
        <v>0</v>
      </c>
      <c r="I16" s="1321">
        <f>SUMIF('9.Инвестиционна програма'!$B$12:$B$35,$B16,'9.Инвестиционна програма'!J$12:J$35)*$E$6</f>
        <v>0</v>
      </c>
      <c r="J16" s="1321">
        <f>SUMIF('9.Инвестиционна програма'!$B$12:$B$35,$B16,'9.Инвестиционна програма'!K$12:K$35)*$E$6</f>
        <v>0</v>
      </c>
      <c r="K16" s="1326">
        <f>SUMIF('9.Инвестиционна програма'!$B$12:$B$35,$B16,'9.Инвестиционна програма'!L$12:L$35)*$E$6</f>
        <v>0</v>
      </c>
      <c r="L16" s="3047">
        <f>'11.2. ДА за периода'!L16</f>
        <v>1.1040000000000001</v>
      </c>
      <c r="M16" s="1329">
        <f>SUMIF('9.Инвестиционна програма'!$B$37:$B$47,$B16,'9.Инвестиционна програма'!G$37:G$47)*$E$6</f>
        <v>0</v>
      </c>
      <c r="N16" s="1323">
        <f>SUMIF('9.Инвестиционна програма'!$B$37:$B$47,$B16,'9.Инвестиционна програма'!H$37:H$47)*$E$6</f>
        <v>0</v>
      </c>
      <c r="O16" s="1323">
        <f>SUMIF('9.Инвестиционна програма'!$B$37:$B$47,$B16,'9.Инвестиционна програма'!I$37:I$47)*$E$6</f>
        <v>0</v>
      </c>
      <c r="P16" s="1323">
        <f>SUMIF('9.Инвестиционна програма'!$B$37:$B$47,$B16,'9.Инвестиционна програма'!J$37:J$47)*$E$6</f>
        <v>0</v>
      </c>
      <c r="Q16" s="1323">
        <f>SUMIF('9.Инвестиционна програма'!$B$37:$B$47,$B16,'9.Инвестиционна програма'!K$37:K$47)*$E$6</f>
        <v>0</v>
      </c>
      <c r="R16" s="1324">
        <f>SUMIF('9.Инвестиционна програма'!$B$37:$B$47,$B16,'9.Инвестиционна програма'!L$37:L$47)*$E$6</f>
        <v>0</v>
      </c>
      <c r="S16" s="1203">
        <f>'11.2. ДА за периода'!S16</f>
        <v>0</v>
      </c>
      <c r="T16" s="994">
        <f>SUMIF('9.Инвестиционна програма'!$B$49:$B$56,$B16,'9.Инвестиционна програма'!G$49:G$56)*$E$6</f>
        <v>0</v>
      </c>
      <c r="U16" s="994">
        <f>SUMIF('9.Инвестиционна програма'!$B$49:$B$56,$B16,'9.Инвестиционна програма'!H$49:H$56)*$E$6</f>
        <v>0</v>
      </c>
      <c r="V16" s="994">
        <f>SUMIF('9.Инвестиционна програма'!$B$49:$B$56,$B16,'9.Инвестиционна програма'!I$49:I$56)*$E$6</f>
        <v>0</v>
      </c>
      <c r="W16" s="994">
        <f>SUMIF('9.Инвестиционна програма'!$B$49:$B$56,$B16,'9.Инвестиционна програма'!J$49:J$56)*$E$6</f>
        <v>0</v>
      </c>
      <c r="X16" s="994">
        <f>SUMIF('9.Инвестиционна програма'!$B$49:$B$56,$B16,'9.Инвестиционна програма'!K$49:K$56)*$E$6</f>
        <v>0</v>
      </c>
      <c r="Y16" s="3048">
        <f>SUMIF('9.Инвестиционна програма'!$B$49:$B$56,$B16,'9.Инвестиционна програма'!L$49:L$56)*$E$6</f>
        <v>0</v>
      </c>
      <c r="Z16" s="1203">
        <f>'11.2. ДА за периода'!Z16</f>
        <v>2.1000000000000001E-2</v>
      </c>
      <c r="AA16" s="994">
        <f>SUMIF('9.Инвестиционна програма'!$B$74:$B$97,$B16,'9.Инвестиционна програма'!G$74:G$97)*$E$6</f>
        <v>0</v>
      </c>
      <c r="AB16" s="994">
        <f>SUMIF('9.Инвестиционна програма'!$B$74:$B$97,$B16,'9.Инвестиционна програма'!H$74:H$97)*$E$6</f>
        <v>0</v>
      </c>
      <c r="AC16" s="994">
        <f>SUMIF('9.Инвестиционна програма'!$B$74:$B$97,$B16,'9.Инвестиционна програма'!I$74:I$97)*$E$6</f>
        <v>0</v>
      </c>
      <c r="AD16" s="994">
        <f>SUMIF('9.Инвестиционна програма'!$B$74:$B$97,$B16,'9.Инвестиционна програма'!J$74:J$97)*$E$6</f>
        <v>0</v>
      </c>
      <c r="AE16" s="994">
        <f>SUMIF('9.Инвестиционна програма'!$B$74:$B$97,$B16,'9.Инвестиционна програма'!K$74:K$97)*$E$6</f>
        <v>0</v>
      </c>
      <c r="AF16" s="994">
        <f>SUMIF('9.Инвестиционна програма'!$B$74:$B$97,$B16,'9.Инвестиционна програма'!L$74:L$97)*$E$6</f>
        <v>0</v>
      </c>
      <c r="AG16" s="1203">
        <f>'11.2. ДА за периода'!AG16</f>
        <v>0</v>
      </c>
      <c r="AH16" s="994">
        <f>SUMIF('9.Инвестиционна програма'!$B$100:$B$123,$B16,'9.Инвестиционна програма'!G$100:G$123)*$E$6</f>
        <v>0</v>
      </c>
      <c r="AI16" s="994">
        <f>SUMIF('9.Инвестиционна програма'!$B$100:$B$123,$B16,'9.Инвестиционна програма'!H$100:H$123)*$E$6</f>
        <v>0</v>
      </c>
      <c r="AJ16" s="994">
        <f>SUMIF('9.Инвестиционна програма'!$B$100:$B$123,$B16,'9.Инвестиционна програма'!I$100:I$123)*$E$6</f>
        <v>0</v>
      </c>
      <c r="AK16" s="994">
        <f>SUMIF('9.Инвестиционна програма'!$B$100:$B$123,$B16,'9.Инвестиционна програма'!J$100:J$123)*$E$6</f>
        <v>0</v>
      </c>
      <c r="AL16" s="994">
        <f>SUMIF('9.Инвестиционна програма'!$B$100:$B$123,$B16,'9.Инвестиционна програма'!K$100:K$123)*$E$6</f>
        <v>0</v>
      </c>
      <c r="AM16" s="994">
        <f>SUMIF('9.Инвестиционна програма'!$B$100:$B$123,$B16,'9.Инвестиционна програма'!L$100:L$123)*$E$6</f>
        <v>0</v>
      </c>
      <c r="AN16" s="1203">
        <f>'11.2. ДА за периода'!AN16</f>
        <v>0</v>
      </c>
      <c r="AO16" s="1329">
        <f>(SUMIF('9.Инвестиционна програма'!$B$58:$B$59,$B16,'9.Инвестиционна програма'!G$58:G$59)+SUMIF('9.Инвестиционна програма'!$B$61:$B$71,$B16,'9.Инвестиционна програма'!G$61:G$71))*$E$6</f>
        <v>15</v>
      </c>
      <c r="AP16" s="994">
        <f>(SUMIF('9.Инвестиционна програма'!$B$58:$B$59,$B16,'9.Инвестиционна програма'!H$58:H$59)+SUMIF('9.Инвестиционна програма'!$B$61:$B$71,$B16,'9.Инвестиционна програма'!H$61:H$71))*$E$6</f>
        <v>8</v>
      </c>
      <c r="AQ16" s="994">
        <f>(SUMIF('9.Инвестиционна програма'!$B$58:$B$59,$B16,'9.Инвестиционна програма'!I$58:I$59)+SUMIF('9.Инвестиционна програма'!$B$61:$B$71,$B16,'9.Инвестиционна програма'!I$61:I$71))*$E$6</f>
        <v>17</v>
      </c>
      <c r="AR16" s="994">
        <f>(SUMIF('9.Инвестиционна програма'!$B$58:$B$59,$B16,'9.Инвестиционна програма'!J$58:J$59)+SUMIF('9.Инвестиционна програма'!$B$61:$B$71,$B16,'9.Инвестиционна програма'!J$61:J$71))*$E$6</f>
        <v>13</v>
      </c>
      <c r="AS16" s="994">
        <f>(SUMIF('9.Инвестиционна програма'!$B$58:$B$59,$B16,'9.Инвестиционна програма'!K$58:K$59)+SUMIF('9.Инвестиционна програма'!$B$61:$B$71,$B16,'9.Инвестиционна програма'!K$61:K$71))*$E$6</f>
        <v>2</v>
      </c>
      <c r="AT16" s="3048">
        <f>(SUMIF('9.Инвестиционна програма'!$B$58:$B$59,$B16,'9.Инвестиционна програма'!L$58:L$59)+SUMIF('9.Инвестиционна програма'!$B$61:$B$71,$B16,'9.Инвестиционна програма'!L$61:L$71))*$E$6</f>
        <v>16</v>
      </c>
      <c r="AU16" s="3006"/>
    </row>
    <row r="17" spans="1:47">
      <c r="A17" s="3060"/>
      <c r="B17" s="4259">
        <v>20202</v>
      </c>
      <c r="C17" s="4242">
        <v>0.03</v>
      </c>
      <c r="D17" s="3061" t="s">
        <v>431</v>
      </c>
      <c r="E17" s="3047">
        <f>'11.2. ДА за периода'!E17</f>
        <v>11.231</v>
      </c>
      <c r="F17" s="1325">
        <f>SUMIF('9.Инвестиционна програма'!$B$12:$B$35,$B17,'9.Инвестиционна програма'!G$12:G$35)*$E$6</f>
        <v>0</v>
      </c>
      <c r="G17" s="1321">
        <f>SUMIF('9.Инвестиционна програма'!$B$12:$B$35,$B17,'9.Инвестиционна програма'!H$12:H$35)*$E$6</f>
        <v>0</v>
      </c>
      <c r="H17" s="1321">
        <f>SUMIF('9.Инвестиционна програма'!$B$12:$B$35,$B17,'9.Инвестиционна програма'!I$12:I$35)*$E$6</f>
        <v>0</v>
      </c>
      <c r="I17" s="1321">
        <f>SUMIF('9.Инвестиционна програма'!$B$12:$B$35,$B17,'9.Инвестиционна програма'!J$12:J$35)*$E$6</f>
        <v>0</v>
      </c>
      <c r="J17" s="1321">
        <f>SUMIF('9.Инвестиционна програма'!$B$12:$B$35,$B17,'9.Инвестиционна програма'!K$12:K$35)*$E$6</f>
        <v>0</v>
      </c>
      <c r="K17" s="1326">
        <f>SUMIF('9.Инвестиционна програма'!$B$12:$B$35,$B17,'9.Инвестиционна програма'!L$12:L$35)*$E$6</f>
        <v>0</v>
      </c>
      <c r="L17" s="3047">
        <f>'11.2. ДА за периода'!L17</f>
        <v>0</v>
      </c>
      <c r="M17" s="1329">
        <f>SUMIF('9.Инвестиционна програма'!$B$37:$B$47,$B17,'9.Инвестиционна програма'!G$37:G$47)*$E$6</f>
        <v>0</v>
      </c>
      <c r="N17" s="1323">
        <f>SUMIF('9.Инвестиционна програма'!$B$37:$B$47,$B17,'9.Инвестиционна програма'!H$37:H$47)*$E$6</f>
        <v>0</v>
      </c>
      <c r="O17" s="1323">
        <f>SUMIF('9.Инвестиционна програма'!$B$37:$B$47,$B17,'9.Инвестиционна програма'!I$37:I$47)*$E$6</f>
        <v>0</v>
      </c>
      <c r="P17" s="1323">
        <f>SUMIF('9.Инвестиционна програма'!$B$37:$B$47,$B17,'9.Инвестиционна програма'!J$37:J$47)*$E$6</f>
        <v>0</v>
      </c>
      <c r="Q17" s="1323">
        <f>SUMIF('9.Инвестиционна програма'!$B$37:$B$47,$B17,'9.Инвестиционна програма'!K$37:K$47)*$E$6</f>
        <v>0</v>
      </c>
      <c r="R17" s="1324">
        <f>SUMIF('9.Инвестиционна програма'!$B$37:$B$47,$B17,'9.Инвестиционна програма'!L$37:L$47)*$E$6</f>
        <v>0</v>
      </c>
      <c r="S17" s="1203">
        <f>'11.2. ДА за периода'!S17</f>
        <v>0</v>
      </c>
      <c r="T17" s="994">
        <f>SUMIF('9.Инвестиционна програма'!$B$49:$B$56,$B17,'9.Инвестиционна програма'!G$49:G$56)*$E$6</f>
        <v>0</v>
      </c>
      <c r="U17" s="994">
        <f>SUMIF('9.Инвестиционна програма'!$B$49:$B$56,$B17,'9.Инвестиционна програма'!H$49:H$56)*$E$6</f>
        <v>0</v>
      </c>
      <c r="V17" s="994">
        <f>SUMIF('9.Инвестиционна програма'!$B$49:$B$56,$B17,'9.Инвестиционна програма'!I$49:I$56)*$E$6</f>
        <v>0</v>
      </c>
      <c r="W17" s="994">
        <f>SUMIF('9.Инвестиционна програма'!$B$49:$B$56,$B17,'9.Инвестиционна програма'!J$49:J$56)*$E$6</f>
        <v>0</v>
      </c>
      <c r="X17" s="994">
        <f>SUMIF('9.Инвестиционна програма'!$B$49:$B$56,$B17,'9.Инвестиционна програма'!K$49:K$56)*$E$6</f>
        <v>0</v>
      </c>
      <c r="Y17" s="3048">
        <f>SUMIF('9.Инвестиционна програма'!$B$49:$B$56,$B17,'9.Инвестиционна програма'!L$49:L$56)*$E$6</f>
        <v>0</v>
      </c>
      <c r="Z17" s="1203">
        <f>'11.2. ДА за периода'!Z17</f>
        <v>0</v>
      </c>
      <c r="AA17" s="994">
        <f>SUMIF('9.Инвестиционна програма'!$B$74:$B$97,$B17,'9.Инвестиционна програма'!G$74:G$97)*$E$6</f>
        <v>0</v>
      </c>
      <c r="AB17" s="994">
        <f>SUMIF('9.Инвестиционна програма'!$B$74:$B$97,$B17,'9.Инвестиционна програма'!H$74:H$97)*$E$6</f>
        <v>0</v>
      </c>
      <c r="AC17" s="994">
        <f>SUMIF('9.Инвестиционна програма'!$B$74:$B$97,$B17,'9.Инвестиционна програма'!I$74:I$97)*$E$6</f>
        <v>0</v>
      </c>
      <c r="AD17" s="994">
        <f>SUMIF('9.Инвестиционна програма'!$B$74:$B$97,$B17,'9.Инвестиционна програма'!J$74:J$97)*$E$6</f>
        <v>0</v>
      </c>
      <c r="AE17" s="994">
        <f>SUMIF('9.Инвестиционна програма'!$B$74:$B$97,$B17,'9.Инвестиционна програма'!K$74:K$97)*$E$6</f>
        <v>0</v>
      </c>
      <c r="AF17" s="994">
        <f>SUMIF('9.Инвестиционна програма'!$B$74:$B$97,$B17,'9.Инвестиционна програма'!L$74:L$97)*$E$6</f>
        <v>0</v>
      </c>
      <c r="AG17" s="1203">
        <f>'11.2. ДА за периода'!AG17</f>
        <v>0</v>
      </c>
      <c r="AH17" s="994">
        <f>SUMIF('9.Инвестиционна програма'!$B$100:$B$123,$B17,'9.Инвестиционна програма'!G$100:G$123)*$E$6</f>
        <v>0</v>
      </c>
      <c r="AI17" s="994">
        <f>SUMIF('9.Инвестиционна програма'!$B$100:$B$123,$B17,'9.Инвестиционна програма'!H$100:H$123)*$E$6</f>
        <v>0</v>
      </c>
      <c r="AJ17" s="994">
        <f>SUMIF('9.Инвестиционна програма'!$B$100:$B$123,$B17,'9.Инвестиционна програма'!I$100:I$123)*$E$6</f>
        <v>0</v>
      </c>
      <c r="AK17" s="994">
        <f>SUMIF('9.Инвестиционна програма'!$B$100:$B$123,$B17,'9.Инвестиционна програма'!J$100:J$123)*$E$6</f>
        <v>0</v>
      </c>
      <c r="AL17" s="994">
        <f>SUMIF('9.Инвестиционна програма'!$B$100:$B$123,$B17,'9.Инвестиционна програма'!K$100:K$123)*$E$6</f>
        <v>0</v>
      </c>
      <c r="AM17" s="994">
        <f>SUMIF('9.Инвестиционна програма'!$B$100:$B$123,$B17,'9.Инвестиционна програма'!L$100:L$123)*$E$6</f>
        <v>0</v>
      </c>
      <c r="AN17" s="1203">
        <f>'11.2. ДА за периода'!AN17</f>
        <v>0</v>
      </c>
      <c r="AO17" s="1329">
        <f>(SUMIF('9.Инвестиционна програма'!$B$58:$B$59,$B17,'9.Инвестиционна програма'!G$58:G$59)+SUMIF('9.Инвестиционна програма'!$B$61:$B$71,$B17,'9.Инвестиционна програма'!G$61:G$71))*$E$6</f>
        <v>0</v>
      </c>
      <c r="AP17" s="994">
        <f>(SUMIF('9.Инвестиционна програма'!$B$58:$B$59,$B17,'9.Инвестиционна програма'!H$58:H$59)+SUMIF('9.Инвестиционна програма'!$B$61:$B$71,$B17,'9.Инвестиционна програма'!H$61:H$71))*$E$6</f>
        <v>0</v>
      </c>
      <c r="AQ17" s="994">
        <f>(SUMIF('9.Инвестиционна програма'!$B$58:$B$59,$B17,'9.Инвестиционна програма'!I$58:I$59)+SUMIF('9.Инвестиционна програма'!$B$61:$B$71,$B17,'9.Инвестиционна програма'!I$61:I$71))*$E$6</f>
        <v>0</v>
      </c>
      <c r="AR17" s="994">
        <f>(SUMIF('9.Инвестиционна програма'!$B$58:$B$59,$B17,'9.Инвестиционна програма'!J$58:J$59)+SUMIF('9.Инвестиционна програма'!$B$61:$B$71,$B17,'9.Инвестиционна програма'!J$61:J$71))*$E$6</f>
        <v>0</v>
      </c>
      <c r="AS17" s="994">
        <f>(SUMIF('9.Инвестиционна програма'!$B$58:$B$59,$B17,'9.Инвестиционна програма'!K$58:K$59)+SUMIF('9.Инвестиционна програма'!$B$61:$B$71,$B17,'9.Инвестиционна програма'!K$61:K$71))*$E$6</f>
        <v>0</v>
      </c>
      <c r="AT17" s="3048">
        <f>(SUMIF('9.Инвестиционна програма'!$B$58:$B$59,$B17,'9.Инвестиционна програма'!L$58:L$59)+SUMIF('9.Инвестиционна програма'!$B$61:$B$71,$B17,'9.Инвестиционна програма'!L$61:L$71))*$E$6</f>
        <v>0</v>
      </c>
      <c r="AU17" s="3006"/>
    </row>
    <row r="18" spans="1:47" s="45" customFormat="1" ht="12.75" customHeight="1">
      <c r="A18" s="3062">
        <v>3</v>
      </c>
      <c r="B18" s="4258">
        <v>203</v>
      </c>
      <c r="C18" s="4241"/>
      <c r="D18" s="3054" t="s">
        <v>410</v>
      </c>
      <c r="E18" s="3055">
        <f t="shared" ref="E18:AT18" si="11">SUM(E19:E29)-E22-E25</f>
        <v>214.34</v>
      </c>
      <c r="F18" s="3056">
        <f t="shared" si="11"/>
        <v>315</v>
      </c>
      <c r="G18" s="3057">
        <f t="shared" si="11"/>
        <v>179</v>
      </c>
      <c r="H18" s="3057">
        <f t="shared" si="11"/>
        <v>198</v>
      </c>
      <c r="I18" s="3057">
        <f t="shared" si="11"/>
        <v>196</v>
      </c>
      <c r="J18" s="3057">
        <f t="shared" si="11"/>
        <v>196.5</v>
      </c>
      <c r="K18" s="3058">
        <f t="shared" si="11"/>
        <v>201.5</v>
      </c>
      <c r="L18" s="3055">
        <f t="shared" si="11"/>
        <v>3.1E-2</v>
      </c>
      <c r="M18" s="3056">
        <f t="shared" si="11"/>
        <v>3</v>
      </c>
      <c r="N18" s="3057">
        <f t="shared" si="11"/>
        <v>1</v>
      </c>
      <c r="O18" s="3057">
        <f t="shared" si="11"/>
        <v>76.5</v>
      </c>
      <c r="P18" s="3057">
        <f t="shared" si="11"/>
        <v>10.5</v>
      </c>
      <c r="Q18" s="3057">
        <f t="shared" si="11"/>
        <v>55</v>
      </c>
      <c r="R18" s="3058">
        <f t="shared" si="11"/>
        <v>24</v>
      </c>
      <c r="S18" s="3053">
        <f t="shared" si="11"/>
        <v>0</v>
      </c>
      <c r="T18" s="3059">
        <f t="shared" si="11"/>
        <v>0</v>
      </c>
      <c r="U18" s="3057">
        <f t="shared" si="11"/>
        <v>0</v>
      </c>
      <c r="V18" s="3057">
        <f t="shared" si="11"/>
        <v>0.4</v>
      </c>
      <c r="W18" s="3057">
        <f t="shared" si="11"/>
        <v>0</v>
      </c>
      <c r="X18" s="3057">
        <f t="shared" si="11"/>
        <v>0</v>
      </c>
      <c r="Y18" s="3058">
        <f t="shared" si="11"/>
        <v>0</v>
      </c>
      <c r="Z18" s="3053">
        <f t="shared" ref="Z18:AM18" si="12">SUM(Z19:Z29)-Z22-Z25</f>
        <v>0</v>
      </c>
      <c r="AA18" s="3059">
        <f t="shared" si="12"/>
        <v>0</v>
      </c>
      <c r="AB18" s="3057">
        <f t="shared" si="12"/>
        <v>1</v>
      </c>
      <c r="AC18" s="3057">
        <f t="shared" si="12"/>
        <v>1</v>
      </c>
      <c r="AD18" s="3057">
        <f t="shared" si="12"/>
        <v>0</v>
      </c>
      <c r="AE18" s="3057">
        <f t="shared" si="12"/>
        <v>0</v>
      </c>
      <c r="AF18" s="3058">
        <f t="shared" si="12"/>
        <v>0</v>
      </c>
      <c r="AG18" s="3053">
        <f t="shared" si="12"/>
        <v>0</v>
      </c>
      <c r="AH18" s="3059">
        <f t="shared" si="12"/>
        <v>0</v>
      </c>
      <c r="AI18" s="3057">
        <f t="shared" si="12"/>
        <v>0</v>
      </c>
      <c r="AJ18" s="3057">
        <f t="shared" si="12"/>
        <v>0</v>
      </c>
      <c r="AK18" s="3057">
        <f t="shared" si="12"/>
        <v>0</v>
      </c>
      <c r="AL18" s="3057">
        <f t="shared" si="12"/>
        <v>0</v>
      </c>
      <c r="AM18" s="3058">
        <f t="shared" si="12"/>
        <v>0</v>
      </c>
      <c r="AN18" s="3053">
        <f t="shared" si="11"/>
        <v>0</v>
      </c>
      <c r="AO18" s="3059">
        <f t="shared" si="11"/>
        <v>65</v>
      </c>
      <c r="AP18" s="3057">
        <f t="shared" si="11"/>
        <v>71</v>
      </c>
      <c r="AQ18" s="3057">
        <f t="shared" si="11"/>
        <v>76</v>
      </c>
      <c r="AR18" s="3057">
        <f t="shared" si="11"/>
        <v>76</v>
      </c>
      <c r="AS18" s="3057">
        <f t="shared" si="11"/>
        <v>77</v>
      </c>
      <c r="AT18" s="3058">
        <f t="shared" si="11"/>
        <v>76</v>
      </c>
      <c r="AU18" s="3063"/>
    </row>
    <row r="19" spans="1:47">
      <c r="A19" s="3060"/>
      <c r="B19" s="4259">
        <v>20301</v>
      </c>
      <c r="C19" s="4242">
        <v>0.1</v>
      </c>
      <c r="D19" s="3064" t="s">
        <v>432</v>
      </c>
      <c r="E19" s="3047">
        <f>'11.2. ДА за периода'!E19</f>
        <v>2.585</v>
      </c>
      <c r="F19" s="1325">
        <f>SUMIF('9.Инвестиционна програма'!$B$12:$B$35,$B19,'9.Инвестиционна програма'!G$12:G$35)*$E$6</f>
        <v>0</v>
      </c>
      <c r="G19" s="1321">
        <f>SUMIF('9.Инвестиционна програма'!$B$12:$B$35,$B19,'9.Инвестиционна програма'!H$12:H$35)*$E$6</f>
        <v>0</v>
      </c>
      <c r="H19" s="1321">
        <f>SUMIF('9.Инвестиционна програма'!$B$12:$B$35,$B19,'9.Инвестиционна програма'!I$12:I$35)*$E$6</f>
        <v>0</v>
      </c>
      <c r="I19" s="1321">
        <f>SUMIF('9.Инвестиционна програма'!$B$12:$B$35,$B19,'9.Инвестиционна програма'!J$12:J$35)*$E$6</f>
        <v>0</v>
      </c>
      <c r="J19" s="1321">
        <f>SUMIF('9.Инвестиционна програма'!$B$12:$B$35,$B19,'9.Инвестиционна програма'!K$12:K$35)*$E$6</f>
        <v>0</v>
      </c>
      <c r="K19" s="1326">
        <f>SUMIF('9.Инвестиционна програма'!$B$12:$B$35,$B19,'9.Инвестиционна програма'!L$12:L$35)*$E$6</f>
        <v>0</v>
      </c>
      <c r="L19" s="3047">
        <f>'11.2. ДА за периода'!L19</f>
        <v>0</v>
      </c>
      <c r="M19" s="1329">
        <f>SUMIF('9.Инвестиционна програма'!$B$37:$B$47,$B19,'9.Инвестиционна програма'!G$37:G$47)*$E$6</f>
        <v>0</v>
      </c>
      <c r="N19" s="1323">
        <f>SUMIF('9.Инвестиционна програма'!$B$37:$B$47,$B19,'9.Инвестиционна програма'!H$37:H$47)*$E$6</f>
        <v>0</v>
      </c>
      <c r="O19" s="1323">
        <f>SUMIF('9.Инвестиционна програма'!$B$37:$B$47,$B19,'9.Инвестиционна програма'!I$37:I$47)*$E$6</f>
        <v>0</v>
      </c>
      <c r="P19" s="1323">
        <f>SUMIF('9.Инвестиционна програма'!$B$37:$B$47,$B19,'9.Инвестиционна програма'!J$37:J$47)*$E$6</f>
        <v>0</v>
      </c>
      <c r="Q19" s="1323">
        <f>SUMIF('9.Инвестиционна програма'!$B$37:$B$47,$B19,'9.Инвестиционна програма'!K$37:K$47)*$E$6</f>
        <v>0</v>
      </c>
      <c r="R19" s="1324">
        <f>SUMIF('9.Инвестиционна програма'!$B$37:$B$47,$B19,'9.Инвестиционна програма'!L$37:L$47)*$E$6</f>
        <v>0</v>
      </c>
      <c r="S19" s="1203">
        <f>'11.2. ДА за периода'!S19</f>
        <v>0</v>
      </c>
      <c r="T19" s="994">
        <f>SUMIF('9.Инвестиционна програма'!$B$49:$B$56,$B19,'9.Инвестиционна програма'!G$49:G$56)*$E$6</f>
        <v>0</v>
      </c>
      <c r="U19" s="994">
        <f>SUMIF('9.Инвестиционна програма'!$B$49:$B$56,$B19,'9.Инвестиционна програма'!H$49:H$56)*$E$6</f>
        <v>0</v>
      </c>
      <c r="V19" s="994">
        <f>SUMIF('9.Инвестиционна програма'!$B$49:$B$56,$B19,'9.Инвестиционна програма'!I$49:I$56)*$E$6</f>
        <v>0</v>
      </c>
      <c r="W19" s="994">
        <f>SUMIF('9.Инвестиционна програма'!$B$49:$B$56,$B19,'9.Инвестиционна програма'!J$49:J$56)*$E$6</f>
        <v>0</v>
      </c>
      <c r="X19" s="994">
        <f>SUMIF('9.Инвестиционна програма'!$B$49:$B$56,$B19,'9.Инвестиционна програма'!K$49:K$56)*$E$6</f>
        <v>0</v>
      </c>
      <c r="Y19" s="3048">
        <f>SUMIF('9.Инвестиционна програма'!$B$49:$B$56,$B19,'9.Инвестиционна програма'!L$49:L$56)*$E$6</f>
        <v>0</v>
      </c>
      <c r="Z19" s="1203">
        <f>'11.2. ДА за периода'!Z19</f>
        <v>0</v>
      </c>
      <c r="AA19" s="994">
        <f>SUMIF('9.Инвестиционна програма'!$B$74:$B$97,$B19,'9.Инвестиционна програма'!G$74:G$97)*$E$6</f>
        <v>0</v>
      </c>
      <c r="AB19" s="994">
        <f>SUMIF('9.Инвестиционна програма'!$B$74:$B$97,$B19,'9.Инвестиционна програма'!H$74:H$97)*$E$6</f>
        <v>0</v>
      </c>
      <c r="AC19" s="994">
        <f>SUMIF('9.Инвестиционна програма'!$B$74:$B$97,$B19,'9.Инвестиционна програма'!I$74:I$97)*$E$6</f>
        <v>0</v>
      </c>
      <c r="AD19" s="994">
        <f>SUMIF('9.Инвестиционна програма'!$B$74:$B$97,$B19,'9.Инвестиционна програма'!J$74:J$97)*$E$6</f>
        <v>0</v>
      </c>
      <c r="AE19" s="994">
        <f>SUMIF('9.Инвестиционна програма'!$B$74:$B$97,$B19,'9.Инвестиционна програма'!K$74:K$97)*$E$6</f>
        <v>0</v>
      </c>
      <c r="AF19" s="994">
        <f>SUMIF('9.Инвестиционна програма'!$B$74:$B$97,$B19,'9.Инвестиционна програма'!L$74:L$97)*$E$6</f>
        <v>0</v>
      </c>
      <c r="AG19" s="1203">
        <f>'11.2. ДА за периода'!AG19</f>
        <v>0</v>
      </c>
      <c r="AH19" s="994">
        <f>SUMIF('9.Инвестиционна програма'!$B$100:$B$123,$B19,'9.Инвестиционна програма'!G$100:G$123)*$E$6</f>
        <v>0</v>
      </c>
      <c r="AI19" s="994">
        <f>SUMIF('9.Инвестиционна програма'!$B$100:$B$123,$B19,'9.Инвестиционна програма'!H$100:H$123)*$E$6</f>
        <v>0</v>
      </c>
      <c r="AJ19" s="994">
        <f>SUMIF('9.Инвестиционна програма'!$B$100:$B$123,$B19,'9.Инвестиционна програма'!I$100:I$123)*$E$6</f>
        <v>0</v>
      </c>
      <c r="AK19" s="994">
        <f>SUMIF('9.Инвестиционна програма'!$B$100:$B$123,$B19,'9.Инвестиционна програма'!J$100:J$123)*$E$6</f>
        <v>0</v>
      </c>
      <c r="AL19" s="994">
        <f>SUMIF('9.Инвестиционна програма'!$B$100:$B$123,$B19,'9.Инвестиционна програма'!K$100:K$123)*$E$6</f>
        <v>0</v>
      </c>
      <c r="AM19" s="994">
        <f>SUMIF('9.Инвестиционна програма'!$B$100:$B$123,$B19,'9.Инвестиционна програма'!L$100:L$123)*$E$6</f>
        <v>0</v>
      </c>
      <c r="AN19" s="1203">
        <f>'11.2. ДА за периода'!AN19</f>
        <v>0</v>
      </c>
      <c r="AO19" s="1329">
        <f>(SUMIF('9.Инвестиционна програма'!$B$58:$B$59,$B19,'9.Инвестиционна програма'!G$58:G$59)+SUMIF('9.Инвестиционна програма'!$B$61:$B$71,$B19,'9.Инвестиционна програма'!G$61:G$71))*$E$6</f>
        <v>0</v>
      </c>
      <c r="AP19" s="994">
        <f>(SUMIF('9.Инвестиционна програма'!$B$58:$B$59,$B19,'9.Инвестиционна програма'!H$58:H$59)+SUMIF('9.Инвестиционна програма'!$B$61:$B$71,$B19,'9.Инвестиционна програма'!H$61:H$71))*$E$6</f>
        <v>0</v>
      </c>
      <c r="AQ19" s="994">
        <f>(SUMIF('9.Инвестиционна програма'!$B$58:$B$59,$B19,'9.Инвестиционна програма'!I$58:I$59)+SUMIF('9.Инвестиционна програма'!$B$61:$B$71,$B19,'9.Инвестиционна програма'!I$61:I$71))*$E$6</f>
        <v>0</v>
      </c>
      <c r="AR19" s="994">
        <f>(SUMIF('9.Инвестиционна програма'!$B$58:$B$59,$B19,'9.Инвестиционна програма'!J$58:J$59)+SUMIF('9.Инвестиционна програма'!$B$61:$B$71,$B19,'9.Инвестиционна програма'!J$61:J$71))*$E$6</f>
        <v>0</v>
      </c>
      <c r="AS19" s="994">
        <f>(SUMIF('9.Инвестиционна програма'!$B$58:$B$59,$B19,'9.Инвестиционна програма'!K$58:K$59)+SUMIF('9.Инвестиционна програма'!$B$61:$B$71,$B19,'9.Инвестиционна програма'!K$61:K$71))*$E$6</f>
        <v>0</v>
      </c>
      <c r="AT19" s="3048">
        <f>(SUMIF('9.Инвестиционна програма'!$B$58:$B$59,$B19,'9.Инвестиционна програма'!L$58:L$59)+SUMIF('9.Инвестиционна програма'!$B$61:$B$71,$B19,'9.Инвестиционна програма'!L$61:L$71))*$E$6</f>
        <v>0</v>
      </c>
      <c r="AU19" s="3006"/>
    </row>
    <row r="20" spans="1:47">
      <c r="A20" s="3060"/>
      <c r="B20" s="4259">
        <v>20302</v>
      </c>
      <c r="C20" s="4242">
        <v>0.1</v>
      </c>
      <c r="D20" s="3064" t="s">
        <v>433</v>
      </c>
      <c r="E20" s="3047">
        <f>'11.2. ДА за периода'!E20</f>
        <v>0</v>
      </c>
      <c r="F20" s="1325">
        <f>SUMIF('9.Инвестиционна програма'!$B$12:$B$35,$B20,'9.Инвестиционна програма'!G$12:G$35)*$E$6</f>
        <v>0</v>
      </c>
      <c r="G20" s="1321">
        <f>SUMIF('9.Инвестиционна програма'!$B$12:$B$35,$B20,'9.Инвестиционна програма'!H$12:H$35)*$E$6</f>
        <v>6</v>
      </c>
      <c r="H20" s="1321">
        <f>SUMIF('9.Инвестиционна програма'!$B$12:$B$35,$B20,'9.Инвестиционна програма'!I$12:I$35)*$E$6</f>
        <v>6</v>
      </c>
      <c r="I20" s="1321">
        <f>SUMIF('9.Инвестиционна програма'!$B$12:$B$35,$B20,'9.Инвестиционна програма'!J$12:J$35)*$E$6</f>
        <v>7</v>
      </c>
      <c r="J20" s="1321">
        <f>SUMIF('9.Инвестиционна програма'!$B$12:$B$35,$B20,'9.Инвестиционна програма'!K$12:K$35)*$E$6</f>
        <v>7</v>
      </c>
      <c r="K20" s="1326">
        <f>SUMIF('9.Инвестиционна програма'!$B$12:$B$35,$B20,'9.Инвестиционна програма'!L$12:L$35)*$E$6</f>
        <v>7</v>
      </c>
      <c r="L20" s="3047">
        <f>'11.2. ДА за периода'!L20</f>
        <v>0</v>
      </c>
      <c r="M20" s="1329">
        <f>SUMIF('9.Инвестиционна програма'!$B$37:$B$47,$B20,'9.Инвестиционна програма'!G$37:G$47)*$E$6</f>
        <v>0</v>
      </c>
      <c r="N20" s="1323">
        <f>SUMIF('9.Инвестиционна програма'!$B$37:$B$47,$B20,'9.Инвестиционна програма'!H$37:H$47)*$E$6</f>
        <v>0</v>
      </c>
      <c r="O20" s="1323">
        <f>SUMIF('9.Инвестиционна програма'!$B$37:$B$47,$B20,'9.Инвестиционна програма'!I$37:I$47)*$E$6</f>
        <v>0</v>
      </c>
      <c r="P20" s="1323">
        <f>SUMIF('9.Инвестиционна програма'!$B$37:$B$47,$B20,'9.Инвестиционна програма'!J$37:J$47)*$E$6</f>
        <v>0</v>
      </c>
      <c r="Q20" s="1323">
        <f>SUMIF('9.Инвестиционна програма'!$B$37:$B$47,$B20,'9.Инвестиционна програма'!K$37:K$47)*$E$6</f>
        <v>0</v>
      </c>
      <c r="R20" s="1324">
        <f>SUMIF('9.Инвестиционна програма'!$B$37:$B$47,$B20,'9.Инвестиционна програма'!L$37:L$47)*$E$6</f>
        <v>0</v>
      </c>
      <c r="S20" s="1203">
        <f>'11.2. ДА за периода'!S20</f>
        <v>0</v>
      </c>
      <c r="T20" s="994">
        <f>SUMIF('9.Инвестиционна програма'!$B$49:$B$56,$B20,'9.Инвестиционна програма'!G$49:G$56)*$E$6</f>
        <v>0</v>
      </c>
      <c r="U20" s="994">
        <f>SUMIF('9.Инвестиционна програма'!$B$49:$B$56,$B20,'9.Инвестиционна програма'!H$49:H$56)*$E$6</f>
        <v>0</v>
      </c>
      <c r="V20" s="994">
        <f>SUMIF('9.Инвестиционна програма'!$B$49:$B$56,$B20,'9.Инвестиционна програма'!I$49:I$56)*$E$6</f>
        <v>0</v>
      </c>
      <c r="W20" s="994">
        <f>SUMIF('9.Инвестиционна програма'!$B$49:$B$56,$B20,'9.Инвестиционна програма'!J$49:J$56)*$E$6</f>
        <v>0</v>
      </c>
      <c r="X20" s="994">
        <f>SUMIF('9.Инвестиционна програма'!$B$49:$B$56,$B20,'9.Инвестиционна програма'!K$49:K$56)*$E$6</f>
        <v>0</v>
      </c>
      <c r="Y20" s="3048">
        <f>SUMIF('9.Инвестиционна програма'!$B$49:$B$56,$B20,'9.Инвестиционна програма'!L$49:L$56)*$E$6</f>
        <v>0</v>
      </c>
      <c r="Z20" s="1203">
        <f>'11.2. ДА за периода'!Z20</f>
        <v>0</v>
      </c>
      <c r="AA20" s="994">
        <f>SUMIF('9.Инвестиционна програма'!$B$74:$B$97,$B20,'9.Инвестиционна програма'!G$74:G$97)*$E$6</f>
        <v>0</v>
      </c>
      <c r="AB20" s="994">
        <f>SUMIF('9.Инвестиционна програма'!$B$74:$B$97,$B20,'9.Инвестиционна програма'!H$74:H$97)*$E$6</f>
        <v>0</v>
      </c>
      <c r="AC20" s="994">
        <f>SUMIF('9.Инвестиционна програма'!$B$74:$B$97,$B20,'9.Инвестиционна програма'!I$74:I$97)*$E$6</f>
        <v>0</v>
      </c>
      <c r="AD20" s="994">
        <f>SUMIF('9.Инвестиционна програма'!$B$74:$B$97,$B20,'9.Инвестиционна програма'!J$74:J$97)*$E$6</f>
        <v>0</v>
      </c>
      <c r="AE20" s="994">
        <f>SUMIF('9.Инвестиционна програма'!$B$74:$B$97,$B20,'9.Инвестиционна програма'!K$74:K$97)*$E$6</f>
        <v>0</v>
      </c>
      <c r="AF20" s="994">
        <f>SUMIF('9.Инвестиционна програма'!$B$74:$B$97,$B20,'9.Инвестиционна програма'!L$74:L$97)*$E$6</f>
        <v>0</v>
      </c>
      <c r="AG20" s="1203">
        <f>'11.2. ДА за периода'!AG20</f>
        <v>0</v>
      </c>
      <c r="AH20" s="994">
        <f>SUMIF('9.Инвестиционна програма'!$B$100:$B$123,$B20,'9.Инвестиционна програма'!G$100:G$123)*$E$6</f>
        <v>0</v>
      </c>
      <c r="AI20" s="994">
        <f>SUMIF('9.Инвестиционна програма'!$B$100:$B$123,$B20,'9.Инвестиционна програма'!H$100:H$123)*$E$6</f>
        <v>0</v>
      </c>
      <c r="AJ20" s="994">
        <f>SUMIF('9.Инвестиционна програма'!$B$100:$B$123,$B20,'9.Инвестиционна програма'!I$100:I$123)*$E$6</f>
        <v>0</v>
      </c>
      <c r="AK20" s="994">
        <f>SUMIF('9.Инвестиционна програма'!$B$100:$B$123,$B20,'9.Инвестиционна програма'!J$100:J$123)*$E$6</f>
        <v>0</v>
      </c>
      <c r="AL20" s="994">
        <f>SUMIF('9.Инвестиционна програма'!$B$100:$B$123,$B20,'9.Инвестиционна програма'!K$100:K$123)*$E$6</f>
        <v>0</v>
      </c>
      <c r="AM20" s="994">
        <f>SUMIF('9.Инвестиционна програма'!$B$100:$B$123,$B20,'9.Инвестиционна програма'!L$100:L$123)*$E$6</f>
        <v>0</v>
      </c>
      <c r="AN20" s="1203">
        <f>'11.2. ДА за периода'!AN20</f>
        <v>0</v>
      </c>
      <c r="AO20" s="1329">
        <f>(SUMIF('9.Инвестиционна програма'!$B$58:$B$59,$B20,'9.Инвестиционна програма'!G$58:G$59)+SUMIF('9.Инвестиционна програма'!$B$61:$B$71,$B20,'9.Инвестиционна програма'!G$61:G$71))*$E$6</f>
        <v>0</v>
      </c>
      <c r="AP20" s="994">
        <f>(SUMIF('9.Инвестиционна програма'!$B$58:$B$59,$B20,'9.Инвестиционна програма'!H$58:H$59)+SUMIF('9.Инвестиционна програма'!$B$61:$B$71,$B20,'9.Инвестиционна програма'!H$61:H$71))*$E$6</f>
        <v>0</v>
      </c>
      <c r="AQ20" s="994">
        <f>(SUMIF('9.Инвестиционна програма'!$B$58:$B$59,$B20,'9.Инвестиционна програма'!I$58:I$59)+SUMIF('9.Инвестиционна програма'!$B$61:$B$71,$B20,'9.Инвестиционна програма'!I$61:I$71))*$E$6</f>
        <v>0</v>
      </c>
      <c r="AR20" s="994">
        <f>(SUMIF('9.Инвестиционна програма'!$B$58:$B$59,$B20,'9.Инвестиционна програма'!J$58:J$59)+SUMIF('9.Инвестиционна програма'!$B$61:$B$71,$B20,'9.Инвестиционна програма'!J$61:J$71))*$E$6</f>
        <v>0</v>
      </c>
      <c r="AS20" s="994">
        <f>(SUMIF('9.Инвестиционна програма'!$B$58:$B$59,$B20,'9.Инвестиционна програма'!K$58:K$59)+SUMIF('9.Инвестиционна програма'!$B$61:$B$71,$B20,'9.Инвестиционна програма'!K$61:K$71))*$E$6</f>
        <v>0</v>
      </c>
      <c r="AT20" s="3048">
        <f>(SUMIF('9.Инвестиционна програма'!$B$58:$B$59,$B20,'9.Инвестиционна програма'!L$58:L$59)+SUMIF('9.Инвестиционна програма'!$B$61:$B$71,$B20,'9.Инвестиционна програма'!L$61:L$71))*$E$6</f>
        <v>0</v>
      </c>
      <c r="AU20" s="3006"/>
    </row>
    <row r="21" spans="1:47">
      <c r="A21" s="3060"/>
      <c r="B21" s="4259">
        <v>20303</v>
      </c>
      <c r="C21" s="4242">
        <v>0.1</v>
      </c>
      <c r="D21" s="3064" t="s">
        <v>411</v>
      </c>
      <c r="E21" s="3047">
        <f>'11.2. ДА за периода'!E21</f>
        <v>0</v>
      </c>
      <c r="F21" s="1325">
        <f>SUMIF('9.Инвестиционна програма'!$B$12:$B$35,$B21,'9.Инвестиционна програма'!G$12:G$35)*$E$6</f>
        <v>176</v>
      </c>
      <c r="G21" s="1321">
        <f>SUMIF('9.Инвестиционна програма'!$B$12:$B$35,$B21,'9.Инвестиционна програма'!H$12:H$35)*$E$6</f>
        <v>120</v>
      </c>
      <c r="H21" s="1321">
        <f>SUMIF('9.Инвестиционна програма'!$B$12:$B$35,$B21,'9.Инвестиционна програма'!I$12:I$35)*$E$6</f>
        <v>120</v>
      </c>
      <c r="I21" s="1321">
        <f>SUMIF('9.Инвестиционна програма'!$B$12:$B$35,$B21,'9.Инвестиционна програма'!J$12:J$35)*$E$6</f>
        <v>120</v>
      </c>
      <c r="J21" s="1321">
        <f>SUMIF('9.Инвестиционна програма'!$B$12:$B$35,$B21,'9.Инвестиционна програма'!K$12:K$35)*$E$6</f>
        <v>120</v>
      </c>
      <c r="K21" s="1326">
        <f>SUMIF('9.Инвестиционна програма'!$B$12:$B$35,$B21,'9.Инвестиционна програма'!L$12:L$35)*$E$6</f>
        <v>120</v>
      </c>
      <c r="L21" s="3047">
        <f>'11.2. ДА за периода'!L21</f>
        <v>0</v>
      </c>
      <c r="M21" s="1329">
        <f>SUMIF('9.Инвестиционна програма'!$B$37:$B$47,$B21,'9.Инвестиционна програма'!G$37:G$47)*$E$6</f>
        <v>0</v>
      </c>
      <c r="N21" s="1323">
        <f>SUMIF('9.Инвестиционна програма'!$B$37:$B$47,$B21,'9.Инвестиционна програма'!H$37:H$47)*$E$6</f>
        <v>0</v>
      </c>
      <c r="O21" s="1323">
        <f>SUMIF('9.Инвестиционна програма'!$B$37:$B$47,$B21,'9.Инвестиционна програма'!I$37:I$47)*$E$6</f>
        <v>62.5</v>
      </c>
      <c r="P21" s="1323">
        <f>SUMIF('9.Инвестиционна програма'!$B$37:$B$47,$B21,'9.Инвестиционна програма'!J$37:J$47)*$E$6</f>
        <v>0</v>
      </c>
      <c r="Q21" s="1323">
        <f>SUMIF('9.Инвестиционна програма'!$B$37:$B$47,$B21,'9.Инвестиционна програма'!K$37:K$47)*$E$6</f>
        <v>53.5</v>
      </c>
      <c r="R21" s="1324">
        <f>SUMIF('9.Инвестиционна програма'!$B$37:$B$47,$B21,'9.Инвестиционна програма'!L$37:L$47)*$E$6</f>
        <v>0</v>
      </c>
      <c r="S21" s="1203">
        <f>'11.2. ДА за периода'!S21</f>
        <v>0</v>
      </c>
      <c r="T21" s="994">
        <f>SUMIF('9.Инвестиционна програма'!$B$49:$B$56,$B21,'9.Инвестиционна програма'!G$49:G$56)*$E$6</f>
        <v>0</v>
      </c>
      <c r="U21" s="994">
        <f>SUMIF('9.Инвестиционна програма'!$B$49:$B$56,$B21,'9.Инвестиционна програма'!H$49:H$56)*$E$6</f>
        <v>0</v>
      </c>
      <c r="V21" s="994">
        <f>SUMIF('9.Инвестиционна програма'!$B$49:$B$56,$B21,'9.Инвестиционна програма'!I$49:I$56)*$E$6</f>
        <v>0</v>
      </c>
      <c r="W21" s="994">
        <f>SUMIF('9.Инвестиционна програма'!$B$49:$B$56,$B21,'9.Инвестиционна програма'!J$49:J$56)*$E$6</f>
        <v>0</v>
      </c>
      <c r="X21" s="994">
        <f>SUMIF('9.Инвестиционна програма'!$B$49:$B$56,$B21,'9.Инвестиционна програма'!K$49:K$56)*$E$6</f>
        <v>0</v>
      </c>
      <c r="Y21" s="3048">
        <f>SUMIF('9.Инвестиционна програма'!$B$49:$B$56,$B21,'9.Инвестиционна програма'!L$49:L$56)*$E$6</f>
        <v>0</v>
      </c>
      <c r="Z21" s="1203">
        <f>'11.2. ДА за периода'!Z21</f>
        <v>0</v>
      </c>
      <c r="AA21" s="994">
        <f>SUMIF('9.Инвестиционна програма'!$B$74:$B$97,$B21,'9.Инвестиционна програма'!G$74:G$97)*$E$6</f>
        <v>0</v>
      </c>
      <c r="AB21" s="994">
        <f>SUMIF('9.Инвестиционна програма'!$B$74:$B$97,$B21,'9.Инвестиционна програма'!H$74:H$97)*$E$6</f>
        <v>0</v>
      </c>
      <c r="AC21" s="994">
        <f>SUMIF('9.Инвестиционна програма'!$B$74:$B$97,$B21,'9.Инвестиционна програма'!I$74:I$97)*$E$6</f>
        <v>0</v>
      </c>
      <c r="AD21" s="994">
        <f>SUMIF('9.Инвестиционна програма'!$B$74:$B$97,$B21,'9.Инвестиционна програма'!J$74:J$97)*$E$6</f>
        <v>0</v>
      </c>
      <c r="AE21" s="994">
        <f>SUMIF('9.Инвестиционна програма'!$B$74:$B$97,$B21,'9.Инвестиционна програма'!K$74:K$97)*$E$6</f>
        <v>0</v>
      </c>
      <c r="AF21" s="994">
        <f>SUMIF('9.Инвестиционна програма'!$B$74:$B$97,$B21,'9.Инвестиционна програма'!L$74:L$97)*$E$6</f>
        <v>0</v>
      </c>
      <c r="AG21" s="1203">
        <f>'11.2. ДА за периода'!AG21</f>
        <v>0</v>
      </c>
      <c r="AH21" s="994">
        <f>SUMIF('9.Инвестиционна програма'!$B$100:$B$123,$B21,'9.Инвестиционна програма'!G$100:G$123)*$E$6</f>
        <v>0</v>
      </c>
      <c r="AI21" s="994">
        <f>SUMIF('9.Инвестиционна програма'!$B$100:$B$123,$B21,'9.Инвестиционна програма'!H$100:H$123)*$E$6</f>
        <v>0</v>
      </c>
      <c r="AJ21" s="994">
        <f>SUMIF('9.Инвестиционна програма'!$B$100:$B$123,$B21,'9.Инвестиционна програма'!I$100:I$123)*$E$6</f>
        <v>0</v>
      </c>
      <c r="AK21" s="994">
        <f>SUMIF('9.Инвестиционна програма'!$B$100:$B$123,$B21,'9.Инвестиционна програма'!J$100:J$123)*$E$6</f>
        <v>0</v>
      </c>
      <c r="AL21" s="994">
        <f>SUMIF('9.Инвестиционна програма'!$B$100:$B$123,$B21,'9.Инвестиционна програма'!K$100:K$123)*$E$6</f>
        <v>0</v>
      </c>
      <c r="AM21" s="994">
        <f>SUMIF('9.Инвестиционна програма'!$B$100:$B$123,$B21,'9.Инвестиционна програма'!L$100:L$123)*$E$6</f>
        <v>0</v>
      </c>
      <c r="AN21" s="1203">
        <f>'11.2. ДА за периода'!AN21</f>
        <v>0</v>
      </c>
      <c r="AO21" s="1329">
        <f>(SUMIF('9.Инвестиционна програма'!$B$58:$B$59,$B21,'9.Инвестиционна програма'!G$58:G$59)+SUMIF('9.Инвестиционна програма'!$B$61:$B$71,$B21,'9.Инвестиционна програма'!G$61:G$71))*$E$6</f>
        <v>0</v>
      </c>
      <c r="AP21" s="994">
        <f>(SUMIF('9.Инвестиционна програма'!$B$58:$B$59,$B21,'9.Инвестиционна програма'!H$58:H$59)+SUMIF('9.Инвестиционна програма'!$B$61:$B$71,$B21,'9.Инвестиционна програма'!H$61:H$71))*$E$6</f>
        <v>0</v>
      </c>
      <c r="AQ21" s="994">
        <f>(SUMIF('9.Инвестиционна програма'!$B$58:$B$59,$B21,'9.Инвестиционна програма'!I$58:I$59)+SUMIF('9.Инвестиционна програма'!$B$61:$B$71,$B21,'9.Инвестиционна програма'!I$61:I$71))*$E$6</f>
        <v>0</v>
      </c>
      <c r="AR21" s="994">
        <f>(SUMIF('9.Инвестиционна програма'!$B$58:$B$59,$B21,'9.Инвестиционна програма'!J$58:J$59)+SUMIF('9.Инвестиционна програма'!$B$61:$B$71,$B21,'9.Инвестиционна програма'!J$61:J$71))*$E$6</f>
        <v>0</v>
      </c>
      <c r="AS21" s="994">
        <f>(SUMIF('9.Инвестиционна програма'!$B$58:$B$59,$B21,'9.Инвестиционна програма'!K$58:K$59)+SUMIF('9.Инвестиционна програма'!$B$61:$B$71,$B21,'9.Инвестиционна програма'!K$61:K$71))*$E$6</f>
        <v>0</v>
      </c>
      <c r="AT21" s="3048">
        <f>(SUMIF('9.Инвестиционна програма'!$B$58:$B$59,$B21,'9.Инвестиционна програма'!L$58:L$59)+SUMIF('9.Инвестиционна програма'!$B$61:$B$71,$B21,'9.Инвестиционна програма'!L$61:L$71))*$E$6</f>
        <v>0</v>
      </c>
      <c r="AU21" s="3006"/>
    </row>
    <row r="22" spans="1:47">
      <c r="A22" s="3060"/>
      <c r="B22" s="4259">
        <v>20304</v>
      </c>
      <c r="C22" s="4242">
        <v>0.1</v>
      </c>
      <c r="D22" s="3064" t="s">
        <v>412</v>
      </c>
      <c r="E22" s="3065">
        <f t="shared" ref="E22:AT22" si="13">SUM(E23:E24)</f>
        <v>29.258000000000003</v>
      </c>
      <c r="F22" s="3066">
        <f t="shared" si="13"/>
        <v>0</v>
      </c>
      <c r="G22" s="3067">
        <f t="shared" si="13"/>
        <v>0</v>
      </c>
      <c r="H22" s="3067">
        <f t="shared" si="13"/>
        <v>0</v>
      </c>
      <c r="I22" s="3067">
        <f t="shared" si="13"/>
        <v>0</v>
      </c>
      <c r="J22" s="3067">
        <f t="shared" si="13"/>
        <v>0</v>
      </c>
      <c r="K22" s="3068">
        <f t="shared" si="13"/>
        <v>0</v>
      </c>
      <c r="L22" s="3065">
        <f t="shared" si="13"/>
        <v>0</v>
      </c>
      <c r="M22" s="3066">
        <f t="shared" si="13"/>
        <v>0</v>
      </c>
      <c r="N22" s="3067">
        <f t="shared" si="13"/>
        <v>0</v>
      </c>
      <c r="O22" s="3067">
        <f t="shared" si="13"/>
        <v>0</v>
      </c>
      <c r="P22" s="3067">
        <f t="shared" si="13"/>
        <v>0</v>
      </c>
      <c r="Q22" s="3067">
        <f t="shared" si="13"/>
        <v>0</v>
      </c>
      <c r="R22" s="3068">
        <f t="shared" si="13"/>
        <v>0</v>
      </c>
      <c r="S22" s="3069">
        <f t="shared" si="13"/>
        <v>0</v>
      </c>
      <c r="T22" s="3070">
        <f t="shared" si="13"/>
        <v>0</v>
      </c>
      <c r="U22" s="3067">
        <f t="shared" si="13"/>
        <v>0</v>
      </c>
      <c r="V22" s="3067">
        <f t="shared" si="13"/>
        <v>0</v>
      </c>
      <c r="W22" s="3067">
        <f t="shared" si="13"/>
        <v>0</v>
      </c>
      <c r="X22" s="3067">
        <f t="shared" si="13"/>
        <v>0</v>
      </c>
      <c r="Y22" s="3068">
        <f t="shared" si="13"/>
        <v>0</v>
      </c>
      <c r="Z22" s="3069">
        <f t="shared" ref="Z22:AM22" si="14">SUM(Z23:Z24)</f>
        <v>0</v>
      </c>
      <c r="AA22" s="3070">
        <f t="shared" si="14"/>
        <v>0</v>
      </c>
      <c r="AB22" s="3067">
        <f t="shared" si="14"/>
        <v>0</v>
      </c>
      <c r="AC22" s="3067">
        <f t="shared" si="14"/>
        <v>0</v>
      </c>
      <c r="AD22" s="3067">
        <f t="shared" si="14"/>
        <v>0</v>
      </c>
      <c r="AE22" s="3067">
        <f t="shared" si="14"/>
        <v>0</v>
      </c>
      <c r="AF22" s="3068">
        <f t="shared" si="14"/>
        <v>0</v>
      </c>
      <c r="AG22" s="3069">
        <f t="shared" si="14"/>
        <v>0</v>
      </c>
      <c r="AH22" s="3070">
        <f t="shared" si="14"/>
        <v>0</v>
      </c>
      <c r="AI22" s="3067">
        <f t="shared" si="14"/>
        <v>0</v>
      </c>
      <c r="AJ22" s="3067">
        <f t="shared" si="14"/>
        <v>0</v>
      </c>
      <c r="AK22" s="3067">
        <f t="shared" si="14"/>
        <v>0</v>
      </c>
      <c r="AL22" s="3067">
        <f t="shared" si="14"/>
        <v>0</v>
      </c>
      <c r="AM22" s="3068">
        <f t="shared" si="14"/>
        <v>0</v>
      </c>
      <c r="AN22" s="3069">
        <f t="shared" si="13"/>
        <v>0</v>
      </c>
      <c r="AO22" s="3070">
        <f t="shared" si="13"/>
        <v>0</v>
      </c>
      <c r="AP22" s="3067">
        <f t="shared" si="13"/>
        <v>0</v>
      </c>
      <c r="AQ22" s="3067">
        <f t="shared" si="13"/>
        <v>0</v>
      </c>
      <c r="AR22" s="3067">
        <f t="shared" si="13"/>
        <v>0</v>
      </c>
      <c r="AS22" s="3067">
        <f t="shared" si="13"/>
        <v>0</v>
      </c>
      <c r="AT22" s="3068">
        <f t="shared" si="13"/>
        <v>0</v>
      </c>
      <c r="AU22" s="3007"/>
    </row>
    <row r="23" spans="1:47">
      <c r="A23" s="3060"/>
      <c r="B23" s="4260">
        <v>2030401</v>
      </c>
      <c r="C23" s="4243">
        <v>0.1</v>
      </c>
      <c r="D23" s="3071" t="s">
        <v>999</v>
      </c>
      <c r="E23" s="3047">
        <f>'11.2. ДА за периода'!E23</f>
        <v>29.258000000000003</v>
      </c>
      <c r="F23" s="1325">
        <f>SUMIF('9.Инвестиционна програма'!$B$12:$B$35,$B23,'9.Инвестиционна програма'!G$12:G$35)*$E$6</f>
        <v>0</v>
      </c>
      <c r="G23" s="1321">
        <f>SUMIF('9.Инвестиционна програма'!$B$12:$B$35,$B23,'9.Инвестиционна програма'!H$12:H$35)*$E$6</f>
        <v>0</v>
      </c>
      <c r="H23" s="1321">
        <f>SUMIF('9.Инвестиционна програма'!$B$12:$B$35,$B23,'9.Инвестиционна програма'!I$12:I$35)*$E$6</f>
        <v>0</v>
      </c>
      <c r="I23" s="1321">
        <f>SUMIF('9.Инвестиционна програма'!$B$12:$B$35,$B23,'9.Инвестиционна програма'!J$12:J$35)*$E$6</f>
        <v>0</v>
      </c>
      <c r="J23" s="1321">
        <f>SUMIF('9.Инвестиционна програма'!$B$12:$B$35,$B23,'9.Инвестиционна програма'!K$12:K$35)*$E$6</f>
        <v>0</v>
      </c>
      <c r="K23" s="1326">
        <f>SUMIF('9.Инвестиционна програма'!$B$12:$B$35,$B23,'9.Инвестиционна програма'!L$12:L$35)*$E$6</f>
        <v>0</v>
      </c>
      <c r="L23" s="3047">
        <f>'11.2. ДА за периода'!L23</f>
        <v>0</v>
      </c>
      <c r="M23" s="1329">
        <f>SUMIF('9.Инвестиционна програма'!$B$37:$B$47,$B23,'9.Инвестиционна програма'!G$37:G$47)*$E$6</f>
        <v>0</v>
      </c>
      <c r="N23" s="1323">
        <f>SUMIF('9.Инвестиционна програма'!$B$37:$B$47,$B23,'9.Инвестиционна програма'!H$37:H$47)*$E$6</f>
        <v>0</v>
      </c>
      <c r="O23" s="1323">
        <f>SUMIF('9.Инвестиционна програма'!$B$37:$B$47,$B23,'9.Инвестиционна програма'!I$37:I$47)*$E$6</f>
        <v>0</v>
      </c>
      <c r="P23" s="1323">
        <f>SUMIF('9.Инвестиционна програма'!$B$37:$B$47,$B23,'9.Инвестиционна програма'!J$37:J$47)*$E$6</f>
        <v>0</v>
      </c>
      <c r="Q23" s="1323">
        <f>SUMIF('9.Инвестиционна програма'!$B$37:$B$47,$B23,'9.Инвестиционна програма'!K$37:K$47)*$E$6</f>
        <v>0</v>
      </c>
      <c r="R23" s="1324">
        <f>SUMIF('9.Инвестиционна програма'!$B$37:$B$47,$B23,'9.Инвестиционна програма'!L$37:L$47)*$E$6</f>
        <v>0</v>
      </c>
      <c r="S23" s="1203">
        <f>'11.2. ДА за периода'!S23</f>
        <v>0</v>
      </c>
      <c r="T23" s="994">
        <f>SUMIF('9.Инвестиционна програма'!$B$49:$B$56,$B23,'9.Инвестиционна програма'!G$49:G$56)*$E$6</f>
        <v>0</v>
      </c>
      <c r="U23" s="994">
        <f>SUMIF('9.Инвестиционна програма'!$B$49:$B$56,$B23,'9.Инвестиционна програма'!H$49:H$56)*$E$6</f>
        <v>0</v>
      </c>
      <c r="V23" s="994">
        <f>SUMIF('9.Инвестиционна програма'!$B$49:$B$56,$B23,'9.Инвестиционна програма'!I$49:I$56)*$E$6</f>
        <v>0</v>
      </c>
      <c r="W23" s="994">
        <f>SUMIF('9.Инвестиционна програма'!$B$49:$B$56,$B23,'9.Инвестиционна програма'!J$49:J$56)*$E$6</f>
        <v>0</v>
      </c>
      <c r="X23" s="994">
        <f>SUMIF('9.Инвестиционна програма'!$B$49:$B$56,$B23,'9.Инвестиционна програма'!K$49:K$56)*$E$6</f>
        <v>0</v>
      </c>
      <c r="Y23" s="3048">
        <f>SUMIF('9.Инвестиционна програма'!$B$49:$B$56,$B23,'9.Инвестиционна програма'!L$49:L$56)*$E$6</f>
        <v>0</v>
      </c>
      <c r="Z23" s="1203">
        <f>'11.2. ДА за периода'!Z23</f>
        <v>0</v>
      </c>
      <c r="AA23" s="994">
        <f>SUMIF('9.Инвестиционна програма'!$B$74:$B$97,$B23,'9.Инвестиционна програма'!G$74:G$97)*$E$6</f>
        <v>0</v>
      </c>
      <c r="AB23" s="994">
        <f>SUMIF('9.Инвестиционна програма'!$B$74:$B$97,$B23,'9.Инвестиционна програма'!H$74:H$97)*$E$6</f>
        <v>0</v>
      </c>
      <c r="AC23" s="994">
        <f>SUMIF('9.Инвестиционна програма'!$B$74:$B$97,$B23,'9.Инвестиционна програма'!I$74:I$97)*$E$6</f>
        <v>0</v>
      </c>
      <c r="AD23" s="994">
        <f>SUMIF('9.Инвестиционна програма'!$B$74:$B$97,$B23,'9.Инвестиционна програма'!J$74:J$97)*$E$6</f>
        <v>0</v>
      </c>
      <c r="AE23" s="994">
        <f>SUMIF('9.Инвестиционна програма'!$B$74:$B$97,$B23,'9.Инвестиционна програма'!K$74:K$97)*$E$6</f>
        <v>0</v>
      </c>
      <c r="AF23" s="994">
        <f>SUMIF('9.Инвестиционна програма'!$B$74:$B$97,$B23,'9.Инвестиционна програма'!L$74:L$97)*$E$6</f>
        <v>0</v>
      </c>
      <c r="AG23" s="1203">
        <f>'11.2. ДА за периода'!AG23</f>
        <v>0</v>
      </c>
      <c r="AH23" s="994">
        <f>SUMIF('9.Инвестиционна програма'!$B$100:$B$123,$B23,'9.Инвестиционна програма'!G$100:G$123)*$E$6</f>
        <v>0</v>
      </c>
      <c r="AI23" s="994">
        <f>SUMIF('9.Инвестиционна програма'!$B$100:$B$123,$B23,'9.Инвестиционна програма'!H$100:H$123)*$E$6</f>
        <v>0</v>
      </c>
      <c r="AJ23" s="994">
        <f>SUMIF('9.Инвестиционна програма'!$B$100:$B$123,$B23,'9.Инвестиционна програма'!I$100:I$123)*$E$6</f>
        <v>0</v>
      </c>
      <c r="AK23" s="994">
        <f>SUMIF('9.Инвестиционна програма'!$B$100:$B$123,$B23,'9.Инвестиционна програма'!J$100:J$123)*$E$6</f>
        <v>0</v>
      </c>
      <c r="AL23" s="994">
        <f>SUMIF('9.Инвестиционна програма'!$B$100:$B$123,$B23,'9.Инвестиционна програма'!K$100:K$123)*$E$6</f>
        <v>0</v>
      </c>
      <c r="AM23" s="994">
        <f>SUMIF('9.Инвестиционна програма'!$B$100:$B$123,$B23,'9.Инвестиционна програма'!L$100:L$123)*$E$6</f>
        <v>0</v>
      </c>
      <c r="AN23" s="1203">
        <f>'11.2. ДА за периода'!AN23</f>
        <v>0</v>
      </c>
      <c r="AO23" s="1329">
        <f>(SUMIF('9.Инвестиционна програма'!$B$58:$B$59,$B23,'9.Инвестиционна програма'!G$58:G$59)+SUMIF('9.Инвестиционна програма'!$B$61:$B$71,$B23,'9.Инвестиционна програма'!G$61:G$71))*$E$6</f>
        <v>0</v>
      </c>
      <c r="AP23" s="994">
        <f>(SUMIF('9.Инвестиционна програма'!$B$58:$B$59,$B23,'9.Инвестиционна програма'!H$58:H$59)+SUMIF('9.Инвестиционна програма'!$B$61:$B$71,$B23,'9.Инвестиционна програма'!H$61:H$71))*$E$6</f>
        <v>0</v>
      </c>
      <c r="AQ23" s="994">
        <f>(SUMIF('9.Инвестиционна програма'!$B$58:$B$59,$B23,'9.Инвестиционна програма'!I$58:I$59)+SUMIF('9.Инвестиционна програма'!$B$61:$B$71,$B23,'9.Инвестиционна програма'!I$61:I$71))*$E$6</f>
        <v>0</v>
      </c>
      <c r="AR23" s="994">
        <f>(SUMIF('9.Инвестиционна програма'!$B$58:$B$59,$B23,'9.Инвестиционна програма'!J$58:J$59)+SUMIF('9.Инвестиционна програма'!$B$61:$B$71,$B23,'9.Инвестиционна програма'!J$61:J$71))*$E$6</f>
        <v>0</v>
      </c>
      <c r="AS23" s="994">
        <f>(SUMIF('9.Инвестиционна програма'!$B$58:$B$59,$B23,'9.Инвестиционна програма'!K$58:K$59)+SUMIF('9.Инвестиционна програма'!$B$61:$B$71,$B23,'9.Инвестиционна програма'!K$61:K$71))*$E$6</f>
        <v>0</v>
      </c>
      <c r="AT23" s="3048">
        <f>(SUMIF('9.Инвестиционна програма'!$B$58:$B$59,$B23,'9.Инвестиционна програма'!L$58:L$59)+SUMIF('9.Инвестиционна програма'!$B$61:$B$71,$B23,'9.Инвестиционна програма'!L$61:L$71))*$E$6</f>
        <v>0</v>
      </c>
      <c r="AU23" s="3006"/>
    </row>
    <row r="24" spans="1:47">
      <c r="A24" s="3060"/>
      <c r="B24" s="4260">
        <v>2030402</v>
      </c>
      <c r="C24" s="4243">
        <v>0.1</v>
      </c>
      <c r="D24" s="3071" t="s">
        <v>434</v>
      </c>
      <c r="E24" s="3047">
        <f>'11.2. ДА за периода'!E24</f>
        <v>0</v>
      </c>
      <c r="F24" s="1325">
        <f>SUMIF('9.Инвестиционна програма'!$B$12:$B$35,$B24,'9.Инвестиционна програма'!G$12:G$35)*$E$6</f>
        <v>0</v>
      </c>
      <c r="G24" s="1321">
        <f>SUMIF('9.Инвестиционна програма'!$B$12:$B$35,$B24,'9.Инвестиционна програма'!H$12:H$35)*$E$6</f>
        <v>0</v>
      </c>
      <c r="H24" s="1321">
        <f>SUMIF('9.Инвестиционна програма'!$B$12:$B$35,$B24,'9.Инвестиционна програма'!I$12:I$35)*$E$6</f>
        <v>0</v>
      </c>
      <c r="I24" s="1321">
        <f>SUMIF('9.Инвестиционна програма'!$B$12:$B$35,$B24,'9.Инвестиционна програма'!J$12:J$35)*$E$6</f>
        <v>0</v>
      </c>
      <c r="J24" s="1321">
        <f>SUMIF('9.Инвестиционна програма'!$B$12:$B$35,$B24,'9.Инвестиционна програма'!K$12:K$35)*$E$6</f>
        <v>0</v>
      </c>
      <c r="K24" s="1326">
        <f>SUMIF('9.Инвестиционна програма'!$B$12:$B$35,$B24,'9.Инвестиционна програма'!L$12:L$35)*$E$6</f>
        <v>0</v>
      </c>
      <c r="L24" s="3047">
        <f>'11.2. ДА за периода'!L24</f>
        <v>0</v>
      </c>
      <c r="M24" s="1329">
        <f>SUMIF('9.Инвестиционна програма'!$B$37:$B$47,$B24,'9.Инвестиционна програма'!G$37:G$47)*$E$6</f>
        <v>0</v>
      </c>
      <c r="N24" s="1323">
        <f>SUMIF('9.Инвестиционна програма'!$B$37:$B$47,$B24,'9.Инвестиционна програма'!H$37:H$47)*$E$6</f>
        <v>0</v>
      </c>
      <c r="O24" s="1323">
        <f>SUMIF('9.Инвестиционна програма'!$B$37:$B$47,$B24,'9.Инвестиционна програма'!I$37:I$47)*$E$6</f>
        <v>0</v>
      </c>
      <c r="P24" s="1323">
        <f>SUMIF('9.Инвестиционна програма'!$B$37:$B$47,$B24,'9.Инвестиционна програма'!J$37:J$47)*$E$6</f>
        <v>0</v>
      </c>
      <c r="Q24" s="1323">
        <f>SUMIF('9.Инвестиционна програма'!$B$37:$B$47,$B24,'9.Инвестиционна програма'!K$37:K$47)*$E$6</f>
        <v>0</v>
      </c>
      <c r="R24" s="1324">
        <f>SUMIF('9.Инвестиционна програма'!$B$37:$B$47,$B24,'9.Инвестиционна програма'!L$37:L$47)*$E$6</f>
        <v>0</v>
      </c>
      <c r="S24" s="1203">
        <f>'11.2. ДА за периода'!S24</f>
        <v>0</v>
      </c>
      <c r="T24" s="994">
        <f>SUMIF('9.Инвестиционна програма'!$B$49:$B$56,$B24,'9.Инвестиционна програма'!G$49:G$56)*$E$6</f>
        <v>0</v>
      </c>
      <c r="U24" s="994">
        <f>SUMIF('9.Инвестиционна програма'!$B$49:$B$56,$B24,'9.Инвестиционна програма'!H$49:H$56)*$E$6</f>
        <v>0</v>
      </c>
      <c r="V24" s="994">
        <f>SUMIF('9.Инвестиционна програма'!$B$49:$B$56,$B24,'9.Инвестиционна програма'!I$49:I$56)*$E$6</f>
        <v>0</v>
      </c>
      <c r="W24" s="994">
        <f>SUMIF('9.Инвестиционна програма'!$B$49:$B$56,$B24,'9.Инвестиционна програма'!J$49:J$56)*$E$6</f>
        <v>0</v>
      </c>
      <c r="X24" s="994">
        <f>SUMIF('9.Инвестиционна програма'!$B$49:$B$56,$B24,'9.Инвестиционна програма'!K$49:K$56)*$E$6</f>
        <v>0</v>
      </c>
      <c r="Y24" s="3048">
        <f>SUMIF('9.Инвестиционна програма'!$B$49:$B$56,$B24,'9.Инвестиционна програма'!L$49:L$56)*$E$6</f>
        <v>0</v>
      </c>
      <c r="Z24" s="1203">
        <f>'11.2. ДА за периода'!Z24</f>
        <v>0</v>
      </c>
      <c r="AA24" s="994">
        <f>SUMIF('9.Инвестиционна програма'!$B$74:$B$97,$B24,'9.Инвестиционна програма'!G$74:G$97)*$E$6</f>
        <v>0</v>
      </c>
      <c r="AB24" s="994">
        <f>SUMIF('9.Инвестиционна програма'!$B$74:$B$97,$B24,'9.Инвестиционна програма'!H$74:H$97)*$E$6</f>
        <v>0</v>
      </c>
      <c r="AC24" s="994">
        <f>SUMIF('9.Инвестиционна програма'!$B$74:$B$97,$B24,'9.Инвестиционна програма'!I$74:I$97)*$E$6</f>
        <v>0</v>
      </c>
      <c r="AD24" s="994">
        <f>SUMIF('9.Инвестиционна програма'!$B$74:$B$97,$B24,'9.Инвестиционна програма'!J$74:J$97)*$E$6</f>
        <v>0</v>
      </c>
      <c r="AE24" s="994">
        <f>SUMIF('9.Инвестиционна програма'!$B$74:$B$97,$B24,'9.Инвестиционна програма'!K$74:K$97)*$E$6</f>
        <v>0</v>
      </c>
      <c r="AF24" s="994">
        <f>SUMIF('9.Инвестиционна програма'!$B$74:$B$97,$B24,'9.Инвестиционна програма'!L$74:L$97)*$E$6</f>
        <v>0</v>
      </c>
      <c r="AG24" s="1203">
        <f>'11.2. ДА за периода'!AG24</f>
        <v>0</v>
      </c>
      <c r="AH24" s="994">
        <f>SUMIF('9.Инвестиционна програма'!$B$100:$B$123,$B24,'9.Инвестиционна програма'!G$100:G$123)*$E$6</f>
        <v>0</v>
      </c>
      <c r="AI24" s="994">
        <f>SUMIF('9.Инвестиционна програма'!$B$100:$B$123,$B24,'9.Инвестиционна програма'!H$100:H$123)*$E$6</f>
        <v>0</v>
      </c>
      <c r="AJ24" s="994">
        <f>SUMIF('9.Инвестиционна програма'!$B$100:$B$123,$B24,'9.Инвестиционна програма'!I$100:I$123)*$E$6</f>
        <v>0</v>
      </c>
      <c r="AK24" s="994">
        <f>SUMIF('9.Инвестиционна програма'!$B$100:$B$123,$B24,'9.Инвестиционна програма'!J$100:J$123)*$E$6</f>
        <v>0</v>
      </c>
      <c r="AL24" s="994">
        <f>SUMIF('9.Инвестиционна програма'!$B$100:$B$123,$B24,'9.Инвестиционна програма'!K$100:K$123)*$E$6</f>
        <v>0</v>
      </c>
      <c r="AM24" s="994">
        <f>SUMIF('9.Инвестиционна програма'!$B$100:$B$123,$B24,'9.Инвестиционна програма'!L$100:L$123)*$E$6</f>
        <v>0</v>
      </c>
      <c r="AN24" s="1203">
        <f>'11.2. ДА за периода'!AN24</f>
        <v>0</v>
      </c>
      <c r="AO24" s="1329">
        <f>(SUMIF('9.Инвестиционна програма'!$B$58:$B$59,$B24,'9.Инвестиционна програма'!G$58:G$59)+SUMIF('9.Инвестиционна програма'!$B$61:$B$71,$B24,'9.Инвестиционна програма'!G$61:G$71))*$E$6</f>
        <v>0</v>
      </c>
      <c r="AP24" s="994">
        <f>(SUMIF('9.Инвестиционна програма'!$B$58:$B$59,$B24,'9.Инвестиционна програма'!H$58:H$59)+SUMIF('9.Инвестиционна програма'!$B$61:$B$71,$B24,'9.Инвестиционна програма'!H$61:H$71))*$E$6</f>
        <v>0</v>
      </c>
      <c r="AQ24" s="994">
        <f>(SUMIF('9.Инвестиционна програма'!$B$58:$B$59,$B24,'9.Инвестиционна програма'!I$58:I$59)+SUMIF('9.Инвестиционна програма'!$B$61:$B$71,$B24,'9.Инвестиционна програма'!I$61:I$71))*$E$6</f>
        <v>0</v>
      </c>
      <c r="AR24" s="994">
        <f>(SUMIF('9.Инвестиционна програма'!$B$58:$B$59,$B24,'9.Инвестиционна програма'!J$58:J$59)+SUMIF('9.Инвестиционна програма'!$B$61:$B$71,$B24,'9.Инвестиционна програма'!J$61:J$71))*$E$6</f>
        <v>0</v>
      </c>
      <c r="AS24" s="994">
        <f>(SUMIF('9.Инвестиционна програма'!$B$58:$B$59,$B24,'9.Инвестиционна програма'!K$58:K$59)+SUMIF('9.Инвестиционна програма'!$B$61:$B$71,$B24,'9.Инвестиционна програма'!K$61:K$71))*$E$6</f>
        <v>0</v>
      </c>
      <c r="AT24" s="3048">
        <f>(SUMIF('9.Инвестиционна програма'!$B$58:$B$59,$B24,'9.Инвестиционна програма'!L$58:L$59)+SUMIF('9.Инвестиционна програма'!$B$61:$B$71,$B24,'9.Инвестиционна програма'!L$61:L$71))*$E$6</f>
        <v>0</v>
      </c>
      <c r="AU24" s="3006"/>
    </row>
    <row r="25" spans="1:47">
      <c r="A25" s="3060"/>
      <c r="B25" s="4259">
        <v>20305</v>
      </c>
      <c r="C25" s="4242"/>
      <c r="D25" s="3064" t="s">
        <v>435</v>
      </c>
      <c r="E25" s="3065">
        <f>SUM(E26:E28)</f>
        <v>176.53700000000001</v>
      </c>
      <c r="F25" s="3066">
        <f t="shared" ref="F25:AT25" si="15">SUM(F26:F28)</f>
        <v>86</v>
      </c>
      <c r="G25" s="3067">
        <f t="shared" si="15"/>
        <v>53</v>
      </c>
      <c r="H25" s="3067">
        <f t="shared" si="15"/>
        <v>58</v>
      </c>
      <c r="I25" s="3067">
        <f t="shared" si="15"/>
        <v>58</v>
      </c>
      <c r="J25" s="3067">
        <f t="shared" si="15"/>
        <v>58</v>
      </c>
      <c r="K25" s="3068">
        <f t="shared" si="15"/>
        <v>58</v>
      </c>
      <c r="L25" s="3065">
        <f t="shared" si="15"/>
        <v>3.1E-2</v>
      </c>
      <c r="M25" s="3066">
        <f t="shared" si="15"/>
        <v>0</v>
      </c>
      <c r="N25" s="3067">
        <f t="shared" si="15"/>
        <v>0</v>
      </c>
      <c r="O25" s="3067">
        <f t="shared" si="15"/>
        <v>10</v>
      </c>
      <c r="P25" s="3067">
        <f t="shared" si="15"/>
        <v>6</v>
      </c>
      <c r="Q25" s="3067">
        <f t="shared" si="15"/>
        <v>0</v>
      </c>
      <c r="R25" s="3068">
        <f t="shared" si="15"/>
        <v>0</v>
      </c>
      <c r="S25" s="3069">
        <f t="shared" si="15"/>
        <v>0</v>
      </c>
      <c r="T25" s="3070">
        <f t="shared" si="15"/>
        <v>0</v>
      </c>
      <c r="U25" s="3067">
        <f t="shared" si="15"/>
        <v>0</v>
      </c>
      <c r="V25" s="3067">
        <f t="shared" si="15"/>
        <v>0</v>
      </c>
      <c r="W25" s="3067">
        <f t="shared" si="15"/>
        <v>0</v>
      </c>
      <c r="X25" s="3067">
        <f t="shared" si="15"/>
        <v>0</v>
      </c>
      <c r="Y25" s="3068">
        <f t="shared" si="15"/>
        <v>0</v>
      </c>
      <c r="Z25" s="3069">
        <f t="shared" si="15"/>
        <v>0</v>
      </c>
      <c r="AA25" s="3070">
        <f t="shared" si="15"/>
        <v>0</v>
      </c>
      <c r="AB25" s="3067">
        <f t="shared" si="15"/>
        <v>0</v>
      </c>
      <c r="AC25" s="3067">
        <f t="shared" si="15"/>
        <v>0</v>
      </c>
      <c r="AD25" s="3067">
        <f t="shared" si="15"/>
        <v>0</v>
      </c>
      <c r="AE25" s="3067">
        <f t="shared" si="15"/>
        <v>0</v>
      </c>
      <c r="AF25" s="3068">
        <f t="shared" si="15"/>
        <v>0</v>
      </c>
      <c r="AG25" s="3069">
        <f t="shared" si="15"/>
        <v>0</v>
      </c>
      <c r="AH25" s="3070">
        <f t="shared" si="15"/>
        <v>0</v>
      </c>
      <c r="AI25" s="3067">
        <f t="shared" si="15"/>
        <v>0</v>
      </c>
      <c r="AJ25" s="3067">
        <f t="shared" si="15"/>
        <v>0</v>
      </c>
      <c r="AK25" s="3067">
        <f t="shared" si="15"/>
        <v>0</v>
      </c>
      <c r="AL25" s="3067">
        <f t="shared" si="15"/>
        <v>0</v>
      </c>
      <c r="AM25" s="3068">
        <f t="shared" si="15"/>
        <v>0</v>
      </c>
      <c r="AN25" s="3069">
        <f t="shared" si="15"/>
        <v>0</v>
      </c>
      <c r="AO25" s="3070">
        <f t="shared" si="15"/>
        <v>65</v>
      </c>
      <c r="AP25" s="3067">
        <f t="shared" si="15"/>
        <v>63</v>
      </c>
      <c r="AQ25" s="3067">
        <f t="shared" si="15"/>
        <v>67</v>
      </c>
      <c r="AR25" s="3067">
        <f t="shared" si="15"/>
        <v>67</v>
      </c>
      <c r="AS25" s="3067">
        <f t="shared" si="15"/>
        <v>67</v>
      </c>
      <c r="AT25" s="3068">
        <f t="shared" si="15"/>
        <v>67</v>
      </c>
      <c r="AU25" s="3007"/>
    </row>
    <row r="26" spans="1:47">
      <c r="A26" s="3060"/>
      <c r="B26" s="4259">
        <v>2030501</v>
      </c>
      <c r="C26" s="4243">
        <v>0.1</v>
      </c>
      <c r="D26" s="3071" t="s">
        <v>1009</v>
      </c>
      <c r="E26" s="3047">
        <f>'11.2. ДА за периода'!E26</f>
        <v>56.319000000000003</v>
      </c>
      <c r="F26" s="1325">
        <f>SUMIF('9.Инвестиционна програма'!$B$12:$B$35,$B26,'9.Инвестиционна програма'!G$12:G$35)*$E$6</f>
        <v>9</v>
      </c>
      <c r="G26" s="1321">
        <f>SUMIF('9.Инвестиционна програма'!$B$12:$B$35,$B26,'9.Инвестиционна програма'!H$12:H$35)*$E$6</f>
        <v>10</v>
      </c>
      <c r="H26" s="1321">
        <f>SUMIF('9.Инвестиционна програма'!$B$12:$B$35,$B26,'9.Инвестиционна програма'!I$12:I$35)*$E$6</f>
        <v>10</v>
      </c>
      <c r="I26" s="1321">
        <f>SUMIF('9.Инвестиционна програма'!$B$12:$B$35,$B26,'9.Инвестиционна програма'!J$12:J$35)*$E$6</f>
        <v>10</v>
      </c>
      <c r="J26" s="1321">
        <f>SUMIF('9.Инвестиционна програма'!$B$12:$B$35,$B26,'9.Инвестиционна програма'!K$12:K$35)*$E$6</f>
        <v>10</v>
      </c>
      <c r="K26" s="1326">
        <f>SUMIF('9.Инвестиционна програма'!$B$12:$B$35,$B26,'9.Инвестиционна програма'!L$12:L$35)*$E$6</f>
        <v>10</v>
      </c>
      <c r="L26" s="3047">
        <f>'11.2. ДА за периода'!L26</f>
        <v>3.1E-2</v>
      </c>
      <c r="M26" s="1329">
        <f>SUMIF('9.Инвестиционна програма'!$B$37:$B$47,$B26,'9.Инвестиционна програма'!G$37:G$47)*$E$6</f>
        <v>0</v>
      </c>
      <c r="N26" s="1323">
        <f>SUMIF('9.Инвестиционна програма'!$B$37:$B$47,$B26,'9.Инвестиционна програма'!H$37:H$47)*$E$6</f>
        <v>0</v>
      </c>
      <c r="O26" s="1323">
        <f>SUMIF('9.Инвестиционна програма'!$B$37:$B$47,$B26,'9.Инвестиционна програма'!I$37:I$47)*$E$6</f>
        <v>0</v>
      </c>
      <c r="P26" s="1323">
        <f>SUMIF('9.Инвестиционна програма'!$B$37:$B$47,$B26,'9.Инвестиционна програма'!J$37:J$47)*$E$6</f>
        <v>0</v>
      </c>
      <c r="Q26" s="1323">
        <f>SUMIF('9.Инвестиционна програма'!$B$37:$B$47,$B26,'9.Инвестиционна програма'!K$37:K$47)*$E$6</f>
        <v>0</v>
      </c>
      <c r="R26" s="1324">
        <f>SUMIF('9.Инвестиционна програма'!$B$37:$B$47,$B26,'9.Инвестиционна програма'!L$37:L$47)*$E$6</f>
        <v>0</v>
      </c>
      <c r="S26" s="1203">
        <f>'11.2. ДА за периода'!S26</f>
        <v>0</v>
      </c>
      <c r="T26" s="994">
        <f>SUMIF('9.Инвестиционна програма'!$B$49:$B$56,$B26,'9.Инвестиционна програма'!G$49:G$56)*$E$6</f>
        <v>0</v>
      </c>
      <c r="U26" s="994">
        <f>SUMIF('9.Инвестиционна програма'!$B$49:$B$56,$B26,'9.Инвестиционна програма'!H$49:H$56)*$E$6</f>
        <v>0</v>
      </c>
      <c r="V26" s="994">
        <f>SUMIF('9.Инвестиционна програма'!$B$49:$B$56,$B26,'9.Инвестиционна програма'!I$49:I$56)*$E$6</f>
        <v>0</v>
      </c>
      <c r="W26" s="994">
        <f>SUMIF('9.Инвестиционна програма'!$B$49:$B$56,$B26,'9.Инвестиционна програма'!J$49:J$56)*$E$6</f>
        <v>0</v>
      </c>
      <c r="X26" s="994">
        <f>SUMIF('9.Инвестиционна програма'!$B$49:$B$56,$B26,'9.Инвестиционна програма'!K$49:K$56)*$E$6</f>
        <v>0</v>
      </c>
      <c r="Y26" s="3048">
        <f>SUMIF('9.Инвестиционна програма'!$B$49:$B$56,$B26,'9.Инвестиционна програма'!L$49:L$56)*$E$6</f>
        <v>0</v>
      </c>
      <c r="Z26" s="1203">
        <f>'11.2. ДА за периода'!Z26</f>
        <v>0</v>
      </c>
      <c r="AA26" s="994">
        <f>SUMIF('9.Инвестиционна програма'!$B$74:$B$97,$B26,'9.Инвестиционна програма'!G$74:G$97)*$E$6</f>
        <v>0</v>
      </c>
      <c r="AB26" s="994">
        <f>SUMIF('9.Инвестиционна програма'!$B$74:$B$97,$B26,'9.Инвестиционна програма'!H$74:H$97)*$E$6</f>
        <v>0</v>
      </c>
      <c r="AC26" s="994">
        <f>SUMIF('9.Инвестиционна програма'!$B$74:$B$97,$B26,'9.Инвестиционна програма'!I$74:I$97)*$E$6</f>
        <v>0</v>
      </c>
      <c r="AD26" s="994">
        <f>SUMIF('9.Инвестиционна програма'!$B$74:$B$97,$B26,'9.Инвестиционна програма'!J$74:J$97)*$E$6</f>
        <v>0</v>
      </c>
      <c r="AE26" s="994">
        <f>SUMIF('9.Инвестиционна програма'!$B$74:$B$97,$B26,'9.Инвестиционна програма'!K$74:K$97)*$E$6</f>
        <v>0</v>
      </c>
      <c r="AF26" s="994">
        <f>SUMIF('9.Инвестиционна програма'!$B$74:$B$97,$B26,'9.Инвестиционна програма'!L$74:L$97)*$E$6</f>
        <v>0</v>
      </c>
      <c r="AG26" s="1203">
        <f>'11.2. ДА за периода'!AG26</f>
        <v>0</v>
      </c>
      <c r="AH26" s="994">
        <f>SUMIF('9.Инвестиционна програма'!$B$100:$B$123,$B26,'9.Инвестиционна програма'!G$100:G$123)*$E$6</f>
        <v>0</v>
      </c>
      <c r="AI26" s="994">
        <f>SUMIF('9.Инвестиционна програма'!$B$100:$B$123,$B26,'9.Инвестиционна програма'!H$100:H$123)*$E$6</f>
        <v>0</v>
      </c>
      <c r="AJ26" s="994">
        <f>SUMIF('9.Инвестиционна програма'!$B$100:$B$123,$B26,'9.Инвестиционна програма'!I$100:I$123)*$E$6</f>
        <v>0</v>
      </c>
      <c r="AK26" s="994">
        <f>SUMIF('9.Инвестиционна програма'!$B$100:$B$123,$B26,'9.Инвестиционна програма'!J$100:J$123)*$E$6</f>
        <v>0</v>
      </c>
      <c r="AL26" s="994">
        <f>SUMIF('9.Инвестиционна програма'!$B$100:$B$123,$B26,'9.Инвестиционна програма'!K$100:K$123)*$E$6</f>
        <v>0</v>
      </c>
      <c r="AM26" s="994">
        <f>SUMIF('9.Инвестиционна програма'!$B$100:$B$123,$B26,'9.Инвестиционна програма'!L$100:L$123)*$E$6</f>
        <v>0</v>
      </c>
      <c r="AN26" s="1203">
        <f>'11.2. ДА за периода'!AN26</f>
        <v>0</v>
      </c>
      <c r="AO26" s="1329">
        <f>(SUMIF('9.Инвестиционна програма'!$B$58:$B$59,$B26,'9.Инвестиционна програма'!G$58:G$59)+SUMIF('9.Инвестиционна програма'!$B$61:$B$71,$B26,'9.Инвестиционна програма'!G$61:G$71))*$E$6</f>
        <v>65</v>
      </c>
      <c r="AP26" s="994">
        <f>(SUMIF('9.Инвестиционна програма'!$B$58:$B$59,$B26,'9.Инвестиционна програма'!H$58:H$59)+SUMIF('9.Инвестиционна програма'!$B$61:$B$71,$B26,'9.Инвестиционна програма'!H$61:H$71))*$E$6</f>
        <v>63</v>
      </c>
      <c r="AQ26" s="994">
        <f>(SUMIF('9.Инвестиционна програма'!$B$58:$B$59,$B26,'9.Инвестиционна програма'!I$58:I$59)+SUMIF('9.Инвестиционна програма'!$B$61:$B$71,$B26,'9.Инвестиционна програма'!I$61:I$71))*$E$6</f>
        <v>67</v>
      </c>
      <c r="AR26" s="994">
        <f>(SUMIF('9.Инвестиционна програма'!$B$58:$B$59,$B26,'9.Инвестиционна програма'!J$58:J$59)+SUMIF('9.Инвестиционна програма'!$B$61:$B$71,$B26,'9.Инвестиционна програма'!J$61:J$71))*$E$6</f>
        <v>67</v>
      </c>
      <c r="AS26" s="994">
        <f>(SUMIF('9.Инвестиционна програма'!$B$58:$B$59,$B26,'9.Инвестиционна програма'!K$58:K$59)+SUMIF('9.Инвестиционна програма'!$B$61:$B$71,$B26,'9.Инвестиционна програма'!K$61:K$71))*$E$6</f>
        <v>67</v>
      </c>
      <c r="AT26" s="3048">
        <f>(SUMIF('9.Инвестиционна програма'!$B$58:$B$59,$B26,'9.Инвестиционна програма'!L$58:L$59)+SUMIF('9.Инвестиционна програма'!$B$61:$B$71,$B26,'9.Инвестиционна програма'!L$61:L$71))*$E$6</f>
        <v>67</v>
      </c>
      <c r="AU26" s="3006"/>
    </row>
    <row r="27" spans="1:47" ht="24">
      <c r="A27" s="3060"/>
      <c r="B27" s="4259">
        <v>2030502</v>
      </c>
      <c r="C27" s="4243">
        <v>0.1</v>
      </c>
      <c r="D27" s="3071" t="s">
        <v>702</v>
      </c>
      <c r="E27" s="3047">
        <f>'11.2. ДА за периода'!E27</f>
        <v>104.34099999999999</v>
      </c>
      <c r="F27" s="1325">
        <f>SUMIF('9.Инвестиционна програма'!$B$12:$B$35,$B27,'9.Инвестиционна програма'!G$12:G$35)*$E$6</f>
        <v>65</v>
      </c>
      <c r="G27" s="1321">
        <f>SUMIF('9.Инвестиционна програма'!$B$12:$B$35,$B27,'9.Инвестиционна програма'!H$12:H$35)*$E$6</f>
        <v>43</v>
      </c>
      <c r="H27" s="1321">
        <f>SUMIF('9.Инвестиционна програма'!$B$12:$B$35,$B27,'9.Инвестиционна програма'!I$12:I$35)*$E$6</f>
        <v>43</v>
      </c>
      <c r="I27" s="1321">
        <f>SUMIF('9.Инвестиционна програма'!$B$12:$B$35,$B27,'9.Инвестиционна програма'!J$12:J$35)*$E$6</f>
        <v>43</v>
      </c>
      <c r="J27" s="1321">
        <f>SUMIF('9.Инвестиционна програма'!$B$12:$B$35,$B27,'9.Инвестиционна програма'!K$12:K$35)*$E$6</f>
        <v>43</v>
      </c>
      <c r="K27" s="1326">
        <f>SUMIF('9.Инвестиционна програма'!$B$12:$B$35,$B27,'9.Инвестиционна програма'!L$12:L$35)*$E$6</f>
        <v>43</v>
      </c>
      <c r="L27" s="3047">
        <f>'11.2. ДА за периода'!L27</f>
        <v>0</v>
      </c>
      <c r="M27" s="1329">
        <f>SUMIF('9.Инвестиционна програма'!$B$37:$B$47,$B27,'9.Инвестиционна програма'!G$37:G$47)*$E$6</f>
        <v>0</v>
      </c>
      <c r="N27" s="1323">
        <f>SUMIF('9.Инвестиционна програма'!$B$37:$B$47,$B27,'9.Инвестиционна програма'!H$37:H$47)*$E$6</f>
        <v>0</v>
      </c>
      <c r="O27" s="1323">
        <f>SUMIF('9.Инвестиционна програма'!$B$37:$B$47,$B27,'9.Инвестиционна програма'!I$37:I$47)*$E$6</f>
        <v>0</v>
      </c>
      <c r="P27" s="1323">
        <f>SUMIF('9.Инвестиционна програма'!$B$37:$B$47,$B27,'9.Инвестиционна програма'!J$37:J$47)*$E$6</f>
        <v>0</v>
      </c>
      <c r="Q27" s="1323">
        <f>SUMIF('9.Инвестиционна програма'!$B$37:$B$47,$B27,'9.Инвестиционна програма'!K$37:K$47)*$E$6</f>
        <v>0</v>
      </c>
      <c r="R27" s="1324">
        <f>SUMIF('9.Инвестиционна програма'!$B$37:$B$47,$B27,'9.Инвестиционна програма'!L$37:L$47)*$E$6</f>
        <v>0</v>
      </c>
      <c r="S27" s="1203">
        <f>'11.2. ДА за периода'!S27</f>
        <v>0</v>
      </c>
      <c r="T27" s="994">
        <f>SUMIF('9.Инвестиционна програма'!$B$49:$B$56,$B27,'9.Инвестиционна програма'!G$49:G$56)*$E$6</f>
        <v>0</v>
      </c>
      <c r="U27" s="994">
        <f>SUMIF('9.Инвестиционна програма'!$B$49:$B$56,$B27,'9.Инвестиционна програма'!H$49:H$56)*$E$6</f>
        <v>0</v>
      </c>
      <c r="V27" s="994">
        <f>SUMIF('9.Инвестиционна програма'!$B$49:$B$56,$B27,'9.Инвестиционна програма'!I$49:I$56)*$E$6</f>
        <v>0</v>
      </c>
      <c r="W27" s="994">
        <f>SUMIF('9.Инвестиционна програма'!$B$49:$B$56,$B27,'9.Инвестиционна програма'!J$49:J$56)*$E$6</f>
        <v>0</v>
      </c>
      <c r="X27" s="994">
        <f>SUMIF('9.Инвестиционна програма'!$B$49:$B$56,$B27,'9.Инвестиционна програма'!K$49:K$56)*$E$6</f>
        <v>0</v>
      </c>
      <c r="Y27" s="3048">
        <f>SUMIF('9.Инвестиционна програма'!$B$49:$B$56,$B27,'9.Инвестиционна програма'!L$49:L$56)*$E$6</f>
        <v>0</v>
      </c>
      <c r="Z27" s="1203">
        <f>'11.2. ДА за периода'!Z27</f>
        <v>0</v>
      </c>
      <c r="AA27" s="994">
        <f>SUMIF('9.Инвестиционна програма'!$B$74:$B$97,$B27,'9.Инвестиционна програма'!G$74:G$97)*$E$6</f>
        <v>0</v>
      </c>
      <c r="AB27" s="994">
        <f>SUMIF('9.Инвестиционна програма'!$B$74:$B$97,$B27,'9.Инвестиционна програма'!H$74:H$97)*$E$6</f>
        <v>0</v>
      </c>
      <c r="AC27" s="994">
        <f>SUMIF('9.Инвестиционна програма'!$B$74:$B$97,$B27,'9.Инвестиционна програма'!I$74:I$97)*$E$6</f>
        <v>0</v>
      </c>
      <c r="AD27" s="994">
        <f>SUMIF('9.Инвестиционна програма'!$B$74:$B$97,$B27,'9.Инвестиционна програма'!J$74:J$97)*$E$6</f>
        <v>0</v>
      </c>
      <c r="AE27" s="994">
        <f>SUMIF('9.Инвестиционна програма'!$B$74:$B$97,$B27,'9.Инвестиционна програма'!K$74:K$97)*$E$6</f>
        <v>0</v>
      </c>
      <c r="AF27" s="994">
        <f>SUMIF('9.Инвестиционна програма'!$B$74:$B$97,$B27,'9.Инвестиционна програма'!L$74:L$97)*$E$6</f>
        <v>0</v>
      </c>
      <c r="AG27" s="1203">
        <f>'11.2. ДА за периода'!AG27</f>
        <v>0</v>
      </c>
      <c r="AH27" s="994">
        <f>SUMIF('9.Инвестиционна програма'!$B$100:$B$123,$B27,'9.Инвестиционна програма'!G$100:G$123)*$E$6</f>
        <v>0</v>
      </c>
      <c r="AI27" s="994">
        <f>SUMIF('9.Инвестиционна програма'!$B$100:$B$123,$B27,'9.Инвестиционна програма'!H$100:H$123)*$E$6</f>
        <v>0</v>
      </c>
      <c r="AJ27" s="994">
        <f>SUMIF('9.Инвестиционна програма'!$B$100:$B$123,$B27,'9.Инвестиционна програма'!I$100:I$123)*$E$6</f>
        <v>0</v>
      </c>
      <c r="AK27" s="994">
        <f>SUMIF('9.Инвестиционна програма'!$B$100:$B$123,$B27,'9.Инвестиционна програма'!J$100:J$123)*$E$6</f>
        <v>0</v>
      </c>
      <c r="AL27" s="994">
        <f>SUMIF('9.Инвестиционна програма'!$B$100:$B$123,$B27,'9.Инвестиционна програма'!K$100:K$123)*$E$6</f>
        <v>0</v>
      </c>
      <c r="AM27" s="994">
        <f>SUMIF('9.Инвестиционна програма'!$B$100:$B$123,$B27,'9.Инвестиционна програма'!L$100:L$123)*$E$6</f>
        <v>0</v>
      </c>
      <c r="AN27" s="1203">
        <f>'11.2. ДА за периода'!AN27</f>
        <v>0</v>
      </c>
      <c r="AO27" s="1329">
        <f>(SUMIF('9.Инвестиционна програма'!$B$58:$B$59,$B27,'9.Инвестиционна програма'!G$58:G$59)+SUMIF('9.Инвестиционна програма'!$B$61:$B$71,$B27,'9.Инвестиционна програма'!G$61:G$71))*$E$6</f>
        <v>0</v>
      </c>
      <c r="AP27" s="994">
        <f>(SUMIF('9.Инвестиционна програма'!$B$58:$B$59,$B27,'9.Инвестиционна програма'!H$58:H$59)+SUMIF('9.Инвестиционна програма'!$B$61:$B$71,$B27,'9.Инвестиционна програма'!H$61:H$71))*$E$6</f>
        <v>0</v>
      </c>
      <c r="AQ27" s="994">
        <f>(SUMIF('9.Инвестиционна програма'!$B$58:$B$59,$B27,'9.Инвестиционна програма'!I$58:I$59)+SUMIF('9.Инвестиционна програма'!$B$61:$B$71,$B27,'9.Инвестиционна програма'!I$61:I$71))*$E$6</f>
        <v>0</v>
      </c>
      <c r="AR27" s="994">
        <f>(SUMIF('9.Инвестиционна програма'!$B$58:$B$59,$B27,'9.Инвестиционна програма'!J$58:J$59)+SUMIF('9.Инвестиционна програма'!$B$61:$B$71,$B27,'9.Инвестиционна програма'!J$61:J$71))*$E$6</f>
        <v>0</v>
      </c>
      <c r="AS27" s="994">
        <f>(SUMIF('9.Инвестиционна програма'!$B$58:$B$59,$B27,'9.Инвестиционна програма'!K$58:K$59)+SUMIF('9.Инвестиционна програма'!$B$61:$B$71,$B27,'9.Инвестиционна програма'!K$61:K$71))*$E$6</f>
        <v>0</v>
      </c>
      <c r="AT27" s="3048">
        <f>(SUMIF('9.Инвестиционна програма'!$B$58:$B$59,$B27,'9.Инвестиционна програма'!L$58:L$59)+SUMIF('9.Инвестиционна програма'!$B$61:$B$71,$B27,'9.Инвестиционна програма'!L$61:L$71))*$E$6</f>
        <v>0</v>
      </c>
      <c r="AU27" s="3006"/>
    </row>
    <row r="28" spans="1:47">
      <c r="A28" s="3060"/>
      <c r="B28" s="4259">
        <v>2030503</v>
      </c>
      <c r="C28" s="4243">
        <v>0.1</v>
      </c>
      <c r="D28" s="3071" t="s">
        <v>720</v>
      </c>
      <c r="E28" s="3047">
        <f>'11.2. ДА за периода'!E28</f>
        <v>15.877000000000001</v>
      </c>
      <c r="F28" s="1325">
        <f>SUMIF('9.Инвестиционна програма'!$B$12:$B$35,$B28,'9.Инвестиционна програма'!G$12:G$35)*$E$6</f>
        <v>12</v>
      </c>
      <c r="G28" s="1321">
        <f>SUMIF('9.Инвестиционна програма'!$B$12:$B$35,$B28,'9.Инвестиционна програма'!H$12:H$35)*$E$6</f>
        <v>0</v>
      </c>
      <c r="H28" s="1321">
        <f>SUMIF('9.Инвестиционна програма'!$B$12:$B$35,$B28,'9.Инвестиционна програма'!I$12:I$35)*$E$6</f>
        <v>5</v>
      </c>
      <c r="I28" s="1321">
        <f>SUMIF('9.Инвестиционна програма'!$B$12:$B$35,$B28,'9.Инвестиционна програма'!J$12:J$35)*$E$6</f>
        <v>5</v>
      </c>
      <c r="J28" s="1321">
        <f>SUMIF('9.Инвестиционна програма'!$B$12:$B$35,$B28,'9.Инвестиционна програма'!K$12:K$35)*$E$6</f>
        <v>5</v>
      </c>
      <c r="K28" s="1326">
        <f>SUMIF('9.Инвестиционна програма'!$B$12:$B$35,$B28,'9.Инвестиционна програма'!L$12:L$35)*$E$6</f>
        <v>5</v>
      </c>
      <c r="L28" s="3047">
        <f>'11.2. ДА за периода'!L28</f>
        <v>0</v>
      </c>
      <c r="M28" s="1329">
        <f>SUMIF('9.Инвестиционна програма'!$B$37:$B$47,$B28,'9.Инвестиционна програма'!G$37:G$47)*$E$6</f>
        <v>0</v>
      </c>
      <c r="N28" s="1323">
        <f>SUMIF('9.Инвестиционна програма'!$B$37:$B$47,$B28,'9.Инвестиционна програма'!H$37:H$47)*$E$6</f>
        <v>0</v>
      </c>
      <c r="O28" s="1323">
        <f>SUMIF('9.Инвестиционна програма'!$B$37:$B$47,$B28,'9.Инвестиционна програма'!I$37:I$47)*$E$6</f>
        <v>10</v>
      </c>
      <c r="P28" s="1323">
        <f>SUMIF('9.Инвестиционна програма'!$B$37:$B$47,$B28,'9.Инвестиционна програма'!J$37:J$47)*$E$6</f>
        <v>6</v>
      </c>
      <c r="Q28" s="1323">
        <f>SUMIF('9.Инвестиционна програма'!$B$37:$B$47,$B28,'9.Инвестиционна програма'!K$37:K$47)*$E$6</f>
        <v>0</v>
      </c>
      <c r="R28" s="1324">
        <f>SUMIF('9.Инвестиционна програма'!$B$37:$B$47,$B28,'9.Инвестиционна програма'!L$37:L$47)*$E$6</f>
        <v>0</v>
      </c>
      <c r="S28" s="1203">
        <f>'11.2. ДА за периода'!S28</f>
        <v>0</v>
      </c>
      <c r="T28" s="994">
        <f>SUMIF('9.Инвестиционна програма'!$B$49:$B$56,$B28,'9.Инвестиционна програма'!G$49:G$56)*$E$6</f>
        <v>0</v>
      </c>
      <c r="U28" s="994">
        <f>SUMIF('9.Инвестиционна програма'!$B$49:$B$56,$B28,'9.Инвестиционна програма'!H$49:H$56)*$E$6</f>
        <v>0</v>
      </c>
      <c r="V28" s="994">
        <f>SUMIF('9.Инвестиционна програма'!$B$49:$B$56,$B28,'9.Инвестиционна програма'!I$49:I$56)*$E$6</f>
        <v>0</v>
      </c>
      <c r="W28" s="994">
        <f>SUMIF('9.Инвестиционна програма'!$B$49:$B$56,$B28,'9.Инвестиционна програма'!J$49:J$56)*$E$6</f>
        <v>0</v>
      </c>
      <c r="X28" s="994">
        <f>SUMIF('9.Инвестиционна програма'!$B$49:$B$56,$B28,'9.Инвестиционна програма'!K$49:K$56)*$E$6</f>
        <v>0</v>
      </c>
      <c r="Y28" s="3048">
        <f>SUMIF('9.Инвестиционна програма'!$B$49:$B$56,$B28,'9.Инвестиционна програма'!L$49:L$56)*$E$6</f>
        <v>0</v>
      </c>
      <c r="Z28" s="1203">
        <f>'11.2. ДА за периода'!Z28</f>
        <v>0</v>
      </c>
      <c r="AA28" s="994">
        <f>SUMIF('9.Инвестиционна програма'!$B$74:$B$97,$B28,'9.Инвестиционна програма'!G$74:G$97)*$E$6</f>
        <v>0</v>
      </c>
      <c r="AB28" s="994">
        <f>SUMIF('9.Инвестиционна програма'!$B$74:$B$97,$B28,'9.Инвестиционна програма'!H$74:H$97)*$E$6</f>
        <v>0</v>
      </c>
      <c r="AC28" s="994">
        <f>SUMIF('9.Инвестиционна програма'!$B$74:$B$97,$B28,'9.Инвестиционна програма'!I$74:I$97)*$E$6</f>
        <v>0</v>
      </c>
      <c r="AD28" s="994">
        <f>SUMIF('9.Инвестиционна програма'!$B$74:$B$97,$B28,'9.Инвестиционна програма'!J$74:J$97)*$E$6</f>
        <v>0</v>
      </c>
      <c r="AE28" s="994">
        <f>SUMIF('9.Инвестиционна програма'!$B$74:$B$97,$B28,'9.Инвестиционна програма'!K$74:K$97)*$E$6</f>
        <v>0</v>
      </c>
      <c r="AF28" s="994">
        <f>SUMIF('9.Инвестиционна програма'!$B$74:$B$97,$B28,'9.Инвестиционна програма'!L$74:L$97)*$E$6</f>
        <v>0</v>
      </c>
      <c r="AG28" s="1203">
        <f>'11.2. ДА за периода'!AG28</f>
        <v>0</v>
      </c>
      <c r="AH28" s="994">
        <f>SUMIF('9.Инвестиционна програма'!$B$100:$B$123,$B28,'9.Инвестиционна програма'!G$100:G$123)*$E$6</f>
        <v>0</v>
      </c>
      <c r="AI28" s="994">
        <f>SUMIF('9.Инвестиционна програма'!$B$100:$B$123,$B28,'9.Инвестиционна програма'!H$100:H$123)*$E$6</f>
        <v>0</v>
      </c>
      <c r="AJ28" s="994">
        <f>SUMIF('9.Инвестиционна програма'!$B$100:$B$123,$B28,'9.Инвестиционна програма'!I$100:I$123)*$E$6</f>
        <v>0</v>
      </c>
      <c r="AK28" s="994">
        <f>SUMIF('9.Инвестиционна програма'!$B$100:$B$123,$B28,'9.Инвестиционна програма'!J$100:J$123)*$E$6</f>
        <v>0</v>
      </c>
      <c r="AL28" s="994">
        <f>SUMIF('9.Инвестиционна програма'!$B$100:$B$123,$B28,'9.Инвестиционна програма'!K$100:K$123)*$E$6</f>
        <v>0</v>
      </c>
      <c r="AM28" s="994">
        <f>SUMIF('9.Инвестиционна програма'!$B$100:$B$123,$B28,'9.Инвестиционна програма'!L$100:L$123)*$E$6</f>
        <v>0</v>
      </c>
      <c r="AN28" s="1203">
        <f>'11.2. ДА за периода'!AN28</f>
        <v>0</v>
      </c>
      <c r="AO28" s="1329">
        <f>(SUMIF('9.Инвестиционна програма'!$B$58:$B$59,$B28,'9.Инвестиционна програма'!G$58:G$59)+SUMIF('9.Инвестиционна програма'!$B$61:$B$71,$B28,'9.Инвестиционна програма'!G$61:G$71))*$E$6</f>
        <v>0</v>
      </c>
      <c r="AP28" s="994">
        <f>(SUMIF('9.Инвестиционна програма'!$B$58:$B$59,$B28,'9.Инвестиционна програма'!H$58:H$59)+SUMIF('9.Инвестиционна програма'!$B$61:$B$71,$B28,'9.Инвестиционна програма'!H$61:H$71))*$E$6</f>
        <v>0</v>
      </c>
      <c r="AQ28" s="994">
        <f>(SUMIF('9.Инвестиционна програма'!$B$58:$B$59,$B28,'9.Инвестиционна програма'!I$58:I$59)+SUMIF('9.Инвестиционна програма'!$B$61:$B$71,$B28,'9.Инвестиционна програма'!I$61:I$71))*$E$6</f>
        <v>0</v>
      </c>
      <c r="AR28" s="994">
        <f>(SUMIF('9.Инвестиционна програма'!$B$58:$B$59,$B28,'9.Инвестиционна програма'!J$58:J$59)+SUMIF('9.Инвестиционна програма'!$B$61:$B$71,$B28,'9.Инвестиционна програма'!J$61:J$71))*$E$6</f>
        <v>0</v>
      </c>
      <c r="AS28" s="994">
        <f>(SUMIF('9.Инвестиционна програма'!$B$58:$B$59,$B28,'9.Инвестиционна програма'!K$58:K$59)+SUMIF('9.Инвестиционна програма'!$B$61:$B$71,$B28,'9.Инвестиционна програма'!K$61:K$71))*$E$6</f>
        <v>0</v>
      </c>
      <c r="AT28" s="3048">
        <f>(SUMIF('9.Инвестиционна програма'!$B$58:$B$59,$B28,'9.Инвестиционна програма'!L$58:L$59)+SUMIF('9.Инвестиционна програма'!$B$61:$B$71,$B28,'9.Инвестиционна програма'!L$61:L$71))*$E$6</f>
        <v>0</v>
      </c>
      <c r="AU28" s="3006"/>
    </row>
    <row r="29" spans="1:47">
      <c r="A29" s="3060"/>
      <c r="B29" s="4259">
        <v>20306</v>
      </c>
      <c r="C29" s="4242">
        <v>0.1</v>
      </c>
      <c r="D29" s="3064" t="s">
        <v>414</v>
      </c>
      <c r="E29" s="3047">
        <f>'11.2. ДА за периода'!E29</f>
        <v>5.96</v>
      </c>
      <c r="F29" s="1325">
        <f>SUMIF('9.Инвестиционна програма'!$B$12:$B$35,$B29,'9.Инвестиционна програма'!G$12:G$35)*$E$6</f>
        <v>53</v>
      </c>
      <c r="G29" s="1321">
        <f>SUMIF('9.Инвестиционна програма'!$B$12:$B$35,$B29,'9.Инвестиционна програма'!H$12:H$35)*$E$6</f>
        <v>0</v>
      </c>
      <c r="H29" s="1321">
        <f>SUMIF('9.Инвестиционна програма'!$B$12:$B$35,$B29,'9.Инвестиционна програма'!I$12:I$35)*$E$6</f>
        <v>14</v>
      </c>
      <c r="I29" s="1321">
        <f>SUMIF('9.Инвестиционна програма'!$B$12:$B$35,$B29,'9.Инвестиционна програма'!J$12:J$35)*$E$6</f>
        <v>11</v>
      </c>
      <c r="J29" s="1321">
        <f>SUMIF('9.Инвестиционна програма'!$B$12:$B$35,$B29,'9.Инвестиционна програма'!K$12:K$35)*$E$6</f>
        <v>11.5</v>
      </c>
      <c r="K29" s="1326">
        <f>SUMIF('9.Инвестиционна програма'!$B$12:$B$35,$B29,'9.Инвестиционна програма'!L$12:L$35)*$E$6</f>
        <v>16.5</v>
      </c>
      <c r="L29" s="3047">
        <f>'11.2. ДА за периода'!L29</f>
        <v>0</v>
      </c>
      <c r="M29" s="1329">
        <f>SUMIF('9.Инвестиционна програма'!$B$37:$B$47,$B29,'9.Инвестиционна програма'!G$37:G$47)*$E$6</f>
        <v>3</v>
      </c>
      <c r="N29" s="1323">
        <f>SUMIF('9.Инвестиционна програма'!$B$37:$B$47,$B29,'9.Инвестиционна програма'!H$37:H$47)*$E$6</f>
        <v>1</v>
      </c>
      <c r="O29" s="1323">
        <f>SUMIF('9.Инвестиционна програма'!$B$37:$B$47,$B29,'9.Инвестиционна програма'!I$37:I$47)*$E$6</f>
        <v>4</v>
      </c>
      <c r="P29" s="1323">
        <f>SUMIF('9.Инвестиционна програма'!$B$37:$B$47,$B29,'9.Инвестиционна програма'!J$37:J$47)*$E$6</f>
        <v>4.5</v>
      </c>
      <c r="Q29" s="1323">
        <f>SUMIF('9.Инвестиционна програма'!$B$37:$B$47,$B29,'9.Инвестиционна програма'!K$37:K$47)*$E$6</f>
        <v>1.5</v>
      </c>
      <c r="R29" s="1324">
        <f>SUMIF('9.Инвестиционна програма'!$B$37:$B$47,$B29,'9.Инвестиционна програма'!L$37:L$47)*$E$6</f>
        <v>24</v>
      </c>
      <c r="S29" s="1203">
        <f>'11.2. ДА за периода'!S29</f>
        <v>0</v>
      </c>
      <c r="T29" s="994">
        <f>SUMIF('9.Инвестиционна програма'!$B$49:$B$56,$B29,'9.Инвестиционна програма'!G$49:G$56)*$E$6</f>
        <v>0</v>
      </c>
      <c r="U29" s="994">
        <f>SUMIF('9.Инвестиционна програма'!$B$49:$B$56,$B29,'9.Инвестиционна програма'!H$49:H$56)*$E$6</f>
        <v>0</v>
      </c>
      <c r="V29" s="994">
        <f>SUMIF('9.Инвестиционна програма'!$B$49:$B$56,$B29,'9.Инвестиционна програма'!I$49:I$56)*$E$6</f>
        <v>0.4</v>
      </c>
      <c r="W29" s="994">
        <f>SUMIF('9.Инвестиционна програма'!$B$49:$B$56,$B29,'9.Инвестиционна програма'!J$49:J$56)*$E$6</f>
        <v>0</v>
      </c>
      <c r="X29" s="994">
        <f>SUMIF('9.Инвестиционна програма'!$B$49:$B$56,$B29,'9.Инвестиционна програма'!K$49:K$56)*$E$6</f>
        <v>0</v>
      </c>
      <c r="Y29" s="3048">
        <f>SUMIF('9.Инвестиционна програма'!$B$49:$B$56,$B29,'9.Инвестиционна програма'!L$49:L$56)*$E$6</f>
        <v>0</v>
      </c>
      <c r="Z29" s="1203">
        <f>'11.2. ДА за периода'!Z29</f>
        <v>0</v>
      </c>
      <c r="AA29" s="994">
        <f>SUMIF('9.Инвестиционна програма'!$B$74:$B$97,$B29,'9.Инвестиционна програма'!G$74:G$97)*$E$6</f>
        <v>0</v>
      </c>
      <c r="AB29" s="994">
        <f>SUMIF('9.Инвестиционна програма'!$B$74:$B$97,$B29,'9.Инвестиционна програма'!H$74:H$97)*$E$6</f>
        <v>1</v>
      </c>
      <c r="AC29" s="994">
        <f>SUMIF('9.Инвестиционна програма'!$B$74:$B$97,$B29,'9.Инвестиционна програма'!I$74:I$97)*$E$6</f>
        <v>1</v>
      </c>
      <c r="AD29" s="994">
        <f>SUMIF('9.Инвестиционна програма'!$B$74:$B$97,$B29,'9.Инвестиционна програма'!J$74:J$97)*$E$6</f>
        <v>0</v>
      </c>
      <c r="AE29" s="994">
        <f>SUMIF('9.Инвестиционна програма'!$B$74:$B$97,$B29,'9.Инвестиционна програма'!K$74:K$97)*$E$6</f>
        <v>0</v>
      </c>
      <c r="AF29" s="994">
        <f>SUMIF('9.Инвестиционна програма'!$B$74:$B$97,$B29,'9.Инвестиционна програма'!L$74:L$97)*$E$6</f>
        <v>0</v>
      </c>
      <c r="AG29" s="1203">
        <f>'11.2. ДА за периода'!AG29</f>
        <v>0</v>
      </c>
      <c r="AH29" s="994">
        <f>SUMIF('9.Инвестиционна програма'!$B$100:$B$123,$B29,'9.Инвестиционна програма'!G$100:G$123)*$E$6</f>
        <v>0</v>
      </c>
      <c r="AI29" s="994">
        <f>SUMIF('9.Инвестиционна програма'!$B$100:$B$123,$B29,'9.Инвестиционна програма'!H$100:H$123)*$E$6</f>
        <v>0</v>
      </c>
      <c r="AJ29" s="994">
        <f>SUMIF('9.Инвестиционна програма'!$B$100:$B$123,$B29,'9.Инвестиционна програма'!I$100:I$123)*$E$6</f>
        <v>0</v>
      </c>
      <c r="AK29" s="994">
        <f>SUMIF('9.Инвестиционна програма'!$B$100:$B$123,$B29,'9.Инвестиционна програма'!J$100:J$123)*$E$6</f>
        <v>0</v>
      </c>
      <c r="AL29" s="994">
        <f>SUMIF('9.Инвестиционна програма'!$B$100:$B$123,$B29,'9.Инвестиционна програма'!K$100:K$123)*$E$6</f>
        <v>0</v>
      </c>
      <c r="AM29" s="994">
        <f>SUMIF('9.Инвестиционна програма'!$B$100:$B$123,$B29,'9.Инвестиционна програма'!L$100:L$123)*$E$6</f>
        <v>0</v>
      </c>
      <c r="AN29" s="1203">
        <f>'11.2. ДА за периода'!AN29</f>
        <v>0</v>
      </c>
      <c r="AO29" s="1329">
        <f>(SUMIF('9.Инвестиционна програма'!$B$58:$B$59,$B29,'9.Инвестиционна програма'!G$58:G$59)+SUMIF('9.Инвестиционна програма'!$B$61:$B$71,$B29,'9.Инвестиционна програма'!G$61:G$71))*$E$6</f>
        <v>0</v>
      </c>
      <c r="AP29" s="994">
        <f>(SUMIF('9.Инвестиционна програма'!$B$58:$B$59,$B29,'9.Инвестиционна програма'!H$58:H$59)+SUMIF('9.Инвестиционна програма'!$B$61:$B$71,$B29,'9.Инвестиционна програма'!H$61:H$71))*$E$6</f>
        <v>8</v>
      </c>
      <c r="AQ29" s="994">
        <f>(SUMIF('9.Инвестиционна програма'!$B$58:$B$59,$B29,'9.Инвестиционна програма'!I$58:I$59)+SUMIF('9.Инвестиционна програма'!$B$61:$B$71,$B29,'9.Инвестиционна програма'!I$61:I$71))*$E$6</f>
        <v>9</v>
      </c>
      <c r="AR29" s="994">
        <f>(SUMIF('9.Инвестиционна програма'!$B$58:$B$59,$B29,'9.Инвестиционна програма'!J$58:J$59)+SUMIF('9.Инвестиционна програма'!$B$61:$B$71,$B29,'9.Инвестиционна програма'!J$61:J$71))*$E$6</f>
        <v>9</v>
      </c>
      <c r="AS29" s="994">
        <f>(SUMIF('9.Инвестиционна програма'!$B$58:$B$59,$B29,'9.Инвестиционна програма'!K$58:K$59)+SUMIF('9.Инвестиционна програма'!$B$61:$B$71,$B29,'9.Инвестиционна програма'!K$61:K$71))*$E$6</f>
        <v>10</v>
      </c>
      <c r="AT29" s="3048">
        <f>(SUMIF('9.Инвестиционна програма'!$B$58:$B$59,$B29,'9.Инвестиционна програма'!L$58:L$59)+SUMIF('9.Инвестиционна програма'!$B$61:$B$71,$B29,'9.Инвестиционна програма'!L$61:L$71))*$E$6</f>
        <v>9</v>
      </c>
      <c r="AU29" s="3006"/>
    </row>
    <row r="30" spans="1:47" ht="14.25" customHeight="1">
      <c r="A30" s="3053">
        <v>4</v>
      </c>
      <c r="B30" s="4258">
        <v>204</v>
      </c>
      <c r="C30" s="4241"/>
      <c r="D30" s="3072" t="s">
        <v>216</v>
      </c>
      <c r="E30" s="3055">
        <f>E31+E34+E43+E44</f>
        <v>298.56500000000005</v>
      </c>
      <c r="F30" s="3056">
        <f t="shared" ref="F30:AT30" si="16">F31+F34+F43+F44</f>
        <v>411.5</v>
      </c>
      <c r="G30" s="3057">
        <f t="shared" si="16"/>
        <v>1459.231</v>
      </c>
      <c r="H30" s="3057">
        <f t="shared" si="16"/>
        <v>2014.098</v>
      </c>
      <c r="I30" s="3057">
        <f t="shared" si="16"/>
        <v>316.5</v>
      </c>
      <c r="J30" s="3057">
        <f t="shared" si="16"/>
        <v>167</v>
      </c>
      <c r="K30" s="3058">
        <f t="shared" si="16"/>
        <v>167</v>
      </c>
      <c r="L30" s="3055">
        <f t="shared" si="16"/>
        <v>22.382000000000001</v>
      </c>
      <c r="M30" s="3056">
        <f t="shared" si="16"/>
        <v>95</v>
      </c>
      <c r="N30" s="3057">
        <f t="shared" si="16"/>
        <v>480.34000000000003</v>
      </c>
      <c r="O30" s="3057">
        <f t="shared" si="16"/>
        <v>2830.9350000000004</v>
      </c>
      <c r="P30" s="3057">
        <f t="shared" si="16"/>
        <v>27.6</v>
      </c>
      <c r="Q30" s="3057">
        <f t="shared" si="16"/>
        <v>27.9</v>
      </c>
      <c r="R30" s="3058">
        <f t="shared" si="16"/>
        <v>29.3</v>
      </c>
      <c r="S30" s="3053">
        <f t="shared" si="16"/>
        <v>0</v>
      </c>
      <c r="T30" s="3059">
        <f t="shared" si="16"/>
        <v>6</v>
      </c>
      <c r="U30" s="3057">
        <f t="shared" si="16"/>
        <v>1055.7249999999999</v>
      </c>
      <c r="V30" s="3057">
        <f t="shared" si="16"/>
        <v>1102.7249999999999</v>
      </c>
      <c r="W30" s="3057">
        <f t="shared" si="16"/>
        <v>51</v>
      </c>
      <c r="X30" s="3057">
        <f t="shared" si="16"/>
        <v>0</v>
      </c>
      <c r="Y30" s="3058">
        <f t="shared" si="16"/>
        <v>0</v>
      </c>
      <c r="Z30" s="3053">
        <f t="shared" si="16"/>
        <v>0</v>
      </c>
      <c r="AA30" s="3059">
        <f t="shared" si="16"/>
        <v>0</v>
      </c>
      <c r="AB30" s="3057">
        <f t="shared" si="16"/>
        <v>0</v>
      </c>
      <c r="AC30" s="3057">
        <f t="shared" si="16"/>
        <v>0</v>
      </c>
      <c r="AD30" s="3057">
        <f t="shared" si="16"/>
        <v>0</v>
      </c>
      <c r="AE30" s="3057">
        <f t="shared" si="16"/>
        <v>0</v>
      </c>
      <c r="AF30" s="3058">
        <f t="shared" si="16"/>
        <v>0</v>
      </c>
      <c r="AG30" s="3053">
        <f t="shared" si="16"/>
        <v>0</v>
      </c>
      <c r="AH30" s="3059">
        <f t="shared" si="16"/>
        <v>0</v>
      </c>
      <c r="AI30" s="3057">
        <f t="shared" si="16"/>
        <v>0</v>
      </c>
      <c r="AJ30" s="3057">
        <f t="shared" si="16"/>
        <v>0</v>
      </c>
      <c r="AK30" s="3057">
        <f t="shared" si="16"/>
        <v>0</v>
      </c>
      <c r="AL30" s="3057">
        <f t="shared" si="16"/>
        <v>0</v>
      </c>
      <c r="AM30" s="3058">
        <f t="shared" si="16"/>
        <v>0</v>
      </c>
      <c r="AN30" s="3053">
        <f t="shared" si="16"/>
        <v>0</v>
      </c>
      <c r="AO30" s="3059">
        <f t="shared" si="16"/>
        <v>0</v>
      </c>
      <c r="AP30" s="3057">
        <f t="shared" si="16"/>
        <v>0</v>
      </c>
      <c r="AQ30" s="3057">
        <f t="shared" si="16"/>
        <v>0</v>
      </c>
      <c r="AR30" s="3057">
        <f t="shared" si="16"/>
        <v>0</v>
      </c>
      <c r="AS30" s="3057">
        <f t="shared" si="16"/>
        <v>0</v>
      </c>
      <c r="AT30" s="3058">
        <f t="shared" si="16"/>
        <v>0</v>
      </c>
      <c r="AU30" s="3006"/>
    </row>
    <row r="31" spans="1:47">
      <c r="A31" s="3060"/>
      <c r="B31" s="4259">
        <v>20401</v>
      </c>
      <c r="C31" s="4242"/>
      <c r="D31" s="3052" t="s">
        <v>422</v>
      </c>
      <c r="E31" s="3065">
        <f t="shared" ref="E31:AT31" si="17">SUM(E32:E33)</f>
        <v>0</v>
      </c>
      <c r="F31" s="3066">
        <f t="shared" si="17"/>
        <v>0</v>
      </c>
      <c r="G31" s="3067">
        <f t="shared" si="17"/>
        <v>0</v>
      </c>
      <c r="H31" s="3067">
        <f t="shared" si="17"/>
        <v>0</v>
      </c>
      <c r="I31" s="3067">
        <f t="shared" si="17"/>
        <v>0</v>
      </c>
      <c r="J31" s="3067">
        <f t="shared" si="17"/>
        <v>0</v>
      </c>
      <c r="K31" s="3068">
        <f t="shared" si="17"/>
        <v>0</v>
      </c>
      <c r="L31" s="3065">
        <f t="shared" si="17"/>
        <v>0</v>
      </c>
      <c r="M31" s="3066">
        <f t="shared" si="17"/>
        <v>0</v>
      </c>
      <c r="N31" s="3067">
        <f t="shared" si="17"/>
        <v>0</v>
      </c>
      <c r="O31" s="3067">
        <f t="shared" si="17"/>
        <v>0</v>
      </c>
      <c r="P31" s="3067">
        <f t="shared" si="17"/>
        <v>0</v>
      </c>
      <c r="Q31" s="3067">
        <f t="shared" si="17"/>
        <v>0</v>
      </c>
      <c r="R31" s="3068">
        <f t="shared" si="17"/>
        <v>0</v>
      </c>
      <c r="S31" s="3069">
        <f t="shared" si="17"/>
        <v>0</v>
      </c>
      <c r="T31" s="3070">
        <f t="shared" si="17"/>
        <v>0</v>
      </c>
      <c r="U31" s="3067">
        <f t="shared" si="17"/>
        <v>0</v>
      </c>
      <c r="V31" s="3067">
        <f t="shared" si="17"/>
        <v>0</v>
      </c>
      <c r="W31" s="3067">
        <f t="shared" si="17"/>
        <v>0</v>
      </c>
      <c r="X31" s="3067">
        <f t="shared" si="17"/>
        <v>0</v>
      </c>
      <c r="Y31" s="3068">
        <f t="shared" si="17"/>
        <v>0</v>
      </c>
      <c r="Z31" s="3069">
        <f t="shared" ref="Z31:AM31" si="18">SUM(Z32:Z33)</f>
        <v>0</v>
      </c>
      <c r="AA31" s="3070">
        <f t="shared" si="18"/>
        <v>0</v>
      </c>
      <c r="AB31" s="3067">
        <f t="shared" si="18"/>
        <v>0</v>
      </c>
      <c r="AC31" s="3067">
        <f t="shared" si="18"/>
        <v>0</v>
      </c>
      <c r="AD31" s="3067">
        <f t="shared" si="18"/>
        <v>0</v>
      </c>
      <c r="AE31" s="3067">
        <f t="shared" si="18"/>
        <v>0</v>
      </c>
      <c r="AF31" s="3068">
        <f t="shared" si="18"/>
        <v>0</v>
      </c>
      <c r="AG31" s="3069">
        <f t="shared" si="18"/>
        <v>0</v>
      </c>
      <c r="AH31" s="3070">
        <f t="shared" si="18"/>
        <v>0</v>
      </c>
      <c r="AI31" s="3067">
        <f t="shared" si="18"/>
        <v>0</v>
      </c>
      <c r="AJ31" s="3067">
        <f t="shared" si="18"/>
        <v>0</v>
      </c>
      <c r="AK31" s="3067">
        <f t="shared" si="18"/>
        <v>0</v>
      </c>
      <c r="AL31" s="3067">
        <f t="shared" si="18"/>
        <v>0</v>
      </c>
      <c r="AM31" s="3068">
        <f t="shared" si="18"/>
        <v>0</v>
      </c>
      <c r="AN31" s="3069">
        <f t="shared" si="17"/>
        <v>0</v>
      </c>
      <c r="AO31" s="3070">
        <f t="shared" si="17"/>
        <v>0</v>
      </c>
      <c r="AP31" s="3067">
        <f t="shared" si="17"/>
        <v>0</v>
      </c>
      <c r="AQ31" s="3067">
        <f t="shared" si="17"/>
        <v>0</v>
      </c>
      <c r="AR31" s="3067">
        <f t="shared" si="17"/>
        <v>0</v>
      </c>
      <c r="AS31" s="3067">
        <f t="shared" si="17"/>
        <v>0</v>
      </c>
      <c r="AT31" s="3068">
        <f t="shared" si="17"/>
        <v>0</v>
      </c>
      <c r="AU31" s="3007"/>
    </row>
    <row r="32" spans="1:47">
      <c r="A32" s="3060"/>
      <c r="B32" s="4260">
        <v>2040101</v>
      </c>
      <c r="C32" s="4243">
        <v>0.1</v>
      </c>
      <c r="D32" s="3073" t="s">
        <v>436</v>
      </c>
      <c r="E32" s="3047">
        <f>'11.2. ДА за периода'!E32</f>
        <v>0</v>
      </c>
      <c r="F32" s="1325">
        <f>SUMIF('9.Инвестиционна програма'!$B$12:$B$35,$B32,'9.Инвестиционна програма'!G$12:G$35)*$E$6</f>
        <v>0</v>
      </c>
      <c r="G32" s="1321">
        <f>SUMIF('9.Инвестиционна програма'!$B$12:$B$35,$B32,'9.Инвестиционна програма'!H$12:H$35)*$E$6</f>
        <v>0</v>
      </c>
      <c r="H32" s="1321">
        <f>SUMIF('9.Инвестиционна програма'!$B$12:$B$35,$B32,'9.Инвестиционна програма'!I$12:I$35)*$E$6</f>
        <v>0</v>
      </c>
      <c r="I32" s="1321">
        <f>SUMIF('9.Инвестиционна програма'!$B$12:$B$35,$B32,'9.Инвестиционна програма'!J$12:J$35)*$E$6</f>
        <v>0</v>
      </c>
      <c r="J32" s="1321">
        <f>SUMIF('9.Инвестиционна програма'!$B$12:$B$35,$B32,'9.Инвестиционна програма'!K$12:K$35)*$E$6</f>
        <v>0</v>
      </c>
      <c r="K32" s="1326">
        <f>SUMIF('9.Инвестиционна програма'!$B$12:$B$35,$B32,'9.Инвестиционна програма'!L$12:L$35)*$E$6</f>
        <v>0</v>
      </c>
      <c r="L32" s="3047">
        <f>'11.2. ДА за периода'!L32</f>
        <v>0</v>
      </c>
      <c r="M32" s="1329">
        <f>SUMIF('9.Инвестиционна програма'!$B$37:$B$47,$B32,'9.Инвестиционна програма'!G$37:G$47)*$E$6</f>
        <v>0</v>
      </c>
      <c r="N32" s="1323">
        <f>SUMIF('9.Инвестиционна програма'!$B$37:$B$47,$B32,'9.Инвестиционна програма'!H$37:H$47)*$E$6</f>
        <v>0</v>
      </c>
      <c r="O32" s="1323">
        <f>SUMIF('9.Инвестиционна програма'!$B$37:$B$47,$B32,'9.Инвестиционна програма'!I$37:I$47)*$E$6</f>
        <v>0</v>
      </c>
      <c r="P32" s="1323">
        <f>SUMIF('9.Инвестиционна програма'!$B$37:$B$47,$B32,'9.Инвестиционна програма'!J$37:J$47)*$E$6</f>
        <v>0</v>
      </c>
      <c r="Q32" s="1323">
        <f>SUMIF('9.Инвестиционна програма'!$B$37:$B$47,$B32,'9.Инвестиционна програма'!K$37:K$47)*$E$6</f>
        <v>0</v>
      </c>
      <c r="R32" s="1324">
        <f>SUMIF('9.Инвестиционна програма'!$B$37:$B$47,$B32,'9.Инвестиционна програма'!L$37:L$47)*$E$6</f>
        <v>0</v>
      </c>
      <c r="S32" s="1203">
        <f>'11.2. ДА за периода'!S32</f>
        <v>0</v>
      </c>
      <c r="T32" s="994">
        <f>SUMIF('9.Инвестиционна програма'!$B$49:$B$56,$B32,'9.Инвестиционна програма'!G$49:G$56)*$E$6</f>
        <v>0</v>
      </c>
      <c r="U32" s="994">
        <f>SUMIF('9.Инвестиционна програма'!$B$49:$B$56,$B32,'9.Инвестиционна програма'!H$49:H$56)*$E$6</f>
        <v>0</v>
      </c>
      <c r="V32" s="994">
        <f>SUMIF('9.Инвестиционна програма'!$B$49:$B$56,$B32,'9.Инвестиционна програма'!I$49:I$56)*$E$6</f>
        <v>0</v>
      </c>
      <c r="W32" s="994">
        <f>SUMIF('9.Инвестиционна програма'!$B$49:$B$56,$B32,'9.Инвестиционна програма'!J$49:J$56)*$E$6</f>
        <v>0</v>
      </c>
      <c r="X32" s="994">
        <f>SUMIF('9.Инвестиционна програма'!$B$49:$B$56,$B32,'9.Инвестиционна програма'!K$49:K$56)*$E$6</f>
        <v>0</v>
      </c>
      <c r="Y32" s="3048">
        <f>SUMIF('9.Инвестиционна програма'!$B$49:$B$56,$B32,'9.Инвестиционна програма'!L$49:L$56)*$E$6</f>
        <v>0</v>
      </c>
      <c r="Z32" s="1203">
        <f>'11.2. ДА за периода'!Z32</f>
        <v>0</v>
      </c>
      <c r="AA32" s="994">
        <f>SUMIF('9.Инвестиционна програма'!$B$74:$B$97,$B32,'9.Инвестиционна програма'!G$74:G$97)*$E$6</f>
        <v>0</v>
      </c>
      <c r="AB32" s="994">
        <f>SUMIF('9.Инвестиционна програма'!$B$74:$B$97,$B32,'9.Инвестиционна програма'!H$74:H$97)*$E$6</f>
        <v>0</v>
      </c>
      <c r="AC32" s="994">
        <f>SUMIF('9.Инвестиционна програма'!$B$74:$B$97,$B32,'9.Инвестиционна програма'!I$74:I$97)*$E$6</f>
        <v>0</v>
      </c>
      <c r="AD32" s="994">
        <f>SUMIF('9.Инвестиционна програма'!$B$74:$B$97,$B32,'9.Инвестиционна програма'!J$74:J$97)*$E$6</f>
        <v>0</v>
      </c>
      <c r="AE32" s="994">
        <f>SUMIF('9.Инвестиционна програма'!$B$74:$B$97,$B32,'9.Инвестиционна програма'!K$74:K$97)*$E$6</f>
        <v>0</v>
      </c>
      <c r="AF32" s="994">
        <f>SUMIF('9.Инвестиционна програма'!$B$74:$B$97,$B32,'9.Инвестиционна програма'!L$74:L$97)*$E$6</f>
        <v>0</v>
      </c>
      <c r="AG32" s="1203">
        <f>'11.2. ДА за периода'!AG32</f>
        <v>0</v>
      </c>
      <c r="AH32" s="994">
        <f>SUMIF('9.Инвестиционна програма'!$B$100:$B$123,$B32,'9.Инвестиционна програма'!G$100:G$123)*$E$6</f>
        <v>0</v>
      </c>
      <c r="AI32" s="994">
        <f>SUMIF('9.Инвестиционна програма'!$B$100:$B$123,$B32,'9.Инвестиционна програма'!H$100:H$123)*$E$6</f>
        <v>0</v>
      </c>
      <c r="AJ32" s="994">
        <f>SUMIF('9.Инвестиционна програма'!$B$100:$B$123,$B32,'9.Инвестиционна програма'!I$100:I$123)*$E$6</f>
        <v>0</v>
      </c>
      <c r="AK32" s="994">
        <f>SUMIF('9.Инвестиционна програма'!$B$100:$B$123,$B32,'9.Инвестиционна програма'!J$100:J$123)*$E$6</f>
        <v>0</v>
      </c>
      <c r="AL32" s="994">
        <f>SUMIF('9.Инвестиционна програма'!$B$100:$B$123,$B32,'9.Инвестиционна програма'!K$100:K$123)*$E$6</f>
        <v>0</v>
      </c>
      <c r="AM32" s="994">
        <f>SUMIF('9.Инвестиционна програма'!$B$100:$B$123,$B32,'9.Инвестиционна програма'!L$100:L$123)*$E$6</f>
        <v>0</v>
      </c>
      <c r="AN32" s="1203">
        <f>'11.2. ДА за периода'!AN32</f>
        <v>0</v>
      </c>
      <c r="AO32" s="1329">
        <f>(SUMIF('9.Инвестиционна програма'!$B$58:$B$59,$B32,'9.Инвестиционна програма'!G$58:G$59)+SUMIF('9.Инвестиционна програма'!$B$61:$B$71,$B32,'9.Инвестиционна програма'!G$61:G$71))*$E$6</f>
        <v>0</v>
      </c>
      <c r="AP32" s="994">
        <f>(SUMIF('9.Инвестиционна програма'!$B$58:$B$59,$B32,'9.Инвестиционна програма'!H$58:H$59)+SUMIF('9.Инвестиционна програма'!$B$61:$B$71,$B32,'9.Инвестиционна програма'!H$61:H$71))*$E$6</f>
        <v>0</v>
      </c>
      <c r="AQ32" s="994">
        <f>(SUMIF('9.Инвестиционна програма'!$B$58:$B$59,$B32,'9.Инвестиционна програма'!I$58:I$59)+SUMIF('9.Инвестиционна програма'!$B$61:$B$71,$B32,'9.Инвестиционна програма'!I$61:I$71))*$E$6</f>
        <v>0</v>
      </c>
      <c r="AR32" s="994">
        <f>(SUMIF('9.Инвестиционна програма'!$B$58:$B$59,$B32,'9.Инвестиционна програма'!J$58:J$59)+SUMIF('9.Инвестиционна програма'!$B$61:$B$71,$B32,'9.Инвестиционна програма'!J$61:J$71))*$E$6</f>
        <v>0</v>
      </c>
      <c r="AS32" s="994">
        <f>(SUMIF('9.Инвестиционна програма'!$B$58:$B$59,$B32,'9.Инвестиционна програма'!K$58:K$59)+SUMIF('9.Инвестиционна програма'!$B$61:$B$71,$B32,'9.Инвестиционна програма'!K$61:K$71))*$E$6</f>
        <v>0</v>
      </c>
      <c r="AT32" s="3048">
        <f>(SUMIF('9.Инвестиционна програма'!$B$58:$B$59,$B32,'9.Инвестиционна програма'!L$58:L$59)+SUMIF('9.Инвестиционна програма'!$B$61:$B$71,$B32,'9.Инвестиционна програма'!L$61:L$71))*$E$6</f>
        <v>0</v>
      </c>
      <c r="AU32" s="3007"/>
    </row>
    <row r="33" spans="1:47">
      <c r="A33" s="3060"/>
      <c r="B33" s="4260">
        <v>2040102</v>
      </c>
      <c r="C33" s="4243">
        <v>0.04</v>
      </c>
      <c r="D33" s="3073" t="s">
        <v>437</v>
      </c>
      <c r="E33" s="3047">
        <f>'11.2. ДА за периода'!E33</f>
        <v>0</v>
      </c>
      <c r="F33" s="1325">
        <f>SUMIF('9.Инвестиционна програма'!$B$12:$B$35,$B33,'9.Инвестиционна програма'!G$12:G$35)*$E$6</f>
        <v>0</v>
      </c>
      <c r="G33" s="1321">
        <f>SUMIF('9.Инвестиционна програма'!$B$12:$B$35,$B33,'9.Инвестиционна програма'!H$12:H$35)*$E$6</f>
        <v>0</v>
      </c>
      <c r="H33" s="1321">
        <f>SUMIF('9.Инвестиционна програма'!$B$12:$B$35,$B33,'9.Инвестиционна програма'!I$12:I$35)*$E$6</f>
        <v>0</v>
      </c>
      <c r="I33" s="1321">
        <f>SUMIF('9.Инвестиционна програма'!$B$12:$B$35,$B33,'9.Инвестиционна програма'!J$12:J$35)*$E$6</f>
        <v>0</v>
      </c>
      <c r="J33" s="1321">
        <f>SUMIF('9.Инвестиционна програма'!$B$12:$B$35,$B33,'9.Инвестиционна програма'!K$12:K$35)*$E$6</f>
        <v>0</v>
      </c>
      <c r="K33" s="1326">
        <f>SUMIF('9.Инвестиционна програма'!$B$12:$B$35,$B33,'9.Инвестиционна програма'!L$12:L$35)*$E$6</f>
        <v>0</v>
      </c>
      <c r="L33" s="3047">
        <f>'11.2. ДА за периода'!L33</f>
        <v>0</v>
      </c>
      <c r="M33" s="1329">
        <f>SUMIF('9.Инвестиционна програма'!$B$37:$B$47,$B33,'9.Инвестиционна програма'!G$37:G$47)*$E$6</f>
        <v>0</v>
      </c>
      <c r="N33" s="1323">
        <f>SUMIF('9.Инвестиционна програма'!$B$37:$B$47,$B33,'9.Инвестиционна програма'!H$37:H$47)*$E$6</f>
        <v>0</v>
      </c>
      <c r="O33" s="1323">
        <f>SUMIF('9.Инвестиционна програма'!$B$37:$B$47,$B33,'9.Инвестиционна програма'!I$37:I$47)*$E$6</f>
        <v>0</v>
      </c>
      <c r="P33" s="1323">
        <f>SUMIF('9.Инвестиционна програма'!$B$37:$B$47,$B33,'9.Инвестиционна програма'!J$37:J$47)*$E$6</f>
        <v>0</v>
      </c>
      <c r="Q33" s="1323">
        <f>SUMIF('9.Инвестиционна програма'!$B$37:$B$47,$B33,'9.Инвестиционна програма'!K$37:K$47)*$E$6</f>
        <v>0</v>
      </c>
      <c r="R33" s="1324">
        <f>SUMIF('9.Инвестиционна програма'!$B$37:$B$47,$B33,'9.Инвестиционна програма'!L$37:L$47)*$E$6</f>
        <v>0</v>
      </c>
      <c r="S33" s="1203">
        <f>'11.2. ДА за периода'!S33</f>
        <v>0</v>
      </c>
      <c r="T33" s="994">
        <f>SUMIF('9.Инвестиционна програма'!$B$49:$B$56,$B33,'9.Инвестиционна програма'!G$49:G$56)*$E$6</f>
        <v>0</v>
      </c>
      <c r="U33" s="994">
        <f>SUMIF('9.Инвестиционна програма'!$B$49:$B$56,$B33,'9.Инвестиционна програма'!H$49:H$56)*$E$6</f>
        <v>0</v>
      </c>
      <c r="V33" s="994">
        <f>SUMIF('9.Инвестиционна програма'!$B$49:$B$56,$B33,'9.Инвестиционна програма'!I$49:I$56)*$E$6</f>
        <v>0</v>
      </c>
      <c r="W33" s="994">
        <f>SUMIF('9.Инвестиционна програма'!$B$49:$B$56,$B33,'9.Инвестиционна програма'!J$49:J$56)*$E$6</f>
        <v>0</v>
      </c>
      <c r="X33" s="994">
        <f>SUMIF('9.Инвестиционна програма'!$B$49:$B$56,$B33,'9.Инвестиционна програма'!K$49:K$56)*$E$6</f>
        <v>0</v>
      </c>
      <c r="Y33" s="3048">
        <f>SUMIF('9.Инвестиционна програма'!$B$49:$B$56,$B33,'9.Инвестиционна програма'!L$49:L$56)*$E$6</f>
        <v>0</v>
      </c>
      <c r="Z33" s="1203">
        <f>'11.2. ДА за периода'!Z33</f>
        <v>0</v>
      </c>
      <c r="AA33" s="994">
        <f>SUMIF('9.Инвестиционна програма'!$B$74:$B$97,$B33,'9.Инвестиционна програма'!G$74:G$97)*$E$6</f>
        <v>0</v>
      </c>
      <c r="AB33" s="994">
        <f>SUMIF('9.Инвестиционна програма'!$B$74:$B$97,$B33,'9.Инвестиционна програма'!H$74:H$97)*$E$6</f>
        <v>0</v>
      </c>
      <c r="AC33" s="994">
        <f>SUMIF('9.Инвестиционна програма'!$B$74:$B$97,$B33,'9.Инвестиционна програма'!I$74:I$97)*$E$6</f>
        <v>0</v>
      </c>
      <c r="AD33" s="994">
        <f>SUMIF('9.Инвестиционна програма'!$B$74:$B$97,$B33,'9.Инвестиционна програма'!J$74:J$97)*$E$6</f>
        <v>0</v>
      </c>
      <c r="AE33" s="994">
        <f>SUMIF('9.Инвестиционна програма'!$B$74:$B$97,$B33,'9.Инвестиционна програма'!K$74:K$97)*$E$6</f>
        <v>0</v>
      </c>
      <c r="AF33" s="994">
        <f>SUMIF('9.Инвестиционна програма'!$B$74:$B$97,$B33,'9.Инвестиционна програма'!L$74:L$97)*$E$6</f>
        <v>0</v>
      </c>
      <c r="AG33" s="1203">
        <f>'11.2. ДА за периода'!AG33</f>
        <v>0</v>
      </c>
      <c r="AH33" s="994">
        <f>SUMIF('9.Инвестиционна програма'!$B$100:$B$123,$B33,'9.Инвестиционна програма'!G$100:G$123)*$E$6</f>
        <v>0</v>
      </c>
      <c r="AI33" s="994">
        <f>SUMIF('9.Инвестиционна програма'!$B$100:$B$123,$B33,'9.Инвестиционна програма'!H$100:H$123)*$E$6</f>
        <v>0</v>
      </c>
      <c r="AJ33" s="994">
        <f>SUMIF('9.Инвестиционна програма'!$B$100:$B$123,$B33,'9.Инвестиционна програма'!I$100:I$123)*$E$6</f>
        <v>0</v>
      </c>
      <c r="AK33" s="994">
        <f>SUMIF('9.Инвестиционна програма'!$B$100:$B$123,$B33,'9.Инвестиционна програма'!J$100:J$123)*$E$6</f>
        <v>0</v>
      </c>
      <c r="AL33" s="994">
        <f>SUMIF('9.Инвестиционна програма'!$B$100:$B$123,$B33,'9.Инвестиционна програма'!K$100:K$123)*$E$6</f>
        <v>0</v>
      </c>
      <c r="AM33" s="994">
        <f>SUMIF('9.Инвестиционна програма'!$B$100:$B$123,$B33,'9.Инвестиционна програма'!L$100:L$123)*$E$6</f>
        <v>0</v>
      </c>
      <c r="AN33" s="1203">
        <f>'11.2. ДА за периода'!AN33</f>
        <v>0</v>
      </c>
      <c r="AO33" s="1329">
        <f>(SUMIF('9.Инвестиционна програма'!$B$58:$B$59,$B33,'9.Инвестиционна програма'!G$58:G$59)+SUMIF('9.Инвестиционна програма'!$B$61:$B$71,$B33,'9.Инвестиционна програма'!G$61:G$71))*$E$6</f>
        <v>0</v>
      </c>
      <c r="AP33" s="994">
        <f>(SUMIF('9.Инвестиционна програма'!$B$58:$B$59,$B33,'9.Инвестиционна програма'!H$58:H$59)+SUMIF('9.Инвестиционна програма'!$B$61:$B$71,$B33,'9.Инвестиционна програма'!H$61:H$71))*$E$6</f>
        <v>0</v>
      </c>
      <c r="AQ33" s="994">
        <f>(SUMIF('9.Инвестиционна програма'!$B$58:$B$59,$B33,'9.Инвестиционна програма'!I$58:I$59)+SUMIF('9.Инвестиционна програма'!$B$61:$B$71,$B33,'9.Инвестиционна програма'!I$61:I$71))*$E$6</f>
        <v>0</v>
      </c>
      <c r="AR33" s="994">
        <f>(SUMIF('9.Инвестиционна програма'!$B$58:$B$59,$B33,'9.Инвестиционна програма'!J$58:J$59)+SUMIF('9.Инвестиционна програма'!$B$61:$B$71,$B33,'9.Инвестиционна програма'!J$61:J$71))*$E$6</f>
        <v>0</v>
      </c>
      <c r="AS33" s="994">
        <f>(SUMIF('9.Инвестиционна програма'!$B$58:$B$59,$B33,'9.Инвестиционна програма'!K$58:K$59)+SUMIF('9.Инвестиционна програма'!$B$61:$B$71,$B33,'9.Инвестиционна програма'!K$61:K$71))*$E$6</f>
        <v>0</v>
      </c>
      <c r="AT33" s="3048">
        <f>(SUMIF('9.Инвестиционна програма'!$B$58:$B$59,$B33,'9.Инвестиционна програма'!L$58:L$59)+SUMIF('9.Инвестиционна програма'!$B$61:$B$71,$B33,'9.Инвестиционна програма'!L$61:L$71))*$E$6</f>
        <v>0</v>
      </c>
      <c r="AU33" s="3007"/>
    </row>
    <row r="34" spans="1:47">
      <c r="A34" s="3060"/>
      <c r="B34" s="4259">
        <v>20402</v>
      </c>
      <c r="C34" s="4242"/>
      <c r="D34" s="3052" t="s">
        <v>438</v>
      </c>
      <c r="E34" s="3065">
        <f>SUM(E35:E42)</f>
        <v>295.85900000000004</v>
      </c>
      <c r="F34" s="3066">
        <f t="shared" ref="F34:AT34" si="19">SUM(F35:F42)</f>
        <v>411.5</v>
      </c>
      <c r="G34" s="3067">
        <f t="shared" si="19"/>
        <v>1459.231</v>
      </c>
      <c r="H34" s="3067">
        <f t="shared" si="19"/>
        <v>2014.098</v>
      </c>
      <c r="I34" s="3067">
        <f t="shared" si="19"/>
        <v>316.5</v>
      </c>
      <c r="J34" s="3067">
        <f t="shared" si="19"/>
        <v>167</v>
      </c>
      <c r="K34" s="3068">
        <f t="shared" si="19"/>
        <v>167</v>
      </c>
      <c r="L34" s="3065">
        <f t="shared" si="19"/>
        <v>22.382000000000001</v>
      </c>
      <c r="M34" s="3066">
        <f t="shared" si="19"/>
        <v>95</v>
      </c>
      <c r="N34" s="3067">
        <f t="shared" si="19"/>
        <v>480.34000000000003</v>
      </c>
      <c r="O34" s="3067">
        <f t="shared" si="19"/>
        <v>2830.9350000000004</v>
      </c>
      <c r="P34" s="3067">
        <f t="shared" si="19"/>
        <v>27.6</v>
      </c>
      <c r="Q34" s="3067">
        <f t="shared" si="19"/>
        <v>27.9</v>
      </c>
      <c r="R34" s="3068">
        <f t="shared" si="19"/>
        <v>29.3</v>
      </c>
      <c r="S34" s="3069">
        <f t="shared" si="19"/>
        <v>0</v>
      </c>
      <c r="T34" s="3070">
        <f t="shared" si="19"/>
        <v>6</v>
      </c>
      <c r="U34" s="3067">
        <f t="shared" si="19"/>
        <v>1055.7249999999999</v>
      </c>
      <c r="V34" s="3067">
        <f t="shared" si="19"/>
        <v>1102.7249999999999</v>
      </c>
      <c r="W34" s="3067">
        <f t="shared" si="19"/>
        <v>51</v>
      </c>
      <c r="X34" s="3067">
        <f t="shared" si="19"/>
        <v>0</v>
      </c>
      <c r="Y34" s="3068">
        <f t="shared" si="19"/>
        <v>0</v>
      </c>
      <c r="Z34" s="3069">
        <f t="shared" si="19"/>
        <v>0</v>
      </c>
      <c r="AA34" s="3070">
        <f t="shared" si="19"/>
        <v>0</v>
      </c>
      <c r="AB34" s="3067">
        <f t="shared" si="19"/>
        <v>0</v>
      </c>
      <c r="AC34" s="3067">
        <f t="shared" si="19"/>
        <v>0</v>
      </c>
      <c r="AD34" s="3067">
        <f t="shared" si="19"/>
        <v>0</v>
      </c>
      <c r="AE34" s="3067">
        <f t="shared" si="19"/>
        <v>0</v>
      </c>
      <c r="AF34" s="3068">
        <f t="shared" si="19"/>
        <v>0</v>
      </c>
      <c r="AG34" s="3069">
        <f t="shared" si="19"/>
        <v>0</v>
      </c>
      <c r="AH34" s="3070">
        <f t="shared" si="19"/>
        <v>0</v>
      </c>
      <c r="AI34" s="3067">
        <f t="shared" si="19"/>
        <v>0</v>
      </c>
      <c r="AJ34" s="3067">
        <f t="shared" si="19"/>
        <v>0</v>
      </c>
      <c r="AK34" s="3067">
        <f t="shared" si="19"/>
        <v>0</v>
      </c>
      <c r="AL34" s="3067">
        <f t="shared" si="19"/>
        <v>0</v>
      </c>
      <c r="AM34" s="3068">
        <f t="shared" si="19"/>
        <v>0</v>
      </c>
      <c r="AN34" s="3069">
        <f t="shared" si="19"/>
        <v>0</v>
      </c>
      <c r="AO34" s="3070">
        <f t="shared" si="19"/>
        <v>0</v>
      </c>
      <c r="AP34" s="3067">
        <f t="shared" si="19"/>
        <v>0</v>
      </c>
      <c r="AQ34" s="3067">
        <f t="shared" si="19"/>
        <v>0</v>
      </c>
      <c r="AR34" s="3067">
        <f t="shared" si="19"/>
        <v>0</v>
      </c>
      <c r="AS34" s="3067">
        <f t="shared" si="19"/>
        <v>0</v>
      </c>
      <c r="AT34" s="3068">
        <f t="shared" si="19"/>
        <v>0</v>
      </c>
      <c r="AU34" s="3007"/>
    </row>
    <row r="35" spans="1:47">
      <c r="A35" s="3060"/>
      <c r="B35" s="4259">
        <v>2040201</v>
      </c>
      <c r="C35" s="4242">
        <v>0.02</v>
      </c>
      <c r="D35" s="3071" t="s">
        <v>746</v>
      </c>
      <c r="E35" s="3047">
        <f>'11.2. ДА за периода'!E35</f>
        <v>0</v>
      </c>
      <c r="F35" s="1325">
        <f>SUMIF('9.Инвестиционна програма'!$B$12:$B$35,$B35,'9.Инвестиционна програма'!G$12:G$35)*$E$6</f>
        <v>6.3</v>
      </c>
      <c r="G35" s="1321">
        <f>SUMIF('9.Инвестиционна програма'!$B$12:$B$35,$B35,'9.Инвестиционна програма'!H$12:H$35)*$E$6</f>
        <v>0</v>
      </c>
      <c r="H35" s="1321">
        <f>SUMIF('9.Инвестиционна програма'!$B$12:$B$35,$B35,'9.Инвестиционна програма'!I$12:I$35)*$E$6</f>
        <v>0</v>
      </c>
      <c r="I35" s="1321">
        <f>SUMIF('9.Инвестиционна програма'!$B$12:$B$35,$B35,'9.Инвестиционна програма'!J$12:J$35)*$E$6</f>
        <v>0</v>
      </c>
      <c r="J35" s="1321">
        <f>SUMIF('9.Инвестиционна програма'!$B$12:$B$35,$B35,'9.Инвестиционна програма'!K$12:K$35)*$E$6</f>
        <v>0</v>
      </c>
      <c r="K35" s="1326">
        <f>SUMIF('9.Инвестиционна програма'!$B$12:$B$35,$B35,'9.Инвестиционна програма'!L$12:L$35)*$E$6</f>
        <v>0</v>
      </c>
      <c r="L35" s="3047">
        <f>'11.2. ДА за периода'!L35</f>
        <v>0</v>
      </c>
      <c r="M35" s="1329">
        <f>SUMIF('9.Инвестиционна програма'!$B$37:$B$47,$B35,'9.Инвестиционна програма'!G$37:G$47)*$E$6</f>
        <v>0</v>
      </c>
      <c r="N35" s="1323">
        <f>SUMIF('9.Инвестиционна програма'!$B$37:$B$47,$B35,'9.Инвестиционна програма'!H$37:H$47)*$E$6</f>
        <v>0</v>
      </c>
      <c r="O35" s="1323">
        <f>SUMIF('9.Инвестиционна програма'!$B$37:$B$47,$B35,'9.Инвестиционна програма'!I$37:I$47)*$E$6</f>
        <v>0</v>
      </c>
      <c r="P35" s="1323">
        <f>SUMIF('9.Инвестиционна програма'!$B$37:$B$47,$B35,'9.Инвестиционна програма'!J$37:J$47)*$E$6</f>
        <v>0</v>
      </c>
      <c r="Q35" s="1323">
        <f>SUMIF('9.Инвестиционна програма'!$B$37:$B$47,$B35,'9.Инвестиционна програма'!K$37:K$47)*$E$6</f>
        <v>0</v>
      </c>
      <c r="R35" s="1324">
        <f>SUMIF('9.Инвестиционна програма'!$B$37:$B$47,$B35,'9.Инвестиционна програма'!L$37:L$47)*$E$6</f>
        <v>0</v>
      </c>
      <c r="S35" s="1203">
        <f>'11.2. ДА за периода'!S35</f>
        <v>0</v>
      </c>
      <c r="T35" s="994">
        <f>SUMIF('9.Инвестиционна програма'!$B$49:$B$56,$B35,'9.Инвестиционна програма'!G$49:G$56)*$E$6</f>
        <v>0</v>
      </c>
      <c r="U35" s="994">
        <f>SUMIF('9.Инвестиционна програма'!$B$49:$B$56,$B35,'9.Инвестиционна програма'!H$49:H$56)*$E$6</f>
        <v>0</v>
      </c>
      <c r="V35" s="994">
        <f>SUMIF('9.Инвестиционна програма'!$B$49:$B$56,$B35,'9.Инвестиционна програма'!I$49:I$56)*$E$6</f>
        <v>0</v>
      </c>
      <c r="W35" s="994">
        <f>SUMIF('9.Инвестиционна програма'!$B$49:$B$56,$B35,'9.Инвестиционна програма'!J$49:J$56)*$E$6</f>
        <v>0</v>
      </c>
      <c r="X35" s="994">
        <f>SUMIF('9.Инвестиционна програма'!$B$49:$B$56,$B35,'9.Инвестиционна програма'!K$49:K$56)*$E$6</f>
        <v>0</v>
      </c>
      <c r="Y35" s="3048">
        <f>SUMIF('9.Инвестиционна програма'!$B$49:$B$56,$B35,'9.Инвестиционна програма'!L$49:L$56)*$E$6</f>
        <v>0</v>
      </c>
      <c r="Z35" s="1203">
        <f>'11.2. ДА за периода'!Z35</f>
        <v>0</v>
      </c>
      <c r="AA35" s="994">
        <f>SUMIF('9.Инвестиционна програма'!$B$74:$B$97,$B35,'9.Инвестиционна програма'!G$74:G$97)*$E$6</f>
        <v>0</v>
      </c>
      <c r="AB35" s="994">
        <f>SUMIF('9.Инвестиционна програма'!$B$74:$B$97,$B35,'9.Инвестиционна програма'!H$74:H$97)*$E$6</f>
        <v>0</v>
      </c>
      <c r="AC35" s="994">
        <f>SUMIF('9.Инвестиционна програма'!$B$74:$B$97,$B35,'9.Инвестиционна програма'!I$74:I$97)*$E$6</f>
        <v>0</v>
      </c>
      <c r="AD35" s="994">
        <f>SUMIF('9.Инвестиционна програма'!$B$74:$B$97,$B35,'9.Инвестиционна програма'!J$74:J$97)*$E$6</f>
        <v>0</v>
      </c>
      <c r="AE35" s="994">
        <f>SUMIF('9.Инвестиционна програма'!$B$74:$B$97,$B35,'9.Инвестиционна програма'!K$74:K$97)*$E$6</f>
        <v>0</v>
      </c>
      <c r="AF35" s="994">
        <f>SUMIF('9.Инвестиционна програма'!$B$74:$B$97,$B35,'9.Инвестиционна програма'!L$74:L$97)*$E$6</f>
        <v>0</v>
      </c>
      <c r="AG35" s="1203">
        <f>'11.2. ДА за периода'!AG35</f>
        <v>0</v>
      </c>
      <c r="AH35" s="994">
        <f>SUMIF('9.Инвестиционна програма'!$B$100:$B$123,$B35,'9.Инвестиционна програма'!G$100:G$123)*$E$6</f>
        <v>0</v>
      </c>
      <c r="AI35" s="994">
        <f>SUMIF('9.Инвестиционна програма'!$B$100:$B$123,$B35,'9.Инвестиционна програма'!H$100:H$123)*$E$6</f>
        <v>0</v>
      </c>
      <c r="AJ35" s="994">
        <f>SUMIF('9.Инвестиционна програма'!$B$100:$B$123,$B35,'9.Инвестиционна програма'!I$100:I$123)*$E$6</f>
        <v>0</v>
      </c>
      <c r="AK35" s="994">
        <f>SUMIF('9.Инвестиционна програма'!$B$100:$B$123,$B35,'9.Инвестиционна програма'!J$100:J$123)*$E$6</f>
        <v>0</v>
      </c>
      <c r="AL35" s="994">
        <f>SUMIF('9.Инвестиционна програма'!$B$100:$B$123,$B35,'9.Инвестиционна програма'!K$100:K$123)*$E$6</f>
        <v>0</v>
      </c>
      <c r="AM35" s="994">
        <f>SUMIF('9.Инвестиционна програма'!$B$100:$B$123,$B35,'9.Инвестиционна програма'!L$100:L$123)*$E$6</f>
        <v>0</v>
      </c>
      <c r="AN35" s="1203">
        <f>'11.2. ДА за периода'!AN35</f>
        <v>0</v>
      </c>
      <c r="AO35" s="1329">
        <f>(SUMIF('9.Инвестиционна програма'!$B$58:$B$59,$B35,'9.Инвестиционна програма'!G$58:G$59)+SUMIF('9.Инвестиционна програма'!$B$61:$B$71,$B35,'9.Инвестиционна програма'!G$61:G$71))*$E$6</f>
        <v>0</v>
      </c>
      <c r="AP35" s="994">
        <f>(SUMIF('9.Инвестиционна програма'!$B$58:$B$59,$B35,'9.Инвестиционна програма'!H$58:H$59)+SUMIF('9.Инвестиционна програма'!$B$61:$B$71,$B35,'9.Инвестиционна програма'!H$61:H$71))*$E$6</f>
        <v>0</v>
      </c>
      <c r="AQ35" s="994">
        <f>(SUMIF('9.Инвестиционна програма'!$B$58:$B$59,$B35,'9.Инвестиционна програма'!I$58:I$59)+SUMIF('9.Инвестиционна програма'!$B$61:$B$71,$B35,'9.Инвестиционна програма'!I$61:I$71))*$E$6</f>
        <v>0</v>
      </c>
      <c r="AR35" s="994">
        <f>(SUMIF('9.Инвестиционна програма'!$B$58:$B$59,$B35,'9.Инвестиционна програма'!J$58:J$59)+SUMIF('9.Инвестиционна програма'!$B$61:$B$71,$B35,'9.Инвестиционна програма'!J$61:J$71))*$E$6</f>
        <v>0</v>
      </c>
      <c r="AS35" s="994">
        <f>(SUMIF('9.Инвестиционна програма'!$B$58:$B$59,$B35,'9.Инвестиционна програма'!K$58:K$59)+SUMIF('9.Инвестиционна програма'!$B$61:$B$71,$B35,'9.Инвестиционна програма'!K$61:K$71))*$E$6</f>
        <v>0</v>
      </c>
      <c r="AT35" s="3048">
        <f>(SUMIF('9.Инвестиционна програма'!$B$58:$B$59,$B35,'9.Инвестиционна програма'!L$58:L$59)+SUMIF('9.Инвестиционна програма'!$B$61:$B$71,$B35,'9.Инвестиционна програма'!L$61:L$71))*$E$6</f>
        <v>0</v>
      </c>
      <c r="AU35" s="3007"/>
    </row>
    <row r="36" spans="1:47">
      <c r="A36" s="3060"/>
      <c r="B36" s="4259">
        <v>2040202</v>
      </c>
      <c r="C36" s="4242">
        <v>0.02</v>
      </c>
      <c r="D36" s="3071" t="s">
        <v>747</v>
      </c>
      <c r="E36" s="3047">
        <f>'11.2. ДА за периода'!E36</f>
        <v>0.45400000000000001</v>
      </c>
      <c r="F36" s="1325">
        <f>SUMIF('9.Инвестиционна програма'!$B$12:$B$35,$B36,'9.Инвестиционна програма'!G$12:G$35)*$E$6</f>
        <v>1.2</v>
      </c>
      <c r="G36" s="1321">
        <f>SUMIF('9.Инвестиционна програма'!$B$12:$B$35,$B36,'9.Инвестиционна програма'!H$12:H$35)*$E$6</f>
        <v>1</v>
      </c>
      <c r="H36" s="1321">
        <f>SUMIF('9.Инвестиционна програма'!$B$12:$B$35,$B36,'9.Инвестиционна програма'!I$12:I$35)*$E$6</f>
        <v>1</v>
      </c>
      <c r="I36" s="1321">
        <f>SUMIF('9.Инвестиционна програма'!$B$12:$B$35,$B36,'9.Инвестиционна програма'!J$12:J$35)*$E$6</f>
        <v>1</v>
      </c>
      <c r="J36" s="1321">
        <f>SUMIF('9.Инвестиционна програма'!$B$12:$B$35,$B36,'9.Инвестиционна програма'!K$12:K$35)*$E$6</f>
        <v>1</v>
      </c>
      <c r="K36" s="1326">
        <f>SUMIF('9.Инвестиционна програма'!$B$12:$B$35,$B36,'9.Инвестиционна програма'!L$12:L$35)*$E$6</f>
        <v>1</v>
      </c>
      <c r="L36" s="3047">
        <f>'11.2. ДА за периода'!L36</f>
        <v>0</v>
      </c>
      <c r="M36" s="1329">
        <f>SUMIF('9.Инвестиционна програма'!$B$37:$B$47,$B36,'9.Инвестиционна програма'!G$37:G$47)*$E$6</f>
        <v>0</v>
      </c>
      <c r="N36" s="1323">
        <f>SUMIF('9.Инвестиционна програма'!$B$37:$B$47,$B36,'9.Инвестиционна програма'!H$37:H$47)*$E$6</f>
        <v>0</v>
      </c>
      <c r="O36" s="1323">
        <f>SUMIF('9.Инвестиционна програма'!$B$37:$B$47,$B36,'9.Инвестиционна програма'!I$37:I$47)*$E$6</f>
        <v>0</v>
      </c>
      <c r="P36" s="1323">
        <f>SUMIF('9.Инвестиционна програма'!$B$37:$B$47,$B36,'9.Инвестиционна програма'!J$37:J$47)*$E$6</f>
        <v>0</v>
      </c>
      <c r="Q36" s="1323">
        <f>SUMIF('9.Инвестиционна програма'!$B$37:$B$47,$B36,'9.Инвестиционна програма'!K$37:K$47)*$E$6</f>
        <v>0</v>
      </c>
      <c r="R36" s="1324">
        <f>SUMIF('9.Инвестиционна програма'!$B$37:$B$47,$B36,'9.Инвестиционна програма'!L$37:L$47)*$E$6</f>
        <v>0</v>
      </c>
      <c r="S36" s="1203">
        <f>'11.2. ДА за периода'!S36</f>
        <v>0</v>
      </c>
      <c r="T36" s="994">
        <f>SUMIF('9.Инвестиционна програма'!$B$49:$B$56,$B36,'9.Инвестиционна програма'!G$49:G$56)*$E$6</f>
        <v>0</v>
      </c>
      <c r="U36" s="994">
        <f>SUMIF('9.Инвестиционна програма'!$B$49:$B$56,$B36,'9.Инвестиционна програма'!H$49:H$56)*$E$6</f>
        <v>0</v>
      </c>
      <c r="V36" s="994">
        <f>SUMIF('9.Инвестиционна програма'!$B$49:$B$56,$B36,'9.Инвестиционна програма'!I$49:I$56)*$E$6</f>
        <v>0</v>
      </c>
      <c r="W36" s="994">
        <f>SUMIF('9.Инвестиционна програма'!$B$49:$B$56,$B36,'9.Инвестиционна програма'!J$49:J$56)*$E$6</f>
        <v>0</v>
      </c>
      <c r="X36" s="994">
        <f>SUMIF('9.Инвестиционна програма'!$B$49:$B$56,$B36,'9.Инвестиционна програма'!K$49:K$56)*$E$6</f>
        <v>0</v>
      </c>
      <c r="Y36" s="3048">
        <f>SUMIF('9.Инвестиционна програма'!$B$49:$B$56,$B36,'9.Инвестиционна програма'!L$49:L$56)*$E$6</f>
        <v>0</v>
      </c>
      <c r="Z36" s="1203">
        <f>'11.2. ДА за периода'!Z36</f>
        <v>0</v>
      </c>
      <c r="AA36" s="994">
        <f>SUMIF('9.Инвестиционна програма'!$B$74:$B$97,$B36,'9.Инвестиционна програма'!G$74:G$97)*$E$6</f>
        <v>0</v>
      </c>
      <c r="AB36" s="994">
        <f>SUMIF('9.Инвестиционна програма'!$B$74:$B$97,$B36,'9.Инвестиционна програма'!H$74:H$97)*$E$6</f>
        <v>0</v>
      </c>
      <c r="AC36" s="994">
        <f>SUMIF('9.Инвестиционна програма'!$B$74:$B$97,$B36,'9.Инвестиционна програма'!I$74:I$97)*$E$6</f>
        <v>0</v>
      </c>
      <c r="AD36" s="994">
        <f>SUMIF('9.Инвестиционна програма'!$B$74:$B$97,$B36,'9.Инвестиционна програма'!J$74:J$97)*$E$6</f>
        <v>0</v>
      </c>
      <c r="AE36" s="994">
        <f>SUMIF('9.Инвестиционна програма'!$B$74:$B$97,$B36,'9.Инвестиционна програма'!K$74:K$97)*$E$6</f>
        <v>0</v>
      </c>
      <c r="AF36" s="994">
        <f>SUMIF('9.Инвестиционна програма'!$B$74:$B$97,$B36,'9.Инвестиционна програма'!L$74:L$97)*$E$6</f>
        <v>0</v>
      </c>
      <c r="AG36" s="1203">
        <f>'11.2. ДА за периода'!AG36</f>
        <v>0</v>
      </c>
      <c r="AH36" s="994">
        <f>SUMIF('9.Инвестиционна програма'!$B$100:$B$123,$B36,'9.Инвестиционна програма'!G$100:G$123)*$E$6</f>
        <v>0</v>
      </c>
      <c r="AI36" s="994">
        <f>SUMIF('9.Инвестиционна програма'!$B$100:$B$123,$B36,'9.Инвестиционна програма'!H$100:H$123)*$E$6</f>
        <v>0</v>
      </c>
      <c r="AJ36" s="994">
        <f>SUMIF('9.Инвестиционна програма'!$B$100:$B$123,$B36,'9.Инвестиционна програма'!I$100:I$123)*$E$6</f>
        <v>0</v>
      </c>
      <c r="AK36" s="994">
        <f>SUMIF('9.Инвестиционна програма'!$B$100:$B$123,$B36,'9.Инвестиционна програма'!J$100:J$123)*$E$6</f>
        <v>0</v>
      </c>
      <c r="AL36" s="994">
        <f>SUMIF('9.Инвестиционна програма'!$B$100:$B$123,$B36,'9.Инвестиционна програма'!K$100:K$123)*$E$6</f>
        <v>0</v>
      </c>
      <c r="AM36" s="994">
        <f>SUMIF('9.Инвестиционна програма'!$B$100:$B$123,$B36,'9.Инвестиционна програма'!L$100:L$123)*$E$6</f>
        <v>0</v>
      </c>
      <c r="AN36" s="1203">
        <f>'11.2. ДА за периода'!AN36</f>
        <v>0</v>
      </c>
      <c r="AO36" s="1329">
        <f>(SUMIF('9.Инвестиционна програма'!$B$58:$B$59,$B36,'9.Инвестиционна програма'!G$58:G$59)+SUMIF('9.Инвестиционна програма'!$B$61:$B$71,$B36,'9.Инвестиционна програма'!G$61:G$71))*$E$6</f>
        <v>0</v>
      </c>
      <c r="AP36" s="994">
        <f>(SUMIF('9.Инвестиционна програма'!$B$58:$B$59,$B36,'9.Инвестиционна програма'!H$58:H$59)+SUMIF('9.Инвестиционна програма'!$B$61:$B$71,$B36,'9.Инвестиционна програма'!H$61:H$71))*$E$6</f>
        <v>0</v>
      </c>
      <c r="AQ36" s="994">
        <f>(SUMIF('9.Инвестиционна програма'!$B$58:$B$59,$B36,'9.Инвестиционна програма'!I$58:I$59)+SUMIF('9.Инвестиционна програма'!$B$61:$B$71,$B36,'9.Инвестиционна програма'!I$61:I$71))*$E$6</f>
        <v>0</v>
      </c>
      <c r="AR36" s="994">
        <f>(SUMIF('9.Инвестиционна програма'!$B$58:$B$59,$B36,'9.Инвестиционна програма'!J$58:J$59)+SUMIF('9.Инвестиционна програма'!$B$61:$B$71,$B36,'9.Инвестиционна програма'!J$61:J$71))*$E$6</f>
        <v>0</v>
      </c>
      <c r="AS36" s="994">
        <f>(SUMIF('9.Инвестиционна програма'!$B$58:$B$59,$B36,'9.Инвестиционна програма'!K$58:K$59)+SUMIF('9.Инвестиционна програма'!$B$61:$B$71,$B36,'9.Инвестиционна програма'!K$61:K$71))*$E$6</f>
        <v>0</v>
      </c>
      <c r="AT36" s="3048">
        <f>(SUMIF('9.Инвестиционна програма'!$B$58:$B$59,$B36,'9.Инвестиционна програма'!L$58:L$59)+SUMIF('9.Инвестиционна програма'!$B$61:$B$71,$B36,'9.Инвестиционна програма'!L$61:L$71))*$E$6</f>
        <v>0</v>
      </c>
      <c r="AU36" s="3007"/>
    </row>
    <row r="37" spans="1:47">
      <c r="A37" s="3060"/>
      <c r="B37" s="4259">
        <v>2040203</v>
      </c>
      <c r="C37" s="4242">
        <v>0.02</v>
      </c>
      <c r="D37" s="3071" t="s">
        <v>423</v>
      </c>
      <c r="E37" s="3047">
        <f>'11.2. ДА за периода'!E37</f>
        <v>1.5229999999999999</v>
      </c>
      <c r="F37" s="1325">
        <f>SUMIF('9.Инвестиционна програма'!$B$12:$B$35,$B37,'9.Инвестиционна програма'!G$12:G$35)*$E$6</f>
        <v>0</v>
      </c>
      <c r="G37" s="1321">
        <f>SUMIF('9.Инвестиционна програма'!$B$12:$B$35,$B37,'9.Инвестиционна програма'!H$12:H$35)*$E$6</f>
        <v>0</v>
      </c>
      <c r="H37" s="1321">
        <f>SUMIF('9.Инвестиционна програма'!$B$12:$B$35,$B37,'9.Инвестиционна програма'!I$12:I$35)*$E$6</f>
        <v>0</v>
      </c>
      <c r="I37" s="1321">
        <f>SUMIF('9.Инвестиционна програма'!$B$12:$B$35,$B37,'9.Инвестиционна програма'!J$12:J$35)*$E$6</f>
        <v>0</v>
      </c>
      <c r="J37" s="1321">
        <f>SUMIF('9.Инвестиционна програма'!$B$12:$B$35,$B37,'9.Инвестиционна програма'!K$12:K$35)*$E$6</f>
        <v>0</v>
      </c>
      <c r="K37" s="1326">
        <f>SUMIF('9.Инвестиционна програма'!$B$12:$B$35,$B37,'9.Инвестиционна програма'!L$12:L$35)*$E$6</f>
        <v>0</v>
      </c>
      <c r="L37" s="3047">
        <f>'11.2. ДА за периода'!L37</f>
        <v>0</v>
      </c>
      <c r="M37" s="1329">
        <f>SUMIF('9.Инвестиционна програма'!$B$37:$B$47,$B37,'9.Инвестиционна програма'!G$37:G$47)*$E$6</f>
        <v>0</v>
      </c>
      <c r="N37" s="1323">
        <f>SUMIF('9.Инвестиционна програма'!$B$37:$B$47,$B37,'9.Инвестиционна програма'!H$37:H$47)*$E$6</f>
        <v>0</v>
      </c>
      <c r="O37" s="1323">
        <f>SUMIF('9.Инвестиционна програма'!$B$37:$B$47,$B37,'9.Инвестиционна програма'!I$37:I$47)*$E$6</f>
        <v>0</v>
      </c>
      <c r="P37" s="1323">
        <f>SUMIF('9.Инвестиционна програма'!$B$37:$B$47,$B37,'9.Инвестиционна програма'!J$37:J$47)*$E$6</f>
        <v>0</v>
      </c>
      <c r="Q37" s="1323">
        <f>SUMIF('9.Инвестиционна програма'!$B$37:$B$47,$B37,'9.Инвестиционна програма'!K$37:K$47)*$E$6</f>
        <v>0</v>
      </c>
      <c r="R37" s="1324">
        <f>SUMIF('9.Инвестиционна програма'!$B$37:$B$47,$B37,'9.Инвестиционна програма'!L$37:L$47)*$E$6</f>
        <v>0</v>
      </c>
      <c r="S37" s="1203">
        <f>'11.2. ДА за периода'!S37</f>
        <v>0</v>
      </c>
      <c r="T37" s="994">
        <f>SUMIF('9.Инвестиционна програма'!$B$49:$B$56,$B37,'9.Инвестиционна програма'!G$49:G$56)*$E$6</f>
        <v>0</v>
      </c>
      <c r="U37" s="994">
        <f>SUMIF('9.Инвестиционна програма'!$B$49:$B$56,$B37,'9.Инвестиционна програма'!H$49:H$56)*$E$6</f>
        <v>0</v>
      </c>
      <c r="V37" s="994">
        <f>SUMIF('9.Инвестиционна програма'!$B$49:$B$56,$B37,'9.Инвестиционна програма'!I$49:I$56)*$E$6</f>
        <v>0</v>
      </c>
      <c r="W37" s="994">
        <f>SUMIF('9.Инвестиционна програма'!$B$49:$B$56,$B37,'9.Инвестиционна програма'!J$49:J$56)*$E$6</f>
        <v>0</v>
      </c>
      <c r="X37" s="994">
        <f>SUMIF('9.Инвестиционна програма'!$B$49:$B$56,$B37,'9.Инвестиционна програма'!K$49:K$56)*$E$6</f>
        <v>0</v>
      </c>
      <c r="Y37" s="3048">
        <f>SUMIF('9.Инвестиционна програма'!$B$49:$B$56,$B37,'9.Инвестиционна програма'!L$49:L$56)*$E$6</f>
        <v>0</v>
      </c>
      <c r="Z37" s="1203">
        <f>'11.2. ДА за периода'!Z37</f>
        <v>0</v>
      </c>
      <c r="AA37" s="994">
        <f>SUMIF('9.Инвестиционна програма'!$B$74:$B$97,$B37,'9.Инвестиционна програма'!G$74:G$97)*$E$6</f>
        <v>0</v>
      </c>
      <c r="AB37" s="994">
        <f>SUMIF('9.Инвестиционна програма'!$B$74:$B$97,$B37,'9.Инвестиционна програма'!H$74:H$97)*$E$6</f>
        <v>0</v>
      </c>
      <c r="AC37" s="994">
        <f>SUMIF('9.Инвестиционна програма'!$B$74:$B$97,$B37,'9.Инвестиционна програма'!I$74:I$97)*$E$6</f>
        <v>0</v>
      </c>
      <c r="AD37" s="994">
        <f>SUMIF('9.Инвестиционна програма'!$B$74:$B$97,$B37,'9.Инвестиционна програма'!J$74:J$97)*$E$6</f>
        <v>0</v>
      </c>
      <c r="AE37" s="994">
        <f>SUMIF('9.Инвестиционна програма'!$B$74:$B$97,$B37,'9.Инвестиционна програма'!K$74:K$97)*$E$6</f>
        <v>0</v>
      </c>
      <c r="AF37" s="994">
        <f>SUMIF('9.Инвестиционна програма'!$B$74:$B$97,$B37,'9.Инвестиционна програма'!L$74:L$97)*$E$6</f>
        <v>0</v>
      </c>
      <c r="AG37" s="1203">
        <f>'11.2. ДА за периода'!AG37</f>
        <v>0</v>
      </c>
      <c r="AH37" s="994">
        <f>SUMIF('9.Инвестиционна програма'!$B$100:$B$123,$B37,'9.Инвестиционна програма'!G$100:G$123)*$E$6</f>
        <v>0</v>
      </c>
      <c r="AI37" s="994">
        <f>SUMIF('9.Инвестиционна програма'!$B$100:$B$123,$B37,'9.Инвестиционна програма'!H$100:H$123)*$E$6</f>
        <v>0</v>
      </c>
      <c r="AJ37" s="994">
        <f>SUMIF('9.Инвестиционна програма'!$B$100:$B$123,$B37,'9.Инвестиционна програма'!I$100:I$123)*$E$6</f>
        <v>0</v>
      </c>
      <c r="AK37" s="994">
        <f>SUMIF('9.Инвестиционна програма'!$B$100:$B$123,$B37,'9.Инвестиционна програма'!J$100:J$123)*$E$6</f>
        <v>0</v>
      </c>
      <c r="AL37" s="994">
        <f>SUMIF('9.Инвестиционна програма'!$B$100:$B$123,$B37,'9.Инвестиционна програма'!K$100:K$123)*$E$6</f>
        <v>0</v>
      </c>
      <c r="AM37" s="994">
        <f>SUMIF('9.Инвестиционна програма'!$B$100:$B$123,$B37,'9.Инвестиционна програма'!L$100:L$123)*$E$6</f>
        <v>0</v>
      </c>
      <c r="AN37" s="1203">
        <f>'11.2. ДА за периода'!AN37</f>
        <v>0</v>
      </c>
      <c r="AO37" s="1329">
        <f>(SUMIF('9.Инвестиционна програма'!$B$58:$B$59,$B37,'9.Инвестиционна програма'!G$58:G$59)+SUMIF('9.Инвестиционна програма'!$B$61:$B$71,$B37,'9.Инвестиционна програма'!G$61:G$71))*$E$6</f>
        <v>0</v>
      </c>
      <c r="AP37" s="994">
        <f>(SUMIF('9.Инвестиционна програма'!$B$58:$B$59,$B37,'9.Инвестиционна програма'!H$58:H$59)+SUMIF('9.Инвестиционна програма'!$B$61:$B$71,$B37,'9.Инвестиционна програма'!H$61:H$71))*$E$6</f>
        <v>0</v>
      </c>
      <c r="AQ37" s="994">
        <f>(SUMIF('9.Инвестиционна програма'!$B$58:$B$59,$B37,'9.Инвестиционна програма'!I$58:I$59)+SUMIF('9.Инвестиционна програма'!$B$61:$B$71,$B37,'9.Инвестиционна програма'!I$61:I$71))*$E$6</f>
        <v>0</v>
      </c>
      <c r="AR37" s="994">
        <f>(SUMIF('9.Инвестиционна програма'!$B$58:$B$59,$B37,'9.Инвестиционна програма'!J$58:J$59)+SUMIF('9.Инвестиционна програма'!$B$61:$B$71,$B37,'9.Инвестиционна програма'!J$61:J$71))*$E$6</f>
        <v>0</v>
      </c>
      <c r="AS37" s="994">
        <f>(SUMIF('9.Инвестиционна програма'!$B$58:$B$59,$B37,'9.Инвестиционна програма'!K$58:K$59)+SUMIF('9.Инвестиционна програма'!$B$61:$B$71,$B37,'9.Инвестиционна програма'!K$61:K$71))*$E$6</f>
        <v>0</v>
      </c>
      <c r="AT37" s="3048">
        <f>(SUMIF('9.Инвестиционна програма'!$B$58:$B$59,$B37,'9.Инвестиционна програма'!L$58:L$59)+SUMIF('9.Инвестиционна програма'!$B$61:$B$71,$B37,'9.Инвестиционна програма'!L$61:L$71))*$E$6</f>
        <v>0</v>
      </c>
      <c r="AU37" s="3007"/>
    </row>
    <row r="38" spans="1:47">
      <c r="A38" s="3060"/>
      <c r="B38" s="4259">
        <v>2040204</v>
      </c>
      <c r="C38" s="4242">
        <v>0.02</v>
      </c>
      <c r="D38" s="3073" t="s">
        <v>424</v>
      </c>
      <c r="E38" s="3047">
        <f>'11.2. ДА за периода'!E38</f>
        <v>0.51700000000000002</v>
      </c>
      <c r="F38" s="1325">
        <f>SUMIF('9.Инвестиционна програма'!$B$12:$B$35,$B38,'9.Инвестиционна програма'!G$12:G$35)*$E$6</f>
        <v>0</v>
      </c>
      <c r="G38" s="1321">
        <f>SUMIF('9.Инвестиционна програма'!$B$12:$B$35,$B38,'9.Инвестиционна програма'!H$12:H$35)*$E$6</f>
        <v>0</v>
      </c>
      <c r="H38" s="1321">
        <f>SUMIF('9.Инвестиционна програма'!$B$12:$B$35,$B38,'9.Инвестиционна програма'!I$12:I$35)*$E$6</f>
        <v>0</v>
      </c>
      <c r="I38" s="1321">
        <f>SUMIF('9.Инвестиционна програма'!$B$12:$B$35,$B38,'9.Инвестиционна програма'!J$12:J$35)*$E$6</f>
        <v>0</v>
      </c>
      <c r="J38" s="1321">
        <f>SUMIF('9.Инвестиционна програма'!$B$12:$B$35,$B38,'9.Инвестиционна програма'!K$12:K$35)*$E$6</f>
        <v>0</v>
      </c>
      <c r="K38" s="1326">
        <f>SUMIF('9.Инвестиционна програма'!$B$12:$B$35,$B38,'9.Инвестиционна програма'!L$12:L$35)*$E$6</f>
        <v>0</v>
      </c>
      <c r="L38" s="3047">
        <f>'11.2. ДА за периода'!L38</f>
        <v>0</v>
      </c>
      <c r="M38" s="1329">
        <f>SUMIF('9.Инвестиционна програма'!$B$37:$B$47,$B38,'9.Инвестиционна програма'!G$37:G$47)*$E$6</f>
        <v>0</v>
      </c>
      <c r="N38" s="1323">
        <f>SUMIF('9.Инвестиционна програма'!$B$37:$B$47,$B38,'9.Инвестиционна програма'!H$37:H$47)*$E$6</f>
        <v>0</v>
      </c>
      <c r="O38" s="1323">
        <f>SUMIF('9.Инвестиционна програма'!$B$37:$B$47,$B38,'9.Инвестиционна програма'!I$37:I$47)*$E$6</f>
        <v>0</v>
      </c>
      <c r="P38" s="1323">
        <f>SUMIF('9.Инвестиционна програма'!$B$37:$B$47,$B38,'9.Инвестиционна програма'!J$37:J$47)*$E$6</f>
        <v>0</v>
      </c>
      <c r="Q38" s="1323">
        <f>SUMIF('9.Инвестиционна програма'!$B$37:$B$47,$B38,'9.Инвестиционна програма'!K$37:K$47)*$E$6</f>
        <v>0</v>
      </c>
      <c r="R38" s="1324">
        <f>SUMIF('9.Инвестиционна програма'!$B$37:$B$47,$B38,'9.Инвестиционна програма'!L$37:L$47)*$E$6</f>
        <v>0</v>
      </c>
      <c r="S38" s="1203">
        <f>'11.2. ДА за периода'!S38</f>
        <v>0</v>
      </c>
      <c r="T38" s="994">
        <f>SUMIF('9.Инвестиционна програма'!$B$49:$B$56,$B38,'9.Инвестиционна програма'!G$49:G$56)*$E$6</f>
        <v>0</v>
      </c>
      <c r="U38" s="994">
        <f>SUMIF('9.Инвестиционна програма'!$B$49:$B$56,$B38,'9.Инвестиционна програма'!H$49:H$56)*$E$6</f>
        <v>0</v>
      </c>
      <c r="V38" s="994">
        <f>SUMIF('9.Инвестиционна програма'!$B$49:$B$56,$B38,'9.Инвестиционна програма'!I$49:I$56)*$E$6</f>
        <v>0</v>
      </c>
      <c r="W38" s="994">
        <f>SUMIF('9.Инвестиционна програма'!$B$49:$B$56,$B38,'9.Инвестиционна програма'!J$49:J$56)*$E$6</f>
        <v>0</v>
      </c>
      <c r="X38" s="994">
        <f>SUMIF('9.Инвестиционна програма'!$B$49:$B$56,$B38,'9.Инвестиционна програма'!K$49:K$56)*$E$6</f>
        <v>0</v>
      </c>
      <c r="Y38" s="3048">
        <f>SUMIF('9.Инвестиционна програма'!$B$49:$B$56,$B38,'9.Инвестиционна програма'!L$49:L$56)*$E$6</f>
        <v>0</v>
      </c>
      <c r="Z38" s="1203">
        <f>'11.2. ДА за периода'!Z38</f>
        <v>0</v>
      </c>
      <c r="AA38" s="994">
        <f>SUMIF('9.Инвестиционна програма'!$B$74:$B$97,$B38,'9.Инвестиционна програма'!G$74:G$97)*$E$6</f>
        <v>0</v>
      </c>
      <c r="AB38" s="994">
        <f>SUMIF('9.Инвестиционна програма'!$B$74:$B$97,$B38,'9.Инвестиционна програма'!H$74:H$97)*$E$6</f>
        <v>0</v>
      </c>
      <c r="AC38" s="994">
        <f>SUMIF('9.Инвестиционна програма'!$B$74:$B$97,$B38,'9.Инвестиционна програма'!I$74:I$97)*$E$6</f>
        <v>0</v>
      </c>
      <c r="AD38" s="994">
        <f>SUMIF('9.Инвестиционна програма'!$B$74:$B$97,$B38,'9.Инвестиционна програма'!J$74:J$97)*$E$6</f>
        <v>0</v>
      </c>
      <c r="AE38" s="994">
        <f>SUMIF('9.Инвестиционна програма'!$B$74:$B$97,$B38,'9.Инвестиционна програма'!K$74:K$97)*$E$6</f>
        <v>0</v>
      </c>
      <c r="AF38" s="994">
        <f>SUMIF('9.Инвестиционна програма'!$B$74:$B$97,$B38,'9.Инвестиционна програма'!L$74:L$97)*$E$6</f>
        <v>0</v>
      </c>
      <c r="AG38" s="1203">
        <f>'11.2. ДА за периода'!AG38</f>
        <v>0</v>
      </c>
      <c r="AH38" s="994">
        <f>SUMIF('9.Инвестиционна програма'!$B$100:$B$123,$B38,'9.Инвестиционна програма'!G$100:G$123)*$E$6</f>
        <v>0</v>
      </c>
      <c r="AI38" s="994">
        <f>SUMIF('9.Инвестиционна програма'!$B$100:$B$123,$B38,'9.Инвестиционна програма'!H$100:H$123)*$E$6</f>
        <v>0</v>
      </c>
      <c r="AJ38" s="994">
        <f>SUMIF('9.Инвестиционна програма'!$B$100:$B$123,$B38,'9.Инвестиционна програма'!I$100:I$123)*$E$6</f>
        <v>0</v>
      </c>
      <c r="AK38" s="994">
        <f>SUMIF('9.Инвестиционна програма'!$B$100:$B$123,$B38,'9.Инвестиционна програма'!J$100:J$123)*$E$6</f>
        <v>0</v>
      </c>
      <c r="AL38" s="994">
        <f>SUMIF('9.Инвестиционна програма'!$B$100:$B$123,$B38,'9.Инвестиционна програма'!K$100:K$123)*$E$6</f>
        <v>0</v>
      </c>
      <c r="AM38" s="994">
        <f>SUMIF('9.Инвестиционна програма'!$B$100:$B$123,$B38,'9.Инвестиционна програма'!L$100:L$123)*$E$6</f>
        <v>0</v>
      </c>
      <c r="AN38" s="1203">
        <f>'11.2. ДА за периода'!AN38</f>
        <v>0</v>
      </c>
      <c r="AO38" s="1329">
        <f>(SUMIF('9.Инвестиционна програма'!$B$58:$B$59,$B38,'9.Инвестиционна програма'!G$58:G$59)+SUMIF('9.Инвестиционна програма'!$B$61:$B$71,$B38,'9.Инвестиционна програма'!G$61:G$71))*$E$6</f>
        <v>0</v>
      </c>
      <c r="AP38" s="994">
        <f>(SUMIF('9.Инвестиционна програма'!$B$58:$B$59,$B38,'9.Инвестиционна програма'!H$58:H$59)+SUMIF('9.Инвестиционна програма'!$B$61:$B$71,$B38,'9.Инвестиционна програма'!H$61:H$71))*$E$6</f>
        <v>0</v>
      </c>
      <c r="AQ38" s="994">
        <f>(SUMIF('9.Инвестиционна програма'!$B$58:$B$59,$B38,'9.Инвестиционна програма'!I$58:I$59)+SUMIF('9.Инвестиционна програма'!$B$61:$B$71,$B38,'9.Инвестиционна програма'!I$61:I$71))*$E$6</f>
        <v>0</v>
      </c>
      <c r="AR38" s="994">
        <f>(SUMIF('9.Инвестиционна програма'!$B$58:$B$59,$B38,'9.Инвестиционна програма'!J$58:J$59)+SUMIF('9.Инвестиционна програма'!$B$61:$B$71,$B38,'9.Инвестиционна програма'!J$61:J$71))*$E$6</f>
        <v>0</v>
      </c>
      <c r="AS38" s="994">
        <f>(SUMIF('9.Инвестиционна програма'!$B$58:$B$59,$B38,'9.Инвестиционна програма'!K$58:K$59)+SUMIF('9.Инвестиционна програма'!$B$61:$B$71,$B38,'9.Инвестиционна програма'!K$61:K$71))*$E$6</f>
        <v>0</v>
      </c>
      <c r="AT38" s="3048">
        <f>(SUMIF('9.Инвестиционна програма'!$B$58:$B$59,$B38,'9.Инвестиционна програма'!L$58:L$59)+SUMIF('9.Инвестиционна програма'!$B$61:$B$71,$B38,'9.Инвестиционна програма'!L$61:L$71))*$E$6</f>
        <v>0</v>
      </c>
      <c r="AU38" s="3007"/>
    </row>
    <row r="39" spans="1:47">
      <c r="A39" s="3060"/>
      <c r="B39" s="4259">
        <v>2040205</v>
      </c>
      <c r="C39" s="4242">
        <v>0.02</v>
      </c>
      <c r="D39" s="3071" t="s">
        <v>425</v>
      </c>
      <c r="E39" s="3047">
        <f>'11.2. ДА за периода'!E39</f>
        <v>278.57799999999997</v>
      </c>
      <c r="F39" s="1325">
        <f>SUMIF('9.Инвестиционна програма'!$B$12:$B$35,$B39,'9.Инвестиционна програма'!G$12:G$35)*$E$6</f>
        <v>378</v>
      </c>
      <c r="G39" s="1321">
        <f>SUMIF('9.Инвестиционна програма'!$B$12:$B$35,$B39,'9.Инвестиционна програма'!H$12:H$35)*$E$6</f>
        <v>1439.231</v>
      </c>
      <c r="H39" s="1321">
        <f>SUMIF('9.Инвестиционна програма'!$B$12:$B$35,$B39,'9.Инвестиционна програма'!I$12:I$35)*$E$6</f>
        <v>1436.5170000000001</v>
      </c>
      <c r="I39" s="1321">
        <f>SUMIF('9.Инвестиционна програма'!$B$12:$B$35,$B39,'9.Инвестиционна програма'!J$12:J$35)*$E$6</f>
        <v>296.5</v>
      </c>
      <c r="J39" s="1321">
        <f>SUMIF('9.Инвестиционна програма'!$B$12:$B$35,$B39,'9.Инвестиционна програма'!K$12:K$35)*$E$6</f>
        <v>147</v>
      </c>
      <c r="K39" s="1326">
        <f>SUMIF('9.Инвестиционна програма'!$B$12:$B$35,$B39,'9.Инвестиционна програма'!L$12:L$35)*$E$6</f>
        <v>147</v>
      </c>
      <c r="L39" s="3047">
        <f>'11.2. ДА за периода'!L39</f>
        <v>0</v>
      </c>
      <c r="M39" s="1329">
        <f>SUMIF('9.Инвестиционна програма'!$B$37:$B$47,$B39,'9.Инвестиционна програма'!G$37:G$47)*$E$6</f>
        <v>0</v>
      </c>
      <c r="N39" s="1323">
        <f>SUMIF('9.Инвестиционна програма'!$B$37:$B$47,$B39,'9.Инвестиционна програма'!H$37:H$47)*$E$6</f>
        <v>0</v>
      </c>
      <c r="O39" s="1323">
        <f>SUMIF('9.Инвестиционна програма'!$B$37:$B$47,$B39,'9.Инвестиционна програма'!I$37:I$47)*$E$6</f>
        <v>0</v>
      </c>
      <c r="P39" s="1323">
        <f>SUMIF('9.Инвестиционна програма'!$B$37:$B$47,$B39,'9.Инвестиционна програма'!J$37:J$47)*$E$6</f>
        <v>0</v>
      </c>
      <c r="Q39" s="1323">
        <f>SUMIF('9.Инвестиционна програма'!$B$37:$B$47,$B39,'9.Инвестиционна програма'!K$37:K$47)*$E$6</f>
        <v>0</v>
      </c>
      <c r="R39" s="1324">
        <f>SUMIF('9.Инвестиционна програма'!$B$37:$B$47,$B39,'9.Инвестиционна програма'!L$37:L$47)*$E$6</f>
        <v>0</v>
      </c>
      <c r="S39" s="1203">
        <f>'11.2. ДА за периода'!S39</f>
        <v>0</v>
      </c>
      <c r="T39" s="994">
        <f>SUMIF('9.Инвестиционна програма'!$B$49:$B$56,$B39,'9.Инвестиционна програма'!G$49:G$56)*$E$6</f>
        <v>0</v>
      </c>
      <c r="U39" s="994">
        <f>SUMIF('9.Инвестиционна програма'!$B$49:$B$56,$B39,'9.Инвестиционна програма'!H$49:H$56)*$E$6</f>
        <v>0</v>
      </c>
      <c r="V39" s="994">
        <f>SUMIF('9.Инвестиционна програма'!$B$49:$B$56,$B39,'9.Инвестиционна програма'!I$49:I$56)*$E$6</f>
        <v>0</v>
      </c>
      <c r="W39" s="994">
        <f>SUMIF('9.Инвестиционна програма'!$B$49:$B$56,$B39,'9.Инвестиционна програма'!J$49:J$56)*$E$6</f>
        <v>0</v>
      </c>
      <c r="X39" s="994">
        <f>SUMIF('9.Инвестиционна програма'!$B$49:$B$56,$B39,'9.Инвестиционна програма'!K$49:K$56)*$E$6</f>
        <v>0</v>
      </c>
      <c r="Y39" s="3048">
        <f>SUMIF('9.Инвестиционна програма'!$B$49:$B$56,$B39,'9.Инвестиционна програма'!L$49:L$56)*$E$6</f>
        <v>0</v>
      </c>
      <c r="Z39" s="1203">
        <f>'11.2. ДА за периода'!Z39</f>
        <v>0</v>
      </c>
      <c r="AA39" s="994">
        <f>SUMIF('9.Инвестиционна програма'!$B$74:$B$97,$B39,'9.Инвестиционна програма'!G$74:G$97)*$E$6</f>
        <v>0</v>
      </c>
      <c r="AB39" s="994">
        <f>SUMIF('9.Инвестиционна програма'!$B$74:$B$97,$B39,'9.Инвестиционна програма'!H$74:H$97)*$E$6</f>
        <v>0</v>
      </c>
      <c r="AC39" s="994">
        <f>SUMIF('9.Инвестиционна програма'!$B$74:$B$97,$B39,'9.Инвестиционна програма'!I$74:I$97)*$E$6</f>
        <v>0</v>
      </c>
      <c r="AD39" s="994">
        <f>SUMIF('9.Инвестиционна програма'!$B$74:$B$97,$B39,'9.Инвестиционна програма'!J$74:J$97)*$E$6</f>
        <v>0</v>
      </c>
      <c r="AE39" s="994">
        <f>SUMIF('9.Инвестиционна програма'!$B$74:$B$97,$B39,'9.Инвестиционна програма'!K$74:K$97)*$E$6</f>
        <v>0</v>
      </c>
      <c r="AF39" s="994">
        <f>SUMIF('9.Инвестиционна програма'!$B$74:$B$97,$B39,'9.Инвестиционна програма'!L$74:L$97)*$E$6</f>
        <v>0</v>
      </c>
      <c r="AG39" s="1203">
        <f>'11.2. ДА за периода'!AG39</f>
        <v>0</v>
      </c>
      <c r="AH39" s="994">
        <f>SUMIF('9.Инвестиционна програма'!$B$100:$B$123,$B39,'9.Инвестиционна програма'!G$100:G$123)*$E$6</f>
        <v>0</v>
      </c>
      <c r="AI39" s="994">
        <f>SUMIF('9.Инвестиционна програма'!$B$100:$B$123,$B39,'9.Инвестиционна програма'!H$100:H$123)*$E$6</f>
        <v>0</v>
      </c>
      <c r="AJ39" s="994">
        <f>SUMIF('9.Инвестиционна програма'!$B$100:$B$123,$B39,'9.Инвестиционна програма'!I$100:I$123)*$E$6</f>
        <v>0</v>
      </c>
      <c r="AK39" s="994">
        <f>SUMIF('9.Инвестиционна програма'!$B$100:$B$123,$B39,'9.Инвестиционна програма'!J$100:J$123)*$E$6</f>
        <v>0</v>
      </c>
      <c r="AL39" s="994">
        <f>SUMIF('9.Инвестиционна програма'!$B$100:$B$123,$B39,'9.Инвестиционна програма'!K$100:K$123)*$E$6</f>
        <v>0</v>
      </c>
      <c r="AM39" s="994">
        <f>SUMIF('9.Инвестиционна програма'!$B$100:$B$123,$B39,'9.Инвестиционна програма'!L$100:L$123)*$E$6</f>
        <v>0</v>
      </c>
      <c r="AN39" s="1203">
        <f>'11.2. ДА за периода'!AN39</f>
        <v>0</v>
      </c>
      <c r="AO39" s="1329">
        <f>(SUMIF('9.Инвестиционна програма'!$B$58:$B$59,$B39,'9.Инвестиционна програма'!G$58:G$59)+SUMIF('9.Инвестиционна програма'!$B$61:$B$71,$B39,'9.Инвестиционна програма'!G$61:G$71))*$E$6</f>
        <v>0</v>
      </c>
      <c r="AP39" s="994">
        <f>(SUMIF('9.Инвестиционна програма'!$B$58:$B$59,$B39,'9.Инвестиционна програма'!H$58:H$59)+SUMIF('9.Инвестиционна програма'!$B$61:$B$71,$B39,'9.Инвестиционна програма'!H$61:H$71))*$E$6</f>
        <v>0</v>
      </c>
      <c r="AQ39" s="994">
        <f>(SUMIF('9.Инвестиционна програма'!$B$58:$B$59,$B39,'9.Инвестиционна програма'!I$58:I$59)+SUMIF('9.Инвестиционна програма'!$B$61:$B$71,$B39,'9.Инвестиционна програма'!I$61:I$71))*$E$6</f>
        <v>0</v>
      </c>
      <c r="AR39" s="994">
        <f>(SUMIF('9.Инвестиционна програма'!$B$58:$B$59,$B39,'9.Инвестиционна програма'!J$58:J$59)+SUMIF('9.Инвестиционна програма'!$B$61:$B$71,$B39,'9.Инвестиционна програма'!J$61:J$71))*$E$6</f>
        <v>0</v>
      </c>
      <c r="AS39" s="994">
        <f>(SUMIF('9.Инвестиционна програма'!$B$58:$B$59,$B39,'9.Инвестиционна програма'!K$58:K$59)+SUMIF('9.Инвестиционна програма'!$B$61:$B$71,$B39,'9.Инвестиционна програма'!K$61:K$71))*$E$6</f>
        <v>0</v>
      </c>
      <c r="AT39" s="3048">
        <f>(SUMIF('9.Инвестиционна програма'!$B$58:$B$59,$B39,'9.Инвестиционна програма'!L$58:L$59)+SUMIF('9.Инвестиционна програма'!$B$61:$B$71,$B39,'9.Инвестиционна програма'!L$61:L$71))*$E$6</f>
        <v>0</v>
      </c>
      <c r="AU39" s="3007"/>
    </row>
    <row r="40" spans="1:47">
      <c r="A40" s="3060"/>
      <c r="B40" s="4259">
        <v>2040206</v>
      </c>
      <c r="C40" s="4242">
        <v>0.02</v>
      </c>
      <c r="D40" s="3071" t="s">
        <v>426</v>
      </c>
      <c r="E40" s="3047">
        <f>'11.2. ДА за периода'!E40</f>
        <v>0.33100000000000002</v>
      </c>
      <c r="F40" s="1325">
        <f>SUMIF('9.Инвестиционна програма'!$B$12:$B$35,$B40,'9.Инвестиционна програма'!G$12:G$35)*$E$6</f>
        <v>0</v>
      </c>
      <c r="G40" s="1321">
        <f>SUMIF('9.Инвестиционна програма'!$B$12:$B$35,$B40,'9.Инвестиционна програма'!H$12:H$35)*$E$6</f>
        <v>0</v>
      </c>
      <c r="H40" s="1321">
        <f>SUMIF('9.Инвестиционна програма'!$B$12:$B$35,$B40,'9.Инвестиционна програма'!I$12:I$35)*$E$6</f>
        <v>0</v>
      </c>
      <c r="I40" s="1321">
        <f>SUMIF('9.Инвестиционна програма'!$B$12:$B$35,$B40,'9.Инвестиционна програма'!J$12:J$35)*$E$6</f>
        <v>0</v>
      </c>
      <c r="J40" s="1321">
        <f>SUMIF('9.Инвестиционна програма'!$B$12:$B$35,$B40,'9.Инвестиционна програма'!K$12:K$35)*$E$6</f>
        <v>0</v>
      </c>
      <c r="K40" s="1326">
        <f>SUMIF('9.Инвестиционна програма'!$B$12:$B$35,$B40,'9.Инвестиционна програма'!L$12:L$35)*$E$6</f>
        <v>0</v>
      </c>
      <c r="L40" s="3047">
        <f>'11.2. ДА за периода'!L40</f>
        <v>22.382000000000001</v>
      </c>
      <c r="M40" s="1329">
        <f>SUMIF('9.Инвестиционна програма'!$B$37:$B$47,$B40,'9.Инвестиционна програма'!G$37:G$47)*$E$6</f>
        <v>95</v>
      </c>
      <c r="N40" s="1323">
        <f>SUMIF('9.Инвестиционна програма'!$B$37:$B$47,$B40,'9.Инвестиционна програма'!H$37:H$47)*$E$6</f>
        <v>480.34000000000003</v>
      </c>
      <c r="O40" s="1323">
        <f>SUMIF('9.Инвестиционна програма'!$B$37:$B$47,$B40,'9.Инвестиционна програма'!I$37:I$47)*$E$6</f>
        <v>2604.5890000000004</v>
      </c>
      <c r="P40" s="1323">
        <f>SUMIF('9.Инвестиционна програма'!$B$37:$B$47,$B40,'9.Инвестиционна програма'!J$37:J$47)*$E$6</f>
        <v>27.6</v>
      </c>
      <c r="Q40" s="1323">
        <f>SUMIF('9.Инвестиционна програма'!$B$37:$B$47,$B40,'9.Инвестиционна програма'!K$37:K$47)*$E$6</f>
        <v>27.9</v>
      </c>
      <c r="R40" s="1324">
        <f>SUMIF('9.Инвестиционна програма'!$B$37:$B$47,$B40,'9.Инвестиционна програма'!L$37:L$47)*$E$6</f>
        <v>29.3</v>
      </c>
      <c r="S40" s="1203">
        <f>'11.2. ДА за периода'!S40</f>
        <v>0</v>
      </c>
      <c r="T40" s="994">
        <f>SUMIF('9.Инвестиционна програма'!$B$49:$B$56,$B40,'9.Инвестиционна програма'!G$49:G$56)*$E$6</f>
        <v>0</v>
      </c>
      <c r="U40" s="994">
        <f>SUMIF('9.Инвестиционна програма'!$B$49:$B$56,$B40,'9.Инвестиционна програма'!H$49:H$56)*$E$6</f>
        <v>0</v>
      </c>
      <c r="V40" s="994">
        <f>SUMIF('9.Инвестиционна програма'!$B$49:$B$56,$B40,'9.Инвестиционна програма'!I$49:I$56)*$E$6</f>
        <v>0</v>
      </c>
      <c r="W40" s="994">
        <f>SUMIF('9.Инвестиционна програма'!$B$49:$B$56,$B40,'9.Инвестиционна програма'!J$49:J$56)*$E$6</f>
        <v>0</v>
      </c>
      <c r="X40" s="994">
        <f>SUMIF('9.Инвестиционна програма'!$B$49:$B$56,$B40,'9.Инвестиционна програма'!K$49:K$56)*$E$6</f>
        <v>0</v>
      </c>
      <c r="Y40" s="3048">
        <f>SUMIF('9.Инвестиционна програма'!$B$49:$B$56,$B40,'9.Инвестиционна програма'!L$49:L$56)*$E$6</f>
        <v>0</v>
      </c>
      <c r="Z40" s="1203">
        <f>'11.2. ДА за периода'!Z40</f>
        <v>0</v>
      </c>
      <c r="AA40" s="994">
        <f>SUMIF('9.Инвестиционна програма'!$B$74:$B$97,$B40,'9.Инвестиционна програма'!G$74:G$97)*$E$6</f>
        <v>0</v>
      </c>
      <c r="AB40" s="994">
        <f>SUMIF('9.Инвестиционна програма'!$B$74:$B$97,$B40,'9.Инвестиционна програма'!H$74:H$97)*$E$6</f>
        <v>0</v>
      </c>
      <c r="AC40" s="994">
        <f>SUMIF('9.Инвестиционна програма'!$B$74:$B$97,$B40,'9.Инвестиционна програма'!I$74:I$97)*$E$6</f>
        <v>0</v>
      </c>
      <c r="AD40" s="994">
        <f>SUMIF('9.Инвестиционна програма'!$B$74:$B$97,$B40,'9.Инвестиционна програма'!J$74:J$97)*$E$6</f>
        <v>0</v>
      </c>
      <c r="AE40" s="994">
        <f>SUMIF('9.Инвестиционна програма'!$B$74:$B$97,$B40,'9.Инвестиционна програма'!K$74:K$97)*$E$6</f>
        <v>0</v>
      </c>
      <c r="AF40" s="994">
        <f>SUMIF('9.Инвестиционна програма'!$B$74:$B$97,$B40,'9.Инвестиционна програма'!L$74:L$97)*$E$6</f>
        <v>0</v>
      </c>
      <c r="AG40" s="1203">
        <f>'11.2. ДА за периода'!AG40</f>
        <v>0</v>
      </c>
      <c r="AH40" s="994">
        <f>SUMIF('9.Инвестиционна програма'!$B$100:$B$123,$B40,'9.Инвестиционна програма'!G$100:G$123)*$E$6</f>
        <v>0</v>
      </c>
      <c r="AI40" s="994">
        <f>SUMIF('9.Инвестиционна програма'!$B$100:$B$123,$B40,'9.Инвестиционна програма'!H$100:H$123)*$E$6</f>
        <v>0</v>
      </c>
      <c r="AJ40" s="994">
        <f>SUMIF('9.Инвестиционна програма'!$B$100:$B$123,$B40,'9.Инвестиционна програма'!I$100:I$123)*$E$6</f>
        <v>0</v>
      </c>
      <c r="AK40" s="994">
        <f>SUMIF('9.Инвестиционна програма'!$B$100:$B$123,$B40,'9.Инвестиционна програма'!J$100:J$123)*$E$6</f>
        <v>0</v>
      </c>
      <c r="AL40" s="994">
        <f>SUMIF('9.Инвестиционна програма'!$B$100:$B$123,$B40,'9.Инвестиционна програма'!K$100:K$123)*$E$6</f>
        <v>0</v>
      </c>
      <c r="AM40" s="994">
        <f>SUMIF('9.Инвестиционна програма'!$B$100:$B$123,$B40,'9.Инвестиционна програма'!L$100:L$123)*$E$6</f>
        <v>0</v>
      </c>
      <c r="AN40" s="1203">
        <f>'11.2. ДА за периода'!AN40</f>
        <v>0</v>
      </c>
      <c r="AO40" s="1329">
        <f>(SUMIF('9.Инвестиционна програма'!$B$58:$B$59,$B40,'9.Инвестиционна програма'!G$58:G$59)+SUMIF('9.Инвестиционна програма'!$B$61:$B$71,$B40,'9.Инвестиционна програма'!G$61:G$71))*$E$6</f>
        <v>0</v>
      </c>
      <c r="AP40" s="994">
        <f>(SUMIF('9.Инвестиционна програма'!$B$58:$B$59,$B40,'9.Инвестиционна програма'!H$58:H$59)+SUMIF('9.Инвестиционна програма'!$B$61:$B$71,$B40,'9.Инвестиционна програма'!H$61:H$71))*$E$6</f>
        <v>0</v>
      </c>
      <c r="AQ40" s="994">
        <f>(SUMIF('9.Инвестиционна програма'!$B$58:$B$59,$B40,'9.Инвестиционна програма'!I$58:I$59)+SUMIF('9.Инвестиционна програма'!$B$61:$B$71,$B40,'9.Инвестиционна програма'!I$61:I$71))*$E$6</f>
        <v>0</v>
      </c>
      <c r="AR40" s="994">
        <f>(SUMIF('9.Инвестиционна програма'!$B$58:$B$59,$B40,'9.Инвестиционна програма'!J$58:J$59)+SUMIF('9.Инвестиционна програма'!$B$61:$B$71,$B40,'9.Инвестиционна програма'!J$61:J$71))*$E$6</f>
        <v>0</v>
      </c>
      <c r="AS40" s="994">
        <f>(SUMIF('9.Инвестиционна програма'!$B$58:$B$59,$B40,'9.Инвестиционна програма'!K$58:K$59)+SUMIF('9.Инвестиционна програма'!$B$61:$B$71,$B40,'9.Инвестиционна програма'!K$61:K$71))*$E$6</f>
        <v>0</v>
      </c>
      <c r="AT40" s="3048">
        <f>(SUMIF('9.Инвестиционна програма'!$B$58:$B$59,$B40,'9.Инвестиционна програма'!L$58:L$59)+SUMIF('9.Инвестиционна програма'!$B$61:$B$71,$B40,'9.Инвестиционна програма'!L$61:L$71))*$E$6</f>
        <v>0</v>
      </c>
      <c r="AU40" s="3007"/>
    </row>
    <row r="41" spans="1:47" ht="24">
      <c r="A41" s="3060"/>
      <c r="B41" s="4259">
        <v>2040207</v>
      </c>
      <c r="C41" s="4242">
        <v>0.04</v>
      </c>
      <c r="D41" s="3071" t="s">
        <v>427</v>
      </c>
      <c r="E41" s="3047">
        <f>'11.2. ДА за периода'!E41</f>
        <v>14.456</v>
      </c>
      <c r="F41" s="1325">
        <f>SUMIF('9.Инвестиционна програма'!$B$12:$B$35,$B41,'9.Инвестиционна програма'!G$12:G$35)*$E$6</f>
        <v>26</v>
      </c>
      <c r="G41" s="1321">
        <f>SUMIF('9.Инвестиционна програма'!$B$12:$B$35,$B41,'9.Инвестиционна програма'!H$12:H$35)*$E$6</f>
        <v>19</v>
      </c>
      <c r="H41" s="1321">
        <f>SUMIF('9.Инвестиционна програма'!$B$12:$B$35,$B41,'9.Инвестиционна програма'!I$12:I$35)*$E$6</f>
        <v>576.58100000000002</v>
      </c>
      <c r="I41" s="1321">
        <f>SUMIF('9.Инвестиционна програма'!$B$12:$B$35,$B41,'9.Инвестиционна програма'!J$12:J$35)*$E$6</f>
        <v>19</v>
      </c>
      <c r="J41" s="1321">
        <f>SUMIF('9.Инвестиционна програма'!$B$12:$B$35,$B41,'9.Инвестиционна програма'!K$12:K$35)*$E$6</f>
        <v>19</v>
      </c>
      <c r="K41" s="1326">
        <f>SUMIF('9.Инвестиционна програма'!$B$12:$B$35,$B41,'9.Инвестиционна програма'!L$12:L$35)*$E$6</f>
        <v>19</v>
      </c>
      <c r="L41" s="3047">
        <f>'11.2. ДА за периода'!L41</f>
        <v>0</v>
      </c>
      <c r="M41" s="1329">
        <f>SUMIF('9.Инвестиционна програма'!$B$37:$B$47,$B41,'9.Инвестиционна програма'!G$37:G$47)*$E$6</f>
        <v>0</v>
      </c>
      <c r="N41" s="1323">
        <f>SUMIF('9.Инвестиционна програма'!$B$37:$B$47,$B41,'9.Инвестиционна програма'!H$37:H$47)*$E$6</f>
        <v>0</v>
      </c>
      <c r="O41" s="1323">
        <f>SUMIF('9.Инвестиционна програма'!$B$37:$B$47,$B41,'9.Инвестиционна програма'!I$37:I$47)*$E$6</f>
        <v>226.346</v>
      </c>
      <c r="P41" s="1323">
        <f>SUMIF('9.Инвестиционна програма'!$B$37:$B$47,$B41,'9.Инвестиционна програма'!J$37:J$47)*$E$6</f>
        <v>0</v>
      </c>
      <c r="Q41" s="1323">
        <f>SUMIF('9.Инвестиционна програма'!$B$37:$B$47,$B41,'9.Инвестиционна програма'!K$37:K$47)*$E$6</f>
        <v>0</v>
      </c>
      <c r="R41" s="1324">
        <f>SUMIF('9.Инвестиционна програма'!$B$37:$B$47,$B41,'9.Инвестиционна програма'!L$37:L$47)*$E$6</f>
        <v>0</v>
      </c>
      <c r="S41" s="1203">
        <f>'11.2. ДА за периода'!S41</f>
        <v>0</v>
      </c>
      <c r="T41" s="994">
        <f>SUMIF('9.Инвестиционна програма'!$B$49:$B$56,$B41,'9.Инвестиционна програма'!G$49:G$56)*$E$6</f>
        <v>6</v>
      </c>
      <c r="U41" s="994">
        <f>SUMIF('9.Инвестиционна програма'!$B$49:$B$56,$B41,'9.Инвестиционна програма'!H$49:H$56)*$E$6</f>
        <v>1055.7249999999999</v>
      </c>
      <c r="V41" s="994">
        <f>SUMIF('9.Инвестиционна програма'!$B$49:$B$56,$B41,'9.Инвестиционна програма'!I$49:I$56)*$E$6</f>
        <v>1102.7249999999999</v>
      </c>
      <c r="W41" s="994">
        <f>SUMIF('9.Инвестиционна програма'!$B$49:$B$56,$B41,'9.Инвестиционна програма'!J$49:J$56)*$E$6</f>
        <v>51</v>
      </c>
      <c r="X41" s="994">
        <f>SUMIF('9.Инвестиционна програма'!$B$49:$B$56,$B41,'9.Инвестиционна програма'!K$49:K$56)*$E$6</f>
        <v>0</v>
      </c>
      <c r="Y41" s="3048">
        <f>SUMIF('9.Инвестиционна програма'!$B$49:$B$56,$B41,'9.Инвестиционна програма'!L$49:L$56)*$E$6</f>
        <v>0</v>
      </c>
      <c r="Z41" s="1203">
        <f>'11.2. ДА за периода'!Z41</f>
        <v>0</v>
      </c>
      <c r="AA41" s="994">
        <f>SUMIF('9.Инвестиционна програма'!$B$74:$B$97,$B41,'9.Инвестиционна програма'!G$74:G$97)*$E$6</f>
        <v>0</v>
      </c>
      <c r="AB41" s="994">
        <f>SUMIF('9.Инвестиционна програма'!$B$74:$B$97,$B41,'9.Инвестиционна програма'!H$74:H$97)*$E$6</f>
        <v>0</v>
      </c>
      <c r="AC41" s="994">
        <f>SUMIF('9.Инвестиционна програма'!$B$74:$B$97,$B41,'9.Инвестиционна програма'!I$74:I$97)*$E$6</f>
        <v>0</v>
      </c>
      <c r="AD41" s="994">
        <f>SUMIF('9.Инвестиционна програма'!$B$74:$B$97,$B41,'9.Инвестиционна програма'!J$74:J$97)*$E$6</f>
        <v>0</v>
      </c>
      <c r="AE41" s="994">
        <f>SUMIF('9.Инвестиционна програма'!$B$74:$B$97,$B41,'9.Инвестиционна програма'!K$74:K$97)*$E$6</f>
        <v>0</v>
      </c>
      <c r="AF41" s="994">
        <f>SUMIF('9.Инвестиционна програма'!$B$74:$B$97,$B41,'9.Инвестиционна програма'!L$74:L$97)*$E$6</f>
        <v>0</v>
      </c>
      <c r="AG41" s="1203">
        <f>'11.2. ДА за периода'!AG41</f>
        <v>0</v>
      </c>
      <c r="AH41" s="994">
        <f>SUMIF('9.Инвестиционна програма'!$B$100:$B$123,$B41,'9.Инвестиционна програма'!G$100:G$123)*$E$6</f>
        <v>0</v>
      </c>
      <c r="AI41" s="994">
        <f>SUMIF('9.Инвестиционна програма'!$B$100:$B$123,$B41,'9.Инвестиционна програма'!H$100:H$123)*$E$6</f>
        <v>0</v>
      </c>
      <c r="AJ41" s="994">
        <f>SUMIF('9.Инвестиционна програма'!$B$100:$B$123,$B41,'9.Инвестиционна програма'!I$100:I$123)*$E$6</f>
        <v>0</v>
      </c>
      <c r="AK41" s="994">
        <f>SUMIF('9.Инвестиционна програма'!$B$100:$B$123,$B41,'9.Инвестиционна програма'!J$100:J$123)*$E$6</f>
        <v>0</v>
      </c>
      <c r="AL41" s="994">
        <f>SUMIF('9.Инвестиционна програма'!$B$100:$B$123,$B41,'9.Инвестиционна програма'!K$100:K$123)*$E$6</f>
        <v>0</v>
      </c>
      <c r="AM41" s="994">
        <f>SUMIF('9.Инвестиционна програма'!$B$100:$B$123,$B41,'9.Инвестиционна програма'!L$100:L$123)*$E$6</f>
        <v>0</v>
      </c>
      <c r="AN41" s="1203">
        <f>'11.2. ДА за периода'!AN41</f>
        <v>0</v>
      </c>
      <c r="AO41" s="1329">
        <f>(SUMIF('9.Инвестиционна програма'!$B$58:$B$59,$B41,'9.Инвестиционна програма'!G$58:G$59)+SUMIF('9.Инвестиционна програма'!$B$61:$B$71,$B41,'9.Инвестиционна програма'!G$61:G$71))*$E$6</f>
        <v>0</v>
      </c>
      <c r="AP41" s="994">
        <f>(SUMIF('9.Инвестиционна програма'!$B$58:$B$59,$B41,'9.Инвестиционна програма'!H$58:H$59)+SUMIF('9.Инвестиционна програма'!$B$61:$B$71,$B41,'9.Инвестиционна програма'!H$61:H$71))*$E$6</f>
        <v>0</v>
      </c>
      <c r="AQ41" s="994">
        <f>(SUMIF('9.Инвестиционна програма'!$B$58:$B$59,$B41,'9.Инвестиционна програма'!I$58:I$59)+SUMIF('9.Инвестиционна програма'!$B$61:$B$71,$B41,'9.Инвестиционна програма'!I$61:I$71))*$E$6</f>
        <v>0</v>
      </c>
      <c r="AR41" s="994">
        <f>(SUMIF('9.Инвестиционна програма'!$B$58:$B$59,$B41,'9.Инвестиционна програма'!J$58:J$59)+SUMIF('9.Инвестиционна програма'!$B$61:$B$71,$B41,'9.Инвестиционна програма'!J$61:J$71))*$E$6</f>
        <v>0</v>
      </c>
      <c r="AS41" s="994">
        <f>(SUMIF('9.Инвестиционна програма'!$B$58:$B$59,$B41,'9.Инвестиционна програма'!K$58:K$59)+SUMIF('9.Инвестиционна програма'!$B$61:$B$71,$B41,'9.Инвестиционна програма'!K$61:K$71))*$E$6</f>
        <v>0</v>
      </c>
      <c r="AT41" s="3048">
        <f>(SUMIF('9.Инвестиционна програма'!$B$58:$B$59,$B41,'9.Инвестиционна програма'!L$58:L$59)+SUMIF('9.Инвестиционна програма'!$B$61:$B$71,$B41,'9.Инвестиционна програма'!L$61:L$71))*$E$6</f>
        <v>0</v>
      </c>
      <c r="AU41" s="3007"/>
    </row>
    <row r="42" spans="1:47">
      <c r="A42" s="3060"/>
      <c r="B42" s="4259">
        <v>2040208</v>
      </c>
      <c r="C42" s="4242">
        <v>0.04</v>
      </c>
      <c r="D42" s="3071" t="s">
        <v>428</v>
      </c>
      <c r="E42" s="3047">
        <f>'11.2. ДА за периода'!E42</f>
        <v>0</v>
      </c>
      <c r="F42" s="1325">
        <f>SUMIF('9.Инвестиционна програма'!$B$12:$B$35,$B42,'9.Инвестиционна програма'!G$12:G$35)*$E$6</f>
        <v>0</v>
      </c>
      <c r="G42" s="1321">
        <f>SUMIF('9.Инвестиционна програма'!$B$12:$B$35,$B42,'9.Инвестиционна програма'!H$12:H$35)*$E$6</f>
        <v>0</v>
      </c>
      <c r="H42" s="1321">
        <f>SUMIF('9.Инвестиционна програма'!$B$12:$B$35,$B42,'9.Инвестиционна програма'!I$12:I$35)*$E$6</f>
        <v>0</v>
      </c>
      <c r="I42" s="1321">
        <f>SUMIF('9.Инвестиционна програма'!$B$12:$B$35,$B42,'9.Инвестиционна програма'!J$12:J$35)*$E$6</f>
        <v>0</v>
      </c>
      <c r="J42" s="1321">
        <f>SUMIF('9.Инвестиционна програма'!$B$12:$B$35,$B42,'9.Инвестиционна програма'!K$12:K$35)*$E$6</f>
        <v>0</v>
      </c>
      <c r="K42" s="1326">
        <f>SUMIF('9.Инвестиционна програма'!$B$12:$B$35,$B42,'9.Инвестиционна програма'!L$12:L$35)*$E$6</f>
        <v>0</v>
      </c>
      <c r="L42" s="3047">
        <f>'11.2. ДА за периода'!L42</f>
        <v>0</v>
      </c>
      <c r="M42" s="1329">
        <f>SUMIF('9.Инвестиционна програма'!$B$37:$B$47,$B42,'9.Инвестиционна програма'!G$37:G$47)*$E$6</f>
        <v>0</v>
      </c>
      <c r="N42" s="1323">
        <f>SUMIF('9.Инвестиционна програма'!$B$37:$B$47,$B42,'9.Инвестиционна програма'!H$37:H$47)*$E$6</f>
        <v>0</v>
      </c>
      <c r="O42" s="1323">
        <f>SUMIF('9.Инвестиционна програма'!$B$37:$B$47,$B42,'9.Инвестиционна програма'!I$37:I$47)*$E$6</f>
        <v>0</v>
      </c>
      <c r="P42" s="1323">
        <f>SUMIF('9.Инвестиционна програма'!$B$37:$B$47,$B42,'9.Инвестиционна програма'!J$37:J$47)*$E$6</f>
        <v>0</v>
      </c>
      <c r="Q42" s="1323">
        <f>SUMIF('9.Инвестиционна програма'!$B$37:$B$47,$B42,'9.Инвестиционна програма'!K$37:K$47)*$E$6</f>
        <v>0</v>
      </c>
      <c r="R42" s="1324">
        <f>SUMIF('9.Инвестиционна програма'!$B$37:$B$47,$B42,'9.Инвестиционна програма'!L$37:L$47)*$E$6</f>
        <v>0</v>
      </c>
      <c r="S42" s="1203">
        <f>'11.2. ДА за периода'!S42</f>
        <v>0</v>
      </c>
      <c r="T42" s="994">
        <f>SUMIF('9.Инвестиционна програма'!$B$49:$B$56,$B42,'9.Инвестиционна програма'!G$49:G$56)*$E$6</f>
        <v>0</v>
      </c>
      <c r="U42" s="994">
        <f>SUMIF('9.Инвестиционна програма'!$B$49:$B$56,$B42,'9.Инвестиционна програма'!H$49:H$56)*$E$6</f>
        <v>0</v>
      </c>
      <c r="V42" s="994">
        <f>SUMIF('9.Инвестиционна програма'!$B$49:$B$56,$B42,'9.Инвестиционна програма'!I$49:I$56)*$E$6</f>
        <v>0</v>
      </c>
      <c r="W42" s="994">
        <f>SUMIF('9.Инвестиционна програма'!$B$49:$B$56,$B42,'9.Инвестиционна програма'!J$49:J$56)*$E$6</f>
        <v>0</v>
      </c>
      <c r="X42" s="994">
        <f>SUMIF('9.Инвестиционна програма'!$B$49:$B$56,$B42,'9.Инвестиционна програма'!K$49:K$56)*$E$6</f>
        <v>0</v>
      </c>
      <c r="Y42" s="3048">
        <f>SUMIF('9.Инвестиционна програма'!$B$49:$B$56,$B42,'9.Инвестиционна програма'!L$49:L$56)*$E$6</f>
        <v>0</v>
      </c>
      <c r="Z42" s="1203">
        <f>'11.2. ДА за периода'!Z42</f>
        <v>0</v>
      </c>
      <c r="AA42" s="994">
        <f>SUMIF('9.Инвестиционна програма'!$B$74:$B$97,$B42,'9.Инвестиционна програма'!G$74:G$97)*$E$6</f>
        <v>0</v>
      </c>
      <c r="AB42" s="994">
        <f>SUMIF('9.Инвестиционна програма'!$B$74:$B$97,$B42,'9.Инвестиционна програма'!H$74:H$97)*$E$6</f>
        <v>0</v>
      </c>
      <c r="AC42" s="994">
        <f>SUMIF('9.Инвестиционна програма'!$B$74:$B$97,$B42,'9.Инвестиционна програма'!I$74:I$97)*$E$6</f>
        <v>0</v>
      </c>
      <c r="AD42" s="994">
        <f>SUMIF('9.Инвестиционна програма'!$B$74:$B$97,$B42,'9.Инвестиционна програма'!J$74:J$97)*$E$6</f>
        <v>0</v>
      </c>
      <c r="AE42" s="994">
        <f>SUMIF('9.Инвестиционна програма'!$B$74:$B$97,$B42,'9.Инвестиционна програма'!K$74:K$97)*$E$6</f>
        <v>0</v>
      </c>
      <c r="AF42" s="994">
        <f>SUMIF('9.Инвестиционна програма'!$B$74:$B$97,$B42,'9.Инвестиционна програма'!L$74:L$97)*$E$6</f>
        <v>0</v>
      </c>
      <c r="AG42" s="1203">
        <f>'11.2. ДА за периода'!AG42</f>
        <v>0</v>
      </c>
      <c r="AH42" s="994">
        <f>SUMIF('9.Инвестиционна програма'!$B$100:$B$123,$B42,'9.Инвестиционна програма'!G$100:G$123)*$E$6</f>
        <v>0</v>
      </c>
      <c r="AI42" s="994">
        <f>SUMIF('9.Инвестиционна програма'!$B$100:$B$123,$B42,'9.Инвестиционна програма'!H$100:H$123)*$E$6</f>
        <v>0</v>
      </c>
      <c r="AJ42" s="994">
        <f>SUMIF('9.Инвестиционна програма'!$B$100:$B$123,$B42,'9.Инвестиционна програма'!I$100:I$123)*$E$6</f>
        <v>0</v>
      </c>
      <c r="AK42" s="994">
        <f>SUMIF('9.Инвестиционна програма'!$B$100:$B$123,$B42,'9.Инвестиционна програма'!J$100:J$123)*$E$6</f>
        <v>0</v>
      </c>
      <c r="AL42" s="994">
        <f>SUMIF('9.Инвестиционна програма'!$B$100:$B$123,$B42,'9.Инвестиционна програма'!K$100:K$123)*$E$6</f>
        <v>0</v>
      </c>
      <c r="AM42" s="994">
        <f>SUMIF('9.Инвестиционна програма'!$B$100:$B$123,$B42,'9.Инвестиционна програма'!L$100:L$123)*$E$6</f>
        <v>0</v>
      </c>
      <c r="AN42" s="1203">
        <f>'11.2. ДА за периода'!AN42</f>
        <v>0</v>
      </c>
      <c r="AO42" s="1329">
        <f>(SUMIF('9.Инвестиционна програма'!$B$58:$B$59,$B42,'9.Инвестиционна програма'!G$58:G$59)+SUMIF('9.Инвестиционна програма'!$B$61:$B$71,$B42,'9.Инвестиционна програма'!G$61:G$71))*$E$6</f>
        <v>0</v>
      </c>
      <c r="AP42" s="994">
        <f>(SUMIF('9.Инвестиционна програма'!$B$58:$B$59,$B42,'9.Инвестиционна програма'!H$58:H$59)+SUMIF('9.Инвестиционна програма'!$B$61:$B$71,$B42,'9.Инвестиционна програма'!H$61:H$71))*$E$6</f>
        <v>0</v>
      </c>
      <c r="AQ42" s="994">
        <f>(SUMIF('9.Инвестиционна програма'!$B$58:$B$59,$B42,'9.Инвестиционна програма'!I$58:I$59)+SUMIF('9.Инвестиционна програма'!$B$61:$B$71,$B42,'9.Инвестиционна програма'!I$61:I$71))*$E$6</f>
        <v>0</v>
      </c>
      <c r="AR42" s="994">
        <f>(SUMIF('9.Инвестиционна програма'!$B$58:$B$59,$B42,'9.Инвестиционна програма'!J$58:J$59)+SUMIF('9.Инвестиционна програма'!$B$61:$B$71,$B42,'9.Инвестиционна програма'!J$61:J$71))*$E$6</f>
        <v>0</v>
      </c>
      <c r="AS42" s="994">
        <f>(SUMIF('9.Инвестиционна програма'!$B$58:$B$59,$B42,'9.Инвестиционна програма'!K$58:K$59)+SUMIF('9.Инвестиционна програма'!$B$61:$B$71,$B42,'9.Инвестиционна програма'!K$61:K$71))*$E$6</f>
        <v>0</v>
      </c>
      <c r="AT42" s="3048">
        <f>(SUMIF('9.Инвестиционна програма'!$B$58:$B$59,$B42,'9.Инвестиционна програма'!L$58:L$59)+SUMIF('9.Инвестиционна програма'!$B$61:$B$71,$B42,'9.Инвестиционна програма'!L$61:L$71))*$E$6</f>
        <v>0</v>
      </c>
      <c r="AU42" s="3007"/>
    </row>
    <row r="43" spans="1:47">
      <c r="A43" s="3060"/>
      <c r="B43" s="4261">
        <v>20403</v>
      </c>
      <c r="C43" s="4244">
        <v>0.04</v>
      </c>
      <c r="D43" s="3074" t="s">
        <v>1060</v>
      </c>
      <c r="E43" s="3047">
        <f>'11.2. ДА за периода'!E43</f>
        <v>2.706</v>
      </c>
      <c r="F43" s="1325">
        <f>SUMIF('9.Инвестиционна програма'!$B$12:$B$35,$B43,'9.Инвестиционна програма'!G$12:G$35)*$E$6</f>
        <v>0</v>
      </c>
      <c r="G43" s="1321">
        <f>SUMIF('9.Инвестиционна програма'!$B$12:$B$35,$B43,'9.Инвестиционна програма'!H$12:H$35)*$E$6</f>
        <v>0</v>
      </c>
      <c r="H43" s="1321">
        <f>SUMIF('9.Инвестиционна програма'!$B$12:$B$35,$B43,'9.Инвестиционна програма'!I$12:I$35)*$E$6</f>
        <v>0</v>
      </c>
      <c r="I43" s="1321">
        <f>SUMIF('9.Инвестиционна програма'!$B$12:$B$35,$B43,'9.Инвестиционна програма'!J$12:J$35)*$E$6</f>
        <v>0</v>
      </c>
      <c r="J43" s="1321">
        <f>SUMIF('9.Инвестиционна програма'!$B$12:$B$35,$B43,'9.Инвестиционна програма'!K$12:K$35)*$E$6</f>
        <v>0</v>
      </c>
      <c r="K43" s="1326">
        <f>SUMIF('9.Инвестиционна програма'!$B$12:$B$35,$B43,'9.Инвестиционна програма'!L$12:L$35)*$E$6</f>
        <v>0</v>
      </c>
      <c r="L43" s="3047">
        <f>'11.2. ДА за периода'!L43</f>
        <v>0</v>
      </c>
      <c r="M43" s="1329">
        <f>SUMIF('9.Инвестиционна програма'!$B$37:$B$47,$B43,'9.Инвестиционна програма'!G$37:G$47)*$E$6</f>
        <v>0</v>
      </c>
      <c r="N43" s="1323">
        <f>SUMIF('9.Инвестиционна програма'!$B$37:$B$47,$B43,'9.Инвестиционна програма'!H$37:H$47)*$E$6</f>
        <v>0</v>
      </c>
      <c r="O43" s="1323">
        <f>SUMIF('9.Инвестиционна програма'!$B$37:$B$47,$B43,'9.Инвестиционна програма'!I$37:I$47)*$E$6</f>
        <v>0</v>
      </c>
      <c r="P43" s="1323">
        <f>SUMIF('9.Инвестиционна програма'!$B$37:$B$47,$B43,'9.Инвестиционна програма'!J$37:J$47)*$E$6</f>
        <v>0</v>
      </c>
      <c r="Q43" s="1323">
        <f>SUMIF('9.Инвестиционна програма'!$B$37:$B$47,$B43,'9.Инвестиционна програма'!K$37:K$47)*$E$6</f>
        <v>0</v>
      </c>
      <c r="R43" s="1324">
        <f>SUMIF('9.Инвестиционна програма'!$B$37:$B$47,$B43,'9.Инвестиционна програма'!L$37:L$47)*$E$6</f>
        <v>0</v>
      </c>
      <c r="S43" s="1203">
        <f>'11.2. ДА за периода'!S43</f>
        <v>0</v>
      </c>
      <c r="T43" s="994">
        <f>SUMIF('9.Инвестиционна програма'!$B$49:$B$56,$B43,'9.Инвестиционна програма'!G$49:G$56)*$E$6</f>
        <v>0</v>
      </c>
      <c r="U43" s="994">
        <f>SUMIF('9.Инвестиционна програма'!$B$49:$B$56,$B43,'9.Инвестиционна програма'!H$49:H$56)*$E$6</f>
        <v>0</v>
      </c>
      <c r="V43" s="994">
        <f>SUMIF('9.Инвестиционна програма'!$B$49:$B$56,$B43,'9.Инвестиционна програма'!I$49:I$56)*$E$6</f>
        <v>0</v>
      </c>
      <c r="W43" s="994">
        <f>SUMIF('9.Инвестиционна програма'!$B$49:$B$56,$B43,'9.Инвестиционна програма'!J$49:J$56)*$E$6</f>
        <v>0</v>
      </c>
      <c r="X43" s="994">
        <f>SUMIF('9.Инвестиционна програма'!$B$49:$B$56,$B43,'9.Инвестиционна програма'!K$49:K$56)*$E$6</f>
        <v>0</v>
      </c>
      <c r="Y43" s="3048">
        <f>SUMIF('9.Инвестиционна програма'!$B$49:$B$56,$B43,'9.Инвестиционна програма'!L$49:L$56)*$E$6</f>
        <v>0</v>
      </c>
      <c r="Z43" s="1203">
        <f>'11.2. ДА за периода'!Z43</f>
        <v>0</v>
      </c>
      <c r="AA43" s="994">
        <f>SUMIF('9.Инвестиционна програма'!$B$74:$B$97,$B43,'9.Инвестиционна програма'!G$74:G$97)*$E$6</f>
        <v>0</v>
      </c>
      <c r="AB43" s="994">
        <f>SUMIF('9.Инвестиционна програма'!$B$74:$B$97,$B43,'9.Инвестиционна програма'!H$74:H$97)*$E$6</f>
        <v>0</v>
      </c>
      <c r="AC43" s="994">
        <f>SUMIF('9.Инвестиционна програма'!$B$74:$B$97,$B43,'9.Инвестиционна програма'!I$74:I$97)*$E$6</f>
        <v>0</v>
      </c>
      <c r="AD43" s="994">
        <f>SUMIF('9.Инвестиционна програма'!$B$74:$B$97,$B43,'9.Инвестиционна програма'!J$74:J$97)*$E$6</f>
        <v>0</v>
      </c>
      <c r="AE43" s="994">
        <f>SUMIF('9.Инвестиционна програма'!$B$74:$B$97,$B43,'9.Инвестиционна програма'!K$74:K$97)*$E$6</f>
        <v>0</v>
      </c>
      <c r="AF43" s="994">
        <f>SUMIF('9.Инвестиционна програма'!$B$74:$B$97,$B43,'9.Инвестиционна програма'!L$74:L$97)*$E$6</f>
        <v>0</v>
      </c>
      <c r="AG43" s="1203">
        <f>'11.2. ДА за периода'!AG43</f>
        <v>0</v>
      </c>
      <c r="AH43" s="994">
        <f>SUMIF('9.Инвестиционна програма'!$B$100:$B$123,$B43,'9.Инвестиционна програма'!G$100:G$123)*$E$6</f>
        <v>0</v>
      </c>
      <c r="AI43" s="994">
        <f>SUMIF('9.Инвестиционна програма'!$B$100:$B$123,$B43,'9.Инвестиционна програма'!H$100:H$123)*$E$6</f>
        <v>0</v>
      </c>
      <c r="AJ43" s="994">
        <f>SUMIF('9.Инвестиционна програма'!$B$100:$B$123,$B43,'9.Инвестиционна програма'!I$100:I$123)*$E$6</f>
        <v>0</v>
      </c>
      <c r="AK43" s="994">
        <f>SUMIF('9.Инвестиционна програма'!$B$100:$B$123,$B43,'9.Инвестиционна програма'!J$100:J$123)*$E$6</f>
        <v>0</v>
      </c>
      <c r="AL43" s="994">
        <f>SUMIF('9.Инвестиционна програма'!$B$100:$B$123,$B43,'9.Инвестиционна програма'!K$100:K$123)*$E$6</f>
        <v>0</v>
      </c>
      <c r="AM43" s="994">
        <f>SUMIF('9.Инвестиционна програма'!$B$100:$B$123,$B43,'9.Инвестиционна програма'!L$100:L$123)*$E$6</f>
        <v>0</v>
      </c>
      <c r="AN43" s="1203">
        <f>'11.2. ДА за периода'!AN43</f>
        <v>0</v>
      </c>
      <c r="AO43" s="1329">
        <f>(SUMIF('9.Инвестиционна програма'!$B$58:$B$59,$B43,'9.Инвестиционна програма'!G$58:G$59)+SUMIF('9.Инвестиционна програма'!$B$61:$B$71,$B43,'9.Инвестиционна програма'!G$61:G$71))*$E$6</f>
        <v>0</v>
      </c>
      <c r="AP43" s="994">
        <f>(SUMIF('9.Инвестиционна програма'!$B$58:$B$59,$B43,'9.Инвестиционна програма'!H$58:H$59)+SUMIF('9.Инвестиционна програма'!$B$61:$B$71,$B43,'9.Инвестиционна програма'!H$61:H$71))*$E$6</f>
        <v>0</v>
      </c>
      <c r="AQ43" s="994">
        <f>(SUMIF('9.Инвестиционна програма'!$B$58:$B$59,$B43,'9.Инвестиционна програма'!I$58:I$59)+SUMIF('9.Инвестиционна програма'!$B$61:$B$71,$B43,'9.Инвестиционна програма'!I$61:I$71))*$E$6</f>
        <v>0</v>
      </c>
      <c r="AR43" s="994">
        <f>(SUMIF('9.Инвестиционна програма'!$B$58:$B$59,$B43,'9.Инвестиционна програма'!J$58:J$59)+SUMIF('9.Инвестиционна програма'!$B$61:$B$71,$B43,'9.Инвестиционна програма'!J$61:J$71))*$E$6</f>
        <v>0</v>
      </c>
      <c r="AS43" s="994">
        <f>(SUMIF('9.Инвестиционна програма'!$B$58:$B$59,$B43,'9.Инвестиционна програма'!K$58:K$59)+SUMIF('9.Инвестиционна програма'!$B$61:$B$71,$B43,'9.Инвестиционна програма'!K$61:K$71))*$E$6</f>
        <v>0</v>
      </c>
      <c r="AT43" s="3048">
        <f>(SUMIF('9.Инвестиционна програма'!$B$58:$B$59,$B43,'9.Инвестиционна програма'!L$58:L$59)+SUMIF('9.Инвестиционна програма'!$B$61:$B$71,$B43,'9.Инвестиционна програма'!L$61:L$71))*$E$6</f>
        <v>0</v>
      </c>
      <c r="AU43" s="3007"/>
    </row>
    <row r="44" spans="1:47" ht="25.5">
      <c r="A44" s="3060"/>
      <c r="B44" s="4261" t="s">
        <v>1061</v>
      </c>
      <c r="C44" s="4244">
        <v>0.04</v>
      </c>
      <c r="D44" s="3074" t="s">
        <v>1062</v>
      </c>
      <c r="E44" s="3047">
        <f>'11.2. ДА за периода'!E44</f>
        <v>0</v>
      </c>
      <c r="F44" s="1325">
        <f>SUMIF('9.Инвестиционна програма'!$B$12:$B$35,$B44,'9.Инвестиционна програма'!G$12:G$35)*$E$6</f>
        <v>0</v>
      </c>
      <c r="G44" s="1321">
        <f>SUMIF('9.Инвестиционна програма'!$B$12:$B$35,$B44,'9.Инвестиционна програма'!H$12:H$35)*$E$6</f>
        <v>0</v>
      </c>
      <c r="H44" s="1321">
        <f>SUMIF('9.Инвестиционна програма'!$B$12:$B$35,$B44,'9.Инвестиционна програма'!I$12:I$35)*$E$6</f>
        <v>0</v>
      </c>
      <c r="I44" s="1321">
        <f>SUMIF('9.Инвестиционна програма'!$B$12:$B$35,$B44,'9.Инвестиционна програма'!J$12:J$35)*$E$6</f>
        <v>0</v>
      </c>
      <c r="J44" s="1321">
        <f>SUMIF('9.Инвестиционна програма'!$B$12:$B$35,$B44,'9.Инвестиционна програма'!K$12:K$35)*$E$6</f>
        <v>0</v>
      </c>
      <c r="K44" s="1326">
        <f>SUMIF('9.Инвестиционна програма'!$B$12:$B$35,$B44,'9.Инвестиционна програма'!L$12:L$35)*$E$6</f>
        <v>0</v>
      </c>
      <c r="L44" s="3047">
        <f>'11.2. ДА за периода'!L44</f>
        <v>0</v>
      </c>
      <c r="M44" s="1329">
        <f>SUMIF('9.Инвестиционна програма'!$B$37:$B$47,$B44,'9.Инвестиционна програма'!G$37:G$47)*$E$6</f>
        <v>0</v>
      </c>
      <c r="N44" s="1323">
        <f>SUMIF('9.Инвестиционна програма'!$B$37:$B$47,$B44,'9.Инвестиционна програма'!H$37:H$47)*$E$6</f>
        <v>0</v>
      </c>
      <c r="O44" s="1323">
        <f>SUMIF('9.Инвестиционна програма'!$B$37:$B$47,$B44,'9.Инвестиционна програма'!I$37:I$47)*$E$6</f>
        <v>0</v>
      </c>
      <c r="P44" s="1323">
        <f>SUMIF('9.Инвестиционна програма'!$B$37:$B$47,$B44,'9.Инвестиционна програма'!J$37:J$47)*$E$6</f>
        <v>0</v>
      </c>
      <c r="Q44" s="1323">
        <f>SUMIF('9.Инвестиционна програма'!$B$37:$B$47,$B44,'9.Инвестиционна програма'!K$37:K$47)*$E$6</f>
        <v>0</v>
      </c>
      <c r="R44" s="1324">
        <f>SUMIF('9.Инвестиционна програма'!$B$37:$B$47,$B44,'9.Инвестиционна програма'!L$37:L$47)*$E$6</f>
        <v>0</v>
      </c>
      <c r="S44" s="1203">
        <f>'11.2. ДА за периода'!S44</f>
        <v>0</v>
      </c>
      <c r="T44" s="994">
        <f>SUMIF('9.Инвестиционна програма'!$B$49:$B$56,$B44,'9.Инвестиционна програма'!G$49:G$56)*$E$6</f>
        <v>0</v>
      </c>
      <c r="U44" s="994">
        <f>SUMIF('9.Инвестиционна програма'!$B$49:$B$56,$B44,'9.Инвестиционна програма'!H$49:H$56)*$E$6</f>
        <v>0</v>
      </c>
      <c r="V44" s="994">
        <f>SUMIF('9.Инвестиционна програма'!$B$49:$B$56,$B44,'9.Инвестиционна програма'!I$49:I$56)*$E$6</f>
        <v>0</v>
      </c>
      <c r="W44" s="994">
        <f>SUMIF('9.Инвестиционна програма'!$B$49:$B$56,$B44,'9.Инвестиционна програма'!J$49:J$56)*$E$6</f>
        <v>0</v>
      </c>
      <c r="X44" s="994">
        <f>SUMIF('9.Инвестиционна програма'!$B$49:$B$56,$B44,'9.Инвестиционна програма'!K$49:K$56)*$E$6</f>
        <v>0</v>
      </c>
      <c r="Y44" s="3048">
        <f>SUMIF('9.Инвестиционна програма'!$B$49:$B$56,$B44,'9.Инвестиционна програма'!L$49:L$56)*$E$6</f>
        <v>0</v>
      </c>
      <c r="Z44" s="1203">
        <f>'11.2. ДА за периода'!Z44</f>
        <v>0</v>
      </c>
      <c r="AA44" s="994">
        <f>SUMIF('9.Инвестиционна програма'!$B$74:$B$97,$B44,'9.Инвестиционна програма'!G$74:G$97)*$E$6</f>
        <v>0</v>
      </c>
      <c r="AB44" s="994">
        <f>SUMIF('9.Инвестиционна програма'!$B$74:$B$97,$B44,'9.Инвестиционна програма'!H$74:H$97)*$E$6</f>
        <v>0</v>
      </c>
      <c r="AC44" s="994">
        <f>SUMIF('9.Инвестиционна програма'!$B$74:$B$97,$B44,'9.Инвестиционна програма'!I$74:I$97)*$E$6</f>
        <v>0</v>
      </c>
      <c r="AD44" s="994">
        <f>SUMIF('9.Инвестиционна програма'!$B$74:$B$97,$B44,'9.Инвестиционна програма'!J$74:J$97)*$E$6</f>
        <v>0</v>
      </c>
      <c r="AE44" s="994">
        <f>SUMIF('9.Инвестиционна програма'!$B$74:$B$97,$B44,'9.Инвестиционна програма'!K$74:K$97)*$E$6</f>
        <v>0</v>
      </c>
      <c r="AF44" s="994">
        <f>SUMIF('9.Инвестиционна програма'!$B$74:$B$97,$B44,'9.Инвестиционна програма'!L$74:L$97)*$E$6</f>
        <v>0</v>
      </c>
      <c r="AG44" s="1203">
        <f>'11.2. ДА за периода'!AG44</f>
        <v>0</v>
      </c>
      <c r="AH44" s="994">
        <f>SUMIF('9.Инвестиционна програма'!$B$100:$B$123,$B44,'9.Инвестиционна програма'!G$100:G$123)*$E$6</f>
        <v>0</v>
      </c>
      <c r="AI44" s="994">
        <f>SUMIF('9.Инвестиционна програма'!$B$100:$B$123,$B44,'9.Инвестиционна програма'!H$100:H$123)*$E$6</f>
        <v>0</v>
      </c>
      <c r="AJ44" s="994">
        <f>SUMIF('9.Инвестиционна програма'!$B$100:$B$123,$B44,'9.Инвестиционна програма'!I$100:I$123)*$E$6</f>
        <v>0</v>
      </c>
      <c r="AK44" s="994">
        <f>SUMIF('9.Инвестиционна програма'!$B$100:$B$123,$B44,'9.Инвестиционна програма'!J$100:J$123)*$E$6</f>
        <v>0</v>
      </c>
      <c r="AL44" s="994">
        <f>SUMIF('9.Инвестиционна програма'!$B$100:$B$123,$B44,'9.Инвестиционна програма'!K$100:K$123)*$E$6</f>
        <v>0</v>
      </c>
      <c r="AM44" s="994">
        <f>SUMIF('9.Инвестиционна програма'!$B$100:$B$123,$B44,'9.Инвестиционна програма'!L$100:L$123)*$E$6</f>
        <v>0</v>
      </c>
      <c r="AN44" s="1203">
        <f>'11.2. ДА за периода'!AN44</f>
        <v>0</v>
      </c>
      <c r="AO44" s="1329">
        <f>(SUMIF('9.Инвестиционна програма'!$B$58:$B$59,$B44,'9.Инвестиционна програма'!G$58:G$59)+SUMIF('9.Инвестиционна програма'!$B$61:$B$71,$B44,'9.Инвестиционна програма'!G$61:G$71))*$E$6</f>
        <v>0</v>
      </c>
      <c r="AP44" s="994">
        <f>(SUMIF('9.Инвестиционна програма'!$B$58:$B$59,$B44,'9.Инвестиционна програма'!H$58:H$59)+SUMIF('9.Инвестиционна програма'!$B$61:$B$71,$B44,'9.Инвестиционна програма'!H$61:H$71))*$E$6</f>
        <v>0</v>
      </c>
      <c r="AQ44" s="994">
        <f>(SUMIF('9.Инвестиционна програма'!$B$58:$B$59,$B44,'9.Инвестиционна програма'!I$58:I$59)+SUMIF('9.Инвестиционна програма'!$B$61:$B$71,$B44,'9.Инвестиционна програма'!I$61:I$71))*$E$6</f>
        <v>0</v>
      </c>
      <c r="AR44" s="994">
        <f>(SUMIF('9.Инвестиционна програма'!$B$58:$B$59,$B44,'9.Инвестиционна програма'!J$58:J$59)+SUMIF('9.Инвестиционна програма'!$B$61:$B$71,$B44,'9.Инвестиционна програма'!J$61:J$71))*$E$6</f>
        <v>0</v>
      </c>
      <c r="AS44" s="994">
        <f>(SUMIF('9.Инвестиционна програма'!$B$58:$B$59,$B44,'9.Инвестиционна програма'!K$58:K$59)+SUMIF('9.Инвестиционна програма'!$B$61:$B$71,$B44,'9.Инвестиционна програма'!K$61:K$71))*$E$6</f>
        <v>0</v>
      </c>
      <c r="AT44" s="3048">
        <f>(SUMIF('9.Инвестиционна програма'!$B$58:$B$59,$B44,'9.Инвестиционна програма'!L$58:L$59)+SUMIF('9.Инвестиционна програма'!$B$61:$B$71,$B44,'9.Инвестиционна програма'!L$61:L$71))*$E$6</f>
        <v>0</v>
      </c>
      <c r="AU44" s="3007"/>
    </row>
    <row r="45" spans="1:47">
      <c r="A45" s="3053">
        <v>5</v>
      </c>
      <c r="B45" s="4258">
        <v>205</v>
      </c>
      <c r="C45" s="4241"/>
      <c r="D45" s="3054" t="s">
        <v>217</v>
      </c>
      <c r="E45" s="3075">
        <f>SUM(E46:E49)</f>
        <v>20.344000000000001</v>
      </c>
      <c r="F45" s="3076">
        <f>SUM(F46:F49)</f>
        <v>102</v>
      </c>
      <c r="G45" s="3077">
        <f>SUM(G46:G49)</f>
        <v>72</v>
      </c>
      <c r="H45" s="3077">
        <f t="shared" ref="H45:K45" si="20">SUM(H46:H49)</f>
        <v>67</v>
      </c>
      <c r="I45" s="3077">
        <f t="shared" si="20"/>
        <v>77.5</v>
      </c>
      <c r="J45" s="3077">
        <f t="shared" si="20"/>
        <v>73</v>
      </c>
      <c r="K45" s="3078">
        <f t="shared" si="20"/>
        <v>93.5</v>
      </c>
      <c r="L45" s="3075">
        <f>SUM(L46:L49)</f>
        <v>72.916000000000011</v>
      </c>
      <c r="M45" s="3056">
        <f>SUM(M46:M49)</f>
        <v>0</v>
      </c>
      <c r="N45" s="3057">
        <f>SUM(N46:N49)</f>
        <v>58</v>
      </c>
      <c r="O45" s="3057">
        <f t="shared" ref="O45:R45" si="21">SUM(O46:O49)</f>
        <v>0</v>
      </c>
      <c r="P45" s="3057">
        <f t="shared" si="21"/>
        <v>66</v>
      </c>
      <c r="Q45" s="3057">
        <f t="shared" si="21"/>
        <v>0</v>
      </c>
      <c r="R45" s="3058">
        <f t="shared" si="21"/>
        <v>26.5</v>
      </c>
      <c r="S45" s="3079">
        <f>SUM(S46:S49)</f>
        <v>1.7909999999999999</v>
      </c>
      <c r="T45" s="3080">
        <f>SUM(T46:T49)</f>
        <v>0</v>
      </c>
      <c r="U45" s="3077">
        <f>SUM(U46:U49)</f>
        <v>0</v>
      </c>
      <c r="V45" s="3077">
        <f t="shared" ref="V45:Y45" si="22">SUM(V46:V49)</f>
        <v>0</v>
      </c>
      <c r="W45" s="3077">
        <f t="shared" si="22"/>
        <v>0</v>
      </c>
      <c r="X45" s="3077">
        <f t="shared" si="22"/>
        <v>0</v>
      </c>
      <c r="Y45" s="3078">
        <f t="shared" si="22"/>
        <v>0</v>
      </c>
      <c r="Z45" s="3079">
        <f>SUM(Z46:Z49)</f>
        <v>7.5999999999999998E-2</v>
      </c>
      <c r="AA45" s="3080">
        <f>SUM(AA46:AA49)</f>
        <v>0</v>
      </c>
      <c r="AB45" s="3077">
        <f>SUM(AB46:AB49)</f>
        <v>0</v>
      </c>
      <c r="AC45" s="3077">
        <f t="shared" ref="AC45:AF45" si="23">SUM(AC46:AC49)</f>
        <v>0</v>
      </c>
      <c r="AD45" s="3077">
        <f t="shared" si="23"/>
        <v>0</v>
      </c>
      <c r="AE45" s="3077">
        <f t="shared" si="23"/>
        <v>0</v>
      </c>
      <c r="AF45" s="3078">
        <f t="shared" si="23"/>
        <v>0</v>
      </c>
      <c r="AG45" s="3079">
        <f>SUM(AG46:AG49)</f>
        <v>0</v>
      </c>
      <c r="AH45" s="3080">
        <f>SUM(AH46:AH49)</f>
        <v>0</v>
      </c>
      <c r="AI45" s="3077">
        <f>SUM(AI46:AI49)</f>
        <v>0</v>
      </c>
      <c r="AJ45" s="3077">
        <f t="shared" ref="AJ45:AM45" si="24">SUM(AJ46:AJ49)</f>
        <v>0</v>
      </c>
      <c r="AK45" s="3077">
        <f t="shared" si="24"/>
        <v>0</v>
      </c>
      <c r="AL45" s="3077">
        <f t="shared" si="24"/>
        <v>0</v>
      </c>
      <c r="AM45" s="3078">
        <f t="shared" si="24"/>
        <v>0</v>
      </c>
      <c r="AN45" s="3079">
        <f>SUM(AN46:AN49)</f>
        <v>0</v>
      </c>
      <c r="AO45" s="3059">
        <f>SUM(AO46:AO49)</f>
        <v>74</v>
      </c>
      <c r="AP45" s="3057">
        <f>SUM(AP46:AP49)</f>
        <v>8</v>
      </c>
      <c r="AQ45" s="3057">
        <f t="shared" ref="AQ45:AT45" si="25">SUM(AQ46:AQ49)</f>
        <v>8</v>
      </c>
      <c r="AR45" s="3057">
        <f t="shared" si="25"/>
        <v>8</v>
      </c>
      <c r="AS45" s="3057">
        <f t="shared" si="25"/>
        <v>13</v>
      </c>
      <c r="AT45" s="3058">
        <f t="shared" si="25"/>
        <v>11</v>
      </c>
      <c r="AU45" s="3007"/>
    </row>
    <row r="46" spans="1:47">
      <c r="A46" s="3081"/>
      <c r="B46" s="4262">
        <v>20501</v>
      </c>
      <c r="C46" s="4245">
        <v>0.08</v>
      </c>
      <c r="D46" s="3082" t="s">
        <v>569</v>
      </c>
      <c r="E46" s="3047">
        <f>'11.2. ДА за периода'!E46</f>
        <v>0</v>
      </c>
      <c r="F46" s="1325">
        <f>SUMIF('9.Инвестиционна програма'!$B$12:$B$35,$B46,'9.Инвестиционна програма'!G$12:G$35)*$E$6</f>
        <v>97</v>
      </c>
      <c r="G46" s="1321">
        <f>SUMIF('9.Инвестиционна програма'!$B$12:$B$35,$B46,'9.Инвестиционна програма'!H$12:H$35)*$E$6</f>
        <v>40</v>
      </c>
      <c r="H46" s="1321">
        <f>SUMIF('9.Инвестиционна програма'!$B$12:$B$35,$B46,'9.Инвестиционна програма'!I$12:I$35)*$E$6</f>
        <v>40</v>
      </c>
      <c r="I46" s="1321">
        <f>SUMIF('9.Инвестиционна програма'!$B$12:$B$35,$B46,'9.Инвестиционна програма'!J$12:J$35)*$E$6</f>
        <v>37.5</v>
      </c>
      <c r="J46" s="1321">
        <f>SUMIF('9.Инвестиционна програма'!$B$12:$B$35,$B46,'9.Инвестиционна програма'!K$12:K$35)*$E$6</f>
        <v>17</v>
      </c>
      <c r="K46" s="1326">
        <f>SUMIF('9.Инвестиционна програма'!$B$12:$B$35,$B46,'9.Инвестиционна програма'!L$12:L$35)*$E$6</f>
        <v>39</v>
      </c>
      <c r="L46" s="3047">
        <f>'11.2. ДА за периода'!L46</f>
        <v>0</v>
      </c>
      <c r="M46" s="1329">
        <f>SUMIF('9.Инвестиционна програма'!$B$37:$B$47,$B46,'9.Инвестиционна програма'!G$37:G$47)*$E$6</f>
        <v>0</v>
      </c>
      <c r="N46" s="1323">
        <f>SUMIF('9.Инвестиционна програма'!$B$37:$B$47,$B46,'9.Инвестиционна програма'!H$37:H$47)*$E$6</f>
        <v>52</v>
      </c>
      <c r="O46" s="1323">
        <f>SUMIF('9.Инвестиционна програма'!$B$37:$B$47,$B46,'9.Инвестиционна програма'!I$37:I$47)*$E$6</f>
        <v>0</v>
      </c>
      <c r="P46" s="1323">
        <f>SUMIF('9.Инвестиционна програма'!$B$37:$B$47,$B46,'9.Инвестиционна програма'!J$37:J$47)*$E$6</f>
        <v>66</v>
      </c>
      <c r="Q46" s="1323">
        <f>SUMIF('9.Инвестиционна програма'!$B$37:$B$47,$B46,'9.Инвестиционна програма'!K$37:K$47)*$E$6</f>
        <v>0</v>
      </c>
      <c r="R46" s="1324">
        <f>SUMIF('9.Инвестиционна програма'!$B$37:$B$47,$B46,'9.Инвестиционна програма'!L$37:L$47)*$E$6</f>
        <v>0</v>
      </c>
      <c r="S46" s="1203">
        <f>'11.2. ДА за периода'!S46</f>
        <v>0</v>
      </c>
      <c r="T46" s="994">
        <f>SUMIF('9.Инвестиционна програма'!$B$49:$B$56,$B46,'9.Инвестиционна програма'!G$49:G$56)*$E$6</f>
        <v>0</v>
      </c>
      <c r="U46" s="994">
        <f>SUMIF('9.Инвестиционна програма'!$B$49:$B$56,$B46,'9.Инвестиционна програма'!H$49:H$56)*$E$6</f>
        <v>0</v>
      </c>
      <c r="V46" s="994">
        <f>SUMIF('9.Инвестиционна програма'!$B$49:$B$56,$B46,'9.Инвестиционна програма'!I$49:I$56)*$E$6</f>
        <v>0</v>
      </c>
      <c r="W46" s="994">
        <f>SUMIF('9.Инвестиционна програма'!$B$49:$B$56,$B46,'9.Инвестиционна програма'!J$49:J$56)*$E$6</f>
        <v>0</v>
      </c>
      <c r="X46" s="994">
        <f>SUMIF('9.Инвестиционна програма'!$B$49:$B$56,$B46,'9.Инвестиционна програма'!K$49:K$56)*$E$6</f>
        <v>0</v>
      </c>
      <c r="Y46" s="3048">
        <f>SUMIF('9.Инвестиционна програма'!$B$49:$B$56,$B46,'9.Инвестиционна програма'!L$49:L$56)*$E$6</f>
        <v>0</v>
      </c>
      <c r="Z46" s="1203">
        <f>'11.2. ДА за периода'!Z46</f>
        <v>0</v>
      </c>
      <c r="AA46" s="994">
        <f>SUMIF('9.Инвестиционна програма'!$B$74:$B$97,$B46,'9.Инвестиционна програма'!G$74:G$97)*$E$6</f>
        <v>0</v>
      </c>
      <c r="AB46" s="994">
        <f>SUMIF('9.Инвестиционна програма'!$B$74:$B$97,$B46,'9.Инвестиционна програма'!H$74:H$97)*$E$6</f>
        <v>0</v>
      </c>
      <c r="AC46" s="994">
        <f>SUMIF('9.Инвестиционна програма'!$B$74:$B$97,$B46,'9.Инвестиционна програма'!I$74:I$97)*$E$6</f>
        <v>0</v>
      </c>
      <c r="AD46" s="994">
        <f>SUMIF('9.Инвестиционна програма'!$B$74:$B$97,$B46,'9.Инвестиционна програма'!J$74:J$97)*$E$6</f>
        <v>0</v>
      </c>
      <c r="AE46" s="994">
        <f>SUMIF('9.Инвестиционна програма'!$B$74:$B$97,$B46,'9.Инвестиционна програма'!K$74:K$97)*$E$6</f>
        <v>0</v>
      </c>
      <c r="AF46" s="994">
        <f>SUMIF('9.Инвестиционна програма'!$B$74:$B$97,$B46,'9.Инвестиционна програма'!L$74:L$97)*$E$6</f>
        <v>0</v>
      </c>
      <c r="AG46" s="1203">
        <f>'11.2. ДА за периода'!AG46</f>
        <v>0</v>
      </c>
      <c r="AH46" s="994">
        <f>SUMIF('9.Инвестиционна програма'!$B$100:$B$123,$B46,'9.Инвестиционна програма'!G$100:G$123)*$E$6</f>
        <v>0</v>
      </c>
      <c r="AI46" s="994">
        <f>SUMIF('9.Инвестиционна програма'!$B$100:$B$123,$B46,'9.Инвестиционна програма'!H$100:H$123)*$E$6</f>
        <v>0</v>
      </c>
      <c r="AJ46" s="994">
        <f>SUMIF('9.Инвестиционна програма'!$B$100:$B$123,$B46,'9.Инвестиционна програма'!I$100:I$123)*$E$6</f>
        <v>0</v>
      </c>
      <c r="AK46" s="994">
        <f>SUMIF('9.Инвестиционна програма'!$B$100:$B$123,$B46,'9.Инвестиционна програма'!J$100:J$123)*$E$6</f>
        <v>0</v>
      </c>
      <c r="AL46" s="994">
        <f>SUMIF('9.Инвестиционна програма'!$B$100:$B$123,$B46,'9.Инвестиционна програма'!K$100:K$123)*$E$6</f>
        <v>0</v>
      </c>
      <c r="AM46" s="994">
        <f>SUMIF('9.Инвестиционна програма'!$B$100:$B$123,$B46,'9.Инвестиционна програма'!L$100:L$123)*$E$6</f>
        <v>0</v>
      </c>
      <c r="AN46" s="1203">
        <f>'11.2. ДА за периода'!AN46</f>
        <v>0</v>
      </c>
      <c r="AO46" s="1329">
        <f>(SUMIF('9.Инвестиционна програма'!$B$58:$B$59,$B46,'9.Инвестиционна програма'!G$58:G$59)+SUMIF('9.Инвестиционна програма'!$B$61:$B$71,$B46,'9.Инвестиционна програма'!G$61:G$71))*$E$6</f>
        <v>67</v>
      </c>
      <c r="AP46" s="994">
        <f>(SUMIF('9.Инвестиционна програма'!$B$58:$B$59,$B46,'9.Инвестиционна програма'!H$58:H$59)+SUMIF('9.Инвестиционна програма'!$B$61:$B$71,$B46,'9.Инвестиционна програма'!H$61:H$71))*$E$6</f>
        <v>0</v>
      </c>
      <c r="AQ46" s="994">
        <f>(SUMIF('9.Инвестиционна програма'!$B$58:$B$59,$B46,'9.Инвестиционна програма'!I$58:I$59)+SUMIF('9.Инвестиционна програма'!$B$61:$B$71,$B46,'9.Инвестиционна програма'!I$61:I$71))*$E$6</f>
        <v>0</v>
      </c>
      <c r="AR46" s="994">
        <f>(SUMIF('9.Инвестиционна програма'!$B$58:$B$59,$B46,'9.Инвестиционна програма'!J$58:J$59)+SUMIF('9.Инвестиционна програма'!$B$61:$B$71,$B46,'9.Инвестиционна програма'!J$61:J$71))*$E$6</f>
        <v>0</v>
      </c>
      <c r="AS46" s="994">
        <f>(SUMIF('9.Инвестиционна програма'!$B$58:$B$59,$B46,'9.Инвестиционна програма'!K$58:K$59)+SUMIF('9.Инвестиционна програма'!$B$61:$B$71,$B46,'9.Инвестиционна програма'!K$61:K$71))*$E$6</f>
        <v>0</v>
      </c>
      <c r="AT46" s="3048">
        <f>(SUMIF('9.Инвестиционна програма'!$B$58:$B$59,$B46,'9.Инвестиционна програма'!L$58:L$59)+SUMIF('9.Инвестиционна програма'!$B$61:$B$71,$B46,'9.Инвестиционна програма'!L$61:L$71))*$E$6</f>
        <v>0</v>
      </c>
      <c r="AU46" s="3006"/>
    </row>
    <row r="47" spans="1:47">
      <c r="A47" s="3081"/>
      <c r="B47" s="4262">
        <v>20502</v>
      </c>
      <c r="C47" s="4245">
        <v>0.1</v>
      </c>
      <c r="D47" s="3082" t="s">
        <v>416</v>
      </c>
      <c r="E47" s="3047">
        <f>'11.2. ДА за периода'!E47</f>
        <v>11.71</v>
      </c>
      <c r="F47" s="1325">
        <f>SUMIF('9.Инвестиционна програма'!$B$12:$B$35,$B47,'9.Инвестиционна програма'!G$12:G$35)*$E$6</f>
        <v>5</v>
      </c>
      <c r="G47" s="1321">
        <f>SUMIF('9.Инвестиционна програма'!$B$12:$B$35,$B47,'9.Инвестиционна програма'!H$12:H$35)*$E$6</f>
        <v>20</v>
      </c>
      <c r="H47" s="1321">
        <f>SUMIF('9.Инвестиционна програма'!$B$12:$B$35,$B47,'9.Инвестиционна програма'!I$12:I$35)*$E$6</f>
        <v>16</v>
      </c>
      <c r="I47" s="1321">
        <f>SUMIF('9.Инвестиционна програма'!$B$12:$B$35,$B47,'9.Инвестиционна програма'!J$12:J$35)*$E$6</f>
        <v>24</v>
      </c>
      <c r="J47" s="1321">
        <f>SUMIF('9.Инвестиционна програма'!$B$12:$B$35,$B47,'9.Инвестиционна програма'!K$12:K$35)*$E$6</f>
        <v>28</v>
      </c>
      <c r="K47" s="1326">
        <f>SUMIF('9.Инвестиционна програма'!$B$12:$B$35,$B47,'9.Инвестиционна програма'!L$12:L$35)*$E$6</f>
        <v>28.5</v>
      </c>
      <c r="L47" s="3047">
        <f>'11.2. ДА за периода'!L47</f>
        <v>0</v>
      </c>
      <c r="M47" s="1329">
        <f>SUMIF('9.Инвестиционна програма'!$B$37:$B$47,$B47,'9.Инвестиционна програма'!G$37:G$47)*$E$6</f>
        <v>0</v>
      </c>
      <c r="N47" s="1323">
        <f>SUMIF('9.Инвестиционна програма'!$B$37:$B$47,$B47,'9.Инвестиционна програма'!H$37:H$47)*$E$6</f>
        <v>6</v>
      </c>
      <c r="O47" s="1323">
        <f>SUMIF('9.Инвестиционна програма'!$B$37:$B$47,$B47,'9.Инвестиционна програма'!I$37:I$47)*$E$6</f>
        <v>0</v>
      </c>
      <c r="P47" s="1323">
        <f>SUMIF('9.Инвестиционна програма'!$B$37:$B$47,$B47,'9.Инвестиционна програма'!J$37:J$47)*$E$6</f>
        <v>0</v>
      </c>
      <c r="Q47" s="1323">
        <f>SUMIF('9.Инвестиционна програма'!$B$37:$B$47,$B47,'9.Инвестиционна програма'!K$37:K$47)*$E$6</f>
        <v>0</v>
      </c>
      <c r="R47" s="1324">
        <f>SUMIF('9.Инвестиционна програма'!$B$37:$B$47,$B47,'9.Инвестиционна програма'!L$37:L$47)*$E$6</f>
        <v>26.5</v>
      </c>
      <c r="S47" s="1203">
        <f>'11.2. ДА за периода'!S47</f>
        <v>0</v>
      </c>
      <c r="T47" s="994">
        <f>SUMIF('9.Инвестиционна програма'!$B$49:$B$56,$B47,'9.Инвестиционна програма'!G$49:G$56)*$E$6</f>
        <v>0</v>
      </c>
      <c r="U47" s="994">
        <f>SUMIF('9.Инвестиционна програма'!$B$49:$B$56,$B47,'9.Инвестиционна програма'!H$49:H$56)*$E$6</f>
        <v>0</v>
      </c>
      <c r="V47" s="994">
        <f>SUMIF('9.Инвестиционна програма'!$B$49:$B$56,$B47,'9.Инвестиционна програма'!I$49:I$56)*$E$6</f>
        <v>0</v>
      </c>
      <c r="W47" s="994">
        <f>SUMIF('9.Инвестиционна програма'!$B$49:$B$56,$B47,'9.Инвестиционна програма'!J$49:J$56)*$E$6</f>
        <v>0</v>
      </c>
      <c r="X47" s="994">
        <f>SUMIF('9.Инвестиционна програма'!$B$49:$B$56,$B47,'9.Инвестиционна програма'!K$49:K$56)*$E$6</f>
        <v>0</v>
      </c>
      <c r="Y47" s="3048">
        <f>SUMIF('9.Инвестиционна програма'!$B$49:$B$56,$B47,'9.Инвестиционна програма'!L$49:L$56)*$E$6</f>
        <v>0</v>
      </c>
      <c r="Z47" s="1203">
        <f>'11.2. ДА за периода'!Z47</f>
        <v>0</v>
      </c>
      <c r="AA47" s="994">
        <f>SUMIF('9.Инвестиционна програма'!$B$74:$B$97,$B47,'9.Инвестиционна програма'!G$74:G$97)*$E$6</f>
        <v>0</v>
      </c>
      <c r="AB47" s="994">
        <f>SUMIF('9.Инвестиционна програма'!$B$74:$B$97,$B47,'9.Инвестиционна програма'!H$74:H$97)*$E$6</f>
        <v>0</v>
      </c>
      <c r="AC47" s="994">
        <f>SUMIF('9.Инвестиционна програма'!$B$74:$B$97,$B47,'9.Инвестиционна програма'!I$74:I$97)*$E$6</f>
        <v>0</v>
      </c>
      <c r="AD47" s="994">
        <f>SUMIF('9.Инвестиционна програма'!$B$74:$B$97,$B47,'9.Инвестиционна програма'!J$74:J$97)*$E$6</f>
        <v>0</v>
      </c>
      <c r="AE47" s="994">
        <f>SUMIF('9.Инвестиционна програма'!$B$74:$B$97,$B47,'9.Инвестиционна програма'!K$74:K$97)*$E$6</f>
        <v>0</v>
      </c>
      <c r="AF47" s="994">
        <f>SUMIF('9.Инвестиционна програма'!$B$74:$B$97,$B47,'9.Инвестиционна програма'!L$74:L$97)*$E$6</f>
        <v>0</v>
      </c>
      <c r="AG47" s="1203">
        <f>'11.2. ДА за периода'!AG47</f>
        <v>0</v>
      </c>
      <c r="AH47" s="994">
        <f>SUMIF('9.Инвестиционна програма'!$B$100:$B$123,$B47,'9.Инвестиционна програма'!G$100:G$123)*$E$6</f>
        <v>0</v>
      </c>
      <c r="AI47" s="994">
        <f>SUMIF('9.Инвестиционна програма'!$B$100:$B$123,$B47,'9.Инвестиционна програма'!H$100:H$123)*$E$6</f>
        <v>0</v>
      </c>
      <c r="AJ47" s="994">
        <f>SUMIF('9.Инвестиционна програма'!$B$100:$B$123,$B47,'9.Инвестиционна програма'!I$100:I$123)*$E$6</f>
        <v>0</v>
      </c>
      <c r="AK47" s="994">
        <f>SUMIF('9.Инвестиционна програма'!$B$100:$B$123,$B47,'9.Инвестиционна програма'!J$100:J$123)*$E$6</f>
        <v>0</v>
      </c>
      <c r="AL47" s="994">
        <f>SUMIF('9.Инвестиционна програма'!$B$100:$B$123,$B47,'9.Инвестиционна програма'!K$100:K$123)*$E$6</f>
        <v>0</v>
      </c>
      <c r="AM47" s="994">
        <f>SUMIF('9.Инвестиционна програма'!$B$100:$B$123,$B47,'9.Инвестиционна програма'!L$100:L$123)*$E$6</f>
        <v>0</v>
      </c>
      <c r="AN47" s="1203">
        <f>'11.2. ДА за периода'!AN47</f>
        <v>0</v>
      </c>
      <c r="AO47" s="1329">
        <f>(SUMIF('9.Инвестиционна програма'!$B$58:$B$59,$B47,'9.Инвестиционна програма'!G$58:G$59)+SUMIF('9.Инвестиционна програма'!$B$61:$B$71,$B47,'9.Инвестиционна програма'!G$61:G$71))*$E$6</f>
        <v>7</v>
      </c>
      <c r="AP47" s="994">
        <f>(SUMIF('9.Инвестиционна програма'!$B$58:$B$59,$B47,'9.Инвестиционна програма'!H$58:H$59)+SUMIF('9.Инвестиционна програма'!$B$61:$B$71,$B47,'9.Инвестиционна програма'!H$61:H$71))*$E$6</f>
        <v>4</v>
      </c>
      <c r="AQ47" s="994">
        <f>(SUMIF('9.Инвестиционна програма'!$B$58:$B$59,$B47,'9.Инвестиционна програма'!I$58:I$59)+SUMIF('9.Инвестиционна програма'!$B$61:$B$71,$B47,'9.Инвестиционна програма'!I$61:I$71))*$E$6</f>
        <v>4</v>
      </c>
      <c r="AR47" s="994">
        <f>(SUMIF('9.Инвестиционна програма'!$B$58:$B$59,$B47,'9.Инвестиционна програма'!J$58:J$59)+SUMIF('9.Инвестиционна програма'!$B$61:$B$71,$B47,'9.Инвестиционна програма'!J$61:J$71))*$E$6</f>
        <v>4</v>
      </c>
      <c r="AS47" s="994">
        <f>(SUMIF('9.Инвестиционна програма'!$B$58:$B$59,$B47,'9.Инвестиционна програма'!K$58:K$59)+SUMIF('9.Инвестиционна програма'!$B$61:$B$71,$B47,'9.Инвестиционна програма'!K$61:K$71))*$E$6</f>
        <v>8</v>
      </c>
      <c r="AT47" s="3048">
        <f>(SUMIF('9.Инвестиционна програма'!$B$58:$B$59,$B47,'9.Инвестиционна програма'!L$58:L$59)+SUMIF('9.Инвестиционна програма'!$B$61:$B$71,$B47,'9.Инвестиционна програма'!L$61:L$71))*$E$6</f>
        <v>6</v>
      </c>
      <c r="AU47" s="3006"/>
    </row>
    <row r="48" spans="1:47">
      <c r="A48" s="3081"/>
      <c r="B48" s="4262">
        <v>20503</v>
      </c>
      <c r="C48" s="4245">
        <v>0.1</v>
      </c>
      <c r="D48" s="3064" t="s">
        <v>417</v>
      </c>
      <c r="E48" s="3047">
        <f>'11.2. ДА за периода'!E48</f>
        <v>8.6340000000000003</v>
      </c>
      <c r="F48" s="1325">
        <f>SUMIF('9.Инвестиционна програма'!$B$12:$B$35,$B48,'9.Инвестиционна програма'!G$12:G$35)*$E$6</f>
        <v>0</v>
      </c>
      <c r="G48" s="1321">
        <f>SUMIF('9.Инвестиционна програма'!$B$12:$B$35,$B48,'9.Инвестиционна програма'!H$12:H$35)*$E$6</f>
        <v>12</v>
      </c>
      <c r="H48" s="1321">
        <f>SUMIF('9.Инвестиционна програма'!$B$12:$B$35,$B48,'9.Инвестиционна програма'!I$12:I$35)*$E$6</f>
        <v>11</v>
      </c>
      <c r="I48" s="1321">
        <f>SUMIF('9.Инвестиционна програма'!$B$12:$B$35,$B48,'9.Инвестиционна програма'!J$12:J$35)*$E$6</f>
        <v>16</v>
      </c>
      <c r="J48" s="1321">
        <f>SUMIF('9.Инвестиционна програма'!$B$12:$B$35,$B48,'9.Инвестиционна програма'!K$12:K$35)*$E$6</f>
        <v>28</v>
      </c>
      <c r="K48" s="1326">
        <f>SUMIF('9.Инвестиционна програма'!$B$12:$B$35,$B48,'9.Инвестиционна програма'!L$12:L$35)*$E$6</f>
        <v>26</v>
      </c>
      <c r="L48" s="3047">
        <f>'11.2. ДА за периода'!L48</f>
        <v>4.016</v>
      </c>
      <c r="M48" s="1329">
        <f>SUMIF('9.Инвестиционна програма'!$B$37:$B$47,$B48,'9.Инвестиционна програма'!G$37:G$47)*$E$6</f>
        <v>0</v>
      </c>
      <c r="N48" s="1323">
        <f>SUMIF('9.Инвестиционна програма'!$B$37:$B$47,$B48,'9.Инвестиционна програма'!H$37:H$47)*$E$6</f>
        <v>0</v>
      </c>
      <c r="O48" s="1323">
        <f>SUMIF('9.Инвестиционна програма'!$B$37:$B$47,$B48,'9.Инвестиционна програма'!I$37:I$47)*$E$6</f>
        <v>0</v>
      </c>
      <c r="P48" s="1323">
        <f>SUMIF('9.Инвестиционна програма'!$B$37:$B$47,$B48,'9.Инвестиционна програма'!J$37:J$47)*$E$6</f>
        <v>0</v>
      </c>
      <c r="Q48" s="1323">
        <f>SUMIF('9.Инвестиционна програма'!$B$37:$B$47,$B48,'9.Инвестиционна програма'!K$37:K$47)*$E$6</f>
        <v>0</v>
      </c>
      <c r="R48" s="1324">
        <f>SUMIF('9.Инвестиционна програма'!$B$37:$B$47,$B48,'9.Инвестиционна програма'!L$37:L$47)*$E$6</f>
        <v>0</v>
      </c>
      <c r="S48" s="1203">
        <f>'11.2. ДА за периода'!S48</f>
        <v>1.7909999999999999</v>
      </c>
      <c r="T48" s="994">
        <f>SUMIF('9.Инвестиционна програма'!$B$49:$B$56,$B48,'9.Инвестиционна програма'!G$49:G$56)*$E$6</f>
        <v>0</v>
      </c>
      <c r="U48" s="994">
        <f>SUMIF('9.Инвестиционна програма'!$B$49:$B$56,$B48,'9.Инвестиционна програма'!H$49:H$56)*$E$6</f>
        <v>0</v>
      </c>
      <c r="V48" s="994">
        <f>SUMIF('9.Инвестиционна програма'!$B$49:$B$56,$B48,'9.Инвестиционна програма'!I$49:I$56)*$E$6</f>
        <v>0</v>
      </c>
      <c r="W48" s="994">
        <f>SUMIF('9.Инвестиционна програма'!$B$49:$B$56,$B48,'9.Инвестиционна програма'!J$49:J$56)*$E$6</f>
        <v>0</v>
      </c>
      <c r="X48" s="994">
        <f>SUMIF('9.Инвестиционна програма'!$B$49:$B$56,$B48,'9.Инвестиционна програма'!K$49:K$56)*$E$6</f>
        <v>0</v>
      </c>
      <c r="Y48" s="3048">
        <f>SUMIF('9.Инвестиционна програма'!$B$49:$B$56,$B48,'9.Инвестиционна програма'!L$49:L$56)*$E$6</f>
        <v>0</v>
      </c>
      <c r="Z48" s="1203">
        <f>'11.2. ДА за периода'!Z48</f>
        <v>7.5999999999999998E-2</v>
      </c>
      <c r="AA48" s="994">
        <f>SUMIF('9.Инвестиционна програма'!$B$74:$B$97,$B48,'9.Инвестиционна програма'!G$74:G$97)*$E$6</f>
        <v>0</v>
      </c>
      <c r="AB48" s="994">
        <f>SUMIF('9.Инвестиционна програма'!$B$74:$B$97,$B48,'9.Инвестиционна програма'!H$74:H$97)*$E$6</f>
        <v>0</v>
      </c>
      <c r="AC48" s="994">
        <f>SUMIF('9.Инвестиционна програма'!$B$74:$B$97,$B48,'9.Инвестиционна програма'!I$74:I$97)*$E$6</f>
        <v>0</v>
      </c>
      <c r="AD48" s="994">
        <f>SUMIF('9.Инвестиционна програма'!$B$74:$B$97,$B48,'9.Инвестиционна програма'!J$74:J$97)*$E$6</f>
        <v>0</v>
      </c>
      <c r="AE48" s="994">
        <f>SUMIF('9.Инвестиционна програма'!$B$74:$B$97,$B48,'9.Инвестиционна програма'!K$74:K$97)*$E$6</f>
        <v>0</v>
      </c>
      <c r="AF48" s="994">
        <f>SUMIF('9.Инвестиционна програма'!$B$74:$B$97,$B48,'9.Инвестиционна програма'!L$74:L$97)*$E$6</f>
        <v>0</v>
      </c>
      <c r="AG48" s="1203">
        <f>'11.2. ДА за периода'!AG48</f>
        <v>0</v>
      </c>
      <c r="AH48" s="994">
        <f>SUMIF('9.Инвестиционна програма'!$B$100:$B$123,$B48,'9.Инвестиционна програма'!G$100:G$123)*$E$6</f>
        <v>0</v>
      </c>
      <c r="AI48" s="994">
        <f>SUMIF('9.Инвестиционна програма'!$B$100:$B$123,$B48,'9.Инвестиционна програма'!H$100:H$123)*$E$6</f>
        <v>0</v>
      </c>
      <c r="AJ48" s="994">
        <f>SUMIF('9.Инвестиционна програма'!$B$100:$B$123,$B48,'9.Инвестиционна програма'!I$100:I$123)*$E$6</f>
        <v>0</v>
      </c>
      <c r="AK48" s="994">
        <f>SUMIF('9.Инвестиционна програма'!$B$100:$B$123,$B48,'9.Инвестиционна програма'!J$100:J$123)*$E$6</f>
        <v>0</v>
      </c>
      <c r="AL48" s="994">
        <f>SUMIF('9.Инвестиционна програма'!$B$100:$B$123,$B48,'9.Инвестиционна програма'!K$100:K$123)*$E$6</f>
        <v>0</v>
      </c>
      <c r="AM48" s="994">
        <f>SUMIF('9.Инвестиционна програма'!$B$100:$B$123,$B48,'9.Инвестиционна програма'!L$100:L$123)*$E$6</f>
        <v>0</v>
      </c>
      <c r="AN48" s="1203">
        <f>'11.2. ДА за периода'!AN48</f>
        <v>0</v>
      </c>
      <c r="AO48" s="1329">
        <f>(SUMIF('9.Инвестиционна програма'!$B$58:$B$59,$B48,'9.Инвестиционна програма'!G$58:G$59)+SUMIF('9.Инвестиционна програма'!$B$61:$B$71,$B48,'9.Инвестиционна програма'!G$61:G$71))*$E$6</f>
        <v>0</v>
      </c>
      <c r="AP48" s="994">
        <f>(SUMIF('9.Инвестиционна програма'!$B$58:$B$59,$B48,'9.Инвестиционна програма'!H$58:H$59)+SUMIF('9.Инвестиционна програма'!$B$61:$B$71,$B48,'9.Инвестиционна програма'!H$61:H$71))*$E$6</f>
        <v>4</v>
      </c>
      <c r="AQ48" s="994">
        <f>(SUMIF('9.Инвестиционна програма'!$B$58:$B$59,$B48,'9.Инвестиционна програма'!I$58:I$59)+SUMIF('9.Инвестиционна програма'!$B$61:$B$71,$B48,'9.Инвестиционна програма'!I$61:I$71))*$E$6</f>
        <v>4</v>
      </c>
      <c r="AR48" s="994">
        <f>(SUMIF('9.Инвестиционна програма'!$B$58:$B$59,$B48,'9.Инвестиционна програма'!J$58:J$59)+SUMIF('9.Инвестиционна програма'!$B$61:$B$71,$B48,'9.Инвестиционна програма'!J$61:J$71))*$E$6</f>
        <v>4</v>
      </c>
      <c r="AS48" s="994">
        <f>(SUMIF('9.Инвестиционна програма'!$B$58:$B$59,$B48,'9.Инвестиционна програма'!K$58:K$59)+SUMIF('9.Инвестиционна програма'!$B$61:$B$71,$B48,'9.Инвестиционна програма'!K$61:K$71))*$E$6</f>
        <v>5</v>
      </c>
      <c r="AT48" s="3048">
        <f>(SUMIF('9.Инвестиционна програма'!$B$58:$B$59,$B48,'9.Инвестиционна програма'!L$58:L$59)+SUMIF('9.Инвестиционна програма'!$B$61:$B$71,$B48,'9.Инвестиционна програма'!L$61:L$71))*$E$6</f>
        <v>5</v>
      </c>
      <c r="AU48" s="3006"/>
    </row>
    <row r="49" spans="1:47">
      <c r="A49" s="3081"/>
      <c r="B49" s="4262">
        <v>20504</v>
      </c>
      <c r="C49" s="4245">
        <v>0.1</v>
      </c>
      <c r="D49" s="3064" t="s">
        <v>563</v>
      </c>
      <c r="E49" s="3047">
        <f>'11.2. ДА за периода'!E49</f>
        <v>0</v>
      </c>
      <c r="F49" s="1325">
        <f>SUMIF('9.Инвестиционна програма'!$B$12:$B$35,$B49,'9.Инвестиционна програма'!G$12:G$35)*$E$6</f>
        <v>0</v>
      </c>
      <c r="G49" s="1321">
        <f>SUMIF('9.Инвестиционна програма'!$B$12:$B$35,$B49,'9.Инвестиционна програма'!H$12:H$35)*$E$6</f>
        <v>0</v>
      </c>
      <c r="H49" s="1321">
        <f>SUMIF('9.Инвестиционна програма'!$B$12:$B$35,$B49,'9.Инвестиционна програма'!I$12:I$35)*$E$6</f>
        <v>0</v>
      </c>
      <c r="I49" s="1321">
        <f>SUMIF('9.Инвестиционна програма'!$B$12:$B$35,$B49,'9.Инвестиционна програма'!J$12:J$35)*$E$6</f>
        <v>0</v>
      </c>
      <c r="J49" s="1321">
        <f>SUMIF('9.Инвестиционна програма'!$B$12:$B$35,$B49,'9.Инвестиционна програма'!K$12:K$35)*$E$6</f>
        <v>0</v>
      </c>
      <c r="K49" s="1326">
        <f>SUMIF('9.Инвестиционна програма'!$B$12:$B$35,$B49,'9.Инвестиционна програма'!L$12:L$35)*$E$6</f>
        <v>0</v>
      </c>
      <c r="L49" s="3047">
        <f>'11.2. ДА за периода'!L49</f>
        <v>68.900000000000006</v>
      </c>
      <c r="M49" s="1329">
        <f>SUMIF('9.Инвестиционна програма'!$B$37:$B$47,$B49,'9.Инвестиционна програма'!G$37:G$47)*$E$6</f>
        <v>0</v>
      </c>
      <c r="N49" s="1323">
        <f>SUMIF('9.Инвестиционна програма'!$B$37:$B$47,$B49,'9.Инвестиционна програма'!H$37:H$47)*$E$6</f>
        <v>0</v>
      </c>
      <c r="O49" s="1323">
        <f>SUMIF('9.Инвестиционна програма'!$B$37:$B$47,$B49,'9.Инвестиционна програма'!I$37:I$47)*$E$6</f>
        <v>0</v>
      </c>
      <c r="P49" s="1323">
        <f>SUMIF('9.Инвестиционна програма'!$B$37:$B$47,$B49,'9.Инвестиционна програма'!J$37:J$47)*$E$6</f>
        <v>0</v>
      </c>
      <c r="Q49" s="1323">
        <f>SUMIF('9.Инвестиционна програма'!$B$37:$B$47,$B49,'9.Инвестиционна програма'!K$37:K$47)*$E$6</f>
        <v>0</v>
      </c>
      <c r="R49" s="1324">
        <f>SUMIF('9.Инвестиционна програма'!$B$37:$B$47,$B49,'9.Инвестиционна програма'!L$37:L$47)*$E$6</f>
        <v>0</v>
      </c>
      <c r="S49" s="1203">
        <f>'11.2. ДА за периода'!S49</f>
        <v>0</v>
      </c>
      <c r="T49" s="994">
        <f>SUMIF('9.Инвестиционна програма'!$B$49:$B$56,$B49,'9.Инвестиционна програма'!G$49:G$56)*$E$6</f>
        <v>0</v>
      </c>
      <c r="U49" s="994">
        <f>SUMIF('9.Инвестиционна програма'!$B$49:$B$56,$B49,'9.Инвестиционна програма'!H$49:H$56)*$E$6</f>
        <v>0</v>
      </c>
      <c r="V49" s="994">
        <f>SUMIF('9.Инвестиционна програма'!$B$49:$B$56,$B49,'9.Инвестиционна програма'!I$49:I$56)*$E$6</f>
        <v>0</v>
      </c>
      <c r="W49" s="994">
        <f>SUMIF('9.Инвестиционна програма'!$B$49:$B$56,$B49,'9.Инвестиционна програма'!J$49:J$56)*$E$6</f>
        <v>0</v>
      </c>
      <c r="X49" s="994">
        <f>SUMIF('9.Инвестиционна програма'!$B$49:$B$56,$B49,'9.Инвестиционна програма'!K$49:K$56)*$E$6</f>
        <v>0</v>
      </c>
      <c r="Y49" s="3048">
        <f>SUMIF('9.Инвестиционна програма'!$B$49:$B$56,$B49,'9.Инвестиционна програма'!L$49:L$56)*$E$6</f>
        <v>0</v>
      </c>
      <c r="Z49" s="1203">
        <f>'11.2. ДА за периода'!Z49</f>
        <v>0</v>
      </c>
      <c r="AA49" s="994">
        <f>SUMIF('9.Инвестиционна програма'!$B$74:$B$97,$B49,'9.Инвестиционна програма'!G$74:G$97)*$E$6</f>
        <v>0</v>
      </c>
      <c r="AB49" s="994">
        <f>SUMIF('9.Инвестиционна програма'!$B$74:$B$97,$B49,'9.Инвестиционна програма'!H$74:H$97)*$E$6</f>
        <v>0</v>
      </c>
      <c r="AC49" s="994">
        <f>SUMIF('9.Инвестиционна програма'!$B$74:$B$97,$B49,'9.Инвестиционна програма'!I$74:I$97)*$E$6</f>
        <v>0</v>
      </c>
      <c r="AD49" s="994">
        <f>SUMIF('9.Инвестиционна програма'!$B$74:$B$97,$B49,'9.Инвестиционна програма'!J$74:J$97)*$E$6</f>
        <v>0</v>
      </c>
      <c r="AE49" s="994">
        <f>SUMIF('9.Инвестиционна програма'!$B$74:$B$97,$B49,'9.Инвестиционна програма'!K$74:K$97)*$E$6</f>
        <v>0</v>
      </c>
      <c r="AF49" s="994">
        <f>SUMIF('9.Инвестиционна програма'!$B$74:$B$97,$B49,'9.Инвестиционна програма'!L$74:L$97)*$E$6</f>
        <v>0</v>
      </c>
      <c r="AG49" s="1203">
        <f>'11.2. ДА за периода'!AG49</f>
        <v>0</v>
      </c>
      <c r="AH49" s="994">
        <f>SUMIF('9.Инвестиционна програма'!$B$100:$B$123,$B49,'9.Инвестиционна програма'!G$100:G$123)*$E$6</f>
        <v>0</v>
      </c>
      <c r="AI49" s="994">
        <f>SUMIF('9.Инвестиционна програма'!$B$100:$B$123,$B49,'9.Инвестиционна програма'!H$100:H$123)*$E$6</f>
        <v>0</v>
      </c>
      <c r="AJ49" s="994">
        <f>SUMIF('9.Инвестиционна програма'!$B$100:$B$123,$B49,'9.Инвестиционна програма'!I$100:I$123)*$E$6</f>
        <v>0</v>
      </c>
      <c r="AK49" s="994">
        <f>SUMIF('9.Инвестиционна програма'!$B$100:$B$123,$B49,'9.Инвестиционна програма'!J$100:J$123)*$E$6</f>
        <v>0</v>
      </c>
      <c r="AL49" s="994">
        <f>SUMIF('9.Инвестиционна програма'!$B$100:$B$123,$B49,'9.Инвестиционна програма'!K$100:K$123)*$E$6</f>
        <v>0</v>
      </c>
      <c r="AM49" s="994">
        <f>SUMIF('9.Инвестиционна програма'!$B$100:$B$123,$B49,'9.Инвестиционна програма'!L$100:L$123)*$E$6</f>
        <v>0</v>
      </c>
      <c r="AN49" s="1203">
        <f>'11.2. ДА за периода'!AN49</f>
        <v>0</v>
      </c>
      <c r="AO49" s="1329">
        <f>(SUMIF('9.Инвестиционна програма'!$B$58:$B$59,$B49,'9.Инвестиционна програма'!G$58:G$59)+SUMIF('9.Инвестиционна програма'!$B$61:$B$71,$B49,'9.Инвестиционна програма'!G$61:G$71))*$E$6</f>
        <v>0</v>
      </c>
      <c r="AP49" s="994">
        <f>(SUMIF('9.Инвестиционна програма'!$B$58:$B$59,$B49,'9.Инвестиционна програма'!H$58:H$59)+SUMIF('9.Инвестиционна програма'!$B$61:$B$71,$B49,'9.Инвестиционна програма'!H$61:H$71))*$E$6</f>
        <v>0</v>
      </c>
      <c r="AQ49" s="994">
        <f>(SUMIF('9.Инвестиционна програма'!$B$58:$B$59,$B49,'9.Инвестиционна програма'!I$58:I$59)+SUMIF('9.Инвестиционна програма'!$B$61:$B$71,$B49,'9.Инвестиционна програма'!I$61:I$71))*$E$6</f>
        <v>0</v>
      </c>
      <c r="AR49" s="994">
        <f>(SUMIF('9.Инвестиционна програма'!$B$58:$B$59,$B49,'9.Инвестиционна програма'!J$58:J$59)+SUMIF('9.Инвестиционна програма'!$B$61:$B$71,$B49,'9.Инвестиционна програма'!J$61:J$71))*$E$6</f>
        <v>0</v>
      </c>
      <c r="AS49" s="994">
        <f>(SUMIF('9.Инвестиционна програма'!$B$58:$B$59,$B49,'9.Инвестиционна програма'!K$58:K$59)+SUMIF('9.Инвестиционна програма'!$B$61:$B$71,$B49,'9.Инвестиционна програма'!K$61:K$71))*$E$6</f>
        <v>0</v>
      </c>
      <c r="AT49" s="3048">
        <f>(SUMIF('9.Инвестиционна програма'!$B$58:$B$59,$B49,'9.Инвестиционна програма'!L$58:L$59)+SUMIF('9.Инвестиционна програма'!$B$61:$B$71,$B49,'9.Инвестиционна програма'!L$61:L$71))*$E$6</f>
        <v>0</v>
      </c>
      <c r="AU49" s="3006"/>
    </row>
    <row r="50" spans="1:47">
      <c r="A50" s="3055">
        <v>6</v>
      </c>
      <c r="B50" s="4263">
        <v>206</v>
      </c>
      <c r="C50" s="4246">
        <v>0.1</v>
      </c>
      <c r="D50" s="3072" t="s">
        <v>399</v>
      </c>
      <c r="E50" s="3075">
        <f>SUM(E51:E53)</f>
        <v>11.762</v>
      </c>
      <c r="F50" s="3076">
        <f>SUM(F51:F53)</f>
        <v>0</v>
      </c>
      <c r="G50" s="3077">
        <f>SUM(G51:G53)</f>
        <v>0</v>
      </c>
      <c r="H50" s="3077">
        <f t="shared" ref="H50:AT50" si="26">SUM(H51:H53)</f>
        <v>0</v>
      </c>
      <c r="I50" s="3077">
        <f t="shared" si="26"/>
        <v>0</v>
      </c>
      <c r="J50" s="3077">
        <f t="shared" si="26"/>
        <v>0</v>
      </c>
      <c r="K50" s="3078">
        <f t="shared" si="26"/>
        <v>0</v>
      </c>
      <c r="L50" s="3075">
        <f>SUM(L51:L53)</f>
        <v>2.4240000000000004</v>
      </c>
      <c r="M50" s="3056">
        <f t="shared" si="26"/>
        <v>0</v>
      </c>
      <c r="N50" s="3057">
        <f t="shared" si="26"/>
        <v>0</v>
      </c>
      <c r="O50" s="3057">
        <f t="shared" si="26"/>
        <v>0</v>
      </c>
      <c r="P50" s="3057">
        <f t="shared" si="26"/>
        <v>0</v>
      </c>
      <c r="Q50" s="3057">
        <f t="shared" si="26"/>
        <v>0</v>
      </c>
      <c r="R50" s="3058">
        <f t="shared" si="26"/>
        <v>0</v>
      </c>
      <c r="S50" s="3079">
        <f t="shared" si="26"/>
        <v>1.022</v>
      </c>
      <c r="T50" s="3059">
        <f t="shared" si="26"/>
        <v>0</v>
      </c>
      <c r="U50" s="3057">
        <f t="shared" si="26"/>
        <v>0</v>
      </c>
      <c r="V50" s="3057">
        <f t="shared" si="26"/>
        <v>0</v>
      </c>
      <c r="W50" s="3057">
        <f t="shared" si="26"/>
        <v>0</v>
      </c>
      <c r="X50" s="3057">
        <f t="shared" si="26"/>
        <v>0</v>
      </c>
      <c r="Y50" s="3058">
        <f t="shared" si="26"/>
        <v>0</v>
      </c>
      <c r="Z50" s="3079">
        <f t="shared" si="26"/>
        <v>2.3E-2</v>
      </c>
      <c r="AA50" s="3059">
        <f t="shared" si="26"/>
        <v>0</v>
      </c>
      <c r="AB50" s="3057">
        <f t="shared" si="26"/>
        <v>0</v>
      </c>
      <c r="AC50" s="3057">
        <f t="shared" si="26"/>
        <v>0</v>
      </c>
      <c r="AD50" s="3057">
        <f t="shared" si="26"/>
        <v>0</v>
      </c>
      <c r="AE50" s="3057">
        <f t="shared" si="26"/>
        <v>0</v>
      </c>
      <c r="AF50" s="3058">
        <f t="shared" si="26"/>
        <v>0</v>
      </c>
      <c r="AG50" s="3079">
        <f t="shared" si="26"/>
        <v>0</v>
      </c>
      <c r="AH50" s="3059">
        <f t="shared" si="26"/>
        <v>0</v>
      </c>
      <c r="AI50" s="3057">
        <f t="shared" si="26"/>
        <v>0</v>
      </c>
      <c r="AJ50" s="3057">
        <f t="shared" si="26"/>
        <v>0</v>
      </c>
      <c r="AK50" s="3057">
        <f t="shared" si="26"/>
        <v>0</v>
      </c>
      <c r="AL50" s="3057">
        <f t="shared" si="26"/>
        <v>0</v>
      </c>
      <c r="AM50" s="3058">
        <f t="shared" si="26"/>
        <v>0</v>
      </c>
      <c r="AN50" s="3079">
        <f t="shared" si="26"/>
        <v>0</v>
      </c>
      <c r="AO50" s="3080">
        <f t="shared" si="26"/>
        <v>14</v>
      </c>
      <c r="AP50" s="3077">
        <f t="shared" si="26"/>
        <v>10</v>
      </c>
      <c r="AQ50" s="3077">
        <f t="shared" si="26"/>
        <v>8</v>
      </c>
      <c r="AR50" s="3077">
        <f t="shared" si="26"/>
        <v>15</v>
      </c>
      <c r="AS50" s="3077">
        <f t="shared" si="26"/>
        <v>10</v>
      </c>
      <c r="AT50" s="3078">
        <f t="shared" si="26"/>
        <v>0</v>
      </c>
      <c r="AU50" s="3007"/>
    </row>
    <row r="51" spans="1:47">
      <c r="A51" s="3055"/>
      <c r="B51" s="4262">
        <v>20601</v>
      </c>
      <c r="C51" s="4245">
        <v>0.1</v>
      </c>
      <c r="D51" s="3064" t="s">
        <v>570</v>
      </c>
      <c r="E51" s="3047">
        <f>'11.2. ДА за периода'!E51</f>
        <v>3.91</v>
      </c>
      <c r="F51" s="1325">
        <f>SUMIF('9.Инвестиционна програма'!$B$12:$B$35,$B51,'9.Инвестиционна програма'!G$12:G$35)*$E$6</f>
        <v>0</v>
      </c>
      <c r="G51" s="1321">
        <f>SUMIF('9.Инвестиционна програма'!$B$12:$B$35,$B51,'9.Инвестиционна програма'!H$12:H$35)*$E$6</f>
        <v>0</v>
      </c>
      <c r="H51" s="1321">
        <f>SUMIF('9.Инвестиционна програма'!$B$12:$B$35,$B51,'9.Инвестиционна програма'!I$12:I$35)*$E$6</f>
        <v>0</v>
      </c>
      <c r="I51" s="1321">
        <f>SUMIF('9.Инвестиционна програма'!$B$12:$B$35,$B51,'9.Инвестиционна програма'!J$12:J$35)*$E$6</f>
        <v>0</v>
      </c>
      <c r="J51" s="1321">
        <f>SUMIF('9.Инвестиционна програма'!$B$12:$B$35,$B51,'9.Инвестиционна програма'!K$12:K$35)*$E$6</f>
        <v>0</v>
      </c>
      <c r="K51" s="1326">
        <f>SUMIF('9.Инвестиционна програма'!$B$12:$B$35,$B51,'9.Инвестиционна програма'!L$12:L$35)*$E$6</f>
        <v>0</v>
      </c>
      <c r="L51" s="3047">
        <f>'11.2. ДА за периода'!L51</f>
        <v>0.80500000000000005</v>
      </c>
      <c r="M51" s="1329">
        <f>SUMIF('9.Инвестиционна програма'!$B$37:$B$47,$B51,'9.Инвестиционна програма'!G$37:G$47)*$E$6</f>
        <v>0</v>
      </c>
      <c r="N51" s="1323">
        <f>SUMIF('9.Инвестиционна програма'!$B$37:$B$47,$B51,'9.Инвестиционна програма'!H$37:H$47)*$E$6</f>
        <v>0</v>
      </c>
      <c r="O51" s="1323">
        <f>SUMIF('9.Инвестиционна програма'!$B$37:$B$47,$B51,'9.Инвестиционна програма'!I$37:I$47)*$E$6</f>
        <v>0</v>
      </c>
      <c r="P51" s="1323">
        <f>SUMIF('9.Инвестиционна програма'!$B$37:$B$47,$B51,'9.Инвестиционна програма'!J$37:J$47)*$E$6</f>
        <v>0</v>
      </c>
      <c r="Q51" s="1323">
        <f>SUMIF('9.Инвестиционна програма'!$B$37:$B$47,$B51,'9.Инвестиционна програма'!K$37:K$47)*$E$6</f>
        <v>0</v>
      </c>
      <c r="R51" s="1324">
        <f>SUMIF('9.Инвестиционна програма'!$B$37:$B$47,$B51,'9.Инвестиционна програма'!L$37:L$47)*$E$6</f>
        <v>0</v>
      </c>
      <c r="S51" s="1203">
        <f>'11.2. ДА за периода'!S51</f>
        <v>0.3</v>
      </c>
      <c r="T51" s="994">
        <f>SUMIF('9.Инвестиционна програма'!$B$49:$B$56,$B51,'9.Инвестиционна програма'!G$49:G$56)*$E$6</f>
        <v>0</v>
      </c>
      <c r="U51" s="994">
        <f>SUMIF('9.Инвестиционна програма'!$B$49:$B$56,$B51,'9.Инвестиционна програма'!H$49:H$56)*$E$6</f>
        <v>0</v>
      </c>
      <c r="V51" s="994">
        <f>SUMIF('9.Инвестиционна програма'!$B$49:$B$56,$B51,'9.Инвестиционна програма'!I$49:I$56)*$E$6</f>
        <v>0</v>
      </c>
      <c r="W51" s="994">
        <f>SUMIF('9.Инвестиционна програма'!$B$49:$B$56,$B51,'9.Инвестиционна програма'!J$49:J$56)*$E$6</f>
        <v>0</v>
      </c>
      <c r="X51" s="994">
        <f>SUMIF('9.Инвестиционна програма'!$B$49:$B$56,$B51,'9.Инвестиционна програма'!K$49:K$56)*$E$6</f>
        <v>0</v>
      </c>
      <c r="Y51" s="3048">
        <f>SUMIF('9.Инвестиционна програма'!$B$49:$B$56,$B51,'9.Инвестиционна програма'!L$49:L$56)*$E$6</f>
        <v>0</v>
      </c>
      <c r="Z51" s="1203">
        <f>'11.2. ДА за периода'!Z51</f>
        <v>1.2E-2</v>
      </c>
      <c r="AA51" s="994">
        <f>SUMIF('9.Инвестиционна програма'!$B$74:$B$97,$B51,'9.Инвестиционна програма'!G$74:G$97)*$E$6</f>
        <v>0</v>
      </c>
      <c r="AB51" s="994">
        <f>SUMIF('9.Инвестиционна програма'!$B$74:$B$97,$B51,'9.Инвестиционна програма'!H$74:H$97)*$E$6</f>
        <v>0</v>
      </c>
      <c r="AC51" s="994">
        <f>SUMIF('9.Инвестиционна програма'!$B$74:$B$97,$B51,'9.Инвестиционна програма'!I$74:I$97)*$E$6</f>
        <v>0</v>
      </c>
      <c r="AD51" s="994">
        <f>SUMIF('9.Инвестиционна програма'!$B$74:$B$97,$B51,'9.Инвестиционна програма'!J$74:J$97)*$E$6</f>
        <v>0</v>
      </c>
      <c r="AE51" s="994">
        <f>SUMIF('9.Инвестиционна програма'!$B$74:$B$97,$B51,'9.Инвестиционна програма'!K$74:K$97)*$E$6</f>
        <v>0</v>
      </c>
      <c r="AF51" s="994">
        <f>SUMIF('9.Инвестиционна програма'!$B$74:$B$97,$B51,'9.Инвестиционна програма'!L$74:L$97)*$E$6</f>
        <v>0</v>
      </c>
      <c r="AG51" s="1203">
        <f>'11.2. ДА за периода'!AG51</f>
        <v>0</v>
      </c>
      <c r="AH51" s="994">
        <f>SUMIF('9.Инвестиционна програма'!$B$100:$B$123,$B51,'9.Инвестиционна програма'!G$100:G$123)*$E$6</f>
        <v>0</v>
      </c>
      <c r="AI51" s="994">
        <f>SUMIF('9.Инвестиционна програма'!$B$100:$B$123,$B51,'9.Инвестиционна програма'!H$100:H$123)*$E$6</f>
        <v>0</v>
      </c>
      <c r="AJ51" s="994">
        <f>SUMIF('9.Инвестиционна програма'!$B$100:$B$123,$B51,'9.Инвестиционна програма'!I$100:I$123)*$E$6</f>
        <v>0</v>
      </c>
      <c r="AK51" s="994">
        <f>SUMIF('9.Инвестиционна програма'!$B$100:$B$123,$B51,'9.Инвестиционна програма'!J$100:J$123)*$E$6</f>
        <v>0</v>
      </c>
      <c r="AL51" s="994">
        <f>SUMIF('9.Инвестиционна програма'!$B$100:$B$123,$B51,'9.Инвестиционна програма'!K$100:K$123)*$E$6</f>
        <v>0</v>
      </c>
      <c r="AM51" s="994">
        <f>SUMIF('9.Инвестиционна програма'!$B$100:$B$123,$B51,'9.Инвестиционна програма'!L$100:L$123)*$E$6</f>
        <v>0</v>
      </c>
      <c r="AN51" s="1203">
        <f>'11.2. ДА за периода'!AN51</f>
        <v>0</v>
      </c>
      <c r="AO51" s="1329">
        <f>(SUMIF('9.Инвестиционна програма'!$B$58:$B$59,$B51,'9.Инвестиционна програма'!G$58:G$59)+SUMIF('9.Инвестиционна програма'!$B$61:$B$71,$B51,'9.Инвестиционна програма'!G$61:G$71))*$E$6</f>
        <v>14</v>
      </c>
      <c r="AP51" s="994">
        <f>(SUMIF('9.Инвестиционна програма'!$B$58:$B$59,$B51,'9.Инвестиционна програма'!H$58:H$59)+SUMIF('9.Инвестиционна програма'!$B$61:$B$71,$B51,'9.Инвестиционна програма'!H$61:H$71))*$E$6</f>
        <v>10</v>
      </c>
      <c r="AQ51" s="994">
        <f>(SUMIF('9.Инвестиционна програма'!$B$58:$B$59,$B51,'9.Инвестиционна програма'!I$58:I$59)+SUMIF('9.Инвестиционна програма'!$B$61:$B$71,$B51,'9.Инвестиционна програма'!I$61:I$71))*$E$6</f>
        <v>8</v>
      </c>
      <c r="AR51" s="994">
        <f>(SUMIF('9.Инвестиционна програма'!$B$58:$B$59,$B51,'9.Инвестиционна програма'!J$58:J$59)+SUMIF('9.Инвестиционна програма'!$B$61:$B$71,$B51,'9.Инвестиционна програма'!J$61:J$71))*$E$6</f>
        <v>15</v>
      </c>
      <c r="AS51" s="994">
        <f>(SUMIF('9.Инвестиционна програма'!$B$58:$B$59,$B51,'9.Инвестиционна програма'!K$58:K$59)+SUMIF('9.Инвестиционна програма'!$B$61:$B$71,$B51,'9.Инвестиционна програма'!K$61:K$71))*$E$6</f>
        <v>10</v>
      </c>
      <c r="AT51" s="3048">
        <f>(SUMIF('9.Инвестиционна програма'!$B$58:$B$59,$B51,'9.Инвестиционна програма'!L$58:L$59)+SUMIF('9.Инвестиционна програма'!$B$61:$B$71,$B51,'9.Инвестиционна програма'!L$61:L$71))*$E$6</f>
        <v>0</v>
      </c>
      <c r="AU51" s="3006"/>
    </row>
    <row r="52" spans="1:47">
      <c r="A52" s="3055"/>
      <c r="B52" s="4262">
        <v>20602</v>
      </c>
      <c r="C52" s="4245">
        <v>0.1</v>
      </c>
      <c r="D52" s="3064" t="s">
        <v>440</v>
      </c>
      <c r="E52" s="3047">
        <f>'11.2. ДА за периода'!E52</f>
        <v>5.9280000000000008</v>
      </c>
      <c r="F52" s="1325">
        <f>SUMIF('9.Инвестиционна програма'!$B$12:$B$35,$B52,'9.Инвестиционна програма'!G$12:G$35)*$E$6</f>
        <v>0</v>
      </c>
      <c r="G52" s="1321">
        <f>SUMIF('9.Инвестиционна програма'!$B$12:$B$35,$B52,'9.Инвестиционна програма'!H$12:H$35)*$E$6</f>
        <v>0</v>
      </c>
      <c r="H52" s="1321">
        <f>SUMIF('9.Инвестиционна програма'!$B$12:$B$35,$B52,'9.Инвестиционна програма'!I$12:I$35)*$E$6</f>
        <v>0</v>
      </c>
      <c r="I52" s="1321">
        <f>SUMIF('9.Инвестиционна програма'!$B$12:$B$35,$B52,'9.Инвестиционна програма'!J$12:J$35)*$E$6</f>
        <v>0</v>
      </c>
      <c r="J52" s="1321">
        <f>SUMIF('9.Инвестиционна програма'!$B$12:$B$35,$B52,'9.Инвестиционна програма'!K$12:K$35)*$E$6</f>
        <v>0</v>
      </c>
      <c r="K52" s="1326">
        <f>SUMIF('9.Инвестиционна програма'!$B$12:$B$35,$B52,'9.Инвестиционна програма'!L$12:L$35)*$E$6</f>
        <v>0</v>
      </c>
      <c r="L52" s="3047">
        <f>'11.2. ДА за периода'!L52</f>
        <v>1.1040000000000001</v>
      </c>
      <c r="M52" s="1329">
        <f>SUMIF('9.Инвестиционна програма'!$B$37:$B$47,$B52,'9.Инвестиционна програма'!G$37:G$47)*$E$6</f>
        <v>0</v>
      </c>
      <c r="N52" s="1323">
        <f>SUMIF('9.Инвестиционна програма'!$B$37:$B$47,$B52,'9.Инвестиционна програма'!H$37:H$47)*$E$6</f>
        <v>0</v>
      </c>
      <c r="O52" s="1323">
        <f>SUMIF('9.Инвестиционна програма'!$B$37:$B$47,$B52,'9.Инвестиционна програма'!I$37:I$47)*$E$6</f>
        <v>0</v>
      </c>
      <c r="P52" s="1323">
        <f>SUMIF('9.Инвестиционна програма'!$B$37:$B$47,$B52,'9.Инвестиционна програма'!J$37:J$47)*$E$6</f>
        <v>0</v>
      </c>
      <c r="Q52" s="1323">
        <f>SUMIF('9.Инвестиционна програма'!$B$37:$B$47,$B52,'9.Инвестиционна програма'!K$37:K$47)*$E$6</f>
        <v>0</v>
      </c>
      <c r="R52" s="1324">
        <f>SUMIF('9.Инвестиционна програма'!$B$37:$B$47,$B52,'9.Инвестиционна програма'!L$37:L$47)*$E$6</f>
        <v>0</v>
      </c>
      <c r="S52" s="1203">
        <f>'11.2. ДА за периода'!S52</f>
        <v>0.49199999999999999</v>
      </c>
      <c r="T52" s="994">
        <f>SUMIF('9.Инвестиционна програма'!$B$49:$B$56,$B52,'9.Инвестиционна програма'!G$49:G$56)*$E$6</f>
        <v>0</v>
      </c>
      <c r="U52" s="994">
        <f>SUMIF('9.Инвестиционна програма'!$B$49:$B$56,$B52,'9.Инвестиционна програма'!H$49:H$56)*$E$6</f>
        <v>0</v>
      </c>
      <c r="V52" s="994">
        <f>SUMIF('9.Инвестиционна програма'!$B$49:$B$56,$B52,'9.Инвестиционна програма'!I$49:I$56)*$E$6</f>
        <v>0</v>
      </c>
      <c r="W52" s="994">
        <f>SUMIF('9.Инвестиционна програма'!$B$49:$B$56,$B52,'9.Инвестиционна програма'!J$49:J$56)*$E$6</f>
        <v>0</v>
      </c>
      <c r="X52" s="994">
        <f>SUMIF('9.Инвестиционна програма'!$B$49:$B$56,$B52,'9.Инвестиционна програма'!K$49:K$56)*$E$6</f>
        <v>0</v>
      </c>
      <c r="Y52" s="3048">
        <f>SUMIF('9.Инвестиционна програма'!$B$49:$B$56,$B52,'9.Инвестиционна програма'!L$49:L$56)*$E$6</f>
        <v>0</v>
      </c>
      <c r="Z52" s="1203">
        <f>'11.2. ДА за периода'!Z52</f>
        <v>2E-3</v>
      </c>
      <c r="AA52" s="994">
        <f>SUMIF('9.Инвестиционна програма'!$B$74:$B$97,$B52,'9.Инвестиционна програма'!G$74:G$97)*$E$6</f>
        <v>0</v>
      </c>
      <c r="AB52" s="994">
        <f>SUMIF('9.Инвестиционна програма'!$B$74:$B$97,$B52,'9.Инвестиционна програма'!H$74:H$97)*$E$6</f>
        <v>0</v>
      </c>
      <c r="AC52" s="994">
        <f>SUMIF('9.Инвестиционна програма'!$B$74:$B$97,$B52,'9.Инвестиционна програма'!I$74:I$97)*$E$6</f>
        <v>0</v>
      </c>
      <c r="AD52" s="994">
        <f>SUMIF('9.Инвестиционна програма'!$B$74:$B$97,$B52,'9.Инвестиционна програма'!J$74:J$97)*$E$6</f>
        <v>0</v>
      </c>
      <c r="AE52" s="994">
        <f>SUMIF('9.Инвестиционна програма'!$B$74:$B$97,$B52,'9.Инвестиционна програма'!K$74:K$97)*$E$6</f>
        <v>0</v>
      </c>
      <c r="AF52" s="994">
        <f>SUMIF('9.Инвестиционна програма'!$B$74:$B$97,$B52,'9.Инвестиционна програма'!L$74:L$97)*$E$6</f>
        <v>0</v>
      </c>
      <c r="AG52" s="1203">
        <f>'11.2. ДА за периода'!AG52</f>
        <v>0</v>
      </c>
      <c r="AH52" s="994">
        <f>SUMIF('9.Инвестиционна програма'!$B$100:$B$123,$B52,'9.Инвестиционна програма'!G$100:G$123)*$E$6</f>
        <v>0</v>
      </c>
      <c r="AI52" s="994">
        <f>SUMIF('9.Инвестиционна програма'!$B$100:$B$123,$B52,'9.Инвестиционна програма'!H$100:H$123)*$E$6</f>
        <v>0</v>
      </c>
      <c r="AJ52" s="994">
        <f>SUMIF('9.Инвестиционна програма'!$B$100:$B$123,$B52,'9.Инвестиционна програма'!I$100:I$123)*$E$6</f>
        <v>0</v>
      </c>
      <c r="AK52" s="994">
        <f>SUMIF('9.Инвестиционна програма'!$B$100:$B$123,$B52,'9.Инвестиционна програма'!J$100:J$123)*$E$6</f>
        <v>0</v>
      </c>
      <c r="AL52" s="994">
        <f>SUMIF('9.Инвестиционна програма'!$B$100:$B$123,$B52,'9.Инвестиционна програма'!K$100:K$123)*$E$6</f>
        <v>0</v>
      </c>
      <c r="AM52" s="994">
        <f>SUMIF('9.Инвестиционна програма'!$B$100:$B$123,$B52,'9.Инвестиционна програма'!L$100:L$123)*$E$6</f>
        <v>0</v>
      </c>
      <c r="AN52" s="1203">
        <f>'11.2. ДА за периода'!AN52</f>
        <v>0</v>
      </c>
      <c r="AO52" s="1329">
        <f>(SUMIF('9.Инвестиционна програма'!$B$58:$B$59,$B52,'9.Инвестиционна програма'!G$58:G$59)+SUMIF('9.Инвестиционна програма'!$B$61:$B$71,$B52,'9.Инвестиционна програма'!G$61:G$71))*$E$6</f>
        <v>0</v>
      </c>
      <c r="AP52" s="994">
        <f>(SUMIF('9.Инвестиционна програма'!$B$58:$B$59,$B52,'9.Инвестиционна програма'!H$58:H$59)+SUMIF('9.Инвестиционна програма'!$B$61:$B$71,$B52,'9.Инвестиционна програма'!H$61:H$71))*$E$6</f>
        <v>0</v>
      </c>
      <c r="AQ52" s="994">
        <f>(SUMIF('9.Инвестиционна програма'!$B$58:$B$59,$B52,'9.Инвестиционна програма'!I$58:I$59)+SUMIF('9.Инвестиционна програма'!$B$61:$B$71,$B52,'9.Инвестиционна програма'!I$61:I$71))*$E$6</f>
        <v>0</v>
      </c>
      <c r="AR52" s="994">
        <f>(SUMIF('9.Инвестиционна програма'!$B$58:$B$59,$B52,'9.Инвестиционна програма'!J$58:J$59)+SUMIF('9.Инвестиционна програма'!$B$61:$B$71,$B52,'9.Инвестиционна програма'!J$61:J$71))*$E$6</f>
        <v>0</v>
      </c>
      <c r="AS52" s="994">
        <f>(SUMIF('9.Инвестиционна програма'!$B$58:$B$59,$B52,'9.Инвестиционна програма'!K$58:K$59)+SUMIF('9.Инвестиционна програма'!$B$61:$B$71,$B52,'9.Инвестиционна програма'!K$61:K$71))*$E$6</f>
        <v>0</v>
      </c>
      <c r="AT52" s="3048">
        <f>(SUMIF('9.Инвестиционна програма'!$B$58:$B$59,$B52,'9.Инвестиционна програма'!L$58:L$59)+SUMIF('9.Инвестиционна програма'!$B$61:$B$71,$B52,'9.Инвестиционна програма'!L$61:L$71))*$E$6</f>
        <v>0</v>
      </c>
      <c r="AU52" s="3006"/>
    </row>
    <row r="53" spans="1:47">
      <c r="A53" s="3055"/>
      <c r="B53" s="4264">
        <v>20603</v>
      </c>
      <c r="C53" s="4247">
        <v>0.5</v>
      </c>
      <c r="D53" s="3074" t="s">
        <v>1023</v>
      </c>
      <c r="E53" s="3047">
        <f>'11.2. ДА за периода'!E53</f>
        <v>1.9239999999999999</v>
      </c>
      <c r="F53" s="1325">
        <f>SUMIF('9.Инвестиционна програма'!$B$12:$B$35,$B53,'9.Инвестиционна програма'!G$12:G$35)*$E$6</f>
        <v>0</v>
      </c>
      <c r="G53" s="1321">
        <f>SUMIF('9.Инвестиционна програма'!$B$12:$B$35,$B53,'9.Инвестиционна програма'!H$12:H$35)*$E$6</f>
        <v>0</v>
      </c>
      <c r="H53" s="1321">
        <f>SUMIF('9.Инвестиционна програма'!$B$12:$B$35,$B53,'9.Инвестиционна програма'!I$12:I$35)*$E$6</f>
        <v>0</v>
      </c>
      <c r="I53" s="1321">
        <f>SUMIF('9.Инвестиционна програма'!$B$12:$B$35,$B53,'9.Инвестиционна програма'!J$12:J$35)*$E$6</f>
        <v>0</v>
      </c>
      <c r="J53" s="1321">
        <f>SUMIF('9.Инвестиционна програма'!$B$12:$B$35,$B53,'9.Инвестиционна програма'!K$12:K$35)*$E$6</f>
        <v>0</v>
      </c>
      <c r="K53" s="1326">
        <f>SUMIF('9.Инвестиционна програма'!$B$12:$B$35,$B53,'9.Инвестиционна програма'!L$12:L$35)*$E$6</f>
        <v>0</v>
      </c>
      <c r="L53" s="3047">
        <f>'11.2. ДА за периода'!L53</f>
        <v>0.51500000000000001</v>
      </c>
      <c r="M53" s="1329">
        <f>SUMIF('9.Инвестиционна програма'!$B$37:$B$47,$B53,'9.Инвестиционна програма'!G$37:G$47)*$E$6</f>
        <v>0</v>
      </c>
      <c r="N53" s="1323">
        <f>SUMIF('9.Инвестиционна програма'!$B$37:$B$47,$B53,'9.Инвестиционна програма'!H$37:H$47)*$E$6</f>
        <v>0</v>
      </c>
      <c r="O53" s="1323">
        <f>SUMIF('9.Инвестиционна програма'!$B$37:$B$47,$B53,'9.Инвестиционна програма'!I$37:I$47)*$E$6</f>
        <v>0</v>
      </c>
      <c r="P53" s="1323">
        <f>SUMIF('9.Инвестиционна програма'!$B$37:$B$47,$B53,'9.Инвестиционна програма'!J$37:J$47)*$E$6</f>
        <v>0</v>
      </c>
      <c r="Q53" s="1323">
        <f>SUMIF('9.Инвестиционна програма'!$B$37:$B$47,$B53,'9.Инвестиционна програма'!K$37:K$47)*$E$6</f>
        <v>0</v>
      </c>
      <c r="R53" s="1324">
        <f>SUMIF('9.Инвестиционна програма'!$B$37:$B$47,$B53,'9.Инвестиционна програма'!L$37:L$47)*$E$6</f>
        <v>0</v>
      </c>
      <c r="S53" s="1203">
        <f>'11.2. ДА за периода'!S53</f>
        <v>0.23</v>
      </c>
      <c r="T53" s="994">
        <f>SUMIF('9.Инвестиционна програма'!$B$49:$B$56,$B53,'9.Инвестиционна програма'!G$49:G$56)*$E$6</f>
        <v>0</v>
      </c>
      <c r="U53" s="994">
        <f>SUMIF('9.Инвестиционна програма'!$B$49:$B$56,$B53,'9.Инвестиционна програма'!H$49:H$56)*$E$6</f>
        <v>0</v>
      </c>
      <c r="V53" s="994">
        <f>SUMIF('9.Инвестиционна програма'!$B$49:$B$56,$B53,'9.Инвестиционна програма'!I$49:I$56)*$E$6</f>
        <v>0</v>
      </c>
      <c r="W53" s="994">
        <f>SUMIF('9.Инвестиционна програма'!$B$49:$B$56,$B53,'9.Инвестиционна програма'!J$49:J$56)*$E$6</f>
        <v>0</v>
      </c>
      <c r="X53" s="994">
        <f>SUMIF('9.Инвестиционна програма'!$B$49:$B$56,$B53,'9.Инвестиционна програма'!K$49:K$56)*$E$6</f>
        <v>0</v>
      </c>
      <c r="Y53" s="3048">
        <f>SUMIF('9.Инвестиционна програма'!$B$49:$B$56,$B53,'9.Инвестиционна програма'!L$49:L$56)*$E$6</f>
        <v>0</v>
      </c>
      <c r="Z53" s="1203">
        <f>'11.2. ДА за периода'!Z53</f>
        <v>8.9999999999999993E-3</v>
      </c>
      <c r="AA53" s="994">
        <f>SUMIF('9.Инвестиционна програма'!$B$74:$B$97,$B53,'9.Инвестиционна програма'!G$74:G$97)*$E$6</f>
        <v>0</v>
      </c>
      <c r="AB53" s="994">
        <f>SUMIF('9.Инвестиционна програма'!$B$74:$B$97,$B53,'9.Инвестиционна програма'!H$74:H$97)*$E$6</f>
        <v>0</v>
      </c>
      <c r="AC53" s="994">
        <f>SUMIF('9.Инвестиционна програма'!$B$74:$B$97,$B53,'9.Инвестиционна програма'!I$74:I$97)*$E$6</f>
        <v>0</v>
      </c>
      <c r="AD53" s="994">
        <f>SUMIF('9.Инвестиционна програма'!$B$74:$B$97,$B53,'9.Инвестиционна програма'!J$74:J$97)*$E$6</f>
        <v>0</v>
      </c>
      <c r="AE53" s="994">
        <f>SUMIF('9.Инвестиционна програма'!$B$74:$B$97,$B53,'9.Инвестиционна програма'!K$74:K$97)*$E$6</f>
        <v>0</v>
      </c>
      <c r="AF53" s="994">
        <f>SUMIF('9.Инвестиционна програма'!$B$74:$B$97,$B53,'9.Инвестиционна програма'!L$74:L$97)*$E$6</f>
        <v>0</v>
      </c>
      <c r="AG53" s="1203">
        <f>'11.2. ДА за периода'!AG53</f>
        <v>0</v>
      </c>
      <c r="AH53" s="994">
        <f>SUMIF('9.Инвестиционна програма'!$B$100:$B$123,$B53,'9.Инвестиционна програма'!G$100:G$123)*$E$6</f>
        <v>0</v>
      </c>
      <c r="AI53" s="994">
        <f>SUMIF('9.Инвестиционна програма'!$B$100:$B$123,$B53,'9.Инвестиционна програма'!H$100:H$123)*$E$6</f>
        <v>0</v>
      </c>
      <c r="AJ53" s="994">
        <f>SUMIF('9.Инвестиционна програма'!$B$100:$B$123,$B53,'9.Инвестиционна програма'!I$100:I$123)*$E$6</f>
        <v>0</v>
      </c>
      <c r="AK53" s="994">
        <f>SUMIF('9.Инвестиционна програма'!$B$100:$B$123,$B53,'9.Инвестиционна програма'!J$100:J$123)*$E$6</f>
        <v>0</v>
      </c>
      <c r="AL53" s="994">
        <f>SUMIF('9.Инвестиционна програма'!$B$100:$B$123,$B53,'9.Инвестиционна програма'!K$100:K$123)*$E$6</f>
        <v>0</v>
      </c>
      <c r="AM53" s="994">
        <f>SUMIF('9.Инвестиционна програма'!$B$100:$B$123,$B53,'9.Инвестиционна програма'!L$100:L$123)*$E$6</f>
        <v>0</v>
      </c>
      <c r="AN53" s="1203">
        <f>'11.2. ДА за периода'!AN53</f>
        <v>0</v>
      </c>
      <c r="AO53" s="1329">
        <f>(SUMIF('9.Инвестиционна програма'!$B$58:$B$59,$B53,'9.Инвестиционна програма'!G$58:G$59)+SUMIF('9.Инвестиционна програма'!$B$61:$B$71,$B53,'9.Инвестиционна програма'!G$61:G$71))*$E$6</f>
        <v>0</v>
      </c>
      <c r="AP53" s="994">
        <f>(SUMIF('9.Инвестиционна програма'!$B$58:$B$59,$B53,'9.Инвестиционна програма'!H$58:H$59)+SUMIF('9.Инвестиционна програма'!$B$61:$B$71,$B53,'9.Инвестиционна програма'!H$61:H$71))*$E$6</f>
        <v>0</v>
      </c>
      <c r="AQ53" s="994">
        <f>(SUMIF('9.Инвестиционна програма'!$B$58:$B$59,$B53,'9.Инвестиционна програма'!I$58:I$59)+SUMIF('9.Инвестиционна програма'!$B$61:$B$71,$B53,'9.Инвестиционна програма'!I$61:I$71))*$E$6</f>
        <v>0</v>
      </c>
      <c r="AR53" s="994">
        <f>(SUMIF('9.Инвестиционна програма'!$B$58:$B$59,$B53,'9.Инвестиционна програма'!J$58:J$59)+SUMIF('9.Инвестиционна програма'!$B$61:$B$71,$B53,'9.Инвестиционна програма'!J$61:J$71))*$E$6</f>
        <v>0</v>
      </c>
      <c r="AS53" s="994">
        <f>(SUMIF('9.Инвестиционна програма'!$B$58:$B$59,$B53,'9.Инвестиционна програма'!K$58:K$59)+SUMIF('9.Инвестиционна програма'!$B$61:$B$71,$B53,'9.Инвестиционна програма'!K$61:K$71))*$E$6</f>
        <v>0</v>
      </c>
      <c r="AT53" s="3048">
        <f>(SUMIF('9.Инвестиционна програма'!$B$58:$B$59,$B53,'9.Инвестиционна програма'!L$58:L$59)+SUMIF('9.Инвестиционна програма'!$B$61:$B$71,$B53,'9.Инвестиционна програма'!L$61:L$71))*$E$6</f>
        <v>0</v>
      </c>
      <c r="AU53" s="3006"/>
    </row>
    <row r="54" spans="1:47" s="34" customFormat="1">
      <c r="A54" s="3055">
        <v>7</v>
      </c>
      <c r="B54" s="4263">
        <v>208</v>
      </c>
      <c r="C54" s="4246">
        <v>0.2</v>
      </c>
      <c r="D54" s="3072" t="s">
        <v>418</v>
      </c>
      <c r="E54" s="3047">
        <f>'11.2. ДА за периода'!E54</f>
        <v>0.43099999999999999</v>
      </c>
      <c r="F54" s="2974">
        <f>SUMIF('9.Инвестиционна програма'!$B$12:$B$35,$B54,'9.Инвестиционна програма'!G$12:G$35)*$E$6</f>
        <v>0</v>
      </c>
      <c r="G54" s="2962">
        <f>SUMIF('9.Инвестиционна програма'!$B$12:$B$35,$B54,'9.Инвестиционна програма'!H$12:H$35)*$E$6</f>
        <v>0</v>
      </c>
      <c r="H54" s="2962">
        <f>SUMIF('9.Инвестиционна програма'!$B$12:$B$35,$B54,'9.Инвестиционна програма'!I$12:I$35)*$E$6</f>
        <v>0</v>
      </c>
      <c r="I54" s="2962">
        <f>SUMIF('9.Инвестиционна програма'!$B$12:$B$35,$B54,'9.Инвестиционна програма'!J$12:J$35)*$E$6</f>
        <v>0</v>
      </c>
      <c r="J54" s="2962">
        <f>SUMIF('9.Инвестиционна програма'!$B$12:$B$35,$B54,'9.Инвестиционна програма'!K$12:K$35)*$E$6</f>
        <v>0</v>
      </c>
      <c r="K54" s="2981">
        <f>SUMIF('9.Инвестиционна програма'!$B$12:$B$35,$B54,'9.Инвестиционна програма'!L$12:L$35)*$E$6</f>
        <v>0</v>
      </c>
      <c r="L54" s="1202">
        <f>'11.2. ДА за периода'!L54</f>
        <v>0.2</v>
      </c>
      <c r="M54" s="2974">
        <f>SUMIF('9.Инвестиционна програма'!$B$37:$B$47,$B54,'9.Инвестиционна програма'!G$37:G$47)*$E$6</f>
        <v>0</v>
      </c>
      <c r="N54" s="2962">
        <f>SUMIF('9.Инвестиционна програма'!$B$37:$B$47,$B54,'9.Инвестиционна програма'!H$37:H$47)*$E$6</f>
        <v>0</v>
      </c>
      <c r="O54" s="2962">
        <f>SUMIF('9.Инвестиционна програма'!$B$37:$B$47,$B54,'9.Инвестиционна програма'!I$37:I$47)*$E$6</f>
        <v>0</v>
      </c>
      <c r="P54" s="2962">
        <f>SUMIF('9.Инвестиционна програма'!$B$37:$B$47,$B54,'9.Инвестиционна програма'!J$37:J$47)*$E$6</f>
        <v>0</v>
      </c>
      <c r="Q54" s="2962">
        <f>SUMIF('9.Инвестиционна програма'!$B$37:$B$47,$B54,'9.Инвестиционна програма'!K$37:K$47)*$E$6</f>
        <v>0</v>
      </c>
      <c r="R54" s="2963">
        <f>SUMIF('9.Инвестиционна програма'!$B$37:$B$47,$B54,'9.Инвестиционна програма'!L$37:L$47)*$E$6</f>
        <v>0</v>
      </c>
      <c r="S54" s="1203">
        <f>'11.2. ДА за периода'!S54</f>
        <v>8.8999999999999996E-2</v>
      </c>
      <c r="T54" s="2961">
        <f>SUMIF('9.Инвестиционна програма'!$B$49:$B$56,$B54,'9.Инвестиционна програма'!G$49:G$56)*$E$6</f>
        <v>0</v>
      </c>
      <c r="U54" s="2962">
        <f>SUMIF('9.Инвестиционна програма'!$B$49:$B$56,$B54,'9.Инвестиционна програма'!H$49:H$56)*$E$6</f>
        <v>0</v>
      </c>
      <c r="V54" s="2962">
        <f>SUMIF('9.Инвестиционна програма'!$B$49:$B$56,$B54,'9.Инвестиционна програма'!I$49:I$56)*$E$6</f>
        <v>0</v>
      </c>
      <c r="W54" s="2962">
        <f>SUMIF('9.Инвестиционна програма'!$B$49:$B$56,$B54,'9.Инвестиционна програма'!J$49:J$56)*$E$6</f>
        <v>0</v>
      </c>
      <c r="X54" s="2962">
        <f>SUMIF('9.Инвестиционна програма'!$B$49:$B$56,$B54,'9.Инвестиционна програма'!K$49:K$56)*$E$6</f>
        <v>0</v>
      </c>
      <c r="Y54" s="2963">
        <f>SUMIF('9.Инвестиционна програма'!$B$49:$B$56,$B54,'9.Инвестиционна програма'!L$49:L$56)*$E$6</f>
        <v>0</v>
      </c>
      <c r="Z54" s="1203">
        <f>'11.2. ДА за периода'!Z54</f>
        <v>3.0000000000000001E-3</v>
      </c>
      <c r="AA54" s="2961">
        <f>SUMIF('9.Инвестиционна програма'!$B$74:$B$97,$B54,'9.Инвестиционна програма'!G$74:G$97)*$E$6</f>
        <v>0</v>
      </c>
      <c r="AB54" s="2962">
        <f>SUMIF('9.Инвестиционна програма'!$B$74:$B$97,$B54,'9.Инвестиционна програма'!H$74:H$97)*$E$6</f>
        <v>0</v>
      </c>
      <c r="AC54" s="2962">
        <f>SUMIF('9.Инвестиционна програма'!$B$74:$B$97,$B54,'9.Инвестиционна програма'!I$74:I$97)*$E$6</f>
        <v>0</v>
      </c>
      <c r="AD54" s="2962">
        <f>SUMIF('9.Инвестиционна програма'!$B$74:$B$97,$B54,'9.Инвестиционна програма'!J$74:J$97)*$E$6</f>
        <v>0</v>
      </c>
      <c r="AE54" s="2962">
        <f>SUMIF('9.Инвестиционна програма'!$B$74:$B$97,$B54,'9.Инвестиционна програма'!K$74:K$97)*$E$6</f>
        <v>0</v>
      </c>
      <c r="AF54" s="2963">
        <f>SUMIF('9.Инвестиционна програма'!$B$74:$B$97,$B54,'9.Инвестиционна програма'!L$74:L$97)*$E$6</f>
        <v>0</v>
      </c>
      <c r="AG54" s="1203">
        <f>'11.2. ДА за периода'!AG54</f>
        <v>0</v>
      </c>
      <c r="AH54" s="2961">
        <f>SUMIF('9.Инвестиционна програма'!$B$100:$B$123,$B54,'9.Инвестиционна програма'!G$100:G$123)*$E$6</f>
        <v>0</v>
      </c>
      <c r="AI54" s="2962">
        <f>SUMIF('9.Инвестиционна програма'!$B$100:$B$123,$B54,'9.Инвестиционна програма'!H$100:H$123)*$E$6</f>
        <v>0</v>
      </c>
      <c r="AJ54" s="2962">
        <f>SUMIF('9.Инвестиционна програма'!$B$100:$B$123,$B54,'9.Инвестиционна програма'!I$100:I$123)*$E$6</f>
        <v>0</v>
      </c>
      <c r="AK54" s="2962">
        <f>SUMIF('9.Инвестиционна програма'!$B$100:$B$123,$B54,'9.Инвестиционна програма'!J$100:J$123)*$E$6</f>
        <v>0</v>
      </c>
      <c r="AL54" s="2962">
        <f>SUMIF('9.Инвестиционна програма'!$B$100:$B$123,$B54,'9.Инвестиционна програма'!K$100:K$123)*$E$6</f>
        <v>0</v>
      </c>
      <c r="AM54" s="2963">
        <f>SUMIF('9.Инвестиционна програма'!$B$100:$B$123,$B54,'9.Инвестиционна програма'!L$100:L$123)*$E$6</f>
        <v>0</v>
      </c>
      <c r="AN54" s="1203">
        <f>'11.2. ДА за периода'!AN54</f>
        <v>0</v>
      </c>
      <c r="AO54" s="2961">
        <f>(SUMIF('9.Инвестиционна програма'!$B$58:$B$59,$B54,'9.Инвестиционна програма'!G$58:G$59)+SUMIF('9.Инвестиционна програма'!$B$61:$B$71,$B54,'9.Инвестиционна програма'!G$61:G$71))*$E$6</f>
        <v>20</v>
      </c>
      <c r="AP54" s="2962">
        <f>(SUMIF('9.Инвестиционна програма'!$B$58:$B$59,$B54,'9.Инвестиционна програма'!H$58:H$59)+SUMIF('9.Инвестиционна програма'!$B$61:$B$71,$B54,'9.Инвестиционна програма'!H$61:H$71))*$E$6</f>
        <v>9</v>
      </c>
      <c r="AQ54" s="2962">
        <f>(SUMIF('9.Инвестиционна програма'!$B$58:$B$59,$B54,'9.Инвестиционна програма'!I$58:I$59)+SUMIF('9.Инвестиционна програма'!$B$61:$B$71,$B54,'9.Инвестиционна програма'!I$61:I$71))*$E$6</f>
        <v>5</v>
      </c>
      <c r="AR54" s="2962">
        <f>(SUMIF('9.Инвестиционна програма'!$B$58:$B$59,$B54,'9.Инвестиционна програма'!J$58:J$59)+SUMIF('9.Инвестиционна програма'!$B$61:$B$71,$B54,'9.Инвестиционна програма'!J$61:J$71))*$E$6</f>
        <v>4</v>
      </c>
      <c r="AS54" s="2962">
        <f>(SUMIF('9.Инвестиционна програма'!$B$58:$B$59,$B54,'9.Инвестиционна програма'!K$58:K$59)+SUMIF('9.Инвестиционна програма'!$B$61:$B$71,$B54,'9.Инвестиционна програма'!K$61:K$71))*$E$6</f>
        <v>6</v>
      </c>
      <c r="AT54" s="2963">
        <f>(SUMIF('9.Инвестиционна програма'!$B$58:$B$59,$B54,'9.Инвестиционна програма'!L$58:L$59)+SUMIF('9.Инвестиционна програма'!$B$61:$B$71,$B54,'9.Инвестиционна програма'!L$61:L$71))*$E$6</f>
        <v>6</v>
      </c>
      <c r="AU54" s="3006"/>
    </row>
    <row r="55" spans="1:47" s="34" customFormat="1">
      <c r="A55" s="3055">
        <v>8</v>
      </c>
      <c r="B55" s="4263">
        <v>209</v>
      </c>
      <c r="C55" s="4246">
        <v>0.1</v>
      </c>
      <c r="D55" s="3072" t="s">
        <v>218</v>
      </c>
      <c r="E55" s="3047">
        <f>'11.2. ДА за периода'!E55</f>
        <v>0</v>
      </c>
      <c r="F55" s="2974">
        <f>SUMIF('9.Инвестиционна програма'!$B$12:$B$35,$B55,'9.Инвестиционна програма'!G$12:G$35)*$E$6</f>
        <v>0</v>
      </c>
      <c r="G55" s="2962">
        <f>SUMIF('9.Инвестиционна програма'!$B$12:$B$35,$B55,'9.Инвестиционна програма'!H$12:H$35)*$E$6</f>
        <v>0</v>
      </c>
      <c r="H55" s="2962">
        <f>SUMIF('9.Инвестиционна програма'!$B$12:$B$35,$B55,'9.Инвестиционна програма'!I$12:I$35)*$E$6</f>
        <v>0</v>
      </c>
      <c r="I55" s="2962">
        <f>SUMIF('9.Инвестиционна програма'!$B$12:$B$35,$B55,'9.Инвестиционна програма'!J$12:J$35)*$E$6</f>
        <v>0</v>
      </c>
      <c r="J55" s="2962">
        <f>SUMIF('9.Инвестиционна програма'!$B$12:$B$35,$B55,'9.Инвестиционна програма'!K$12:K$35)*$E$6</f>
        <v>0</v>
      </c>
      <c r="K55" s="2981">
        <f>SUMIF('9.Инвестиционна програма'!$B$12:$B$35,$B55,'9.Инвестиционна програма'!L$12:L$35)*$E$6</f>
        <v>0</v>
      </c>
      <c r="L55" s="1203">
        <f>'11.2. ДА за периода'!L55</f>
        <v>0</v>
      </c>
      <c r="M55" s="2974">
        <f>SUMIF('9.Инвестиционна програма'!$B$37:$B$47,$B55,'9.Инвестиционна програма'!G$37:G$47)*$E$6</f>
        <v>0</v>
      </c>
      <c r="N55" s="2962">
        <f>SUMIF('9.Инвестиционна програма'!$B$37:$B$47,$B55,'9.Инвестиционна програма'!H$37:H$47)*$E$6</f>
        <v>0</v>
      </c>
      <c r="O55" s="2962">
        <f>SUMIF('9.Инвестиционна програма'!$B$37:$B$47,$B55,'9.Инвестиционна програма'!I$37:I$47)*$E$6</f>
        <v>0</v>
      </c>
      <c r="P55" s="2962">
        <f>SUMIF('9.Инвестиционна програма'!$B$37:$B$47,$B55,'9.Инвестиционна програма'!J$37:J$47)*$E$6</f>
        <v>0</v>
      </c>
      <c r="Q55" s="2962">
        <f>SUMIF('9.Инвестиционна програма'!$B$37:$B$47,$B55,'9.Инвестиционна програма'!K$37:K$47)*$E$6</f>
        <v>0</v>
      </c>
      <c r="R55" s="2963">
        <f>SUMIF('9.Инвестиционна програма'!$B$37:$B$47,$B55,'9.Инвестиционна програма'!L$37:L$47)*$E$6</f>
        <v>0</v>
      </c>
      <c r="S55" s="1203">
        <f>'11.2. ДА за периода'!S55</f>
        <v>0</v>
      </c>
      <c r="T55" s="2961">
        <f>SUMIF('9.Инвестиционна програма'!$B$49:$B$56,$B55,'9.Инвестиционна програма'!G$49:G$56)*$E$6</f>
        <v>0</v>
      </c>
      <c r="U55" s="2962">
        <f>SUMIF('9.Инвестиционна програма'!$B$49:$B$56,$B55,'9.Инвестиционна програма'!H$49:H$56)*$E$6</f>
        <v>0</v>
      </c>
      <c r="V55" s="2962">
        <f>SUMIF('9.Инвестиционна програма'!$B$49:$B$56,$B55,'9.Инвестиционна програма'!I$49:I$56)*$E$6</f>
        <v>0</v>
      </c>
      <c r="W55" s="2962">
        <f>SUMIF('9.Инвестиционна програма'!$B$49:$B$56,$B55,'9.Инвестиционна програма'!J$49:J$56)*$E$6</f>
        <v>0</v>
      </c>
      <c r="X55" s="2962">
        <f>SUMIF('9.Инвестиционна програма'!$B$49:$B$56,$B55,'9.Инвестиционна програма'!K$49:K$56)*$E$6</f>
        <v>0</v>
      </c>
      <c r="Y55" s="2963">
        <f>SUMIF('9.Инвестиционна програма'!$B$49:$B$56,$B55,'9.Инвестиционна програма'!L$49:L$56)*$E$6</f>
        <v>0</v>
      </c>
      <c r="Z55" s="1203">
        <f>'11.2. ДА за периода'!Z55</f>
        <v>0</v>
      </c>
      <c r="AA55" s="2961">
        <f>SUMIF('9.Инвестиционна програма'!$B$74:$B$97,$B55,'9.Инвестиционна програма'!G$74:G$97)*$E$6</f>
        <v>0</v>
      </c>
      <c r="AB55" s="2962">
        <f>SUMIF('9.Инвестиционна програма'!$B$74:$B$97,$B55,'9.Инвестиционна програма'!H$74:H$97)*$E$6</f>
        <v>0</v>
      </c>
      <c r="AC55" s="2962">
        <f>SUMIF('9.Инвестиционна програма'!$B$74:$B$97,$B55,'9.Инвестиционна програма'!I$74:I$97)*$E$6</f>
        <v>0</v>
      </c>
      <c r="AD55" s="2962">
        <f>SUMIF('9.Инвестиционна програма'!$B$74:$B$97,$B55,'9.Инвестиционна програма'!J$74:J$97)*$E$6</f>
        <v>0</v>
      </c>
      <c r="AE55" s="2962">
        <f>SUMIF('9.Инвестиционна програма'!$B$74:$B$97,$B55,'9.Инвестиционна програма'!K$74:K$97)*$E$6</f>
        <v>0</v>
      </c>
      <c r="AF55" s="2963">
        <f>SUMIF('9.Инвестиционна програма'!$B$74:$B$97,$B55,'9.Инвестиционна програма'!L$74:L$97)*$E$6</f>
        <v>0</v>
      </c>
      <c r="AG55" s="1203">
        <f>'11.2. ДА за периода'!AG55</f>
        <v>0</v>
      </c>
      <c r="AH55" s="2961">
        <f>SUMIF('9.Инвестиционна програма'!$B$100:$B$123,$B55,'9.Инвестиционна програма'!G$100:G$123)*$E$6</f>
        <v>0</v>
      </c>
      <c r="AI55" s="2962">
        <f>SUMIF('9.Инвестиционна програма'!$B$100:$B$123,$B55,'9.Инвестиционна програма'!H$100:H$123)*$E$6</f>
        <v>0</v>
      </c>
      <c r="AJ55" s="2962">
        <f>SUMIF('9.Инвестиционна програма'!$B$100:$B$123,$B55,'9.Инвестиционна програма'!I$100:I$123)*$E$6</f>
        <v>0</v>
      </c>
      <c r="AK55" s="2962">
        <f>SUMIF('9.Инвестиционна програма'!$B$100:$B$123,$B55,'9.Инвестиционна програма'!J$100:J$123)*$E$6</f>
        <v>0</v>
      </c>
      <c r="AL55" s="2962">
        <f>SUMIF('9.Инвестиционна програма'!$B$100:$B$123,$B55,'9.Инвестиционна програма'!K$100:K$123)*$E$6</f>
        <v>0</v>
      </c>
      <c r="AM55" s="2963">
        <f>SUMIF('9.Инвестиционна програма'!$B$100:$B$123,$B55,'9.Инвестиционна програма'!L$100:L$123)*$E$6</f>
        <v>0</v>
      </c>
      <c r="AN55" s="1203">
        <f>'11.2. ДА за периода'!AN55</f>
        <v>0</v>
      </c>
      <c r="AO55" s="2961">
        <f>(SUMIF('9.Инвестиционна програма'!$B$58:$B$59,$B55,'9.Инвестиционна програма'!G$58:G$59)+SUMIF('9.Инвестиционна програма'!$B$61:$B$71,$B55,'9.Инвестиционна програма'!G$61:G$71))*$E$6</f>
        <v>0</v>
      </c>
      <c r="AP55" s="2962">
        <f>(SUMIF('9.Инвестиционна програма'!$B$58:$B$59,$B55,'9.Инвестиционна програма'!H$58:H$59)+SUMIF('9.Инвестиционна програма'!$B$61:$B$71,$B55,'9.Инвестиционна програма'!H$61:H$71))*$E$6</f>
        <v>0</v>
      </c>
      <c r="AQ55" s="2962">
        <f>(SUMIF('9.Инвестиционна програма'!$B$58:$B$59,$B55,'9.Инвестиционна програма'!I$58:I$59)+SUMIF('9.Инвестиционна програма'!$B$61:$B$71,$B55,'9.Инвестиционна програма'!I$61:I$71))*$E$6</f>
        <v>0</v>
      </c>
      <c r="AR55" s="2962">
        <f>(SUMIF('9.Инвестиционна програма'!$B$58:$B$59,$B55,'9.Инвестиционна програма'!J$58:J$59)+SUMIF('9.Инвестиционна програма'!$B$61:$B$71,$B55,'9.Инвестиционна програма'!J$61:J$71))*$E$6</f>
        <v>0</v>
      </c>
      <c r="AS55" s="2962">
        <f>(SUMIF('9.Инвестиционна програма'!$B$58:$B$59,$B55,'9.Инвестиционна програма'!K$58:K$59)+SUMIF('9.Инвестиционна програма'!$B$61:$B$71,$B55,'9.Инвестиционна програма'!K$61:K$71))*$E$6</f>
        <v>0</v>
      </c>
      <c r="AT55" s="2963">
        <f>(SUMIF('9.Инвестиционна програма'!$B$58:$B$59,$B55,'9.Инвестиционна програма'!L$58:L$59)+SUMIF('9.Инвестиционна програма'!$B$61:$B$71,$B55,'9.Инвестиционна програма'!L$61:L$71))*$E$6</f>
        <v>0</v>
      </c>
      <c r="AU55" s="3006"/>
    </row>
    <row r="56" spans="1:47" s="34" customFormat="1" ht="17.25" customHeight="1">
      <c r="A56" s="3055">
        <v>9</v>
      </c>
      <c r="B56" s="4263">
        <v>212</v>
      </c>
      <c r="C56" s="4246">
        <v>0.2</v>
      </c>
      <c r="D56" s="3083" t="s">
        <v>219</v>
      </c>
      <c r="E56" s="3047">
        <f>'11.2. ДА за периода'!E56</f>
        <v>8.7650000000000006</v>
      </c>
      <c r="F56" s="2974">
        <f>SUMIF('9.Инвестиционна програма'!$B$12:$B$35,$B56,'9.Инвестиционна програма'!G$12:G$35)*$E$6</f>
        <v>0</v>
      </c>
      <c r="G56" s="2962">
        <f>SUMIF('9.Инвестиционна програма'!$B$12:$B$35,$B56,'9.Инвестиционна програма'!H$12:H$35)*$E$6</f>
        <v>0</v>
      </c>
      <c r="H56" s="2962">
        <f>SUMIF('9.Инвестиционна програма'!$B$12:$B$35,$B56,'9.Инвестиционна програма'!I$12:I$35)*$E$6</f>
        <v>0</v>
      </c>
      <c r="I56" s="2962">
        <f>SUMIF('9.Инвестиционна програма'!$B$12:$B$35,$B56,'9.Инвестиционна програма'!J$12:J$35)*$E$6</f>
        <v>0</v>
      </c>
      <c r="J56" s="2962">
        <f>SUMIF('9.Инвестиционна програма'!$B$12:$B$35,$B56,'9.Инвестиционна програма'!K$12:K$35)*$E$6</f>
        <v>0</v>
      </c>
      <c r="K56" s="2981">
        <f>SUMIF('9.Инвестиционна програма'!$B$12:$B$35,$B56,'9.Инвестиционна програма'!L$12:L$35)*$E$6</f>
        <v>0</v>
      </c>
      <c r="L56" s="1203">
        <f>'11.2. ДА за периода'!L56</f>
        <v>4.077</v>
      </c>
      <c r="M56" s="2974">
        <f>SUMIF('9.Инвестиционна програма'!$B$37:$B$47,$B56,'9.Инвестиционна програма'!G$37:G$47)*$E$6</f>
        <v>0</v>
      </c>
      <c r="N56" s="2962">
        <f>SUMIF('9.Инвестиционна програма'!$B$37:$B$47,$B56,'9.Инвестиционна програма'!H$37:H$47)*$E$6</f>
        <v>0</v>
      </c>
      <c r="O56" s="2962">
        <f>SUMIF('9.Инвестиционна програма'!$B$37:$B$47,$B56,'9.Инвестиционна програма'!I$37:I$47)*$E$6</f>
        <v>0</v>
      </c>
      <c r="P56" s="2962">
        <f>SUMIF('9.Инвестиционна програма'!$B$37:$B$47,$B56,'9.Инвестиционна програма'!J$37:J$47)*$E$6</f>
        <v>0</v>
      </c>
      <c r="Q56" s="2962">
        <f>SUMIF('9.Инвестиционна програма'!$B$37:$B$47,$B56,'9.Инвестиционна програма'!K$37:K$47)*$E$6</f>
        <v>0</v>
      </c>
      <c r="R56" s="2963">
        <f>SUMIF('9.Инвестиционна програма'!$B$37:$B$47,$B56,'9.Инвестиционна програма'!L$37:L$47)*$E$6</f>
        <v>0</v>
      </c>
      <c r="S56" s="1203">
        <f>'11.2. ДА за периода'!S56</f>
        <v>1.181</v>
      </c>
      <c r="T56" s="2961">
        <f>SUMIF('9.Инвестиционна програма'!$B$49:$B$56,$B56,'9.Инвестиционна програма'!G$49:G$56)*$E$6</f>
        <v>0</v>
      </c>
      <c r="U56" s="2962">
        <f>SUMIF('9.Инвестиционна програма'!$B$49:$B$56,$B56,'9.Инвестиционна програма'!H$49:H$56)*$E$6</f>
        <v>0</v>
      </c>
      <c r="V56" s="2962">
        <f>SUMIF('9.Инвестиционна програма'!$B$49:$B$56,$B56,'9.Инвестиционна програма'!I$49:I$56)*$E$6</f>
        <v>0</v>
      </c>
      <c r="W56" s="2962">
        <f>SUMIF('9.Инвестиционна програма'!$B$49:$B$56,$B56,'9.Инвестиционна програма'!J$49:J$56)*$E$6</f>
        <v>0</v>
      </c>
      <c r="X56" s="2962">
        <f>SUMIF('9.Инвестиционна програма'!$B$49:$B$56,$B56,'9.Инвестиционна програма'!K$49:K$56)*$E$6</f>
        <v>0</v>
      </c>
      <c r="Y56" s="2963">
        <f>SUMIF('9.Инвестиционна програма'!$B$49:$B$56,$B56,'9.Инвестиционна програма'!L$49:L$56)*$E$6</f>
        <v>0</v>
      </c>
      <c r="Z56" s="1203">
        <f>'11.2. ДА за периода'!Z56</f>
        <v>7.6999999999999999E-2</v>
      </c>
      <c r="AA56" s="2961">
        <f>SUMIF('9.Инвестиционна програма'!$B$74:$B$97,$B56,'9.Инвестиционна програма'!G$74:G$97)*$E$6</f>
        <v>0</v>
      </c>
      <c r="AB56" s="2962">
        <f>SUMIF('9.Инвестиционна програма'!$B$74:$B$97,$B56,'9.Инвестиционна програма'!H$74:H$97)*$E$6</f>
        <v>0</v>
      </c>
      <c r="AC56" s="2962">
        <f>SUMIF('9.Инвестиционна програма'!$B$74:$B$97,$B56,'9.Инвестиционна програма'!I$74:I$97)*$E$6</f>
        <v>0</v>
      </c>
      <c r="AD56" s="2962">
        <f>SUMIF('9.Инвестиционна програма'!$B$74:$B$97,$B56,'9.Инвестиционна програма'!J$74:J$97)*$E$6</f>
        <v>0</v>
      </c>
      <c r="AE56" s="2962">
        <f>SUMIF('9.Инвестиционна програма'!$B$74:$B$97,$B56,'9.Инвестиционна програма'!K$74:K$97)*$E$6</f>
        <v>0</v>
      </c>
      <c r="AF56" s="2963">
        <f>SUMIF('9.Инвестиционна програма'!$B$74:$B$97,$B56,'9.Инвестиционна програма'!L$74:L$97)*$E$6</f>
        <v>0</v>
      </c>
      <c r="AG56" s="1203">
        <f>'11.2. ДА за периода'!AG56</f>
        <v>0</v>
      </c>
      <c r="AH56" s="2961">
        <f>SUMIF('9.Инвестиционна програма'!$B$100:$B$123,$B56,'9.Инвестиционна програма'!G$100:G$123)*$E$6</f>
        <v>0</v>
      </c>
      <c r="AI56" s="2962">
        <f>SUMIF('9.Инвестиционна програма'!$B$100:$B$123,$B56,'9.Инвестиционна програма'!H$100:H$123)*$E$6</f>
        <v>0</v>
      </c>
      <c r="AJ56" s="2962">
        <f>SUMIF('9.Инвестиционна програма'!$B$100:$B$123,$B56,'9.Инвестиционна програма'!I$100:I$123)*$E$6</f>
        <v>0</v>
      </c>
      <c r="AK56" s="2962">
        <f>SUMIF('9.Инвестиционна програма'!$B$100:$B$123,$B56,'9.Инвестиционна програма'!J$100:J$123)*$E$6</f>
        <v>0</v>
      </c>
      <c r="AL56" s="2962">
        <f>SUMIF('9.Инвестиционна програма'!$B$100:$B$123,$B56,'9.Инвестиционна програма'!K$100:K$123)*$E$6</f>
        <v>0</v>
      </c>
      <c r="AM56" s="2963">
        <f>SUMIF('9.Инвестиционна програма'!$B$100:$B$123,$B56,'9.Инвестиционна програма'!L$100:L$123)*$E$6</f>
        <v>0</v>
      </c>
      <c r="AN56" s="1203">
        <f>'11.2. ДА за периода'!AN56</f>
        <v>0</v>
      </c>
      <c r="AO56" s="2961">
        <f>(SUMIF('9.Инвестиционна програма'!$B$58:$B$59,$B56,'9.Инвестиционна програма'!G$58:G$59)+SUMIF('9.Инвестиционна програма'!$B$61:$B$71,$B56,'9.Инвестиционна програма'!G$61:G$71))*$E$6</f>
        <v>1</v>
      </c>
      <c r="AP56" s="2962">
        <f>(SUMIF('9.Инвестиционна програма'!$B$58:$B$59,$B56,'9.Инвестиционна програма'!H$58:H$59)+SUMIF('9.Инвестиционна програма'!$B$61:$B$71,$B56,'9.Инвестиционна програма'!H$61:H$71))*$E$6</f>
        <v>3</v>
      </c>
      <c r="AQ56" s="2962">
        <f>(SUMIF('9.Инвестиционна програма'!$B$58:$B$59,$B56,'9.Инвестиционна програма'!I$58:I$59)+SUMIF('9.Инвестиционна програма'!$B$61:$B$71,$B56,'9.Инвестиционна програма'!I$61:I$71))*$E$6</f>
        <v>3</v>
      </c>
      <c r="AR56" s="2962">
        <f>(SUMIF('9.Инвестиционна програма'!$B$58:$B$59,$B56,'9.Инвестиционна програма'!J$58:J$59)+SUMIF('9.Инвестиционна програма'!$B$61:$B$71,$B56,'9.Инвестиционна програма'!J$61:J$71))*$E$6</f>
        <v>3</v>
      </c>
      <c r="AS56" s="2962">
        <f>(SUMIF('9.Инвестиционна програма'!$B$58:$B$59,$B56,'9.Инвестиционна програма'!K$58:K$59)+SUMIF('9.Инвестиционна програма'!$B$61:$B$71,$B56,'9.Инвестиционна програма'!K$61:K$71))*$E$6</f>
        <v>3.5</v>
      </c>
      <c r="AT56" s="2963">
        <f>(SUMIF('9.Инвестиционна програма'!$B$58:$B$59,$B56,'9.Инвестиционна програма'!L$58:L$59)+SUMIF('9.Инвестиционна програма'!$B$61:$B$71,$B56,'9.Инвестиционна програма'!L$61:L$71))*$E$6</f>
        <v>3.5</v>
      </c>
      <c r="AU56" s="3006"/>
    </row>
    <row r="57" spans="1:47" s="34" customFormat="1">
      <c r="A57" s="3055">
        <v>10</v>
      </c>
      <c r="B57" s="4263">
        <v>213</v>
      </c>
      <c r="C57" s="4246">
        <v>0.2</v>
      </c>
      <c r="D57" s="3054" t="s">
        <v>220</v>
      </c>
      <c r="E57" s="3047">
        <f>'11.2. ДА за периода'!E57</f>
        <v>0</v>
      </c>
      <c r="F57" s="2974">
        <f>SUMIF('9.Инвестиционна програма'!$B$12:$B$35,$B57,'9.Инвестиционна програма'!G$12:G$35)*$E$6</f>
        <v>0</v>
      </c>
      <c r="G57" s="2962">
        <f>SUMIF('9.Инвестиционна програма'!$B$12:$B$35,$B57,'9.Инвестиционна програма'!H$12:H$35)*$E$6</f>
        <v>0</v>
      </c>
      <c r="H57" s="2962">
        <f>SUMIF('9.Инвестиционна програма'!$B$12:$B$35,$B57,'9.Инвестиционна програма'!I$12:I$35)*$E$6</f>
        <v>0</v>
      </c>
      <c r="I57" s="2962">
        <f>SUMIF('9.Инвестиционна програма'!$B$12:$B$35,$B57,'9.Инвестиционна програма'!J$12:J$35)*$E$6</f>
        <v>0</v>
      </c>
      <c r="J57" s="2962">
        <f>SUMIF('9.Инвестиционна програма'!$B$12:$B$35,$B57,'9.Инвестиционна програма'!K$12:K$35)*$E$6</f>
        <v>0</v>
      </c>
      <c r="K57" s="2981">
        <f>SUMIF('9.Инвестиционна програма'!$B$12:$B$35,$B57,'9.Инвестиционна програма'!L$12:L$35)*$E$6</f>
        <v>0</v>
      </c>
      <c r="L57" s="1203">
        <f>'11.2. ДА за периода'!L57</f>
        <v>0</v>
      </c>
      <c r="M57" s="2974">
        <f>SUMIF('9.Инвестиционна програма'!$B$37:$B$47,$B57,'9.Инвестиционна програма'!G$37:G$47)*$E$6</f>
        <v>0</v>
      </c>
      <c r="N57" s="2962">
        <f>SUMIF('9.Инвестиционна програма'!$B$37:$B$47,$B57,'9.Инвестиционна програма'!H$37:H$47)*$E$6</f>
        <v>0</v>
      </c>
      <c r="O57" s="2962">
        <f>SUMIF('9.Инвестиционна програма'!$B$37:$B$47,$B57,'9.Инвестиционна програма'!I$37:I$47)*$E$6</f>
        <v>0</v>
      </c>
      <c r="P57" s="2962">
        <f>SUMIF('9.Инвестиционна програма'!$B$37:$B$47,$B57,'9.Инвестиционна програма'!J$37:J$47)*$E$6</f>
        <v>0</v>
      </c>
      <c r="Q57" s="2962">
        <f>SUMIF('9.Инвестиционна програма'!$B$37:$B$47,$B57,'9.Инвестиционна програма'!K$37:K$47)*$E$6</f>
        <v>0</v>
      </c>
      <c r="R57" s="2963">
        <f>SUMIF('9.Инвестиционна програма'!$B$37:$B$47,$B57,'9.Инвестиционна програма'!L$37:L$47)*$E$6</f>
        <v>0</v>
      </c>
      <c r="S57" s="1203">
        <f>'11.2. ДА за периода'!S57</f>
        <v>0</v>
      </c>
      <c r="T57" s="2961">
        <f>SUMIF('9.Инвестиционна програма'!$B$49:$B$56,$B57,'9.Инвестиционна програма'!G$49:G$56)*$E$6</f>
        <v>0</v>
      </c>
      <c r="U57" s="2962">
        <f>SUMIF('9.Инвестиционна програма'!$B$49:$B$56,$B57,'9.Инвестиционна програма'!H$49:H$56)*$E$6</f>
        <v>0</v>
      </c>
      <c r="V57" s="2962">
        <f>SUMIF('9.Инвестиционна програма'!$B$49:$B$56,$B57,'9.Инвестиционна програма'!I$49:I$56)*$E$6</f>
        <v>0</v>
      </c>
      <c r="W57" s="2962">
        <f>SUMIF('9.Инвестиционна програма'!$B$49:$B$56,$B57,'9.Инвестиционна програма'!J$49:J$56)*$E$6</f>
        <v>0</v>
      </c>
      <c r="X57" s="2962">
        <f>SUMIF('9.Инвестиционна програма'!$B$49:$B$56,$B57,'9.Инвестиционна програма'!K$49:K$56)*$E$6</f>
        <v>0</v>
      </c>
      <c r="Y57" s="2963">
        <f>SUMIF('9.Инвестиционна програма'!$B$49:$B$56,$B57,'9.Инвестиционна програма'!L$49:L$56)*$E$6</f>
        <v>0</v>
      </c>
      <c r="Z57" s="1203">
        <f>'11.2. ДА за периода'!Z57</f>
        <v>0</v>
      </c>
      <c r="AA57" s="2961">
        <f>SUMIF('9.Инвестиционна програма'!$B$74:$B$97,$B57,'9.Инвестиционна програма'!G$74:G$97)*$E$6</f>
        <v>0</v>
      </c>
      <c r="AB57" s="2962">
        <f>SUMIF('9.Инвестиционна програма'!$B$74:$B$97,$B57,'9.Инвестиционна програма'!H$74:H$97)*$E$6</f>
        <v>0</v>
      </c>
      <c r="AC57" s="2962">
        <f>SUMIF('9.Инвестиционна програма'!$B$74:$B$97,$B57,'9.Инвестиционна програма'!I$74:I$97)*$E$6</f>
        <v>0</v>
      </c>
      <c r="AD57" s="2962">
        <f>SUMIF('9.Инвестиционна програма'!$B$74:$B$97,$B57,'9.Инвестиционна програма'!J$74:J$97)*$E$6</f>
        <v>0</v>
      </c>
      <c r="AE57" s="2962">
        <f>SUMIF('9.Инвестиционна програма'!$B$74:$B$97,$B57,'9.Инвестиционна програма'!K$74:K$97)*$E$6</f>
        <v>0</v>
      </c>
      <c r="AF57" s="2963">
        <f>SUMIF('9.Инвестиционна програма'!$B$74:$B$97,$B57,'9.Инвестиционна програма'!L$74:L$97)*$E$6</f>
        <v>0</v>
      </c>
      <c r="AG57" s="1203">
        <f>'11.2. ДА за периода'!AG57</f>
        <v>0</v>
      </c>
      <c r="AH57" s="2961">
        <f>SUMIF('9.Инвестиционна програма'!$B$100:$B$123,$B57,'9.Инвестиционна програма'!G$100:G$123)*$E$6</f>
        <v>0</v>
      </c>
      <c r="AI57" s="2962">
        <f>SUMIF('9.Инвестиционна програма'!$B$100:$B$123,$B57,'9.Инвестиционна програма'!H$100:H$123)*$E$6</f>
        <v>0</v>
      </c>
      <c r="AJ57" s="2962">
        <f>SUMIF('9.Инвестиционна програма'!$B$100:$B$123,$B57,'9.Инвестиционна програма'!I$100:I$123)*$E$6</f>
        <v>0</v>
      </c>
      <c r="AK57" s="2962">
        <f>SUMIF('9.Инвестиционна програма'!$B$100:$B$123,$B57,'9.Инвестиционна програма'!J$100:J$123)*$E$6</f>
        <v>0</v>
      </c>
      <c r="AL57" s="2962">
        <f>SUMIF('9.Инвестиционна програма'!$B$100:$B$123,$B57,'9.Инвестиционна програма'!K$100:K$123)*$E$6</f>
        <v>0</v>
      </c>
      <c r="AM57" s="2963">
        <f>SUMIF('9.Инвестиционна програма'!$B$100:$B$123,$B57,'9.Инвестиционна програма'!L$100:L$123)*$E$6</f>
        <v>0</v>
      </c>
      <c r="AN57" s="1203">
        <f>'11.2. ДА за периода'!AN57</f>
        <v>0</v>
      </c>
      <c r="AO57" s="2961">
        <f>(SUMIF('9.Инвестиционна програма'!$B$58:$B$59,$B57,'9.Инвестиционна програма'!G$58:G$59)+SUMIF('9.Инвестиционна програма'!$B$61:$B$71,$B57,'9.Инвестиционна програма'!G$61:G$71))*$E$6</f>
        <v>0</v>
      </c>
      <c r="AP57" s="2962">
        <f>(SUMIF('9.Инвестиционна програма'!$B$58:$B$59,$B57,'9.Инвестиционна програма'!H$58:H$59)+SUMIF('9.Инвестиционна програма'!$B$61:$B$71,$B57,'9.Инвестиционна програма'!H$61:H$71))*$E$6</f>
        <v>0</v>
      </c>
      <c r="AQ57" s="2962">
        <f>(SUMIF('9.Инвестиционна програма'!$B$58:$B$59,$B57,'9.Инвестиционна програма'!I$58:I$59)+SUMIF('9.Инвестиционна програма'!$B$61:$B$71,$B57,'9.Инвестиционна програма'!I$61:I$71))*$E$6</f>
        <v>0</v>
      </c>
      <c r="AR57" s="2962">
        <f>(SUMIF('9.Инвестиционна програма'!$B$58:$B$59,$B57,'9.Инвестиционна програма'!J$58:J$59)+SUMIF('9.Инвестиционна програма'!$B$61:$B$71,$B57,'9.Инвестиционна програма'!J$61:J$71))*$E$6</f>
        <v>0</v>
      </c>
      <c r="AS57" s="2962">
        <f>(SUMIF('9.Инвестиционна програма'!$B$58:$B$59,$B57,'9.Инвестиционна програма'!K$58:K$59)+SUMIF('9.Инвестиционна програма'!$B$61:$B$71,$B57,'9.Инвестиционна програма'!K$61:K$71))*$E$6</f>
        <v>0</v>
      </c>
      <c r="AT57" s="2963">
        <f>(SUMIF('9.Инвестиционна програма'!$B$58:$B$59,$B57,'9.Инвестиционна програма'!L$58:L$59)+SUMIF('9.Инвестиционна програма'!$B$61:$B$71,$B57,'9.Инвестиционна програма'!L$61:L$71))*$E$6</f>
        <v>0</v>
      </c>
      <c r="AU57" s="3006"/>
    </row>
    <row r="58" spans="1:47" s="34" customFormat="1" ht="24">
      <c r="A58" s="3055">
        <v>11</v>
      </c>
      <c r="B58" s="4263">
        <v>215</v>
      </c>
      <c r="C58" s="4246">
        <v>0.2</v>
      </c>
      <c r="D58" s="3054" t="s">
        <v>685</v>
      </c>
      <c r="E58" s="3047">
        <f>'11.2. ДА за периода'!E58</f>
        <v>0</v>
      </c>
      <c r="F58" s="2974">
        <f>SUMIF('9.Инвестиционна програма'!$B$12:$B$35,$B58,'9.Инвестиционна програма'!G$12:G$35)*$E$6</f>
        <v>0</v>
      </c>
      <c r="G58" s="2962">
        <f>SUMIF('9.Инвестиционна програма'!$B$12:$B$35,$B58,'9.Инвестиционна програма'!H$12:H$35)*$E$6</f>
        <v>0</v>
      </c>
      <c r="H58" s="2962">
        <f>SUMIF('9.Инвестиционна програма'!$B$12:$B$35,$B58,'9.Инвестиционна програма'!I$12:I$35)*$E$6</f>
        <v>0</v>
      </c>
      <c r="I58" s="2962">
        <f>SUMIF('9.Инвестиционна програма'!$B$12:$B$35,$B58,'9.Инвестиционна програма'!J$12:J$35)*$E$6</f>
        <v>0</v>
      </c>
      <c r="J58" s="2962">
        <f>SUMIF('9.Инвестиционна програма'!$B$12:$B$35,$B58,'9.Инвестиционна програма'!K$12:K$35)*$E$6</f>
        <v>0</v>
      </c>
      <c r="K58" s="2981">
        <f>SUMIF('9.Инвестиционна програма'!$B$12:$B$35,$B58,'9.Инвестиционна програма'!L$12:L$35)*$E$6</f>
        <v>0</v>
      </c>
      <c r="L58" s="1203">
        <f>'11.2. ДА за периода'!L58</f>
        <v>0</v>
      </c>
      <c r="M58" s="2974">
        <f>SUMIF('9.Инвестиционна програма'!$B$37:$B$47,$B58,'9.Инвестиционна програма'!G$37:G$47)*$E$6</f>
        <v>0</v>
      </c>
      <c r="N58" s="2962">
        <f>SUMIF('9.Инвестиционна програма'!$B$37:$B$47,$B58,'9.Инвестиционна програма'!H$37:H$47)*$E$6</f>
        <v>0</v>
      </c>
      <c r="O58" s="2962">
        <f>SUMIF('9.Инвестиционна програма'!$B$37:$B$47,$B58,'9.Инвестиционна програма'!I$37:I$47)*$E$6</f>
        <v>0</v>
      </c>
      <c r="P58" s="2962">
        <f>SUMIF('9.Инвестиционна програма'!$B$37:$B$47,$B58,'9.Инвестиционна програма'!J$37:J$47)*$E$6</f>
        <v>0</v>
      </c>
      <c r="Q58" s="2962">
        <f>SUMIF('9.Инвестиционна програма'!$B$37:$B$47,$B58,'9.Инвестиционна програма'!K$37:K$47)*$E$6</f>
        <v>0</v>
      </c>
      <c r="R58" s="2963">
        <f>SUMIF('9.Инвестиционна програма'!$B$37:$B$47,$B58,'9.Инвестиционна програма'!L$37:L$47)*$E$6</f>
        <v>0</v>
      </c>
      <c r="S58" s="1203">
        <f>'11.2. ДА за периода'!S58</f>
        <v>0</v>
      </c>
      <c r="T58" s="2961">
        <f>SUMIF('9.Инвестиционна програма'!$B$49:$B$56,$B58,'9.Инвестиционна програма'!G$49:G$56)*$E$6</f>
        <v>0</v>
      </c>
      <c r="U58" s="2962">
        <f>SUMIF('9.Инвестиционна програма'!$B$49:$B$56,$B58,'9.Инвестиционна програма'!H$49:H$56)*$E$6</f>
        <v>0</v>
      </c>
      <c r="V58" s="2962">
        <f>SUMIF('9.Инвестиционна програма'!$B$49:$B$56,$B58,'9.Инвестиционна програма'!I$49:I$56)*$E$6</f>
        <v>0</v>
      </c>
      <c r="W58" s="2962">
        <f>SUMIF('9.Инвестиционна програма'!$B$49:$B$56,$B58,'9.Инвестиционна програма'!J$49:J$56)*$E$6</f>
        <v>0</v>
      </c>
      <c r="X58" s="2962">
        <f>SUMIF('9.Инвестиционна програма'!$B$49:$B$56,$B58,'9.Инвестиционна програма'!K$49:K$56)*$E$6</f>
        <v>0</v>
      </c>
      <c r="Y58" s="2963">
        <f>SUMIF('9.Инвестиционна програма'!$B$49:$B$56,$B58,'9.Инвестиционна програма'!L$49:L$56)*$E$6</f>
        <v>0</v>
      </c>
      <c r="Z58" s="1203">
        <f>'11.2. ДА за периода'!Z58</f>
        <v>0</v>
      </c>
      <c r="AA58" s="2961">
        <f>SUMIF('9.Инвестиционна програма'!$B$74:$B$97,$B58,'9.Инвестиционна програма'!G$74:G$97)*$E$6</f>
        <v>0</v>
      </c>
      <c r="AB58" s="2962">
        <f>SUMIF('9.Инвестиционна програма'!$B$74:$B$97,$B58,'9.Инвестиционна програма'!H$74:H$97)*$E$6</f>
        <v>0</v>
      </c>
      <c r="AC58" s="2962">
        <f>SUMIF('9.Инвестиционна програма'!$B$74:$B$97,$B58,'9.Инвестиционна програма'!I$74:I$97)*$E$6</f>
        <v>0</v>
      </c>
      <c r="AD58" s="2962">
        <f>SUMIF('9.Инвестиционна програма'!$B$74:$B$97,$B58,'9.Инвестиционна програма'!J$74:J$97)*$E$6</f>
        <v>0</v>
      </c>
      <c r="AE58" s="2962">
        <f>SUMIF('9.Инвестиционна програма'!$B$74:$B$97,$B58,'9.Инвестиционна програма'!K$74:K$97)*$E$6</f>
        <v>0</v>
      </c>
      <c r="AF58" s="2963">
        <f>SUMIF('9.Инвестиционна програма'!$B$74:$B$97,$B58,'9.Инвестиционна програма'!L$74:L$97)*$E$6</f>
        <v>0</v>
      </c>
      <c r="AG58" s="1203">
        <f>'11.2. ДА за периода'!AG58</f>
        <v>0</v>
      </c>
      <c r="AH58" s="2961">
        <f>SUMIF('9.Инвестиционна програма'!$B$100:$B$123,$B58,'9.Инвестиционна програма'!G$100:G$123)*$E$6</f>
        <v>0</v>
      </c>
      <c r="AI58" s="2962">
        <f>SUMIF('9.Инвестиционна програма'!$B$100:$B$123,$B58,'9.Инвестиционна програма'!H$100:H$123)*$E$6</f>
        <v>0</v>
      </c>
      <c r="AJ58" s="2962">
        <f>SUMIF('9.Инвестиционна програма'!$B$100:$B$123,$B58,'9.Инвестиционна програма'!I$100:I$123)*$E$6</f>
        <v>0</v>
      </c>
      <c r="AK58" s="2962">
        <f>SUMIF('9.Инвестиционна програма'!$B$100:$B$123,$B58,'9.Инвестиционна програма'!J$100:J$123)*$E$6</f>
        <v>0</v>
      </c>
      <c r="AL58" s="2962">
        <f>SUMIF('9.Инвестиционна програма'!$B$100:$B$123,$B58,'9.Инвестиционна програма'!K$100:K$123)*$E$6</f>
        <v>0</v>
      </c>
      <c r="AM58" s="2963">
        <f>SUMIF('9.Инвестиционна програма'!$B$100:$B$123,$B58,'9.Инвестиционна програма'!L$100:L$123)*$E$6</f>
        <v>0</v>
      </c>
      <c r="AN58" s="1203">
        <f>'11.2. ДА за периода'!AN58</f>
        <v>0</v>
      </c>
      <c r="AO58" s="2961">
        <f>(SUMIF('9.Инвестиционна програма'!$B$58:$B$59,$B58,'9.Инвестиционна програма'!G$58:G$59)+SUMIF('9.Инвестиционна програма'!$B$61:$B$71,$B58,'9.Инвестиционна програма'!G$61:G$71))*$E$6</f>
        <v>0</v>
      </c>
      <c r="AP58" s="2962">
        <f>(SUMIF('9.Инвестиционна програма'!$B$58:$B$59,$B58,'9.Инвестиционна програма'!H$58:H$59)+SUMIF('9.Инвестиционна програма'!$B$61:$B$71,$B58,'9.Инвестиционна програма'!H$61:H$71))*$E$6</f>
        <v>107.627</v>
      </c>
      <c r="AQ58" s="2962">
        <f>(SUMIF('9.Инвестиционна програма'!$B$58:$B$59,$B58,'9.Инвестиционна програма'!I$58:I$59)+SUMIF('9.Инвестиционна програма'!$B$61:$B$71,$B58,'9.Инвестиционна програма'!I$61:I$71))*$E$6</f>
        <v>4</v>
      </c>
      <c r="AR58" s="2962">
        <f>(SUMIF('9.Инвестиционна програма'!$B$58:$B$59,$B58,'9.Инвестиционна програма'!J$58:J$59)+SUMIF('9.Инвестиционна програма'!$B$61:$B$71,$B58,'9.Инвестиционна програма'!J$61:J$71))*$E$6</f>
        <v>4</v>
      </c>
      <c r="AS58" s="2962">
        <f>(SUMIF('9.Инвестиционна програма'!$B$58:$B$59,$B58,'9.Инвестиционна програма'!K$58:K$59)+SUMIF('9.Инвестиционна програма'!$B$61:$B$71,$B58,'9.Инвестиционна програма'!K$61:K$71))*$E$6</f>
        <v>4</v>
      </c>
      <c r="AT58" s="2963">
        <f>(SUMIF('9.Инвестиционна програма'!$B$58:$B$59,$B58,'9.Инвестиционна програма'!L$58:L$59)+SUMIF('9.Инвестиционна програма'!$B$61:$B$71,$B58,'9.Инвестиционна програма'!L$61:L$71))*$E$6</f>
        <v>4</v>
      </c>
      <c r="AU58" s="3006"/>
    </row>
    <row r="59" spans="1:47" s="34" customFormat="1" ht="13.5" thickBot="1">
      <c r="A59" s="3084">
        <v>12</v>
      </c>
      <c r="B59" s="4265">
        <v>219</v>
      </c>
      <c r="C59" s="4248">
        <v>0.1</v>
      </c>
      <c r="D59" s="3085" t="s">
        <v>221</v>
      </c>
      <c r="E59" s="3086">
        <f>'11.2. ДА за периода'!E59</f>
        <v>0</v>
      </c>
      <c r="F59" s="3087">
        <f>SUMIF('9.Инвестиционна програма'!$B$12:$B$35,$B59,'9.Инвестиционна програма'!G$12:G$35)*$E$6</f>
        <v>0</v>
      </c>
      <c r="G59" s="3088">
        <f>SUMIF('9.Инвестиционна програма'!$B$12:$B$35,$B59,'9.Инвестиционна програма'!H$12:H$35)*$E$6</f>
        <v>0</v>
      </c>
      <c r="H59" s="3088">
        <f>SUMIF('9.Инвестиционна програма'!$B$12:$B$35,$B59,'9.Инвестиционна програма'!I$12:I$35)*$E$6</f>
        <v>0</v>
      </c>
      <c r="I59" s="3088">
        <f>SUMIF('9.Инвестиционна програма'!$B$12:$B$35,$B59,'9.Инвестиционна програма'!J$12:J$35)*$E$6</f>
        <v>0</v>
      </c>
      <c r="J59" s="3088">
        <f>SUMIF('9.Инвестиционна програма'!$B$12:$B$35,$B59,'9.Инвестиционна програма'!K$12:K$35)*$E$6</f>
        <v>0</v>
      </c>
      <c r="K59" s="3089">
        <f>SUMIF('9.Инвестиционна програма'!$B$12:$B$35,$B59,'9.Инвестиционна програма'!L$12:L$35)*$E$6</f>
        <v>0</v>
      </c>
      <c r="L59" s="3090">
        <f>'11.2. ДА за периода'!L59</f>
        <v>0</v>
      </c>
      <c r="M59" s="3087">
        <f>SUMIF('9.Инвестиционна програма'!$B$37:$B$47,$B59,'9.Инвестиционна програма'!G$37:G$47)*$E$6</f>
        <v>0</v>
      </c>
      <c r="N59" s="3088">
        <f>SUMIF('9.Инвестиционна програма'!$B$37:$B$47,$B59,'9.Инвестиционна програма'!H$37:H$47)*$E$6</f>
        <v>0</v>
      </c>
      <c r="O59" s="3088">
        <f>SUMIF('9.Инвестиционна програма'!$B$37:$B$47,$B59,'9.Инвестиционна програма'!I$37:I$47)*$E$6</f>
        <v>0</v>
      </c>
      <c r="P59" s="3088">
        <f>SUMIF('9.Инвестиционна програма'!$B$37:$B$47,$B59,'9.Инвестиционна програма'!J$37:J$47)*$E$6</f>
        <v>0</v>
      </c>
      <c r="Q59" s="3088">
        <f>SUMIF('9.Инвестиционна програма'!$B$37:$B$47,$B59,'9.Инвестиционна програма'!K$37:K$47)*$E$6</f>
        <v>0</v>
      </c>
      <c r="R59" s="3091">
        <f>SUMIF('9.Инвестиционна програма'!$B$37:$B$47,$B59,'9.Инвестиционна програма'!L$37:L$47)*$E$6</f>
        <v>0</v>
      </c>
      <c r="S59" s="3090">
        <f>'11.2. ДА за периода'!S59</f>
        <v>0</v>
      </c>
      <c r="T59" s="3092">
        <f>SUMIF('9.Инвестиционна програма'!$B$49:$B$56,$B59,'9.Инвестиционна програма'!G$49:G$56)*$E$6</f>
        <v>0</v>
      </c>
      <c r="U59" s="3088">
        <f>SUMIF('9.Инвестиционна програма'!$B$49:$B$56,$B59,'9.Инвестиционна програма'!H$49:H$56)*$E$6</f>
        <v>0</v>
      </c>
      <c r="V59" s="3088">
        <f>SUMIF('9.Инвестиционна програма'!$B$49:$B$56,$B59,'9.Инвестиционна програма'!I$49:I$56)*$E$6</f>
        <v>0</v>
      </c>
      <c r="W59" s="3088">
        <f>SUMIF('9.Инвестиционна програма'!$B$49:$B$56,$B59,'9.Инвестиционна програма'!J$49:J$56)*$E$6</f>
        <v>0</v>
      </c>
      <c r="X59" s="3088">
        <f>SUMIF('9.Инвестиционна програма'!$B$49:$B$56,$B59,'9.Инвестиционна програма'!K$49:K$56)*$E$6</f>
        <v>0</v>
      </c>
      <c r="Y59" s="3091">
        <f>SUMIF('9.Инвестиционна програма'!$B$49:$B$56,$B59,'9.Инвестиционна програма'!L$49:L$56)*$E$6</f>
        <v>0</v>
      </c>
      <c r="Z59" s="3090">
        <f>'11.2. ДА за периода'!Z59</f>
        <v>0</v>
      </c>
      <c r="AA59" s="3092">
        <f>SUMIF('9.Инвестиционна програма'!$B$74:$B$97,$B59,'9.Инвестиционна програма'!G$74:G$97)*$E$6</f>
        <v>0</v>
      </c>
      <c r="AB59" s="3088">
        <f>SUMIF('9.Инвестиционна програма'!$B$74:$B$97,$B59,'9.Инвестиционна програма'!H$74:H$97)*$E$6</f>
        <v>0</v>
      </c>
      <c r="AC59" s="3088">
        <f>SUMIF('9.Инвестиционна програма'!$B$74:$B$97,$B59,'9.Инвестиционна програма'!I$74:I$97)*$E$6</f>
        <v>0</v>
      </c>
      <c r="AD59" s="3088">
        <f>SUMIF('9.Инвестиционна програма'!$B$74:$B$97,$B59,'9.Инвестиционна програма'!J$74:J$97)*$E$6</f>
        <v>0</v>
      </c>
      <c r="AE59" s="3088">
        <f>SUMIF('9.Инвестиционна програма'!$B$74:$B$97,$B59,'9.Инвестиционна програма'!K$74:K$97)*$E$6</f>
        <v>0</v>
      </c>
      <c r="AF59" s="3091">
        <f>SUMIF('9.Инвестиционна програма'!$B$74:$B$97,$B59,'9.Инвестиционна програма'!L$74:L$97)*$E$6</f>
        <v>0</v>
      </c>
      <c r="AG59" s="3090">
        <f>'11.2. ДА за периода'!AG59</f>
        <v>0</v>
      </c>
      <c r="AH59" s="3092">
        <f>SUMIF('9.Инвестиционна програма'!$B$100:$B$123,$B59,'9.Инвестиционна програма'!G$100:G$123)*$E$6</f>
        <v>0</v>
      </c>
      <c r="AI59" s="3088">
        <f>SUMIF('9.Инвестиционна програма'!$B$100:$B$123,$B59,'9.Инвестиционна програма'!H$100:H$123)*$E$6</f>
        <v>0</v>
      </c>
      <c r="AJ59" s="3088">
        <f>SUMIF('9.Инвестиционна програма'!$B$100:$B$123,$B59,'9.Инвестиционна програма'!I$100:I$123)*$E$6</f>
        <v>0</v>
      </c>
      <c r="AK59" s="3088">
        <f>SUMIF('9.Инвестиционна програма'!$B$100:$B$123,$B59,'9.Инвестиционна програма'!J$100:J$123)*$E$6</f>
        <v>0</v>
      </c>
      <c r="AL59" s="3088">
        <f>SUMIF('9.Инвестиционна програма'!$B$100:$B$123,$B59,'9.Инвестиционна програма'!K$100:K$123)*$E$6</f>
        <v>0</v>
      </c>
      <c r="AM59" s="3091">
        <f>SUMIF('9.Инвестиционна програма'!$B$100:$B$123,$B59,'9.Инвестиционна програма'!L$100:L$123)*$E$6</f>
        <v>0</v>
      </c>
      <c r="AN59" s="3090">
        <f>'11.2. ДА за периода'!AN59</f>
        <v>0</v>
      </c>
      <c r="AO59" s="3092">
        <f>(SUMIF('9.Инвестиционна програма'!$B$58:$B$59,$B59,'9.Инвестиционна програма'!G$58:G$59)+SUMIF('9.Инвестиционна програма'!$B$61:$B$71,$B59,'9.Инвестиционна програма'!G$61:G$71))*$E$6</f>
        <v>0</v>
      </c>
      <c r="AP59" s="3088">
        <f>(SUMIF('9.Инвестиционна програма'!$B$58:$B$59,$B59,'9.Инвестиционна програма'!H$58:H$59)+SUMIF('9.Инвестиционна програма'!$B$61:$B$71,$B59,'9.Инвестиционна програма'!H$61:H$71))*$E$6</f>
        <v>0</v>
      </c>
      <c r="AQ59" s="3088">
        <f>(SUMIF('9.Инвестиционна програма'!$B$58:$B$59,$B59,'9.Инвестиционна програма'!I$58:I$59)+SUMIF('9.Инвестиционна програма'!$B$61:$B$71,$B59,'9.Инвестиционна програма'!I$61:I$71))*$E$6</f>
        <v>0</v>
      </c>
      <c r="AR59" s="3088">
        <f>(SUMIF('9.Инвестиционна програма'!$B$58:$B$59,$B59,'9.Инвестиционна програма'!J$58:J$59)+SUMIF('9.Инвестиционна програма'!$B$61:$B$71,$B59,'9.Инвестиционна програма'!J$61:J$71))*$E$6</f>
        <v>0</v>
      </c>
      <c r="AS59" s="3088">
        <f>(SUMIF('9.Инвестиционна програма'!$B$58:$B$59,$B59,'9.Инвестиционна програма'!K$58:K$59)+SUMIF('9.Инвестиционна програма'!$B$61:$B$71,$B59,'9.Инвестиционна програма'!K$61:K$71))*$E$6</f>
        <v>0</v>
      </c>
      <c r="AT59" s="3091">
        <f>(SUMIF('9.Инвестиционна програма'!$B$58:$B$59,$B59,'9.Инвестиционна програма'!L$58:L$59)+SUMIF('9.Инвестиционна програма'!$B$61:$B$71,$B59,'9.Инвестиционна програма'!L$61:L$71))*$E$6</f>
        <v>0</v>
      </c>
      <c r="AU59" s="3006"/>
    </row>
    <row r="60" spans="1:47" s="43" customFormat="1" ht="15" thickBot="1">
      <c r="A60" s="3027" t="s">
        <v>211</v>
      </c>
      <c r="B60" s="4266"/>
      <c r="C60" s="4249"/>
      <c r="D60" s="3028" t="s">
        <v>223</v>
      </c>
      <c r="E60" s="3029">
        <f t="shared" ref="E60:AT60" si="27">E61+E64+E67+E79+E94+E99+SUM(E103:E108)</f>
        <v>14.127000000000001</v>
      </c>
      <c r="F60" s="3030">
        <f t="shared" si="27"/>
        <v>24.255000000000003</v>
      </c>
      <c r="G60" s="3031">
        <f t="shared" si="27"/>
        <v>75.442310000000006</v>
      </c>
      <c r="H60" s="3031">
        <f t="shared" si="27"/>
        <v>141.13140999999999</v>
      </c>
      <c r="I60" s="3031">
        <f t="shared" si="27"/>
        <v>196.54320000000001</v>
      </c>
      <c r="J60" s="3031">
        <f t="shared" si="27"/>
        <v>228.36320000000001</v>
      </c>
      <c r="K60" s="3093">
        <f t="shared" si="27"/>
        <v>259.7482</v>
      </c>
      <c r="L60" s="3033">
        <f t="shared" si="27"/>
        <v>4.020999999999999</v>
      </c>
      <c r="M60" s="3030">
        <f t="shared" si="27"/>
        <v>1.1000000000000001</v>
      </c>
      <c r="N60" s="3031">
        <f t="shared" si="27"/>
        <v>9.4334000000000007</v>
      </c>
      <c r="O60" s="3031">
        <f t="shared" si="27"/>
        <v>51.064610000000002</v>
      </c>
      <c r="P60" s="3031">
        <f t="shared" si="27"/>
        <v>88.903420000000025</v>
      </c>
      <c r="Q60" s="3031">
        <f t="shared" si="27"/>
        <v>95.373420000000024</v>
      </c>
      <c r="R60" s="3032">
        <f t="shared" si="27"/>
        <v>101.22042000000002</v>
      </c>
      <c r="S60" s="3033">
        <f t="shared" si="27"/>
        <v>0.17599999999999999</v>
      </c>
      <c r="T60" s="3034">
        <f t="shared" si="27"/>
        <v>0.12</v>
      </c>
      <c r="U60" s="3031">
        <f t="shared" si="27"/>
        <v>21.354499999999998</v>
      </c>
      <c r="V60" s="3031">
        <f t="shared" si="27"/>
        <v>64.543499999999995</v>
      </c>
      <c r="W60" s="3031">
        <f t="shared" si="27"/>
        <v>87.638000000000005</v>
      </c>
      <c r="X60" s="3031">
        <f t="shared" si="27"/>
        <v>88.658000000000015</v>
      </c>
      <c r="Y60" s="3032">
        <f t="shared" si="27"/>
        <v>88.658000000000015</v>
      </c>
      <c r="Z60" s="3033">
        <f t="shared" ref="Z60:AM60" si="28">Z61+Z64+Z67+Z79+Z94+Z99+SUM(Z103:Z108)</f>
        <v>7.0000000000000001E-3</v>
      </c>
      <c r="AA60" s="3034">
        <f t="shared" si="28"/>
        <v>0</v>
      </c>
      <c r="AB60" s="3031">
        <f t="shared" si="28"/>
        <v>0.05</v>
      </c>
      <c r="AC60" s="3031">
        <f t="shared" si="28"/>
        <v>0.15000000000000002</v>
      </c>
      <c r="AD60" s="3031">
        <f t="shared" si="28"/>
        <v>0.2</v>
      </c>
      <c r="AE60" s="3031">
        <f t="shared" si="28"/>
        <v>0.2</v>
      </c>
      <c r="AF60" s="3032">
        <f t="shared" si="28"/>
        <v>0.2</v>
      </c>
      <c r="AG60" s="3033">
        <f t="shared" si="28"/>
        <v>0</v>
      </c>
      <c r="AH60" s="3034">
        <f t="shared" si="28"/>
        <v>0</v>
      </c>
      <c r="AI60" s="3031">
        <f t="shared" si="28"/>
        <v>0</v>
      </c>
      <c r="AJ60" s="3031">
        <f t="shared" si="28"/>
        <v>0</v>
      </c>
      <c r="AK60" s="3031">
        <f t="shared" si="28"/>
        <v>0</v>
      </c>
      <c r="AL60" s="3031">
        <f t="shared" si="28"/>
        <v>0</v>
      </c>
      <c r="AM60" s="3032">
        <f t="shared" si="28"/>
        <v>0</v>
      </c>
      <c r="AN60" s="3033">
        <f t="shared" si="27"/>
        <v>0</v>
      </c>
      <c r="AO60" s="3034">
        <f t="shared" si="27"/>
        <v>9.3050000000000015</v>
      </c>
      <c r="AP60" s="3031">
        <f t="shared" si="27"/>
        <v>35.142699999999998</v>
      </c>
      <c r="AQ60" s="3031">
        <f t="shared" si="27"/>
        <v>57.730400000000003</v>
      </c>
      <c r="AR60" s="3031">
        <f t="shared" si="27"/>
        <v>70.0304</v>
      </c>
      <c r="AS60" s="3031">
        <f t="shared" si="27"/>
        <v>82.655400000000014</v>
      </c>
      <c r="AT60" s="3032">
        <f t="shared" si="27"/>
        <v>94.975400000000008</v>
      </c>
      <c r="AU60" s="3006"/>
    </row>
    <row r="61" spans="1:47" s="34" customFormat="1">
      <c r="A61" s="3094">
        <v>1</v>
      </c>
      <c r="B61" s="4267">
        <v>201</v>
      </c>
      <c r="C61" s="4250">
        <v>0</v>
      </c>
      <c r="D61" s="3095" t="s">
        <v>222</v>
      </c>
      <c r="E61" s="3096">
        <f>SUM(E62:E63)</f>
        <v>0</v>
      </c>
      <c r="F61" s="3097">
        <f>SUM(F62:F63)</f>
        <v>0</v>
      </c>
      <c r="G61" s="3098">
        <f t="shared" ref="G61:J61" si="29">SUM(G62:G63)</f>
        <v>0</v>
      </c>
      <c r="H61" s="3098">
        <f t="shared" si="29"/>
        <v>0</v>
      </c>
      <c r="I61" s="3098">
        <f t="shared" si="29"/>
        <v>0</v>
      </c>
      <c r="J61" s="3098">
        <f t="shared" si="29"/>
        <v>0</v>
      </c>
      <c r="K61" s="3099">
        <f>SUM(K62:K63)</f>
        <v>0</v>
      </c>
      <c r="L61" s="3042">
        <f>SUM(L62:L63)</f>
        <v>0</v>
      </c>
      <c r="M61" s="3097">
        <f>SUM(M62:M63)</f>
        <v>0</v>
      </c>
      <c r="N61" s="3098">
        <f t="shared" ref="N61:Q61" si="30">SUM(N62:N63)</f>
        <v>0</v>
      </c>
      <c r="O61" s="3098">
        <f t="shared" si="30"/>
        <v>0</v>
      </c>
      <c r="P61" s="3098">
        <f t="shared" si="30"/>
        <v>0</v>
      </c>
      <c r="Q61" s="3098">
        <f t="shared" si="30"/>
        <v>0</v>
      </c>
      <c r="R61" s="3100">
        <f>SUM(R62:R63)</f>
        <v>0</v>
      </c>
      <c r="S61" s="3042">
        <f>SUM(S62:S63)</f>
        <v>0</v>
      </c>
      <c r="T61" s="3101">
        <f>SUM(T62:T63)</f>
        <v>0</v>
      </c>
      <c r="U61" s="3098">
        <f t="shared" ref="U61:X61" si="31">SUM(U62:U63)</f>
        <v>0</v>
      </c>
      <c r="V61" s="3098">
        <f t="shared" si="31"/>
        <v>0</v>
      </c>
      <c r="W61" s="3098">
        <f t="shared" si="31"/>
        <v>0</v>
      </c>
      <c r="X61" s="3098">
        <f t="shared" si="31"/>
        <v>0</v>
      </c>
      <c r="Y61" s="3100">
        <f>SUM(Y62:Y63)</f>
        <v>0</v>
      </c>
      <c r="Z61" s="3042">
        <f>SUM(Z62:Z63)</f>
        <v>0</v>
      </c>
      <c r="AA61" s="3101">
        <f>SUM(AA62:AA63)</f>
        <v>0</v>
      </c>
      <c r="AB61" s="3098">
        <f t="shared" ref="AB61:AE61" si="32">SUM(AB62:AB63)</f>
        <v>0</v>
      </c>
      <c r="AC61" s="3098">
        <f t="shared" si="32"/>
        <v>0</v>
      </c>
      <c r="AD61" s="3098">
        <f t="shared" si="32"/>
        <v>0</v>
      </c>
      <c r="AE61" s="3098">
        <f t="shared" si="32"/>
        <v>0</v>
      </c>
      <c r="AF61" s="3100">
        <f>SUM(AF62:AF63)</f>
        <v>0</v>
      </c>
      <c r="AG61" s="3042">
        <f>SUM(AG62:AG63)</f>
        <v>0</v>
      </c>
      <c r="AH61" s="3101">
        <f>SUM(AH62:AH63)</f>
        <v>0</v>
      </c>
      <c r="AI61" s="3098">
        <f t="shared" ref="AI61:AL61" si="33">SUM(AI62:AI63)</f>
        <v>0</v>
      </c>
      <c r="AJ61" s="3098">
        <f t="shared" si="33"/>
        <v>0</v>
      </c>
      <c r="AK61" s="3098">
        <f t="shared" si="33"/>
        <v>0</v>
      </c>
      <c r="AL61" s="3098">
        <f t="shared" si="33"/>
        <v>0</v>
      </c>
      <c r="AM61" s="3100">
        <f>SUM(AM62:AM63)</f>
        <v>0</v>
      </c>
      <c r="AN61" s="3042">
        <f>SUM(AN62:AN63)</f>
        <v>0</v>
      </c>
      <c r="AO61" s="3097">
        <f>SUM(AO62:AO63)</f>
        <v>0</v>
      </c>
      <c r="AP61" s="3098">
        <f t="shared" ref="AP61:AS61" si="34">SUM(AP62:AP63)</f>
        <v>0</v>
      </c>
      <c r="AQ61" s="3098">
        <f t="shared" si="34"/>
        <v>0</v>
      </c>
      <c r="AR61" s="3098">
        <f t="shared" si="34"/>
        <v>0</v>
      </c>
      <c r="AS61" s="3098">
        <f t="shared" si="34"/>
        <v>0</v>
      </c>
      <c r="AT61" s="3100">
        <f>SUM(AT62:AT63)</f>
        <v>0</v>
      </c>
      <c r="AU61" s="3102"/>
    </row>
    <row r="62" spans="1:47" s="42" customFormat="1">
      <c r="A62" s="3045"/>
      <c r="B62" s="4256">
        <v>20101</v>
      </c>
      <c r="C62" s="4239">
        <v>0</v>
      </c>
      <c r="D62" s="3046" t="s">
        <v>562</v>
      </c>
      <c r="E62" s="3047">
        <f>'11.2. ДА за периода'!E62</f>
        <v>0</v>
      </c>
      <c r="F62" s="2971">
        <f>($F13*$C62)/$E$7</f>
        <v>0</v>
      </c>
      <c r="G62" s="1226">
        <f>($F13*$C62)+($G13*$C62)/$E$7</f>
        <v>0</v>
      </c>
      <c r="H62" s="1226">
        <f>($F13*$C62)+($G13*$C62)+($H13*$C62)/$E$7</f>
        <v>0</v>
      </c>
      <c r="I62" s="1226">
        <f>($F13*$C62)+($G13*$C62)+($H13*$C62)+($I13*$C62)/$E$7</f>
        <v>0</v>
      </c>
      <c r="J62" s="1226">
        <f>($F13*$C62)+($G13*$C62)+($H13*$C62)+($I13*$C62)+($J13*$C62)/$E$7</f>
        <v>0</v>
      </c>
      <c r="K62" s="3103">
        <f>($F13*$C62)+($G13*$C62)+($H13*$C62)+($I13*$C62)+($J13*$C62)+($K13*$C62)/$E$7</f>
        <v>0</v>
      </c>
      <c r="L62" s="3047">
        <f>'11.2. ДА за периода'!L62</f>
        <v>0</v>
      </c>
      <c r="M62" s="2971">
        <f>($M13*$C62)/$E$7</f>
        <v>0</v>
      </c>
      <c r="N62" s="1226">
        <f>($M13*$C62)+($N13*$C62)/$E$7</f>
        <v>0</v>
      </c>
      <c r="O62" s="1226">
        <f>($M13*$C62)+($N13*$C62)+($O13*$C62)/$E$7</f>
        <v>0</v>
      </c>
      <c r="P62" s="1226">
        <f>($M13*$C62)+($N13*$C62)+($O13*$C62)+($P13*$C62)/$E$7</f>
        <v>0</v>
      </c>
      <c r="Q62" s="3103">
        <f>($M13*$C62)+($N13*$C62)+($O13*$C62)+($P13*$C62)+($Q13*$C62)/$E$7</f>
        <v>0</v>
      </c>
      <c r="R62" s="2972">
        <f>($M13*$C62)+($N13*$C62)+($O13*$C62)+($P13*$C62)+($Q13*$C62)+($R13*$C62)/$E$7</f>
        <v>0</v>
      </c>
      <c r="S62" s="1203">
        <f>'11.2. ДА за периода'!S62</f>
        <v>0</v>
      </c>
      <c r="T62" s="995">
        <f>(T13*$C62)/$E$7</f>
        <v>0</v>
      </c>
      <c r="U62" s="1226">
        <f>(T13*$C62)+(U13*$C62)/$E$7</f>
        <v>0</v>
      </c>
      <c r="V62" s="1226">
        <f>(T13*$C62)+(U13*$C62)+(V13*$C62)/$E$7</f>
        <v>0</v>
      </c>
      <c r="W62" s="1226">
        <f>(T13*$C62)+(U13*$C62)+(V13*$C62)+(W13*$C62)/$E$7</f>
        <v>0</v>
      </c>
      <c r="X62" s="1226">
        <f>(T13*$C62)+(U13*$C62)+(V13*$C62)+(W13*$C62)+(X13*$C62)/$E$7</f>
        <v>0</v>
      </c>
      <c r="Y62" s="2972">
        <f>(T13*$C62)+(U13*$C62)+(V13*$C62)+(W13*$C62)+(X13*$C62)+(Y13*$C62)/$E$7</f>
        <v>0</v>
      </c>
      <c r="Z62" s="1203">
        <f>'11.2. ДА за периода'!Z62</f>
        <v>0</v>
      </c>
      <c r="AA62" s="995">
        <f>(AA13*$C62)/$E$7</f>
        <v>0</v>
      </c>
      <c r="AB62" s="1226">
        <f>(AA13*$C62)+(AB13*$C62)/$E$7</f>
        <v>0</v>
      </c>
      <c r="AC62" s="1226">
        <f>(AA13*$C62)+(AB13*$C62)+(AC13*$C62)/$E$7</f>
        <v>0</v>
      </c>
      <c r="AD62" s="1226">
        <f>(AA13*$C62)+(AB13*$C62)+(AC13*$C62)+(AD13*$C62)/$E$7</f>
        <v>0</v>
      </c>
      <c r="AE62" s="1226">
        <f>(AA13*$C62)+(AB13*$C62)+(AC13*$C62)+(AD13*$C62)+(AE13*$C62)/$E$7</f>
        <v>0</v>
      </c>
      <c r="AF62" s="3103">
        <f>(AA13*$C62)+(AB13*$C62)+(AC13*$C62)+(AD13*$C62)+(AE13*$C62)+(AF13*$C62)/$E$7</f>
        <v>0</v>
      </c>
      <c r="AG62" s="1203">
        <f>'11.2. ДА за периода'!AG62</f>
        <v>0</v>
      </c>
      <c r="AH62" s="995">
        <f>(AH13*$C62)/$E$7</f>
        <v>0</v>
      </c>
      <c r="AI62" s="1226">
        <f>(AH13*$C62)+(AI13*$C62)/$E$7</f>
        <v>0</v>
      </c>
      <c r="AJ62" s="1226">
        <f>(AH13*$C62)+(AI13*$C62)+(AJ13*$C62)/$E$7</f>
        <v>0</v>
      </c>
      <c r="AK62" s="1226">
        <f>(AH13*$C62)+(AI13*$C62)+(AJ13*$C62)+(AK13*$C62)/$E$7</f>
        <v>0</v>
      </c>
      <c r="AL62" s="1226">
        <f>(AH13*$C62)+(AI13*$C62)+(AJ13*$C62)+(AK13*$C62)+(AL13*$C62)/$E$7</f>
        <v>0</v>
      </c>
      <c r="AM62" s="3103">
        <f>(AH13*$C62)+(AI13*$C62)+(AJ13*$C62)+(AK13*$C62)+(AL13*$C62)+(AM13*$C62)/$E$7</f>
        <v>0</v>
      </c>
      <c r="AN62" s="3047">
        <f>'11.2. ДА за периода'!AN62</f>
        <v>0</v>
      </c>
      <c r="AO62" s="2971">
        <f>($AO13*$C62)/$E$7</f>
        <v>0</v>
      </c>
      <c r="AP62" s="1226">
        <f>($AO13*$C62)+($AP13*$C62)/$E$7</f>
        <v>0</v>
      </c>
      <c r="AQ62" s="1226">
        <f>($AO13*$C62)+($AP13*$C62)+($AQ13*$C62)/$E$7</f>
        <v>0</v>
      </c>
      <c r="AR62" s="1226">
        <f>($AO13*$C62)+($AP13*$C62)+($AQ13*$C62)+($AR13*$C62)/$E$7</f>
        <v>0</v>
      </c>
      <c r="AS62" s="1226">
        <f>($AO13*$C62)+($AP13*$C62)+($AQ13*$C62)+($AR13*$C62)+($AS13*$C62)/$E$7</f>
        <v>0</v>
      </c>
      <c r="AT62" s="2972">
        <f>($AO13*$C62)+($AP13*$C62)+($AQ13*$C62)+($AR13*$C62)+($AS13*$C62)+($AT13*$C62)/$E$7</f>
        <v>0</v>
      </c>
      <c r="AU62" s="3104"/>
    </row>
    <row r="63" spans="1:47" s="42" customFormat="1">
      <c r="A63" s="3045"/>
      <c r="B63" s="4256">
        <v>20102</v>
      </c>
      <c r="C63" s="4239">
        <v>0</v>
      </c>
      <c r="D63" s="3105" t="s">
        <v>564</v>
      </c>
      <c r="E63" s="3047">
        <f>'11.2. ДА за периода'!E63</f>
        <v>0</v>
      </c>
      <c r="F63" s="2971">
        <f>($F14*$C63)/$E$7</f>
        <v>0</v>
      </c>
      <c r="G63" s="1226">
        <f>($F14*$C63)+($G14*$C63)/$E$7</f>
        <v>0</v>
      </c>
      <c r="H63" s="1226">
        <f>($F14*$C63)+($G14*$C63)+($H14*$C63)/$E$7</f>
        <v>0</v>
      </c>
      <c r="I63" s="1226">
        <f>($F14*$C63)+($G14*$C63)+($H14*$C63)+($I14*$C63)/$E$7</f>
        <v>0</v>
      </c>
      <c r="J63" s="1226">
        <f>($F14*$C63)+($G14*$C63)+($H14*$C63)+($I14*$C63)+($J14*$C63)/$E$7</f>
        <v>0</v>
      </c>
      <c r="K63" s="3103">
        <f>($F14*$C63)+($G14*$C63)+($H14*$C63)+($I14*$C63)+($J14*$C63)+($K14*$C63)/$E$7</f>
        <v>0</v>
      </c>
      <c r="L63" s="3047">
        <f>'11.2. ДА за периода'!L63</f>
        <v>0</v>
      </c>
      <c r="M63" s="2971">
        <f>($M14*$C63)/$E$7</f>
        <v>0</v>
      </c>
      <c r="N63" s="1226">
        <f>($M14*$C63)+($N14*$C63)/$E$7</f>
        <v>0</v>
      </c>
      <c r="O63" s="1226">
        <f>($M14*$C63)+($N14*$C63)+($O14*$C63)/$E$7</f>
        <v>0</v>
      </c>
      <c r="P63" s="1226">
        <f>($M14*$C63)+($N14*$C63)+($O14*$C63)+($P14*$C63)/$E$7</f>
        <v>0</v>
      </c>
      <c r="Q63" s="3103">
        <f>($M14*$C63)+($N14*$C63)+($O14*$C63)+($P14*$C63)+($Q14*$C63)/$E$7</f>
        <v>0</v>
      </c>
      <c r="R63" s="2972">
        <f>($M14*$C63)+($N14*$C63)+($O14*$C63)+($P14*$C63)+($Q14*$C63)+($R14*$C63)/$E$7</f>
        <v>0</v>
      </c>
      <c r="S63" s="1203">
        <f>'11.2. ДА за периода'!S63</f>
        <v>0</v>
      </c>
      <c r="T63" s="995">
        <f>($T14*$C63)/$E$7</f>
        <v>0</v>
      </c>
      <c r="U63" s="1226">
        <f>($T14*$C63)+($U14*$C63)/$E$7</f>
        <v>0</v>
      </c>
      <c r="V63" s="1226">
        <f>($T14*$C63)+($U14*$C63)+($V14*$C63)/$E$7</f>
        <v>0</v>
      </c>
      <c r="W63" s="1226">
        <f>($T14*$C63)+($U14*$C63)+($V14*$C63)+($W14*$C63)/$E$7</f>
        <v>0</v>
      </c>
      <c r="X63" s="1226">
        <f>($T14*$C63)+($U14*$C63)+($V14*$C63)+($W14*$C63)+($X14*$C63)/$E$7</f>
        <v>0</v>
      </c>
      <c r="Y63" s="2972">
        <f>($T14*$C63)+($U14*$C63)+($V14*$C63)+($W14*$C63)+($X14*$C63)+($Y14*$C63)/$E$7</f>
        <v>0</v>
      </c>
      <c r="Z63" s="1203">
        <f>'11.2. ДА за периода'!Z63</f>
        <v>0</v>
      </c>
      <c r="AA63" s="995">
        <f>(AA14*$C63)/$E$7</f>
        <v>0</v>
      </c>
      <c r="AB63" s="1226">
        <f>(AA14*$C63)+(AB14*$C63)/$E$7</f>
        <v>0</v>
      </c>
      <c r="AC63" s="1226">
        <f>(AA14*$C63)+(AB14*$C63)+(AC14*$C63)/$E$7</f>
        <v>0</v>
      </c>
      <c r="AD63" s="1226">
        <f>(AA14*$C63)+(AB14*$C63)+(AC14*$C63)+(AD14*$C63)/$E$7</f>
        <v>0</v>
      </c>
      <c r="AE63" s="1226">
        <f>(AA14*$C63)+(AB14*$C63)+(AC14*$C63)+(AD14*$C63)+(AE14*$C63)/$E$7</f>
        <v>0</v>
      </c>
      <c r="AF63" s="3103">
        <f>(AA14*$C63)+(AB14*$C63)+(AC14*$C63)+(AD14*$C63)+(AE14*$C63)+(AF14*$C63)/$E$7</f>
        <v>0</v>
      </c>
      <c r="AG63" s="1203">
        <f>'11.2. ДА за периода'!AG63</f>
        <v>0</v>
      </c>
      <c r="AH63" s="995">
        <f>(AH14*$C63)/$E$7</f>
        <v>0</v>
      </c>
      <c r="AI63" s="1226">
        <f>(AH14*$C63)+(AI14*$C63)/$E$7</f>
        <v>0</v>
      </c>
      <c r="AJ63" s="1226">
        <f>(AH14*$C63)+(AI14*$C63)+(AJ14*$C63)/$E$7</f>
        <v>0</v>
      </c>
      <c r="AK63" s="1226">
        <f>(AH14*$C63)+(AI14*$C63)+(AJ14*$C63)+(AK14*$C63)/$E$7</f>
        <v>0</v>
      </c>
      <c r="AL63" s="1226">
        <f>(AH14*$C63)+(AI14*$C63)+(AJ14*$C63)+(AK14*$C63)+(AL14*$C63)/$E$7</f>
        <v>0</v>
      </c>
      <c r="AM63" s="3103">
        <f>(AH14*$C63)+(AI14*$C63)+(AJ14*$C63)+(AK14*$C63)+(AL14*$C63)+(AM14*$C63)/$E$7</f>
        <v>0</v>
      </c>
      <c r="AN63" s="3047">
        <f>'11.2. ДА за периода'!AN63</f>
        <v>0</v>
      </c>
      <c r="AO63" s="2971">
        <f>($AO14*$C63)/$E$7</f>
        <v>0</v>
      </c>
      <c r="AP63" s="1226">
        <f>($AO14*$C63)+($AP14*$C63)/$E$7</f>
        <v>0</v>
      </c>
      <c r="AQ63" s="1226">
        <f>($AO14*$C63)+($AP14*$C63)+($AQ14*$C63)/$E$7</f>
        <v>0</v>
      </c>
      <c r="AR63" s="1226">
        <f>($AO14*$C63)+($AP14*$C63)+($AQ14*$C63)+($AR14*$C63)/$E$7</f>
        <v>0</v>
      </c>
      <c r="AS63" s="1226">
        <f>($AO14*$C63)+($AP14*$C63)+($AQ14*$C63)+($AR14*$C63)+($AS14*$C63)/$E$7</f>
        <v>0</v>
      </c>
      <c r="AT63" s="2972">
        <f>($AO14*$C63)+($AP14*$C63)+($AQ14*$C63)+($AR14*$C63)+($AS14*$C63)+($AT14*$C63)/$E$7</f>
        <v>0</v>
      </c>
      <c r="AU63" s="3106"/>
    </row>
    <row r="64" spans="1:47" s="34" customFormat="1">
      <c r="A64" s="3053">
        <v>2</v>
      </c>
      <c r="B64" s="4268">
        <v>202</v>
      </c>
      <c r="C64" s="4251">
        <v>0.03</v>
      </c>
      <c r="D64" s="3107" t="s">
        <v>409</v>
      </c>
      <c r="E64" s="3108">
        <f>SUM(E65:E66)</f>
        <v>8.4000000000000005E-2</v>
      </c>
      <c r="F64" s="3109">
        <f>SUM(F65:F66)</f>
        <v>0</v>
      </c>
      <c r="G64" s="3110">
        <f t="shared" ref="G64:AT64" si="35">SUM(G65:G66)</f>
        <v>0</v>
      </c>
      <c r="H64" s="3110">
        <f t="shared" si="35"/>
        <v>0</v>
      </c>
      <c r="I64" s="3110">
        <f t="shared" si="35"/>
        <v>0</v>
      </c>
      <c r="J64" s="3110">
        <f t="shared" si="35"/>
        <v>0</v>
      </c>
      <c r="K64" s="3111">
        <f t="shared" si="35"/>
        <v>0</v>
      </c>
      <c r="L64" s="3112">
        <f t="shared" si="35"/>
        <v>0</v>
      </c>
      <c r="M64" s="3109">
        <f t="shared" si="35"/>
        <v>0</v>
      </c>
      <c r="N64" s="3110">
        <f t="shared" si="35"/>
        <v>0</v>
      </c>
      <c r="O64" s="3110">
        <f t="shared" si="35"/>
        <v>0</v>
      </c>
      <c r="P64" s="3110">
        <f t="shared" si="35"/>
        <v>0</v>
      </c>
      <c r="Q64" s="3110">
        <f t="shared" si="35"/>
        <v>0</v>
      </c>
      <c r="R64" s="3113">
        <f t="shared" si="35"/>
        <v>0</v>
      </c>
      <c r="S64" s="3112">
        <f t="shared" si="35"/>
        <v>0</v>
      </c>
      <c r="T64" s="3114">
        <f t="shared" si="35"/>
        <v>0</v>
      </c>
      <c r="U64" s="3110">
        <f t="shared" si="35"/>
        <v>0</v>
      </c>
      <c r="V64" s="3110">
        <f t="shared" si="35"/>
        <v>0</v>
      </c>
      <c r="W64" s="3110">
        <f t="shared" si="35"/>
        <v>0</v>
      </c>
      <c r="X64" s="3110">
        <f t="shared" si="35"/>
        <v>0</v>
      </c>
      <c r="Y64" s="3113">
        <f t="shared" si="35"/>
        <v>0</v>
      </c>
      <c r="Z64" s="3112">
        <f t="shared" si="35"/>
        <v>0</v>
      </c>
      <c r="AA64" s="3114">
        <f t="shared" si="35"/>
        <v>0</v>
      </c>
      <c r="AB64" s="3110">
        <f t="shared" si="35"/>
        <v>0</v>
      </c>
      <c r="AC64" s="3110">
        <f t="shared" si="35"/>
        <v>0</v>
      </c>
      <c r="AD64" s="3110">
        <f t="shared" si="35"/>
        <v>0</v>
      </c>
      <c r="AE64" s="3110">
        <f t="shared" si="35"/>
        <v>0</v>
      </c>
      <c r="AF64" s="3113">
        <f t="shared" si="35"/>
        <v>0</v>
      </c>
      <c r="AG64" s="3112">
        <f t="shared" si="35"/>
        <v>0</v>
      </c>
      <c r="AH64" s="3114">
        <f t="shared" si="35"/>
        <v>0</v>
      </c>
      <c r="AI64" s="3110">
        <f t="shared" si="35"/>
        <v>0</v>
      </c>
      <c r="AJ64" s="3110">
        <f t="shared" si="35"/>
        <v>0</v>
      </c>
      <c r="AK64" s="3110">
        <f t="shared" si="35"/>
        <v>0</v>
      </c>
      <c r="AL64" s="3110">
        <f t="shared" si="35"/>
        <v>0</v>
      </c>
      <c r="AM64" s="3113">
        <f t="shared" si="35"/>
        <v>0</v>
      </c>
      <c r="AN64" s="3112">
        <f t="shared" si="35"/>
        <v>0</v>
      </c>
      <c r="AO64" s="3114">
        <f t="shared" si="35"/>
        <v>0.22499999999999998</v>
      </c>
      <c r="AP64" s="3110">
        <f t="shared" si="35"/>
        <v>0.56999999999999995</v>
      </c>
      <c r="AQ64" s="3110">
        <f t="shared" si="35"/>
        <v>0.94499999999999995</v>
      </c>
      <c r="AR64" s="3110">
        <f t="shared" si="35"/>
        <v>1.395</v>
      </c>
      <c r="AS64" s="3110">
        <f t="shared" si="35"/>
        <v>1.6199999999999999</v>
      </c>
      <c r="AT64" s="3113">
        <f t="shared" si="35"/>
        <v>1.89</v>
      </c>
      <c r="AU64" s="3115"/>
    </row>
    <row r="65" spans="1:47">
      <c r="A65" s="3060"/>
      <c r="B65" s="4269">
        <v>20201</v>
      </c>
      <c r="C65" s="4252">
        <v>0.03</v>
      </c>
      <c r="D65" s="3116" t="s">
        <v>430</v>
      </c>
      <c r="E65" s="3047">
        <f>'11.2. ДА за периода'!E65</f>
        <v>0</v>
      </c>
      <c r="F65" s="2971">
        <f>($F16*$C65)/$E$7</f>
        <v>0</v>
      </c>
      <c r="G65" s="1226">
        <f>($F16*$C65)+($G16*$C65)/$E$7</f>
        <v>0</v>
      </c>
      <c r="H65" s="1226">
        <f>($F16*$C65)+($G16*$C65)+($H16*$C65)/$E$7</f>
        <v>0</v>
      </c>
      <c r="I65" s="1226">
        <f>($F16*$C65)+($G16*$C65)+($H16*$C65)+($I16*$C65)/$E$7</f>
        <v>0</v>
      </c>
      <c r="J65" s="1226">
        <f>($F16*$C65)+($G16*$C65)+($H16*$C65)+($I16*$C65)+($J16*$C65)/$E$7</f>
        <v>0</v>
      </c>
      <c r="K65" s="3103">
        <f>($F16*$C65)+($G16*$C65)+($H16*$C65)+($I16*$C65)+($J16*$C65)+($K16*$C65)/$E$7</f>
        <v>0</v>
      </c>
      <c r="L65" s="3047">
        <f>'11.2. ДА за периода'!L65</f>
        <v>0</v>
      </c>
      <c r="M65" s="2971">
        <f>($M16*$C65)/$E$7</f>
        <v>0</v>
      </c>
      <c r="N65" s="1226">
        <f>($M16*$C65)+($N16*$C65)/$E$7</f>
        <v>0</v>
      </c>
      <c r="O65" s="1226">
        <f>($M16*$C65)+($N16*$C65)+($O16*$C65)/$E$7</f>
        <v>0</v>
      </c>
      <c r="P65" s="1226">
        <f>($M16*$C65)+($N16*$C65)+($O16*$C65)+($P16*$C65)/$E$7</f>
        <v>0</v>
      </c>
      <c r="Q65" s="3103">
        <f>($M16*$C65)+($N16*$C65)+($O16*$C65)+($P16*$C65)+($Q16*$C65)/$E$7</f>
        <v>0</v>
      </c>
      <c r="R65" s="2972">
        <f>($M16*$C65)+($N16*$C65)+($O16*$C65)+($P16*$C65)+($Q16*$C65)+($R16*$C65)/$E$7</f>
        <v>0</v>
      </c>
      <c r="S65" s="1203">
        <f>'11.2. ДА за периода'!S65</f>
        <v>0</v>
      </c>
      <c r="T65" s="995">
        <f>($T16*$C65)/$E$7</f>
        <v>0</v>
      </c>
      <c r="U65" s="1226">
        <f>($T16*$C65)+($U16*$C65)/$E$7</f>
        <v>0</v>
      </c>
      <c r="V65" s="1226">
        <f>($T16*$C65)+($U16*$C65)+($V16*$C65)/$E$7</f>
        <v>0</v>
      </c>
      <c r="W65" s="1226">
        <f>($T16*$C65)+($U16*$C65)+($V16*$C65)+($W16*$C65)/$E$7</f>
        <v>0</v>
      </c>
      <c r="X65" s="1226">
        <f>($T16*$C65)+($U16*$C65)+($V16*$C65)+($W16*$C65)+($X16*$C65)/$E$7</f>
        <v>0</v>
      </c>
      <c r="Y65" s="2972">
        <f>($T16*$C65)+($U16*$C65)+($V16*$C65)+($W16*$C65)+($X16*$C65)+($Y16*$C65)/$E$7</f>
        <v>0</v>
      </c>
      <c r="Z65" s="1203">
        <f>'11.2. ДА за периода'!Z65</f>
        <v>0</v>
      </c>
      <c r="AA65" s="995">
        <f t="shared" ref="AA65:AA66" si="36">(AA16*$C65)/$E$7</f>
        <v>0</v>
      </c>
      <c r="AB65" s="1226">
        <f t="shared" ref="AB65:AB66" si="37">(AA16*$C65)+(AB16*$C65)/$E$7</f>
        <v>0</v>
      </c>
      <c r="AC65" s="1226">
        <f t="shared" ref="AC65:AC66" si="38">(AA16*$C65)+(AB16*$C65)+(AC16*$C65)/$E$7</f>
        <v>0</v>
      </c>
      <c r="AD65" s="1226">
        <f t="shared" ref="AD65:AD66" si="39">(AA16*$C65)+(AB16*$C65)+(AC16*$C65)+(AD16*$C65)/$E$7</f>
        <v>0</v>
      </c>
      <c r="AE65" s="1226">
        <f t="shared" ref="AE65:AE66" si="40">(AA16*$C65)+(AB16*$C65)+(AC16*$C65)+(AD16*$C65)+(AE16*$C65)/$E$7</f>
        <v>0</v>
      </c>
      <c r="AF65" s="3103">
        <f t="shared" ref="AF65:AF66" si="41">(AA16*$C65)+(AB16*$C65)+(AC16*$C65)+(AD16*$C65)+(AE16*$C65)+(AF16*$C65)/$E$7</f>
        <v>0</v>
      </c>
      <c r="AG65" s="1203">
        <f>'11.2. ДА за периода'!AG65</f>
        <v>0</v>
      </c>
      <c r="AH65" s="995">
        <f t="shared" ref="AH65:AH66" si="42">(AH16*$C65)/$E$7</f>
        <v>0</v>
      </c>
      <c r="AI65" s="1226">
        <f t="shared" ref="AI65:AI66" si="43">(AH16*$C65)+(AI16*$C65)/$E$7</f>
        <v>0</v>
      </c>
      <c r="AJ65" s="1226">
        <f t="shared" ref="AJ65:AJ66" si="44">(AH16*$C65)+(AI16*$C65)+(AJ16*$C65)/$E$7</f>
        <v>0</v>
      </c>
      <c r="AK65" s="1226">
        <f t="shared" ref="AK65:AK66" si="45">(AH16*$C65)+(AI16*$C65)+(AJ16*$C65)+(AK16*$C65)/$E$7</f>
        <v>0</v>
      </c>
      <c r="AL65" s="1226">
        <f t="shared" ref="AL65:AL66" si="46">(AH16*$C65)+(AI16*$C65)+(AJ16*$C65)+(AK16*$C65)+(AL16*$C65)/$E$7</f>
        <v>0</v>
      </c>
      <c r="AM65" s="3103">
        <f t="shared" ref="AM65:AM66" si="47">(AH16*$C65)+(AI16*$C65)+(AJ16*$C65)+(AK16*$C65)+(AL16*$C65)+(AM16*$C65)/$E$7</f>
        <v>0</v>
      </c>
      <c r="AN65" s="3047">
        <f>'11.2. ДА за периода'!AN65</f>
        <v>0</v>
      </c>
      <c r="AO65" s="2971">
        <f>($AO16*$C65)/$E$7</f>
        <v>0.22499999999999998</v>
      </c>
      <c r="AP65" s="1226">
        <f>($AO16*$C65)+($AP16*$C65)/$E$7</f>
        <v>0.56999999999999995</v>
      </c>
      <c r="AQ65" s="1226">
        <f>($AO16*$C65)+($AP16*$C65)+($AQ16*$C65)/$E$7</f>
        <v>0.94499999999999995</v>
      </c>
      <c r="AR65" s="1226">
        <f>($AO16*$C65)+($AP16*$C65)+($AQ16*$C65)+($AR16*$C65)/$E$7</f>
        <v>1.395</v>
      </c>
      <c r="AS65" s="1226">
        <f>($AO16*$C65)+($AP16*$C65)+($AQ16*$C65)+($AR16*$C65)+($AS16*$C65)/$E$7</f>
        <v>1.6199999999999999</v>
      </c>
      <c r="AT65" s="2972">
        <f>($AO16*$C65)+($AP16*$C65)+($AQ16*$C65)+($AR16*$C65)+($AS16*$C65)+($AT16*$C65)/$E$7</f>
        <v>1.89</v>
      </c>
      <c r="AU65" s="3106"/>
    </row>
    <row r="66" spans="1:47">
      <c r="A66" s="3060"/>
      <c r="B66" s="4269">
        <v>20202</v>
      </c>
      <c r="C66" s="4252">
        <v>0.03</v>
      </c>
      <c r="D66" s="3116" t="s">
        <v>431</v>
      </c>
      <c r="E66" s="3047">
        <f>'11.2. ДА за периода'!E66</f>
        <v>8.4000000000000005E-2</v>
      </c>
      <c r="F66" s="2971">
        <f>($F17*$C66)/$E$7</f>
        <v>0</v>
      </c>
      <c r="G66" s="1226">
        <f>($F17*$C66)+($G17*$C66)/$E$7</f>
        <v>0</v>
      </c>
      <c r="H66" s="1226">
        <f>($F17*$C66)+($G17*$C66)+($H17*$C66)/$E$7</f>
        <v>0</v>
      </c>
      <c r="I66" s="1226">
        <f>($F17*$C66)+($G17*$C66)+($H17*$C66)+($I17*$C66)/$E$7</f>
        <v>0</v>
      </c>
      <c r="J66" s="1226">
        <f>($F17*$C66)+($G17*$C66)+($H17*$C66)+($I17*$C66)+($J17*$C66)/$E$7</f>
        <v>0</v>
      </c>
      <c r="K66" s="3103">
        <f>($F17*$C66)+($G17*$C66)+($H17*$C66)+($I17*$C66)+($J17*$C66)+($K17*$C66)/$E$7</f>
        <v>0</v>
      </c>
      <c r="L66" s="3047">
        <f>'11.2. ДА за периода'!L66</f>
        <v>0</v>
      </c>
      <c r="M66" s="2971">
        <f>($M17*$C66)/$E$7</f>
        <v>0</v>
      </c>
      <c r="N66" s="1226">
        <f>($M17*$C66)+($N17*$C66)/$E$7</f>
        <v>0</v>
      </c>
      <c r="O66" s="1226">
        <f>($M17*$C66)+($N17*$C66)+($O17*$C66)/$E$7</f>
        <v>0</v>
      </c>
      <c r="P66" s="1226">
        <f>($M17*$C66)+($N17*$C66)+($O17*$C66)+($P17*$C66)/$E$7</f>
        <v>0</v>
      </c>
      <c r="Q66" s="3103">
        <f>($M17*$C66)+($N17*$C66)+($O17*$C66)+($P17*$C66)+($Q17*$C66)/$E$7</f>
        <v>0</v>
      </c>
      <c r="R66" s="2972">
        <f>($M17*$C66)+($N17*$C66)+($O17*$C66)+($P17*$C66)+($Q17*$C66)+($R17*$C66)/$E$7</f>
        <v>0</v>
      </c>
      <c r="S66" s="1203">
        <f>'11.2. ДА за периода'!S66</f>
        <v>0</v>
      </c>
      <c r="T66" s="995">
        <f>($T17*$C66)/$E$7</f>
        <v>0</v>
      </c>
      <c r="U66" s="1226">
        <f>($T17*$C66)+($U17*$C66)/$E$7</f>
        <v>0</v>
      </c>
      <c r="V66" s="1226">
        <f>($T17*$C66)+($U17*$C66)+($V17*$C66)/$E$7</f>
        <v>0</v>
      </c>
      <c r="W66" s="1226">
        <f>($T17*$C66)+($U17*$C66)+($V17*$C66)+($W17*$C66)/$E$7</f>
        <v>0</v>
      </c>
      <c r="X66" s="1226">
        <f>($T17*$C66)+($U17*$C66)+($V17*$C66)+($W17*$C66)+($X17*$C66)/$E$7</f>
        <v>0</v>
      </c>
      <c r="Y66" s="2972">
        <f>($T17*$C66)+($U17*$C66)+($V17*$C66)+($W17*$C66)+($X17*$C66)+($Y17*$C66)/$E$7</f>
        <v>0</v>
      </c>
      <c r="Z66" s="1203">
        <f>'11.2. ДА за периода'!Z66</f>
        <v>0</v>
      </c>
      <c r="AA66" s="995">
        <f t="shared" si="36"/>
        <v>0</v>
      </c>
      <c r="AB66" s="1226">
        <f t="shared" si="37"/>
        <v>0</v>
      </c>
      <c r="AC66" s="1226">
        <f t="shared" si="38"/>
        <v>0</v>
      </c>
      <c r="AD66" s="1226">
        <f t="shared" si="39"/>
        <v>0</v>
      </c>
      <c r="AE66" s="1226">
        <f t="shared" si="40"/>
        <v>0</v>
      </c>
      <c r="AF66" s="3103">
        <f t="shared" si="41"/>
        <v>0</v>
      </c>
      <c r="AG66" s="1203">
        <f>'11.2. ДА за периода'!AG66</f>
        <v>0</v>
      </c>
      <c r="AH66" s="995">
        <f t="shared" si="42"/>
        <v>0</v>
      </c>
      <c r="AI66" s="1226">
        <f t="shared" si="43"/>
        <v>0</v>
      </c>
      <c r="AJ66" s="1226">
        <f t="shared" si="44"/>
        <v>0</v>
      </c>
      <c r="AK66" s="1226">
        <f t="shared" si="45"/>
        <v>0</v>
      </c>
      <c r="AL66" s="1226">
        <f t="shared" si="46"/>
        <v>0</v>
      </c>
      <c r="AM66" s="3103">
        <f t="shared" si="47"/>
        <v>0</v>
      </c>
      <c r="AN66" s="3047">
        <f>'11.2. ДА за периода'!AN66</f>
        <v>0</v>
      </c>
      <c r="AO66" s="2971">
        <f>($AO17*$C66)/$E$7</f>
        <v>0</v>
      </c>
      <c r="AP66" s="1226">
        <f>($AO17*$C66)+($AP17*$C66)/$E$7</f>
        <v>0</v>
      </c>
      <c r="AQ66" s="1226">
        <f>($AO17*$C66)+($AP17*$C66)+($AQ17*$C66)/$E$7</f>
        <v>0</v>
      </c>
      <c r="AR66" s="1226">
        <f>($AO17*$C66)+($AP17*$C66)+($AQ17*$C66)+($AR17*$C66)/$E$7</f>
        <v>0</v>
      </c>
      <c r="AS66" s="1226">
        <f>($AO17*$C66)+($AP17*$C66)+($AQ17*$C66)+($AR17*$C66)+($AS17*$C66)/$E$7</f>
        <v>0</v>
      </c>
      <c r="AT66" s="2972">
        <f>($AO17*$C66)+($AP17*$C66)+($AQ17*$C66)+($AR17*$C66)+($AS17*$C66)+($AT17*$C66)/$E$7</f>
        <v>0</v>
      </c>
      <c r="AU66" s="3106"/>
    </row>
    <row r="67" spans="1:47" s="45" customFormat="1" ht="12.75" customHeight="1">
      <c r="A67" s="3062">
        <v>3</v>
      </c>
      <c r="B67" s="4268">
        <v>203</v>
      </c>
      <c r="C67" s="4251"/>
      <c r="D67" s="3107" t="s">
        <v>410</v>
      </c>
      <c r="E67" s="3108">
        <f t="shared" ref="E67:AT67" si="48">SUM(E68:E78)-E71-E74</f>
        <v>9.734</v>
      </c>
      <c r="F67" s="3109">
        <f t="shared" si="48"/>
        <v>15.750000000000004</v>
      </c>
      <c r="G67" s="3110">
        <f t="shared" si="48"/>
        <v>40.450000000000003</v>
      </c>
      <c r="H67" s="3110">
        <f t="shared" si="48"/>
        <v>59.3</v>
      </c>
      <c r="I67" s="3110">
        <f t="shared" si="48"/>
        <v>79.000000000000014</v>
      </c>
      <c r="J67" s="3110">
        <f t="shared" si="48"/>
        <v>98.625</v>
      </c>
      <c r="K67" s="3111">
        <f t="shared" si="48"/>
        <v>118.52499999999999</v>
      </c>
      <c r="L67" s="3112">
        <f t="shared" si="48"/>
        <v>3.0000000000000001E-3</v>
      </c>
      <c r="M67" s="3109">
        <f t="shared" si="48"/>
        <v>0.15000000000000002</v>
      </c>
      <c r="N67" s="3110">
        <f t="shared" si="48"/>
        <v>0.35000000000000003</v>
      </c>
      <c r="O67" s="3110">
        <f t="shared" si="48"/>
        <v>4.2249999999999996</v>
      </c>
      <c r="P67" s="3110">
        <f t="shared" si="48"/>
        <v>8.5749999999999993</v>
      </c>
      <c r="Q67" s="3110">
        <f t="shared" si="48"/>
        <v>11.85</v>
      </c>
      <c r="R67" s="3113">
        <f t="shared" si="48"/>
        <v>15.800000000000002</v>
      </c>
      <c r="S67" s="3112">
        <f t="shared" si="48"/>
        <v>0</v>
      </c>
      <c r="T67" s="3114">
        <f t="shared" si="48"/>
        <v>0</v>
      </c>
      <c r="U67" s="3110">
        <f t="shared" si="48"/>
        <v>0</v>
      </c>
      <c r="V67" s="3110">
        <f t="shared" si="48"/>
        <v>2.0000000000000004E-2</v>
      </c>
      <c r="W67" s="3110">
        <f t="shared" si="48"/>
        <v>4.0000000000000008E-2</v>
      </c>
      <c r="X67" s="3110">
        <f t="shared" si="48"/>
        <v>4.0000000000000008E-2</v>
      </c>
      <c r="Y67" s="3113">
        <f t="shared" si="48"/>
        <v>4.0000000000000008E-2</v>
      </c>
      <c r="Z67" s="3112">
        <f t="shared" ref="Z67:AM67" si="49">SUM(Z68:Z78)-Z71-Z74</f>
        <v>0</v>
      </c>
      <c r="AA67" s="3114">
        <f t="shared" si="49"/>
        <v>0</v>
      </c>
      <c r="AB67" s="3110">
        <f t="shared" si="49"/>
        <v>0.05</v>
      </c>
      <c r="AC67" s="3110">
        <f t="shared" si="49"/>
        <v>0.15000000000000002</v>
      </c>
      <c r="AD67" s="3110">
        <f t="shared" si="49"/>
        <v>0.2</v>
      </c>
      <c r="AE67" s="3110">
        <f t="shared" si="49"/>
        <v>0.2</v>
      </c>
      <c r="AF67" s="3113">
        <f t="shared" si="49"/>
        <v>0.2</v>
      </c>
      <c r="AG67" s="3112">
        <f t="shared" si="49"/>
        <v>0</v>
      </c>
      <c r="AH67" s="3114">
        <f t="shared" si="49"/>
        <v>0</v>
      </c>
      <c r="AI67" s="3110">
        <f t="shared" si="49"/>
        <v>0</v>
      </c>
      <c r="AJ67" s="3110">
        <f t="shared" si="49"/>
        <v>0</v>
      </c>
      <c r="AK67" s="3110">
        <f t="shared" si="49"/>
        <v>0</v>
      </c>
      <c r="AL67" s="3110">
        <f t="shared" si="49"/>
        <v>0</v>
      </c>
      <c r="AM67" s="3113">
        <f t="shared" si="49"/>
        <v>0</v>
      </c>
      <c r="AN67" s="3112">
        <f t="shared" si="48"/>
        <v>0</v>
      </c>
      <c r="AO67" s="3114">
        <f t="shared" si="48"/>
        <v>3.25</v>
      </c>
      <c r="AP67" s="3110">
        <f t="shared" si="48"/>
        <v>10.049999999999999</v>
      </c>
      <c r="AQ67" s="3110">
        <f t="shared" si="48"/>
        <v>17.400000000000002</v>
      </c>
      <c r="AR67" s="3110">
        <f t="shared" si="48"/>
        <v>25</v>
      </c>
      <c r="AS67" s="3110">
        <f t="shared" si="48"/>
        <v>32.650000000000006</v>
      </c>
      <c r="AT67" s="3113">
        <f t="shared" si="48"/>
        <v>40.299999999999997</v>
      </c>
      <c r="AU67" s="3117"/>
    </row>
    <row r="68" spans="1:47">
      <c r="A68" s="3060"/>
      <c r="B68" s="4269">
        <v>20301</v>
      </c>
      <c r="C68" s="4252">
        <v>0.1</v>
      </c>
      <c r="D68" s="3118" t="s">
        <v>432</v>
      </c>
      <c r="E68" s="3047">
        <f>'11.2. ДА за периода'!E68</f>
        <v>0.17100000000000001</v>
      </c>
      <c r="F68" s="2971">
        <f>($F19*$C68)/$E$7</f>
        <v>0</v>
      </c>
      <c r="G68" s="1226">
        <f>($F19*$C68)+($G19*$C68)/$E$7</f>
        <v>0</v>
      </c>
      <c r="H68" s="1226">
        <f>($F19*$C68)+($G19*$C68)+($H19*$C68)/$E$7</f>
        <v>0</v>
      </c>
      <c r="I68" s="1226">
        <f>($F19*$C68)+($G19*$C68)+($H19*$C68)+($I19*$C68)/$E$7</f>
        <v>0</v>
      </c>
      <c r="J68" s="1226">
        <f>($F19*$C68)+($G19*$C68)+($H19*$C68)+($I19*$C68)+($J19*$C68)/$E$7</f>
        <v>0</v>
      </c>
      <c r="K68" s="3103">
        <f>($F19*$C68)+($G19*$C68)+($H19*$C68)+($I19*$C68)+($J19*$C68)+($K19*$C68)/$E$7</f>
        <v>0</v>
      </c>
      <c r="L68" s="3047">
        <f>'11.2. ДА за периода'!L68</f>
        <v>0</v>
      </c>
      <c r="M68" s="2971">
        <f>($M19*$C68)/$E$7</f>
        <v>0</v>
      </c>
      <c r="N68" s="1226">
        <f>($M19*$C68)+($N19*$C68)/$E$7</f>
        <v>0</v>
      </c>
      <c r="O68" s="1226">
        <f>($M19*$C68)+($N19*$C68)+($O19*$C68)/$E$7</f>
        <v>0</v>
      </c>
      <c r="P68" s="1226">
        <f>($M19*$C68)+($N19*$C68)+($O19*$C68)+($P19*$C68)/$E$7</f>
        <v>0</v>
      </c>
      <c r="Q68" s="3103">
        <f>($M19*$C68)+($N19*$C68)+($O19*$C68)+($P19*$C68)+($Q19*$C68)/$E$7</f>
        <v>0</v>
      </c>
      <c r="R68" s="2972">
        <f>($M19*$C68)+($N19*$C68)+($O19*$C68)+($P19*$C68)+($Q19*$C68)+($R19*$C68)/$E$7</f>
        <v>0</v>
      </c>
      <c r="S68" s="1203">
        <f>'11.2. ДА за периода'!S68</f>
        <v>0</v>
      </c>
      <c r="T68" s="995">
        <f>($T19*$C68)/$E$7</f>
        <v>0</v>
      </c>
      <c r="U68" s="1226">
        <f>($T19*$C68)+($U19*$C68)/$E$7</f>
        <v>0</v>
      </c>
      <c r="V68" s="1226">
        <f>($T19*$C68)+($U19*$C68)+($V19*$C68)/$E$7</f>
        <v>0</v>
      </c>
      <c r="W68" s="1226">
        <f>($T19*$C68)+($U19*$C68)+($V19*$C68)+($W19*$C68)/$E$7</f>
        <v>0</v>
      </c>
      <c r="X68" s="1226">
        <f>($T19*$C68)+($U19*$C68)+($V19*$C68)+($W19*$C68)+($X19*$C68)/$E$7</f>
        <v>0</v>
      </c>
      <c r="Y68" s="2972">
        <f>($T19*$C68)+($U19*$C68)+($V19*$C68)+($W19*$C68)+($X19*$C68)+($Y19*$C68)/$E$7</f>
        <v>0</v>
      </c>
      <c r="Z68" s="1203">
        <f>'11.2. ДА за периода'!Z68</f>
        <v>0</v>
      </c>
      <c r="AA68" s="995">
        <f t="shared" ref="AA68:AA70" si="50">(AA19*$C68)/$E$7</f>
        <v>0</v>
      </c>
      <c r="AB68" s="1226">
        <f t="shared" ref="AB68:AB70" si="51">(AA19*$C68)+(AB19*$C68)/$E$7</f>
        <v>0</v>
      </c>
      <c r="AC68" s="1226">
        <f t="shared" ref="AC68:AC70" si="52">(AA19*$C68)+(AB19*$C68)+(AC19*$C68)/$E$7</f>
        <v>0</v>
      </c>
      <c r="AD68" s="1226">
        <f t="shared" ref="AD68:AD70" si="53">(AA19*$C68)+(AB19*$C68)+(AC19*$C68)+(AD19*$C68)/$E$7</f>
        <v>0</v>
      </c>
      <c r="AE68" s="1226">
        <f t="shared" ref="AE68:AE70" si="54">(AA19*$C68)+(AB19*$C68)+(AC19*$C68)+(AD19*$C68)+(AE19*$C68)/$E$7</f>
        <v>0</v>
      </c>
      <c r="AF68" s="3103">
        <f t="shared" ref="AF68:AF70" si="55">(AA19*$C68)+(AB19*$C68)+(AC19*$C68)+(AD19*$C68)+(AE19*$C68)+(AF19*$C68)/$E$7</f>
        <v>0</v>
      </c>
      <c r="AG68" s="1203">
        <f>'11.2. ДА за периода'!AG68</f>
        <v>0</v>
      </c>
      <c r="AH68" s="995">
        <f t="shared" ref="AH68:AH70" si="56">(AH19*$C68)/$E$7</f>
        <v>0</v>
      </c>
      <c r="AI68" s="1226">
        <f t="shared" ref="AI68:AI70" si="57">(AH19*$C68)+(AI19*$C68)/$E$7</f>
        <v>0</v>
      </c>
      <c r="AJ68" s="1226">
        <f t="shared" ref="AJ68:AJ70" si="58">(AH19*$C68)+(AI19*$C68)+(AJ19*$C68)/$E$7</f>
        <v>0</v>
      </c>
      <c r="AK68" s="1226">
        <f t="shared" ref="AK68:AK70" si="59">(AH19*$C68)+(AI19*$C68)+(AJ19*$C68)+(AK19*$C68)/$E$7</f>
        <v>0</v>
      </c>
      <c r="AL68" s="1226">
        <f t="shared" ref="AL68:AL70" si="60">(AH19*$C68)+(AI19*$C68)+(AJ19*$C68)+(AK19*$C68)+(AL19*$C68)/$E$7</f>
        <v>0</v>
      </c>
      <c r="AM68" s="3103">
        <f t="shared" ref="AM68:AM70" si="61">(AH19*$C68)+(AI19*$C68)+(AJ19*$C68)+(AK19*$C68)+(AL19*$C68)+(AM19*$C68)/$E$7</f>
        <v>0</v>
      </c>
      <c r="AN68" s="3047">
        <f>'11.2. ДА за периода'!AN68</f>
        <v>0</v>
      </c>
      <c r="AO68" s="2971">
        <f>($AO19*$C68)/$E$7</f>
        <v>0</v>
      </c>
      <c r="AP68" s="1226">
        <f>($AO19*$C68)+($AP19*$C68)/$E$7</f>
        <v>0</v>
      </c>
      <c r="AQ68" s="1226">
        <f>($AO19*$C68)+($AP19*$C68)+($AQ19*$C68)/$E$7</f>
        <v>0</v>
      </c>
      <c r="AR68" s="1226">
        <f>($AO19*$C68)+($AP19*$C68)+($AQ19*$C68)+($AR19*$C68)/$E$7</f>
        <v>0</v>
      </c>
      <c r="AS68" s="1226">
        <f>($AO19*$C68)+($AP19*$C68)+($AQ19*$C68)+($AR19*$C68)+($AS19*$C68)/$E$7</f>
        <v>0</v>
      </c>
      <c r="AT68" s="2972">
        <f>($AO19*$C68)+($AP19*$C68)+($AQ19*$C68)+($AR19*$C68)+($AS19*$C68)+($AT19*$C68)/$E$7</f>
        <v>0</v>
      </c>
      <c r="AU68" s="3119"/>
    </row>
    <row r="69" spans="1:47">
      <c r="A69" s="3060"/>
      <c r="B69" s="4269">
        <v>20302</v>
      </c>
      <c r="C69" s="4252">
        <v>0.1</v>
      </c>
      <c r="D69" s="3118" t="s">
        <v>433</v>
      </c>
      <c r="E69" s="3047">
        <f>'11.2. ДА за периода'!E69</f>
        <v>0</v>
      </c>
      <c r="F69" s="2971">
        <f>($F20*$C69)/$E$7</f>
        <v>0</v>
      </c>
      <c r="G69" s="1321">
        <f>($F20*$C69)+($G20*$C69)/$E$7</f>
        <v>0.30000000000000004</v>
      </c>
      <c r="H69" s="1321">
        <f>($F20*$C69)+($G20*$C69)+($H20*$C69)/$E$7</f>
        <v>0.90000000000000013</v>
      </c>
      <c r="I69" s="1321">
        <f>($F20*$C69)+($G20*$C69)+($H20*$C69)+($I20*$C69)/$E$7</f>
        <v>1.5500000000000003</v>
      </c>
      <c r="J69" s="1321">
        <f>($F20*$C69)+($G20*$C69)+($H20*$C69)+($I20*$C69)+($J20*$C69)/$E$7</f>
        <v>2.2500000000000004</v>
      </c>
      <c r="K69" s="2977">
        <f>($F20*$C69)+($G20*$C69)+($H20*$C69)+($I20*$C69)+($J20*$C69)+($K20*$C69)/$E$7</f>
        <v>2.9500000000000006</v>
      </c>
      <c r="L69" s="3047">
        <f>'11.2. ДА за периода'!L69</f>
        <v>0</v>
      </c>
      <c r="M69" s="1325">
        <f>($M20*$C69)/$E$7</f>
        <v>0</v>
      </c>
      <c r="N69" s="1321">
        <f>($M20*$C69)+($N20*$C69)/$E$7</f>
        <v>0</v>
      </c>
      <c r="O69" s="1321">
        <f>($M20*$C69)+($N20*$C69)+($O20*$C69)/$E$7</f>
        <v>0</v>
      </c>
      <c r="P69" s="1321">
        <f>($M20*$C69)+($N20*$C69)+($O20*$C69)+($P20*$C69)/$E$7</f>
        <v>0</v>
      </c>
      <c r="Q69" s="2977">
        <f>($M20*$C69)+($N20*$C69)+($O20*$C69)+($P20*$C69)+($Q20*$C69)/$E$7</f>
        <v>0</v>
      </c>
      <c r="R69" s="1326">
        <f>($M20*$C69)+($N20*$C69)+($O20*$C69)+($P20*$C69)+($Q20*$C69)+($R20*$C69)/$E$7</f>
        <v>0</v>
      </c>
      <c r="S69" s="1203">
        <f>'11.2. ДА за периода'!S69</f>
        <v>0</v>
      </c>
      <c r="T69" s="996">
        <f>($T20*$C69)/$E$7</f>
        <v>0</v>
      </c>
      <c r="U69" s="1321">
        <f>($T20*$C69)+($U20*$C69)/$E$7</f>
        <v>0</v>
      </c>
      <c r="V69" s="1321">
        <f>($T20*$C69)+($U20*$C69)+($V20*$C69)/$E$7</f>
        <v>0</v>
      </c>
      <c r="W69" s="1321">
        <f>($T20*$C69)+($U20*$C69)+($V20*$C69)+($W20*$C69)/$E$7</f>
        <v>0</v>
      </c>
      <c r="X69" s="1321">
        <f>($T20*$C69)+($U20*$C69)+($V20*$C69)+($W20*$C69)+($X20*$C69)/$E$7</f>
        <v>0</v>
      </c>
      <c r="Y69" s="1326">
        <f>($T20*$C69)+($U20*$C69)+($V20*$C69)+($W20*$C69)+($X20*$C69)+($Y20*$C69)/$E$7</f>
        <v>0</v>
      </c>
      <c r="Z69" s="1203">
        <f>'11.2. ДА за периода'!Z69</f>
        <v>0</v>
      </c>
      <c r="AA69" s="996">
        <f t="shared" si="50"/>
        <v>0</v>
      </c>
      <c r="AB69" s="1321">
        <f t="shared" si="51"/>
        <v>0</v>
      </c>
      <c r="AC69" s="1321">
        <f t="shared" si="52"/>
        <v>0</v>
      </c>
      <c r="AD69" s="1321">
        <f t="shared" si="53"/>
        <v>0</v>
      </c>
      <c r="AE69" s="1321">
        <f t="shared" si="54"/>
        <v>0</v>
      </c>
      <c r="AF69" s="2977">
        <f t="shared" si="55"/>
        <v>0</v>
      </c>
      <c r="AG69" s="1203">
        <f>'11.2. ДА за периода'!AG69</f>
        <v>0</v>
      </c>
      <c r="AH69" s="996">
        <f t="shared" si="56"/>
        <v>0</v>
      </c>
      <c r="AI69" s="1321">
        <f t="shared" si="57"/>
        <v>0</v>
      </c>
      <c r="AJ69" s="1321">
        <f t="shared" si="58"/>
        <v>0</v>
      </c>
      <c r="AK69" s="1321">
        <f t="shared" si="59"/>
        <v>0</v>
      </c>
      <c r="AL69" s="1321">
        <f t="shared" si="60"/>
        <v>0</v>
      </c>
      <c r="AM69" s="2977">
        <f t="shared" si="61"/>
        <v>0</v>
      </c>
      <c r="AN69" s="3047">
        <f>'11.2. ДА за периода'!AN69</f>
        <v>0</v>
      </c>
      <c r="AO69" s="1325">
        <f>($AO20*$C69)/$E$7</f>
        <v>0</v>
      </c>
      <c r="AP69" s="1321">
        <f>($AO20*$C69)+($AP20*$C69)/$E$7</f>
        <v>0</v>
      </c>
      <c r="AQ69" s="1321">
        <f>($AO20*$C69)+($AP20*$C69)+($AQ20*$C69)/$E$7</f>
        <v>0</v>
      </c>
      <c r="AR69" s="1321">
        <f>($AO20*$C69)+($AP20*$C69)+($AQ20*$C69)+($AR20*$C69)/$E$7</f>
        <v>0</v>
      </c>
      <c r="AS69" s="1321">
        <f>($AO20*$C69)+($AP20*$C69)+($AQ20*$C69)+($AR20*$C69)+($AS20*$C69)/$E$7</f>
        <v>0</v>
      </c>
      <c r="AT69" s="1326">
        <f>($AO20*$C69)+($AP20*$C69)+($AQ20*$C69)+($AR20*$C69)+($AS20*$C69)+($AT20*$C69)/$E$7</f>
        <v>0</v>
      </c>
      <c r="AU69" s="3006"/>
    </row>
    <row r="70" spans="1:47">
      <c r="A70" s="3060"/>
      <c r="B70" s="4269">
        <v>20303</v>
      </c>
      <c r="C70" s="4252">
        <v>0.1</v>
      </c>
      <c r="D70" s="3118" t="s">
        <v>411</v>
      </c>
      <c r="E70" s="3047">
        <f>'11.2. ДА за периода'!E70</f>
        <v>0</v>
      </c>
      <c r="F70" s="2971">
        <f>($F21*$C70)/$E$7</f>
        <v>8.8000000000000007</v>
      </c>
      <c r="G70" s="1321">
        <f>($F21*$C70)+($G21*$C70)/$E$7</f>
        <v>23.6</v>
      </c>
      <c r="H70" s="1321">
        <f>($F21*$C70)+($G21*$C70)+($H21*$C70)/$E$7</f>
        <v>35.6</v>
      </c>
      <c r="I70" s="1321">
        <f>($F21*$C70)+($G21*$C70)+($H21*$C70)+($I21*$C70)/$E$7</f>
        <v>47.6</v>
      </c>
      <c r="J70" s="1321">
        <f>($F21*$C70)+($G21*$C70)+($H21*$C70)+($I21*$C70)+($J21*$C70)/$E$7</f>
        <v>59.6</v>
      </c>
      <c r="K70" s="2977">
        <f>($F21*$C70)+($G21*$C70)+($H21*$C70)+($I21*$C70)+($J21*$C70)+($K21*$C70)/$E$7</f>
        <v>71.599999999999994</v>
      </c>
      <c r="L70" s="3047">
        <f>'11.2. ДА за периода'!L70</f>
        <v>0</v>
      </c>
      <c r="M70" s="1325">
        <f>($M21*$C70)/$E$7</f>
        <v>0</v>
      </c>
      <c r="N70" s="1321">
        <f>($M21*$C70)+($N21*$C70)/$E$7</f>
        <v>0</v>
      </c>
      <c r="O70" s="1321">
        <f>($M21*$C70)+($N21*$C70)+($O21*$C70)/$E$7</f>
        <v>3.125</v>
      </c>
      <c r="P70" s="1321">
        <f>($M21*$C70)+($N21*$C70)+($O21*$C70)+($P21*$C70)/$E$7</f>
        <v>6.25</v>
      </c>
      <c r="Q70" s="2977">
        <f>($M21*$C70)+($N21*$C70)+($O21*$C70)+($P21*$C70)+($Q21*$C70)/$E$7</f>
        <v>8.9250000000000007</v>
      </c>
      <c r="R70" s="1326">
        <f>($M21*$C70)+($N21*$C70)+($O21*$C70)+($P21*$C70)+($Q21*$C70)+($R21*$C70)/$E$7</f>
        <v>11.600000000000001</v>
      </c>
      <c r="S70" s="1203">
        <f>'11.2. ДА за периода'!S70</f>
        <v>0</v>
      </c>
      <c r="T70" s="996">
        <f>($T21*$C70)/$E$7</f>
        <v>0</v>
      </c>
      <c r="U70" s="1321">
        <f>($T21*$C70)+($U21*$C70)/$E$7</f>
        <v>0</v>
      </c>
      <c r="V70" s="1321">
        <f>($T21*$C70)+($U21*$C70)+($V21*$C70)/$E$7</f>
        <v>0</v>
      </c>
      <c r="W70" s="1321">
        <f>($T21*$C70)+($U21*$C70)+($V21*$C70)+($W21*$C70)/$E$7</f>
        <v>0</v>
      </c>
      <c r="X70" s="1321">
        <f>($T21*$C70)+($U21*$C70)+($V21*$C70)+($W21*$C70)+($X21*$C70)/$E$7</f>
        <v>0</v>
      </c>
      <c r="Y70" s="1326">
        <f>($T21*$C70)+($U21*$C70)+($V21*$C70)+($W21*$C70)+($X21*$C70)+($Y21*$C70)/$E$7</f>
        <v>0</v>
      </c>
      <c r="Z70" s="1203">
        <f>'11.2. ДА за периода'!Z70</f>
        <v>0</v>
      </c>
      <c r="AA70" s="996">
        <f t="shared" si="50"/>
        <v>0</v>
      </c>
      <c r="AB70" s="1321">
        <f t="shared" si="51"/>
        <v>0</v>
      </c>
      <c r="AC70" s="1321">
        <f t="shared" si="52"/>
        <v>0</v>
      </c>
      <c r="AD70" s="1321">
        <f t="shared" si="53"/>
        <v>0</v>
      </c>
      <c r="AE70" s="1321">
        <f t="shared" si="54"/>
        <v>0</v>
      </c>
      <c r="AF70" s="2977">
        <f t="shared" si="55"/>
        <v>0</v>
      </c>
      <c r="AG70" s="1203">
        <f>'11.2. ДА за периода'!AG70</f>
        <v>0</v>
      </c>
      <c r="AH70" s="996">
        <f t="shared" si="56"/>
        <v>0</v>
      </c>
      <c r="AI70" s="1321">
        <f t="shared" si="57"/>
        <v>0</v>
      </c>
      <c r="AJ70" s="1321">
        <f t="shared" si="58"/>
        <v>0</v>
      </c>
      <c r="AK70" s="1321">
        <f t="shared" si="59"/>
        <v>0</v>
      </c>
      <c r="AL70" s="1321">
        <f t="shared" si="60"/>
        <v>0</v>
      </c>
      <c r="AM70" s="2977">
        <f t="shared" si="61"/>
        <v>0</v>
      </c>
      <c r="AN70" s="3047">
        <f>'11.2. ДА за периода'!AN70</f>
        <v>0</v>
      </c>
      <c r="AO70" s="1325">
        <f>($AO21*$C70)/$E$7</f>
        <v>0</v>
      </c>
      <c r="AP70" s="1321">
        <f>($AO21*$C70)+($AP21*$C70)/$E$7</f>
        <v>0</v>
      </c>
      <c r="AQ70" s="1321">
        <f>($AO21*$C70)+($AP21*$C70)+($AQ21*$C70)/$E$7</f>
        <v>0</v>
      </c>
      <c r="AR70" s="1321">
        <f>($AO21*$C70)+($AP21*$C70)+($AQ21*$C70)+($AR21*$C70)/$E$7</f>
        <v>0</v>
      </c>
      <c r="AS70" s="1321">
        <f>($AO21*$C70)+($AP21*$C70)+($AQ21*$C70)+($AR21*$C70)+($AS21*$C70)/$E$7</f>
        <v>0</v>
      </c>
      <c r="AT70" s="1326">
        <f>($AO21*$C70)+($AP21*$C70)+($AQ21*$C70)+($AR21*$C70)+($AS21*$C70)+($AT21*$C70)/$E$7</f>
        <v>0</v>
      </c>
      <c r="AU70" s="3006"/>
    </row>
    <row r="71" spans="1:47">
      <c r="A71" s="3060"/>
      <c r="B71" s="4269">
        <v>20304</v>
      </c>
      <c r="C71" s="4252">
        <v>0.1</v>
      </c>
      <c r="D71" s="3118" t="s">
        <v>412</v>
      </c>
      <c r="E71" s="3065">
        <f t="shared" ref="E71:AT71" si="62">SUM(E72:E73)</f>
        <v>1.343</v>
      </c>
      <c r="F71" s="3066">
        <f t="shared" si="62"/>
        <v>0</v>
      </c>
      <c r="G71" s="3067">
        <f t="shared" si="62"/>
        <v>0</v>
      </c>
      <c r="H71" s="3067">
        <f t="shared" si="62"/>
        <v>0</v>
      </c>
      <c r="I71" s="3067">
        <f t="shared" si="62"/>
        <v>0</v>
      </c>
      <c r="J71" s="3067">
        <f t="shared" si="62"/>
        <v>0</v>
      </c>
      <c r="K71" s="3120">
        <f t="shared" si="62"/>
        <v>0</v>
      </c>
      <c r="L71" s="3069">
        <f t="shared" si="62"/>
        <v>0</v>
      </c>
      <c r="M71" s="3066">
        <f t="shared" si="62"/>
        <v>0</v>
      </c>
      <c r="N71" s="3067">
        <f t="shared" si="62"/>
        <v>0</v>
      </c>
      <c r="O71" s="3067">
        <f t="shared" si="62"/>
        <v>0</v>
      </c>
      <c r="P71" s="3067">
        <f t="shared" si="62"/>
        <v>0</v>
      </c>
      <c r="Q71" s="3067">
        <f t="shared" si="62"/>
        <v>0</v>
      </c>
      <c r="R71" s="3068">
        <f t="shared" si="62"/>
        <v>0</v>
      </c>
      <c r="S71" s="3069">
        <f t="shared" si="62"/>
        <v>0</v>
      </c>
      <c r="T71" s="3070">
        <f t="shared" si="62"/>
        <v>0</v>
      </c>
      <c r="U71" s="3067">
        <f t="shared" si="62"/>
        <v>0</v>
      </c>
      <c r="V71" s="3067">
        <f t="shared" si="62"/>
        <v>0</v>
      </c>
      <c r="W71" s="3067">
        <f t="shared" si="62"/>
        <v>0</v>
      </c>
      <c r="X71" s="3067">
        <f t="shared" si="62"/>
        <v>0</v>
      </c>
      <c r="Y71" s="3068">
        <f t="shared" si="62"/>
        <v>0</v>
      </c>
      <c r="Z71" s="3069">
        <f t="shared" ref="Z71:AM71" si="63">SUM(Z72:Z73)</f>
        <v>0</v>
      </c>
      <c r="AA71" s="3070">
        <f t="shared" si="63"/>
        <v>0</v>
      </c>
      <c r="AB71" s="3067">
        <f t="shared" si="63"/>
        <v>0</v>
      </c>
      <c r="AC71" s="3067">
        <f t="shared" si="63"/>
        <v>0</v>
      </c>
      <c r="AD71" s="3067">
        <f t="shared" si="63"/>
        <v>0</v>
      </c>
      <c r="AE71" s="3067">
        <f t="shared" si="63"/>
        <v>0</v>
      </c>
      <c r="AF71" s="3068">
        <f t="shared" si="63"/>
        <v>0</v>
      </c>
      <c r="AG71" s="3069">
        <f t="shared" si="63"/>
        <v>0</v>
      </c>
      <c r="AH71" s="3070">
        <f t="shared" si="63"/>
        <v>0</v>
      </c>
      <c r="AI71" s="3067">
        <f t="shared" si="63"/>
        <v>0</v>
      </c>
      <c r="AJ71" s="3067">
        <f t="shared" si="63"/>
        <v>0</v>
      </c>
      <c r="AK71" s="3067">
        <f t="shared" si="63"/>
        <v>0</v>
      </c>
      <c r="AL71" s="3067">
        <f t="shared" si="63"/>
        <v>0</v>
      </c>
      <c r="AM71" s="3068">
        <f t="shared" si="63"/>
        <v>0</v>
      </c>
      <c r="AN71" s="3069">
        <f t="shared" si="62"/>
        <v>0</v>
      </c>
      <c r="AO71" s="3070">
        <f t="shared" si="62"/>
        <v>0</v>
      </c>
      <c r="AP71" s="3067">
        <f t="shared" si="62"/>
        <v>0</v>
      </c>
      <c r="AQ71" s="3067">
        <f t="shared" si="62"/>
        <v>0</v>
      </c>
      <c r="AR71" s="3067">
        <f t="shared" si="62"/>
        <v>0</v>
      </c>
      <c r="AS71" s="3067">
        <f t="shared" si="62"/>
        <v>0</v>
      </c>
      <c r="AT71" s="3068">
        <f t="shared" si="62"/>
        <v>0</v>
      </c>
      <c r="AU71" s="3006"/>
    </row>
    <row r="72" spans="1:47" s="73" customFormat="1">
      <c r="A72" s="3121"/>
      <c r="B72" s="4270">
        <v>2030401</v>
      </c>
      <c r="C72" s="4253">
        <v>0.1</v>
      </c>
      <c r="D72" s="3122" t="s">
        <v>999</v>
      </c>
      <c r="E72" s="3047">
        <f>'11.2. ДА за периода'!E72</f>
        <v>1.343</v>
      </c>
      <c r="F72" s="3123">
        <f>($F23*$C72)/$E$7</f>
        <v>0</v>
      </c>
      <c r="G72" s="3124">
        <f>($F23*$C72)+($G23*$C72)/$E$7</f>
        <v>0</v>
      </c>
      <c r="H72" s="3124">
        <f>($F23*$C72)+($G23*$C72)+($H23*$C72)/$E$7</f>
        <v>0</v>
      </c>
      <c r="I72" s="3124">
        <f>($F23*$C72)+($G23*$C72)+($H23*$C72)+($I23*$C72)/$E$7</f>
        <v>0</v>
      </c>
      <c r="J72" s="3124">
        <f>($F23*$C72)+($G23*$C72)+($H23*$C72)+($I23*$C72)+($J23*$C72)/$E$7</f>
        <v>0</v>
      </c>
      <c r="K72" s="3125">
        <f>($F23*$C72)+($G23*$C72)+($H23*$C72)+($I23*$C72)+($J23*$C72)+($K23*$C72)/$E$7</f>
        <v>0</v>
      </c>
      <c r="L72" s="3047">
        <f>'11.2. ДА за периода'!L72</f>
        <v>0</v>
      </c>
      <c r="M72" s="3126">
        <f>($M23*$C72)/$E$7</f>
        <v>0</v>
      </c>
      <c r="N72" s="3124">
        <f>($M23*$C72)+($N23*$C72)/$E$7</f>
        <v>0</v>
      </c>
      <c r="O72" s="3124">
        <f>($M23*$C72)+($N23*$C72)+($O23*$C72)/$E$7</f>
        <v>0</v>
      </c>
      <c r="P72" s="3124">
        <f>($M23*$C72)+($N23*$C72)+($O23*$C72)+($P23*$C72)/$E$7</f>
        <v>0</v>
      </c>
      <c r="Q72" s="3125">
        <f>($M23*$C72)+($N23*$C72)+($O23*$C72)+($P23*$C72)+($Q23*$C72)/$E$7</f>
        <v>0</v>
      </c>
      <c r="R72" s="3127">
        <f>($M23*$C72)+($N23*$C72)+($O23*$C72)+($P23*$C72)+($Q23*$C72)+($R23*$C72)/$E$7</f>
        <v>0</v>
      </c>
      <c r="S72" s="1203">
        <f>'11.2. ДА за периода'!S72</f>
        <v>0</v>
      </c>
      <c r="T72" s="3128">
        <f>($T23*$C72)/$E$7</f>
        <v>0</v>
      </c>
      <c r="U72" s="3124">
        <f>($T23*$C72)+($U23*$C72)/$E$7</f>
        <v>0</v>
      </c>
      <c r="V72" s="3124">
        <f>($T23*$C72)+($U23*$C72)+($V23*$C72)/$E$7</f>
        <v>0</v>
      </c>
      <c r="W72" s="3124">
        <f>($T23*$C72)+($U23*$C72)+($V23*$C72)+($W23*$C72)/$E$7</f>
        <v>0</v>
      </c>
      <c r="X72" s="3124">
        <f>($T23*$C72)+($U23*$C72)+($V23*$C72)+($W23*$C72)+($X23*$C72)/$E$7</f>
        <v>0</v>
      </c>
      <c r="Y72" s="3127">
        <f>($T23*$C72)+($U23*$C72)+($V23*$C72)+($W23*$C72)+($X23*$C72)+($Y23*$C72)/$E$7</f>
        <v>0</v>
      </c>
      <c r="Z72" s="1203">
        <f>'11.2. ДА за периода'!Z72</f>
        <v>0</v>
      </c>
      <c r="AA72" s="3128">
        <f t="shared" ref="AA72:AA73" si="64">(AA23*$C72)/$E$7</f>
        <v>0</v>
      </c>
      <c r="AB72" s="3124">
        <f t="shared" ref="AB72:AB73" si="65">(AA23*$C72)+(AB23*$C72)/$E$7</f>
        <v>0</v>
      </c>
      <c r="AC72" s="3124">
        <f t="shared" ref="AC72:AC73" si="66">(AA23*$C72)+(AB23*$C72)+(AC23*$C72)/$E$7</f>
        <v>0</v>
      </c>
      <c r="AD72" s="3124">
        <f t="shared" ref="AD72:AD73" si="67">(AA23*$C72)+(AB23*$C72)+(AC23*$C72)+(AD23*$C72)/$E$7</f>
        <v>0</v>
      </c>
      <c r="AE72" s="3124">
        <f t="shared" ref="AE72:AE73" si="68">(AA23*$C72)+(AB23*$C72)+(AC23*$C72)+(AD23*$C72)+(AE23*$C72)/$E$7</f>
        <v>0</v>
      </c>
      <c r="AF72" s="3125">
        <f t="shared" ref="AF72:AF73" si="69">(AA23*$C72)+(AB23*$C72)+(AC23*$C72)+(AD23*$C72)+(AE23*$C72)+(AF23*$C72)/$E$7</f>
        <v>0</v>
      </c>
      <c r="AG72" s="1203">
        <f>'11.2. ДА за периода'!AG72</f>
        <v>0</v>
      </c>
      <c r="AH72" s="3128">
        <f t="shared" ref="AH72:AH73" si="70">(AH23*$C72)/$E$7</f>
        <v>0</v>
      </c>
      <c r="AI72" s="3124">
        <f t="shared" ref="AI72:AI73" si="71">(AH23*$C72)+(AI23*$C72)/$E$7</f>
        <v>0</v>
      </c>
      <c r="AJ72" s="3124">
        <f t="shared" ref="AJ72:AJ73" si="72">(AH23*$C72)+(AI23*$C72)+(AJ23*$C72)/$E$7</f>
        <v>0</v>
      </c>
      <c r="AK72" s="3124">
        <f t="shared" ref="AK72:AK73" si="73">(AH23*$C72)+(AI23*$C72)+(AJ23*$C72)+(AK23*$C72)/$E$7</f>
        <v>0</v>
      </c>
      <c r="AL72" s="3124">
        <f t="shared" ref="AL72:AL73" si="74">(AH23*$C72)+(AI23*$C72)+(AJ23*$C72)+(AK23*$C72)+(AL23*$C72)/$E$7</f>
        <v>0</v>
      </c>
      <c r="AM72" s="3125">
        <f t="shared" ref="AM72:AM73" si="75">(AH23*$C72)+(AI23*$C72)+(AJ23*$C72)+(AK23*$C72)+(AL23*$C72)+(AM23*$C72)/$E$7</f>
        <v>0</v>
      </c>
      <c r="AN72" s="3047">
        <f>'11.2. ДА за периода'!AN72</f>
        <v>0</v>
      </c>
      <c r="AO72" s="3126">
        <f>($AO23*$C72)/$E$7</f>
        <v>0</v>
      </c>
      <c r="AP72" s="3124">
        <f>($AO23*$C72)+($AP23*$C72)/$E$7</f>
        <v>0</v>
      </c>
      <c r="AQ72" s="3124">
        <f>($AO23*$C72)+($AP23*$C72)+($AQ23*$C72)/$E$7</f>
        <v>0</v>
      </c>
      <c r="AR72" s="3124">
        <f>($AO23*$C72)+($AP23*$C72)+($AQ23*$C72)+($AR23*$C72)/$E$7</f>
        <v>0</v>
      </c>
      <c r="AS72" s="3124">
        <f>($AO23*$C72)+($AP23*$C72)+($AQ23*$C72)+($AR23*$C72)+($AS23*$C72)/$E$7</f>
        <v>0</v>
      </c>
      <c r="AT72" s="3127">
        <f>($AO23*$C72)+($AP23*$C72)+($AQ23*$C72)+($AR23*$C72)+($AS23*$C72)+($AT23*$C72)/$E$7</f>
        <v>0</v>
      </c>
      <c r="AU72" s="3129"/>
    </row>
    <row r="73" spans="1:47" s="73" customFormat="1">
      <c r="A73" s="3121"/>
      <c r="B73" s="4270">
        <v>2030402</v>
      </c>
      <c r="C73" s="4253">
        <v>0.1</v>
      </c>
      <c r="D73" s="3122" t="s">
        <v>434</v>
      </c>
      <c r="E73" s="3047">
        <f>'11.2. ДА за периода'!E73</f>
        <v>0</v>
      </c>
      <c r="F73" s="3123">
        <f>($F24*$C73)/$E$7</f>
        <v>0</v>
      </c>
      <c r="G73" s="3124">
        <f>($F24*$C73)+($G24*$C73)/$E$7</f>
        <v>0</v>
      </c>
      <c r="H73" s="3124">
        <f>($F24*$C73)+($G24*$C73)+($H24*$C73)/$E$7</f>
        <v>0</v>
      </c>
      <c r="I73" s="3124">
        <f>($F24*$C73)+($G24*$C73)+($H24*$C73)+($I24*$C73)/$E$7</f>
        <v>0</v>
      </c>
      <c r="J73" s="3124">
        <f>($F24*$C73)+($G24*$C73)+($H24*$C73)+($I24*$C73)+($J24*$C73)/$E$7</f>
        <v>0</v>
      </c>
      <c r="K73" s="3125">
        <f>($F24*$C73)+($G24*$C73)+($H24*$C73)+($I24*$C73)+($J24*$C73)+($K24*$C73)/$E$7</f>
        <v>0</v>
      </c>
      <c r="L73" s="3047">
        <f>'11.2. ДА за периода'!L73</f>
        <v>0</v>
      </c>
      <c r="M73" s="3126">
        <f>($M24*$C73)/$E$7</f>
        <v>0</v>
      </c>
      <c r="N73" s="3124">
        <f>($M24*$C73)+($N24*$C73)/$E$7</f>
        <v>0</v>
      </c>
      <c r="O73" s="3124">
        <f>($M24*$C73)+($N24*$C73)+($O24*$C73)/$E$7</f>
        <v>0</v>
      </c>
      <c r="P73" s="3124">
        <f>($M24*$C73)+($N24*$C73)+($O24*$C73)+($P24*$C73)/$E$7</f>
        <v>0</v>
      </c>
      <c r="Q73" s="3125">
        <f>($M24*$C73)+($N24*$C73)+($O24*$C73)+($P24*$C73)+($Q24*$C73)/$E$7</f>
        <v>0</v>
      </c>
      <c r="R73" s="3127">
        <f>($M24*$C73)+($N24*$C73)+($O24*$C73)+($P24*$C73)+($Q24*$C73)+($R24*$C73)/$E$7</f>
        <v>0</v>
      </c>
      <c r="S73" s="1203">
        <f>'11.2. ДА за периода'!S73</f>
        <v>0</v>
      </c>
      <c r="T73" s="3128">
        <f>($T24*$C73)/$E$7</f>
        <v>0</v>
      </c>
      <c r="U73" s="3124">
        <f>($T24*$C73)+($U24*$C73)/$E$7</f>
        <v>0</v>
      </c>
      <c r="V73" s="3124">
        <f>($T24*$C73)+($U24*$C73)+($V24*$C73)/$E$7</f>
        <v>0</v>
      </c>
      <c r="W73" s="3124">
        <f>($T24*$C73)+($U24*$C73)+($V24*$C73)+($W24*$C73)/$E$7</f>
        <v>0</v>
      </c>
      <c r="X73" s="3124">
        <f>($T24*$C73)+($U24*$C73)+($V24*$C73)+($W24*$C73)+($X24*$C73)/$E$7</f>
        <v>0</v>
      </c>
      <c r="Y73" s="3127">
        <f>($T24*$C73)+($U24*$C73)+($V24*$C73)+($W24*$C73)+($X24*$C73)+($Y24*$C73)/$E$7</f>
        <v>0</v>
      </c>
      <c r="Z73" s="1203">
        <f>'11.2. ДА за периода'!Z73</f>
        <v>0</v>
      </c>
      <c r="AA73" s="3128">
        <f t="shared" si="64"/>
        <v>0</v>
      </c>
      <c r="AB73" s="3124">
        <f t="shared" si="65"/>
        <v>0</v>
      </c>
      <c r="AC73" s="3124">
        <f t="shared" si="66"/>
        <v>0</v>
      </c>
      <c r="AD73" s="3124">
        <f t="shared" si="67"/>
        <v>0</v>
      </c>
      <c r="AE73" s="3124">
        <f t="shared" si="68"/>
        <v>0</v>
      </c>
      <c r="AF73" s="3125">
        <f t="shared" si="69"/>
        <v>0</v>
      </c>
      <c r="AG73" s="1203">
        <f>'11.2. ДА за периода'!AG73</f>
        <v>0</v>
      </c>
      <c r="AH73" s="3128">
        <f t="shared" si="70"/>
        <v>0</v>
      </c>
      <c r="AI73" s="3124">
        <f t="shared" si="71"/>
        <v>0</v>
      </c>
      <c r="AJ73" s="3124">
        <f t="shared" si="72"/>
        <v>0</v>
      </c>
      <c r="AK73" s="3124">
        <f t="shared" si="73"/>
        <v>0</v>
      </c>
      <c r="AL73" s="3124">
        <f t="shared" si="74"/>
        <v>0</v>
      </c>
      <c r="AM73" s="3125">
        <f t="shared" si="75"/>
        <v>0</v>
      </c>
      <c r="AN73" s="3047">
        <f>'11.2. ДА за периода'!AN73</f>
        <v>0</v>
      </c>
      <c r="AO73" s="3126">
        <f>($AO24*$C73)/$E$7</f>
        <v>0</v>
      </c>
      <c r="AP73" s="3124">
        <f>($AO24*$C73)+($AP24*$C73)/$E$7</f>
        <v>0</v>
      </c>
      <c r="AQ73" s="3124">
        <f>($AO24*$C73)+($AP24*$C73)+($AQ24*$C73)/$E$7</f>
        <v>0</v>
      </c>
      <c r="AR73" s="3124">
        <f>($AO24*$C73)+($AP24*$C73)+($AQ24*$C73)+($AR24*$C73)/$E$7</f>
        <v>0</v>
      </c>
      <c r="AS73" s="3124">
        <f>($AO24*$C73)+($AP24*$C73)+($AQ24*$C73)+($AR24*$C73)+($AS24*$C73)/$E$7</f>
        <v>0</v>
      </c>
      <c r="AT73" s="3127">
        <f>($AO24*$C73)+($AP24*$C73)+($AQ24*$C73)+($AR24*$C73)+($AS24*$C73)+($AT24*$C73)/$E$7</f>
        <v>0</v>
      </c>
      <c r="AU73" s="3129"/>
    </row>
    <row r="74" spans="1:47">
      <c r="A74" s="3060"/>
      <c r="B74" s="4269">
        <v>20305</v>
      </c>
      <c r="C74" s="4252"/>
      <c r="D74" s="3118" t="s">
        <v>435</v>
      </c>
      <c r="E74" s="3065">
        <f>SUM(E75:E77)</f>
        <v>7.988999999999999</v>
      </c>
      <c r="F74" s="3066">
        <f t="shared" ref="F74:AT74" si="76">SUM(F75:F77)</f>
        <v>4.3000000000000007</v>
      </c>
      <c r="G74" s="3067">
        <f t="shared" si="76"/>
        <v>11.25</v>
      </c>
      <c r="H74" s="3067">
        <f t="shared" si="76"/>
        <v>16.8</v>
      </c>
      <c r="I74" s="3067">
        <f t="shared" si="76"/>
        <v>22.599999999999998</v>
      </c>
      <c r="J74" s="3067">
        <f t="shared" si="76"/>
        <v>28.400000000000002</v>
      </c>
      <c r="K74" s="3120">
        <f t="shared" si="76"/>
        <v>34.200000000000003</v>
      </c>
      <c r="L74" s="3069">
        <f t="shared" si="76"/>
        <v>3.0000000000000001E-3</v>
      </c>
      <c r="M74" s="3066">
        <f t="shared" si="76"/>
        <v>0</v>
      </c>
      <c r="N74" s="3067">
        <f t="shared" si="76"/>
        <v>0</v>
      </c>
      <c r="O74" s="3067">
        <f t="shared" si="76"/>
        <v>0.5</v>
      </c>
      <c r="P74" s="3067">
        <f t="shared" si="76"/>
        <v>1.3</v>
      </c>
      <c r="Q74" s="3067">
        <f t="shared" si="76"/>
        <v>1.6</v>
      </c>
      <c r="R74" s="3068">
        <f t="shared" si="76"/>
        <v>1.6</v>
      </c>
      <c r="S74" s="3069">
        <f t="shared" si="76"/>
        <v>0</v>
      </c>
      <c r="T74" s="3070">
        <f t="shared" si="76"/>
        <v>0</v>
      </c>
      <c r="U74" s="3067">
        <f t="shared" si="76"/>
        <v>0</v>
      </c>
      <c r="V74" s="3067">
        <f t="shared" si="76"/>
        <v>0</v>
      </c>
      <c r="W74" s="3067">
        <f t="shared" si="76"/>
        <v>0</v>
      </c>
      <c r="X74" s="3067">
        <f t="shared" si="76"/>
        <v>0</v>
      </c>
      <c r="Y74" s="3068">
        <f t="shared" si="76"/>
        <v>0</v>
      </c>
      <c r="Z74" s="3069">
        <f t="shared" si="76"/>
        <v>0</v>
      </c>
      <c r="AA74" s="3070">
        <f t="shared" si="76"/>
        <v>0</v>
      </c>
      <c r="AB74" s="3067">
        <f t="shared" si="76"/>
        <v>0</v>
      </c>
      <c r="AC74" s="3067">
        <f t="shared" si="76"/>
        <v>0</v>
      </c>
      <c r="AD74" s="3067">
        <f t="shared" si="76"/>
        <v>0</v>
      </c>
      <c r="AE74" s="3067">
        <f t="shared" si="76"/>
        <v>0</v>
      </c>
      <c r="AF74" s="3068">
        <f t="shared" si="76"/>
        <v>0</v>
      </c>
      <c r="AG74" s="3069">
        <f t="shared" si="76"/>
        <v>0</v>
      </c>
      <c r="AH74" s="3070">
        <f t="shared" si="76"/>
        <v>0</v>
      </c>
      <c r="AI74" s="3067">
        <f t="shared" si="76"/>
        <v>0</v>
      </c>
      <c r="AJ74" s="3067">
        <f t="shared" si="76"/>
        <v>0</v>
      </c>
      <c r="AK74" s="3067">
        <f t="shared" si="76"/>
        <v>0</v>
      </c>
      <c r="AL74" s="3067">
        <f t="shared" si="76"/>
        <v>0</v>
      </c>
      <c r="AM74" s="3068">
        <f t="shared" si="76"/>
        <v>0</v>
      </c>
      <c r="AN74" s="3069">
        <f t="shared" si="76"/>
        <v>0</v>
      </c>
      <c r="AO74" s="3070">
        <f t="shared" si="76"/>
        <v>3.25</v>
      </c>
      <c r="AP74" s="3067">
        <f t="shared" si="76"/>
        <v>9.65</v>
      </c>
      <c r="AQ74" s="3067">
        <f t="shared" si="76"/>
        <v>16.150000000000002</v>
      </c>
      <c r="AR74" s="3067">
        <f t="shared" si="76"/>
        <v>22.85</v>
      </c>
      <c r="AS74" s="3067">
        <f t="shared" si="76"/>
        <v>29.55</v>
      </c>
      <c r="AT74" s="3068">
        <f t="shared" si="76"/>
        <v>36.25</v>
      </c>
      <c r="AU74" s="3006"/>
    </row>
    <row r="75" spans="1:47" s="73" customFormat="1">
      <c r="A75" s="3121"/>
      <c r="B75" s="4270">
        <v>2030501</v>
      </c>
      <c r="C75" s="4253">
        <v>0.1</v>
      </c>
      <c r="D75" s="3122" t="s">
        <v>1009</v>
      </c>
      <c r="E75" s="3047">
        <f>'11.2. ДА за периода'!E75</f>
        <v>2.847</v>
      </c>
      <c r="F75" s="3123">
        <f>($F26*$C75)/$E$7</f>
        <v>0.45</v>
      </c>
      <c r="G75" s="3124">
        <f>($F26*$C75)+($G26*$C75)/$E$7</f>
        <v>1.4</v>
      </c>
      <c r="H75" s="3124">
        <f>($F26*$C75)+($G26*$C75)+($H26*$C75)/$E$7</f>
        <v>2.4</v>
      </c>
      <c r="I75" s="3124">
        <f>($F26*$C75)+($G26*$C75)+($H26*$C75)+($I26*$C75)/$E$7</f>
        <v>3.4</v>
      </c>
      <c r="J75" s="3124">
        <f>($F26*$C75)+($G26*$C75)+($H26*$C75)+($I26*$C75)+($J26*$C75)/$E$7</f>
        <v>4.4000000000000004</v>
      </c>
      <c r="K75" s="3125">
        <f>($F26*$C75)+($G26*$C75)+($H26*$C75)+($I26*$C75)+($J26*$C75)+($K26*$C75)/$E$7</f>
        <v>5.4</v>
      </c>
      <c r="L75" s="3047">
        <f>'11.2. ДА за периода'!L75</f>
        <v>3.0000000000000001E-3</v>
      </c>
      <c r="M75" s="3126">
        <f>($M26*$C75)/$E$7</f>
        <v>0</v>
      </c>
      <c r="N75" s="3124">
        <f>($M26*$C75)+($N26*$C75)/$E$7</f>
        <v>0</v>
      </c>
      <c r="O75" s="3124">
        <f>($M26*$C75)+($N26*$C75)+($O26*$C75)/$E$7</f>
        <v>0</v>
      </c>
      <c r="P75" s="3124">
        <f>($M26*$C75)+($N26*$C75)+($O26*$C75)+($P26*$C75)/$E$7</f>
        <v>0</v>
      </c>
      <c r="Q75" s="3125">
        <f>($M26*$C75)+($N26*$C75)+($O26*$C75)+($P26*$C75)+($Q26*$C75)/$E$7</f>
        <v>0</v>
      </c>
      <c r="R75" s="3127">
        <f>($M26*$C75)+($N26*$C75)+($O26*$C75)+($P26*$C75)+($Q26*$C75)+($R26*$C75)/$E$7</f>
        <v>0</v>
      </c>
      <c r="S75" s="1203">
        <f>'11.2. ДА за периода'!S75</f>
        <v>0</v>
      </c>
      <c r="T75" s="3128">
        <f>($T26*$C75)/$E$7</f>
        <v>0</v>
      </c>
      <c r="U75" s="3124">
        <f>($T26*$C75)+($U26*$C75)/$E$7</f>
        <v>0</v>
      </c>
      <c r="V75" s="3124">
        <f>($T26*$C75)+($U26*$C75)+($V26*$C75)/$E$7</f>
        <v>0</v>
      </c>
      <c r="W75" s="3124">
        <f>($T26*$C75)+($U26*$C75)+($V26*$C75)+($W26*$C75)/$E$7</f>
        <v>0</v>
      </c>
      <c r="X75" s="3124">
        <f>($T26*$C75)+($U26*$C75)+($V26*$C75)+($W26*$C75)+($X26*$C75)/$E$7</f>
        <v>0</v>
      </c>
      <c r="Y75" s="3127">
        <f>($T26*$C75)+($U26*$C75)+($V26*$C75)+($W26*$C75)+($X26*$C75)+($Y26*$C75)/$E$7</f>
        <v>0</v>
      </c>
      <c r="Z75" s="1203">
        <f>'11.2. ДА за периода'!Z75</f>
        <v>0</v>
      </c>
      <c r="AA75" s="3128">
        <f>(AA26*$C75)/$E$7</f>
        <v>0</v>
      </c>
      <c r="AB75" s="3124">
        <f>(AA26*$C75)+(AB26*$C75)/$E$7</f>
        <v>0</v>
      </c>
      <c r="AC75" s="3124">
        <f>(AA26*$C75)+(AB26*$C75)+(AC26*$C75)/$E$7</f>
        <v>0</v>
      </c>
      <c r="AD75" s="3124">
        <f>(AA26*$C75)+(AB26*$C75)+(AC26*$C75)+(AD26*$C75)/$E$7</f>
        <v>0</v>
      </c>
      <c r="AE75" s="3124">
        <f>(AA26*$C75)+(AB26*$C75)+(AC26*$C75)+(AD26*$C75)+(AE26*$C75)/$E$7</f>
        <v>0</v>
      </c>
      <c r="AF75" s="3125">
        <f>(AA26*$C75)+(AB26*$C75)+(AC26*$C75)+(AD26*$C75)+(AE26*$C75)+(AF26*$C75)/$E$7</f>
        <v>0</v>
      </c>
      <c r="AG75" s="1203">
        <f>'11.2. ДА за периода'!AG75</f>
        <v>0</v>
      </c>
      <c r="AH75" s="3128">
        <f t="shared" ref="AH75:AH78" si="77">(AH26*$C75)/$E$7</f>
        <v>0</v>
      </c>
      <c r="AI75" s="3124">
        <f t="shared" ref="AI75:AI78" si="78">(AH26*$C75)+(AI26*$C75)/$E$7</f>
        <v>0</v>
      </c>
      <c r="AJ75" s="3124">
        <f t="shared" ref="AJ75:AJ78" si="79">(AH26*$C75)+(AI26*$C75)+(AJ26*$C75)/$E$7</f>
        <v>0</v>
      </c>
      <c r="AK75" s="3124">
        <f t="shared" ref="AK75:AK78" si="80">(AH26*$C75)+(AI26*$C75)+(AJ26*$C75)+(AK26*$C75)/$E$7</f>
        <v>0</v>
      </c>
      <c r="AL75" s="3124">
        <f t="shared" ref="AL75:AL78" si="81">(AH26*$C75)+(AI26*$C75)+(AJ26*$C75)+(AK26*$C75)+(AL26*$C75)/$E$7</f>
        <v>0</v>
      </c>
      <c r="AM75" s="3125">
        <f t="shared" ref="AM75:AM78" si="82">(AH26*$C75)+(AI26*$C75)+(AJ26*$C75)+(AK26*$C75)+(AL26*$C75)+(AM26*$C75)/$E$7</f>
        <v>0</v>
      </c>
      <c r="AN75" s="3047">
        <f>'11.2. ДА за периода'!AN75</f>
        <v>0</v>
      </c>
      <c r="AO75" s="3126">
        <f>($AO26*$C75)/$E$7</f>
        <v>3.25</v>
      </c>
      <c r="AP75" s="3124">
        <f>($AO26*$C75)+($AP26*$C75)/$E$7</f>
        <v>9.65</v>
      </c>
      <c r="AQ75" s="3124">
        <f>($AO26*$C75)+($AP26*$C75)+($AQ26*$C75)/$E$7</f>
        <v>16.150000000000002</v>
      </c>
      <c r="AR75" s="3124">
        <f>($AO26*$C75)+($AP26*$C75)+($AQ26*$C75)+($AR26*$C75)/$E$7</f>
        <v>22.85</v>
      </c>
      <c r="AS75" s="3124">
        <f>($AO26*$C75)+($AP26*$C75)+($AQ26*$C75)+($AR26*$C75)+($AS26*$C75)/$E$7</f>
        <v>29.55</v>
      </c>
      <c r="AT75" s="3127">
        <f>($AO26*$C75)+($AP26*$C75)+($AQ26*$C75)+($AR26*$C75)+($AS26*$C75)+($AT26*$C75)/$E$7</f>
        <v>36.25</v>
      </c>
      <c r="AU75" s="3129"/>
    </row>
    <row r="76" spans="1:47" s="4283" customFormat="1" ht="24">
      <c r="A76" s="4276"/>
      <c r="B76" s="4277">
        <v>2030502</v>
      </c>
      <c r="C76" s="4278">
        <v>0.1</v>
      </c>
      <c r="D76" s="4279" t="s">
        <v>702</v>
      </c>
      <c r="E76" s="3047">
        <f>'11.2. ДА за периода'!E76</f>
        <v>4.4909999999999997</v>
      </c>
      <c r="F76" s="3123">
        <f>($F27*$C76)/$E$7</f>
        <v>3.25</v>
      </c>
      <c r="G76" s="3471">
        <f>($F27*$C76)+($G27*$C76)/$E$7</f>
        <v>8.65</v>
      </c>
      <c r="H76" s="3471">
        <f>($F27*$C76)+($G27*$C76)+($H27*$C76)/$E$7</f>
        <v>12.950000000000001</v>
      </c>
      <c r="I76" s="3471">
        <f>($F27*$C76)+($G27*$C76)+($H27*$C76)+($I27*$C76)/$E$7</f>
        <v>17.25</v>
      </c>
      <c r="J76" s="3471">
        <f>($F27*$C76)+($G27*$C76)+($H27*$C76)+($I27*$C76)+($J27*$C76)/$E$7</f>
        <v>21.55</v>
      </c>
      <c r="K76" s="4280">
        <f>($F27*$C76)+($G27*$C76)+($H27*$C76)+($I27*$C76)+($J27*$C76)+($K27*$C76)/$E$7</f>
        <v>25.85</v>
      </c>
      <c r="L76" s="3047">
        <f>'11.2. ДА за периода'!L76</f>
        <v>0</v>
      </c>
      <c r="M76" s="3123">
        <f>($M27*$C76)/$E$7</f>
        <v>0</v>
      </c>
      <c r="N76" s="3471">
        <f>($M27*$C76)+($N27*$C76)/$E$7</f>
        <v>0</v>
      </c>
      <c r="O76" s="3471">
        <f>($M27*$C76)+($N27*$C76)+($O27*$C76)/$E$7</f>
        <v>0</v>
      </c>
      <c r="P76" s="3471">
        <f>($M27*$C76)+($N27*$C76)+($O27*$C76)+($P27*$C76)/$E$7</f>
        <v>0</v>
      </c>
      <c r="Q76" s="4280">
        <f>($M27*$C76)+($N27*$C76)+($O27*$C76)+($P27*$C76)+($Q27*$C76)/$E$7</f>
        <v>0</v>
      </c>
      <c r="R76" s="4281">
        <f>($M27*$C76)+($N27*$C76)+($O27*$C76)+($P27*$C76)+($Q27*$C76)+($R27*$C76)/$E$7</f>
        <v>0</v>
      </c>
      <c r="S76" s="1203">
        <f>'11.2. ДА за периода'!S76</f>
        <v>0</v>
      </c>
      <c r="T76" s="3443">
        <f>($T27*$C76)/$E$7</f>
        <v>0</v>
      </c>
      <c r="U76" s="3471">
        <f>($T27*$C76)+($U27*$C76)/$E$7</f>
        <v>0</v>
      </c>
      <c r="V76" s="3471">
        <f>($T27*$C76)+($U27*$C76)+($V27*$C76)/$E$7</f>
        <v>0</v>
      </c>
      <c r="W76" s="3471">
        <f>($T27*$C76)+($U27*$C76)+($V27*$C76)+($W27*$C76)/$E$7</f>
        <v>0</v>
      </c>
      <c r="X76" s="3471">
        <f>($T27*$C76)+($U27*$C76)+($V27*$C76)+($W27*$C76)+($X27*$C76)/$E$7</f>
        <v>0</v>
      </c>
      <c r="Y76" s="4281">
        <f>($T27*$C76)+($U27*$C76)+($V27*$C76)+($W27*$C76)+($X27*$C76)+($Y27*$C76)/$E$7</f>
        <v>0</v>
      </c>
      <c r="Z76" s="1203">
        <f>'11.2. ДА за периода'!Z76</f>
        <v>0</v>
      </c>
      <c r="AA76" s="3443">
        <f>(AA27*$C76)/$E$7</f>
        <v>0</v>
      </c>
      <c r="AB76" s="3471">
        <f>(AA27*$C76)+(AB27*$C76)/$E$7</f>
        <v>0</v>
      </c>
      <c r="AC76" s="3471">
        <f>(AA27*$C76)+(AB27*$C76)+(AC27*$C76)/$E$7</f>
        <v>0</v>
      </c>
      <c r="AD76" s="3471">
        <f>(AA27*$C76)+(AB27*$C76)+(AC27*$C76)+(AD27*$C76)/$E$7</f>
        <v>0</v>
      </c>
      <c r="AE76" s="3471">
        <f>(AA27*$C76)+(AB27*$C76)+(AC27*$C76)+(AD27*$C76)+(AE27*$C76)/$E$7</f>
        <v>0</v>
      </c>
      <c r="AF76" s="4280">
        <f>(AA27*$C76)+(AB27*$C76)+(AC27*$C76)+(AD27*$C76)+(AE27*$C76)+(AF27*$C76)/$E$7</f>
        <v>0</v>
      </c>
      <c r="AG76" s="1203">
        <f>'11.2. ДА за периода'!AG76</f>
        <v>0</v>
      </c>
      <c r="AH76" s="3443">
        <f t="shared" si="77"/>
        <v>0</v>
      </c>
      <c r="AI76" s="3471">
        <f t="shared" si="78"/>
        <v>0</v>
      </c>
      <c r="AJ76" s="3471">
        <f t="shared" si="79"/>
        <v>0</v>
      </c>
      <c r="AK76" s="3471">
        <f t="shared" si="80"/>
        <v>0</v>
      </c>
      <c r="AL76" s="3471">
        <f t="shared" si="81"/>
        <v>0</v>
      </c>
      <c r="AM76" s="4280">
        <f t="shared" si="82"/>
        <v>0</v>
      </c>
      <c r="AN76" s="3047">
        <f>'11.2. ДА за периода'!AN76</f>
        <v>0</v>
      </c>
      <c r="AO76" s="3123">
        <f>($AO27*$C76)/$E$7</f>
        <v>0</v>
      </c>
      <c r="AP76" s="3471">
        <f>($AO27*$C76)+($AP27*$C76)/$E$7</f>
        <v>0</v>
      </c>
      <c r="AQ76" s="3471">
        <f>($AO27*$C76)+($AP27*$C76)+($AQ27*$C76)/$E$7</f>
        <v>0</v>
      </c>
      <c r="AR76" s="3471">
        <f>($AO27*$C76)+($AP27*$C76)+($AQ27*$C76)+($AR27*$C76)/$E$7</f>
        <v>0</v>
      </c>
      <c r="AS76" s="3471">
        <f>($AO27*$C76)+($AP27*$C76)+($AQ27*$C76)+($AR27*$C76)+($AS27*$C76)/$E$7</f>
        <v>0</v>
      </c>
      <c r="AT76" s="4281">
        <f>($AO27*$C76)+($AP27*$C76)+($AQ27*$C76)+($AR27*$C76)+($AS27*$C76)+($AT27*$C76)/$E$7</f>
        <v>0</v>
      </c>
      <c r="AU76" s="4282"/>
    </row>
    <row r="77" spans="1:47" s="73" customFormat="1">
      <c r="A77" s="3121"/>
      <c r="B77" s="4270">
        <v>2030503</v>
      </c>
      <c r="C77" s="4253">
        <v>0.1</v>
      </c>
      <c r="D77" s="3122" t="s">
        <v>720</v>
      </c>
      <c r="E77" s="3047">
        <f>'11.2. ДА за периода'!E77</f>
        <v>0.65100000000000002</v>
      </c>
      <c r="F77" s="3123">
        <f>($F28*$C77)/$E$7</f>
        <v>0.60000000000000009</v>
      </c>
      <c r="G77" s="3124">
        <f>($F28*$C77)+($G28*$C77)/$E$7</f>
        <v>1.2000000000000002</v>
      </c>
      <c r="H77" s="3124">
        <f>($F28*$C77)+($G28*$C77)+($H28*$C77)/$E$7</f>
        <v>1.4500000000000002</v>
      </c>
      <c r="I77" s="3124">
        <f>($F28*$C77)+($G28*$C77)+($H28*$C77)+($I28*$C77)/$E$7</f>
        <v>1.9500000000000002</v>
      </c>
      <c r="J77" s="3124">
        <f>($F28*$C77)+($G28*$C77)+($H28*$C77)+($I28*$C77)+($J28*$C77)/$E$7</f>
        <v>2.4500000000000002</v>
      </c>
      <c r="K77" s="3125">
        <f>($F28*$C77)+($G28*$C77)+($H28*$C77)+($I28*$C77)+($J28*$C77)+($K28*$C77)/$E$7</f>
        <v>2.95</v>
      </c>
      <c r="L77" s="3047">
        <f>'11.2. ДА за периода'!L77</f>
        <v>0</v>
      </c>
      <c r="M77" s="3126">
        <f>($M28*$C77)/$E$7</f>
        <v>0</v>
      </c>
      <c r="N77" s="3124">
        <f>($M28*$C77)+($N28*$C77)/$E$7</f>
        <v>0</v>
      </c>
      <c r="O77" s="3124">
        <f>($M28*$C77)+($N28*$C77)+($O28*$C77)/$E$7</f>
        <v>0.5</v>
      </c>
      <c r="P77" s="3124">
        <f>($M28*$C77)+($N28*$C77)+($O28*$C77)+($P28*$C77)/$E$7</f>
        <v>1.3</v>
      </c>
      <c r="Q77" s="3125">
        <f>($M28*$C77)+($N28*$C77)+($O28*$C77)+($P28*$C77)+($Q28*$C77)/$E$7</f>
        <v>1.6</v>
      </c>
      <c r="R77" s="3127">
        <f>($M28*$C77)+($N28*$C77)+($O28*$C77)+($P28*$C77)+($Q28*$C77)+($R28*$C77)/$E$7</f>
        <v>1.6</v>
      </c>
      <c r="S77" s="1203">
        <f>'11.2. ДА за периода'!S77</f>
        <v>0</v>
      </c>
      <c r="T77" s="3128">
        <f>($T28*$C77)/$E$7</f>
        <v>0</v>
      </c>
      <c r="U77" s="3124">
        <f>($T28*$C77)+($U28*$C77)/$E$7</f>
        <v>0</v>
      </c>
      <c r="V77" s="3124">
        <f>($T28*$C77)+($U28*$C77)+($V28*$C77)/$E$7</f>
        <v>0</v>
      </c>
      <c r="W77" s="3124">
        <f>($T28*$C77)+($U28*$C77)+($V28*$C77)+($W28*$C77)/$E$7</f>
        <v>0</v>
      </c>
      <c r="X77" s="3124">
        <f>($T28*$C77)+($U28*$C77)+($V28*$C77)+($W28*$C77)+($X28*$C77)/$E$7</f>
        <v>0</v>
      </c>
      <c r="Y77" s="3127">
        <f>($T28*$C77)+($U28*$C77)+($V28*$C77)+($W28*$C77)+($X28*$C77)+($Y28*$C77)/$E$7</f>
        <v>0</v>
      </c>
      <c r="Z77" s="1203">
        <f>'11.2. ДА за периода'!Z77</f>
        <v>0</v>
      </c>
      <c r="AA77" s="3128">
        <f t="shared" ref="AA77:AA78" si="83">(AA28*$C77)/$E$7</f>
        <v>0</v>
      </c>
      <c r="AB77" s="3124">
        <f t="shared" ref="AB77:AB78" si="84">(AA28*$C77)+(AB28*$C77)/$E$7</f>
        <v>0</v>
      </c>
      <c r="AC77" s="3124">
        <f t="shared" ref="AC77:AC78" si="85">(AA28*$C77)+(AB28*$C77)+(AC28*$C77)/$E$7</f>
        <v>0</v>
      </c>
      <c r="AD77" s="3124">
        <f t="shared" ref="AD77:AD78" si="86">(AA28*$C77)+(AB28*$C77)+(AC28*$C77)+(AD28*$C77)/$E$7</f>
        <v>0</v>
      </c>
      <c r="AE77" s="3124">
        <f t="shared" ref="AE77:AE78" si="87">(AA28*$C77)+(AB28*$C77)+(AC28*$C77)+(AD28*$C77)+(AE28*$C77)/$E$7</f>
        <v>0</v>
      </c>
      <c r="AF77" s="3125">
        <f t="shared" ref="AF77:AF78" si="88">(AA28*$C77)+(AB28*$C77)+(AC28*$C77)+(AD28*$C77)+(AE28*$C77)+(AF28*$C77)/$E$7</f>
        <v>0</v>
      </c>
      <c r="AG77" s="1203">
        <f>'11.2. ДА за периода'!AG77</f>
        <v>0</v>
      </c>
      <c r="AH77" s="3128">
        <f t="shared" si="77"/>
        <v>0</v>
      </c>
      <c r="AI77" s="3124">
        <f t="shared" si="78"/>
        <v>0</v>
      </c>
      <c r="AJ77" s="3124">
        <f t="shared" si="79"/>
        <v>0</v>
      </c>
      <c r="AK77" s="3124">
        <f t="shared" si="80"/>
        <v>0</v>
      </c>
      <c r="AL77" s="3124">
        <f t="shared" si="81"/>
        <v>0</v>
      </c>
      <c r="AM77" s="3125">
        <f t="shared" si="82"/>
        <v>0</v>
      </c>
      <c r="AN77" s="3047">
        <f>'11.2. ДА за периода'!AN77</f>
        <v>0</v>
      </c>
      <c r="AO77" s="3126">
        <f>($AO28*$C77)/$E$7</f>
        <v>0</v>
      </c>
      <c r="AP77" s="3124">
        <f>($AO28*$C77)+($AP28*$C77)/$E$7</f>
        <v>0</v>
      </c>
      <c r="AQ77" s="3124">
        <f>($AO28*$C77)+($AP28*$C77)+($AQ28*$C77)/$E$7</f>
        <v>0</v>
      </c>
      <c r="AR77" s="3124">
        <f>($AO28*$C77)+($AP28*$C77)+($AQ28*$C77)+($AR28*$C77)/$E$7</f>
        <v>0</v>
      </c>
      <c r="AS77" s="3124">
        <f>($AO28*$C77)+($AP28*$C77)+($AQ28*$C77)+($AR28*$C77)+($AS28*$C77)/$E$7</f>
        <v>0</v>
      </c>
      <c r="AT77" s="3127">
        <f>($AO28*$C77)+($AP28*$C77)+($AQ28*$C77)+($AR28*$C77)+($AS28*$C77)+($AT28*$C77)/$E$7</f>
        <v>0</v>
      </c>
      <c r="AU77" s="3129"/>
    </row>
    <row r="78" spans="1:47">
      <c r="A78" s="3060"/>
      <c r="B78" s="4269">
        <v>20306</v>
      </c>
      <c r="C78" s="4242">
        <v>0.1</v>
      </c>
      <c r="D78" s="3064" t="s">
        <v>414</v>
      </c>
      <c r="E78" s="3047">
        <f>'11.2. ДА за периода'!E78</f>
        <v>0.23100000000000001</v>
      </c>
      <c r="F78" s="2971">
        <f>($F29*$C78)/$E$7</f>
        <v>2.6500000000000004</v>
      </c>
      <c r="G78" s="1321">
        <f>($F29*$C78)+($G29*$C78)/$E$7</f>
        <v>5.3000000000000007</v>
      </c>
      <c r="H78" s="1321">
        <f>($F29*$C78)+($G29*$C78)+($H29*$C78)/$E$7</f>
        <v>6.0000000000000009</v>
      </c>
      <c r="I78" s="1321">
        <f>($F29*$C78)+($G29*$C78)+($H29*$C78)+($I29*$C78)/$E$7</f>
        <v>7.2500000000000009</v>
      </c>
      <c r="J78" s="1321">
        <f>($F29*$C78)+($G29*$C78)+($H29*$C78)+($I29*$C78)+($J29*$C78)/$E$7</f>
        <v>8.375</v>
      </c>
      <c r="K78" s="2977">
        <f>($F29*$C78)+($G29*$C78)+($H29*$C78)+($I29*$C78)+($J29*$C78)+($K29*$C78)/$E$7</f>
        <v>9.7750000000000004</v>
      </c>
      <c r="L78" s="3047">
        <f>'11.2. ДА за периода'!L78</f>
        <v>0</v>
      </c>
      <c r="M78" s="1325">
        <f>($M29*$C78)/$E$7</f>
        <v>0.15000000000000002</v>
      </c>
      <c r="N78" s="1321">
        <f>($M29*$C78)+($N29*$C78)/$E$7</f>
        <v>0.35000000000000003</v>
      </c>
      <c r="O78" s="1321">
        <f>($M29*$C78)+($N29*$C78)+($O29*$C78)/$E$7</f>
        <v>0.60000000000000009</v>
      </c>
      <c r="P78" s="1321">
        <f>($M29*$C78)+($N29*$C78)+($O29*$C78)+($P29*$C78)/$E$7</f>
        <v>1.0250000000000001</v>
      </c>
      <c r="Q78" s="2977">
        <f>($M29*$C78)+($N29*$C78)+($O29*$C78)+($P29*$C78)+($Q29*$C78)/$E$7</f>
        <v>1.325</v>
      </c>
      <c r="R78" s="1326">
        <f>($M29*$C78)+($N29*$C78)+($O29*$C78)+($P29*$C78)+($Q29*$C78)+($R29*$C78)/$E$7</f>
        <v>2.6</v>
      </c>
      <c r="S78" s="1203">
        <f>'11.2. ДА за периода'!S78</f>
        <v>0</v>
      </c>
      <c r="T78" s="996">
        <f>($T29*$C78)/$E$7</f>
        <v>0</v>
      </c>
      <c r="U78" s="1321">
        <f>($T29*$C78)+($U29*$C78)/$E$7</f>
        <v>0</v>
      </c>
      <c r="V78" s="1321">
        <f>($T29*$C78)+($U29*$C78)+($V29*$C78)/$E$7</f>
        <v>2.0000000000000004E-2</v>
      </c>
      <c r="W78" s="1321">
        <f>($T29*$C78)+($U29*$C78)+($V29*$C78)+($W29*$C78)/$E$7</f>
        <v>4.0000000000000008E-2</v>
      </c>
      <c r="X78" s="1321">
        <f>($T29*$C78)+($U29*$C78)+($V29*$C78)+($W29*$C78)+($X29*$C78)/$E$7</f>
        <v>4.0000000000000008E-2</v>
      </c>
      <c r="Y78" s="1326">
        <f>($T29*$C78)+($U29*$C78)+($V29*$C78)+($W29*$C78)+($X29*$C78)+($Y29*$C78)/$E$7</f>
        <v>4.0000000000000008E-2</v>
      </c>
      <c r="Z78" s="1203">
        <f>'11.2. ДА за периода'!Z78</f>
        <v>0</v>
      </c>
      <c r="AA78" s="996">
        <f t="shared" si="83"/>
        <v>0</v>
      </c>
      <c r="AB78" s="1321">
        <f t="shared" si="84"/>
        <v>0.05</v>
      </c>
      <c r="AC78" s="1321">
        <f t="shared" si="85"/>
        <v>0.15000000000000002</v>
      </c>
      <c r="AD78" s="1321">
        <f t="shared" si="86"/>
        <v>0.2</v>
      </c>
      <c r="AE78" s="1321">
        <f t="shared" si="87"/>
        <v>0.2</v>
      </c>
      <c r="AF78" s="2977">
        <f t="shared" si="88"/>
        <v>0.2</v>
      </c>
      <c r="AG78" s="1203">
        <f>'11.2. ДА за периода'!AG78</f>
        <v>0</v>
      </c>
      <c r="AH78" s="996">
        <f t="shared" si="77"/>
        <v>0</v>
      </c>
      <c r="AI78" s="1321">
        <f t="shared" si="78"/>
        <v>0</v>
      </c>
      <c r="AJ78" s="1321">
        <f t="shared" si="79"/>
        <v>0</v>
      </c>
      <c r="AK78" s="1321">
        <f t="shared" si="80"/>
        <v>0</v>
      </c>
      <c r="AL78" s="1321">
        <f t="shared" si="81"/>
        <v>0</v>
      </c>
      <c r="AM78" s="2977">
        <f t="shared" si="82"/>
        <v>0</v>
      </c>
      <c r="AN78" s="1203" t="str">
        <f>'11.2. ДА за периода'!AN78</f>
        <v>T</v>
      </c>
      <c r="AO78" s="1325">
        <f>($AO29*$C78)/$E$7</f>
        <v>0</v>
      </c>
      <c r="AP78" s="1321">
        <f>($AO29*$C78)+($AP29*$C78)/$E$7</f>
        <v>0.4</v>
      </c>
      <c r="AQ78" s="1321">
        <f>($AO29*$C78)+($AP29*$C78)+($AQ29*$C78)/$E$7</f>
        <v>1.25</v>
      </c>
      <c r="AR78" s="1321">
        <f>($AO29*$C78)+($AP29*$C78)+($AQ29*$C78)+($AR29*$C78)/$E$7</f>
        <v>2.1500000000000004</v>
      </c>
      <c r="AS78" s="1321">
        <f>($AO29*$C78)+($AP29*$C78)+($AQ29*$C78)+($AR29*$C78)+($AS29*$C78)/$E$7</f>
        <v>3.1</v>
      </c>
      <c r="AT78" s="1326">
        <f>($AO29*$C78)+($AP29*$C78)+($AQ29*$C78)+($AR29*$C78)+($AS29*$C78)+($AT29*$C78)/$E$7</f>
        <v>4.05</v>
      </c>
      <c r="AU78" s="3006"/>
    </row>
    <row r="79" spans="1:47" ht="14.25" customHeight="1">
      <c r="A79" s="3053">
        <v>4</v>
      </c>
      <c r="B79" s="4268">
        <v>204</v>
      </c>
      <c r="C79" s="4241"/>
      <c r="D79" s="3072" t="s">
        <v>216</v>
      </c>
      <c r="E79" s="3108">
        <f>E80+E83+E92+E93</f>
        <v>2.6589999999999998</v>
      </c>
      <c r="F79" s="3109">
        <f t="shared" ref="F79:AT79" si="89">F80+F83+F92+F93</f>
        <v>4.375</v>
      </c>
      <c r="G79" s="3110">
        <f t="shared" si="89"/>
        <v>23.532310000000003</v>
      </c>
      <c r="H79" s="3110">
        <f t="shared" si="89"/>
        <v>64.221409999999992</v>
      </c>
      <c r="I79" s="3110">
        <f t="shared" si="89"/>
        <v>93.483200000000011</v>
      </c>
      <c r="J79" s="3110">
        <f t="shared" si="89"/>
        <v>98.698200000000014</v>
      </c>
      <c r="K79" s="3111">
        <f t="shared" si="89"/>
        <v>102.41820000000001</v>
      </c>
      <c r="L79" s="3112">
        <f t="shared" si="89"/>
        <v>0.17599999999999999</v>
      </c>
      <c r="M79" s="3109">
        <f t="shared" si="89"/>
        <v>0.95000000000000007</v>
      </c>
      <c r="N79" s="3110">
        <f t="shared" si="89"/>
        <v>6.7034000000000011</v>
      </c>
      <c r="O79" s="3110">
        <f t="shared" si="89"/>
        <v>42.079610000000002</v>
      </c>
      <c r="P79" s="3110">
        <f t="shared" si="89"/>
        <v>72.928420000000017</v>
      </c>
      <c r="Q79" s="3110">
        <f t="shared" si="89"/>
        <v>73.483420000000024</v>
      </c>
      <c r="R79" s="3113">
        <f t="shared" si="89"/>
        <v>74.055420000000026</v>
      </c>
      <c r="S79" s="3112">
        <f t="shared" si="89"/>
        <v>0</v>
      </c>
      <c r="T79" s="3114">
        <f t="shared" si="89"/>
        <v>0.12</v>
      </c>
      <c r="U79" s="3110">
        <f t="shared" si="89"/>
        <v>21.354499999999998</v>
      </c>
      <c r="V79" s="3110">
        <f t="shared" si="89"/>
        <v>64.523499999999999</v>
      </c>
      <c r="W79" s="3110">
        <f t="shared" si="89"/>
        <v>87.597999999999999</v>
      </c>
      <c r="X79" s="3110">
        <f t="shared" si="89"/>
        <v>88.618000000000009</v>
      </c>
      <c r="Y79" s="3113">
        <f t="shared" si="89"/>
        <v>88.618000000000009</v>
      </c>
      <c r="Z79" s="3112">
        <f t="shared" si="89"/>
        <v>0</v>
      </c>
      <c r="AA79" s="3114">
        <f t="shared" si="89"/>
        <v>0</v>
      </c>
      <c r="AB79" s="3110">
        <f t="shared" si="89"/>
        <v>0</v>
      </c>
      <c r="AC79" s="3110">
        <f t="shared" si="89"/>
        <v>0</v>
      </c>
      <c r="AD79" s="3110">
        <f t="shared" si="89"/>
        <v>0</v>
      </c>
      <c r="AE79" s="3110">
        <f t="shared" si="89"/>
        <v>0</v>
      </c>
      <c r="AF79" s="3113">
        <f t="shared" si="89"/>
        <v>0</v>
      </c>
      <c r="AG79" s="3112">
        <f t="shared" si="89"/>
        <v>0</v>
      </c>
      <c r="AH79" s="3114">
        <f t="shared" si="89"/>
        <v>0</v>
      </c>
      <c r="AI79" s="3110">
        <f t="shared" si="89"/>
        <v>0</v>
      </c>
      <c r="AJ79" s="3110">
        <f t="shared" si="89"/>
        <v>0</v>
      </c>
      <c r="AK79" s="3110">
        <f t="shared" si="89"/>
        <v>0</v>
      </c>
      <c r="AL79" s="3110">
        <f t="shared" si="89"/>
        <v>0</v>
      </c>
      <c r="AM79" s="3113">
        <f t="shared" si="89"/>
        <v>0</v>
      </c>
      <c r="AN79" s="3112">
        <f t="shared" si="89"/>
        <v>0</v>
      </c>
      <c r="AO79" s="3114">
        <f t="shared" si="89"/>
        <v>0</v>
      </c>
      <c r="AP79" s="3110">
        <f t="shared" si="89"/>
        <v>0</v>
      </c>
      <c r="AQ79" s="3110">
        <f t="shared" si="89"/>
        <v>0</v>
      </c>
      <c r="AR79" s="3110">
        <f t="shared" si="89"/>
        <v>0</v>
      </c>
      <c r="AS79" s="3110">
        <f t="shared" si="89"/>
        <v>0</v>
      </c>
      <c r="AT79" s="3113">
        <f t="shared" si="89"/>
        <v>0</v>
      </c>
      <c r="AU79" s="3006"/>
    </row>
    <row r="80" spans="1:47">
      <c r="A80" s="3060"/>
      <c r="B80" s="4269">
        <v>20401</v>
      </c>
      <c r="C80" s="4242"/>
      <c r="D80" s="3052" t="s">
        <v>422</v>
      </c>
      <c r="E80" s="3065">
        <f t="shared" ref="E80:AT80" si="90">SUM(E81:E82)</f>
        <v>0</v>
      </c>
      <c r="F80" s="3066">
        <f t="shared" si="90"/>
        <v>0</v>
      </c>
      <c r="G80" s="3067">
        <f t="shared" si="90"/>
        <v>0</v>
      </c>
      <c r="H80" s="3067">
        <f t="shared" si="90"/>
        <v>0</v>
      </c>
      <c r="I80" s="3067">
        <f t="shared" si="90"/>
        <v>0</v>
      </c>
      <c r="J80" s="3067">
        <f t="shared" si="90"/>
        <v>0</v>
      </c>
      <c r="K80" s="3120">
        <f t="shared" si="90"/>
        <v>0</v>
      </c>
      <c r="L80" s="3069">
        <f t="shared" si="90"/>
        <v>0</v>
      </c>
      <c r="M80" s="3066">
        <f t="shared" si="90"/>
        <v>0</v>
      </c>
      <c r="N80" s="3067">
        <f t="shared" si="90"/>
        <v>0</v>
      </c>
      <c r="O80" s="3067">
        <f t="shared" si="90"/>
        <v>0</v>
      </c>
      <c r="P80" s="3067">
        <f t="shared" si="90"/>
        <v>0</v>
      </c>
      <c r="Q80" s="3067">
        <f t="shared" si="90"/>
        <v>0</v>
      </c>
      <c r="R80" s="3068">
        <f t="shared" si="90"/>
        <v>0</v>
      </c>
      <c r="S80" s="3069">
        <f t="shared" si="90"/>
        <v>0</v>
      </c>
      <c r="T80" s="3070">
        <f t="shared" si="90"/>
        <v>0</v>
      </c>
      <c r="U80" s="3067">
        <f t="shared" si="90"/>
        <v>0</v>
      </c>
      <c r="V80" s="3067">
        <f t="shared" si="90"/>
        <v>0</v>
      </c>
      <c r="W80" s="3067">
        <f t="shared" si="90"/>
        <v>0</v>
      </c>
      <c r="X80" s="3067">
        <f t="shared" si="90"/>
        <v>0</v>
      </c>
      <c r="Y80" s="3068">
        <f t="shared" si="90"/>
        <v>0</v>
      </c>
      <c r="Z80" s="3069">
        <f t="shared" ref="Z80:AM80" si="91">SUM(Z81:Z82)</f>
        <v>0</v>
      </c>
      <c r="AA80" s="3070">
        <f t="shared" si="91"/>
        <v>0</v>
      </c>
      <c r="AB80" s="3067">
        <f t="shared" si="91"/>
        <v>0</v>
      </c>
      <c r="AC80" s="3067">
        <f t="shared" si="91"/>
        <v>0</v>
      </c>
      <c r="AD80" s="3067">
        <f t="shared" si="91"/>
        <v>0</v>
      </c>
      <c r="AE80" s="3067">
        <f t="shared" si="91"/>
        <v>0</v>
      </c>
      <c r="AF80" s="3068">
        <f t="shared" si="91"/>
        <v>0</v>
      </c>
      <c r="AG80" s="3069">
        <f t="shared" si="91"/>
        <v>0</v>
      </c>
      <c r="AH80" s="3070">
        <f t="shared" si="91"/>
        <v>0</v>
      </c>
      <c r="AI80" s="3067">
        <f t="shared" si="91"/>
        <v>0</v>
      </c>
      <c r="AJ80" s="3067">
        <f t="shared" si="91"/>
        <v>0</v>
      </c>
      <c r="AK80" s="3067">
        <f t="shared" si="91"/>
        <v>0</v>
      </c>
      <c r="AL80" s="3067">
        <f t="shared" si="91"/>
        <v>0</v>
      </c>
      <c r="AM80" s="3068">
        <f t="shared" si="91"/>
        <v>0</v>
      </c>
      <c r="AN80" s="3069">
        <f t="shared" si="90"/>
        <v>0</v>
      </c>
      <c r="AO80" s="3070">
        <f t="shared" si="90"/>
        <v>0</v>
      </c>
      <c r="AP80" s="3067">
        <f t="shared" si="90"/>
        <v>0</v>
      </c>
      <c r="AQ80" s="3067">
        <f t="shared" si="90"/>
        <v>0</v>
      </c>
      <c r="AR80" s="3067">
        <f t="shared" si="90"/>
        <v>0</v>
      </c>
      <c r="AS80" s="3067">
        <f t="shared" si="90"/>
        <v>0</v>
      </c>
      <c r="AT80" s="3068">
        <f t="shared" si="90"/>
        <v>0</v>
      </c>
      <c r="AU80" s="3006"/>
    </row>
    <row r="81" spans="1:47" s="73" customFormat="1">
      <c r="A81" s="3121"/>
      <c r="B81" s="4270">
        <v>2040101</v>
      </c>
      <c r="C81" s="4243">
        <v>0.1</v>
      </c>
      <c r="D81" s="3073" t="s">
        <v>436</v>
      </c>
      <c r="E81" s="3047">
        <f>'11.2. ДА за периода'!E81</f>
        <v>0</v>
      </c>
      <c r="F81" s="3123">
        <f>($F32*$C81)/$E$7</f>
        <v>0</v>
      </c>
      <c r="G81" s="3124">
        <f>($F32*$C81)+($G32*$C81)/$E$7</f>
        <v>0</v>
      </c>
      <c r="H81" s="3124">
        <f>($F32*$C81)+($G32*$C81)+($H32*$C81)/$E$7</f>
        <v>0</v>
      </c>
      <c r="I81" s="3124">
        <f>($F32*$C81)+($G32*$C81)+($H32*$C81)+($I32*$C81)/$E$7</f>
        <v>0</v>
      </c>
      <c r="J81" s="3124">
        <f>($F32*$C81)+($G32*$C81)+($H32*$C81)+($I32*$C81)+($J32*$C81)/$E$7</f>
        <v>0</v>
      </c>
      <c r="K81" s="3125">
        <f>($F32*$C81)+($G32*$C81)+($H32*$C81)+($I32*$C81)+($J32*$C81)+($K32*$C81)/$E$7</f>
        <v>0</v>
      </c>
      <c r="L81" s="3047">
        <f>'11.2. ДА за периода'!L81</f>
        <v>0</v>
      </c>
      <c r="M81" s="3126">
        <f>($M32*$C81)/$E$7</f>
        <v>0</v>
      </c>
      <c r="N81" s="3124">
        <f>($M32*$C81)+($N32*$C81)/$E$7</f>
        <v>0</v>
      </c>
      <c r="O81" s="3124">
        <f>($M32*$C81)+($N32*$C81)+($O32*$C81)/$E$7</f>
        <v>0</v>
      </c>
      <c r="P81" s="3124">
        <f>($M32*$C81)+($N32*$C81)+($O32*$C81)+($P32*$C81)/$E$7</f>
        <v>0</v>
      </c>
      <c r="Q81" s="3125">
        <f>($M32*$C81)+($N32*$C81)+($O32*$C81)+($P32*$C81)+($Q32*$C81)/$E$7</f>
        <v>0</v>
      </c>
      <c r="R81" s="3127">
        <f>($M32*$C81)+($N32*$C81)+($O32*$C81)+($P32*$C81)+($Q32*$C81)+($R32*$C81)/$E$7</f>
        <v>0</v>
      </c>
      <c r="S81" s="1203">
        <f>'11.2. ДА за периода'!S81</f>
        <v>0</v>
      </c>
      <c r="T81" s="3128">
        <f>($T32*$C81)/$E$7</f>
        <v>0</v>
      </c>
      <c r="U81" s="3124">
        <f>($T32*$C81)+($U32*$C81)/$E$7</f>
        <v>0</v>
      </c>
      <c r="V81" s="3124">
        <f>($T32*$C81)+($U32*$C81)+($V32*$C81)/$E$7</f>
        <v>0</v>
      </c>
      <c r="W81" s="3124">
        <f>($T32*$C81)+($U32*$C81)+($V32*$C81)+($W32*$C81)/$E$7</f>
        <v>0</v>
      </c>
      <c r="X81" s="3124">
        <f>($T32*$C81)+($U32*$C81)+($V32*$C81)+($W32*$C81)+($X32*$C81)/$E$7</f>
        <v>0</v>
      </c>
      <c r="Y81" s="3127">
        <f>($T32*$C81)+($U32*$C81)+($V32*$C81)+($W32*$C81)+($X32*$C81)+($Y32*$C81)/$E$7</f>
        <v>0</v>
      </c>
      <c r="Z81" s="1203">
        <f>'11.2. ДА за периода'!Z81</f>
        <v>0</v>
      </c>
      <c r="AA81" s="3128">
        <f t="shared" ref="AA81:AA82" si="92">(AA32*$C81)/$E$7</f>
        <v>0</v>
      </c>
      <c r="AB81" s="3124">
        <f t="shared" ref="AB81:AB82" si="93">(AA32*$C81)+(AB32*$C81)/$E$7</f>
        <v>0</v>
      </c>
      <c r="AC81" s="3124">
        <f t="shared" ref="AC81:AC82" si="94">(AA32*$C81)+(AB32*$C81)+(AC32*$C81)/$E$7</f>
        <v>0</v>
      </c>
      <c r="AD81" s="3124">
        <f t="shared" ref="AD81:AD82" si="95">(AA32*$C81)+(AB32*$C81)+(AC32*$C81)+(AD32*$C81)/$E$7</f>
        <v>0</v>
      </c>
      <c r="AE81" s="3124">
        <f t="shared" ref="AE81:AE82" si="96">(AA32*$C81)+(AB32*$C81)+(AC32*$C81)+(AD32*$C81)+(AE32*$C81)/$E$7</f>
        <v>0</v>
      </c>
      <c r="AF81" s="3125">
        <f t="shared" ref="AF81:AF82" si="97">(AA32*$C81)+(AB32*$C81)+(AC32*$C81)+(AD32*$C81)+(AE32*$C81)+(AF32*$C81)/$E$7</f>
        <v>0</v>
      </c>
      <c r="AG81" s="1203">
        <f>'11.2. ДА за периода'!AG81</f>
        <v>0</v>
      </c>
      <c r="AH81" s="3128">
        <f t="shared" ref="AH81:AH82" si="98">(AH32*$C81)/$E$7</f>
        <v>0</v>
      </c>
      <c r="AI81" s="3124">
        <f t="shared" ref="AI81:AI82" si="99">(AH32*$C81)+(AI32*$C81)/$E$7</f>
        <v>0</v>
      </c>
      <c r="AJ81" s="3124">
        <f t="shared" ref="AJ81:AJ82" si="100">(AH32*$C81)+(AI32*$C81)+(AJ32*$C81)/$E$7</f>
        <v>0</v>
      </c>
      <c r="AK81" s="3124">
        <f t="shared" ref="AK81:AK82" si="101">(AH32*$C81)+(AI32*$C81)+(AJ32*$C81)+(AK32*$C81)/$E$7</f>
        <v>0</v>
      </c>
      <c r="AL81" s="3124">
        <f t="shared" ref="AL81:AL82" si="102">(AH32*$C81)+(AI32*$C81)+(AJ32*$C81)+(AK32*$C81)+(AL32*$C81)/$E$7</f>
        <v>0</v>
      </c>
      <c r="AM81" s="3125">
        <f t="shared" ref="AM81:AM82" si="103">(AH32*$C81)+(AI32*$C81)+(AJ32*$C81)+(AK32*$C81)+(AL32*$C81)+(AM32*$C81)/$E$7</f>
        <v>0</v>
      </c>
      <c r="AN81" s="1203">
        <f>'11.2. ДА за периода'!AN81</f>
        <v>0</v>
      </c>
      <c r="AO81" s="3126">
        <f>($AO32*$C81)/$E$7</f>
        <v>0</v>
      </c>
      <c r="AP81" s="3124">
        <f>($AO32*$C81)+($AP32*$C81)/$E$7</f>
        <v>0</v>
      </c>
      <c r="AQ81" s="3124">
        <f>($AO32*$C81)+($AP32*$C81)+($AQ32*$C81)/$E$7</f>
        <v>0</v>
      </c>
      <c r="AR81" s="3124">
        <f>($AO32*$C81)+($AP32*$C81)+($AQ32*$C81)+($AR32*$C81)/$E$7</f>
        <v>0</v>
      </c>
      <c r="AS81" s="3124">
        <f>($AO32*$C81)+($AP32*$C81)+($AQ32*$C81)+($AR32*$C81)+($AS32*$C81)/$E$7</f>
        <v>0</v>
      </c>
      <c r="AT81" s="3127">
        <f>($AO32*$C81)+($AP32*$C81)+($AQ32*$C81)+($AR32*$C81)+($AS32*$C81)+($AT32*$C81)/$E$7</f>
        <v>0</v>
      </c>
      <c r="AU81" s="3129"/>
    </row>
    <row r="82" spans="1:47" s="73" customFormat="1">
      <c r="A82" s="3121"/>
      <c r="B82" s="4270">
        <v>2040102</v>
      </c>
      <c r="C82" s="4243">
        <v>0.04</v>
      </c>
      <c r="D82" s="3073" t="s">
        <v>437</v>
      </c>
      <c r="E82" s="3047">
        <f>'11.2. ДА за периода'!E82</f>
        <v>0</v>
      </c>
      <c r="F82" s="3123">
        <f>($F33*$C82)/$E$7</f>
        <v>0</v>
      </c>
      <c r="G82" s="3124">
        <f>($F33*$C82)+($G33*$C82)/$E$7</f>
        <v>0</v>
      </c>
      <c r="H82" s="3124">
        <f>($F33*$C82)+($G33*$C82)+($H33*$C82)/$E$7</f>
        <v>0</v>
      </c>
      <c r="I82" s="3124">
        <f>($F33*$C82)+($G33*$C82)+($H33*$C82)+($I33*$C82)/$E$7</f>
        <v>0</v>
      </c>
      <c r="J82" s="3124">
        <f>($F33*$C82)+($G33*$C82)+($H33*$C82)+($I33*$C82)+($J33*$C82)/$E$7</f>
        <v>0</v>
      </c>
      <c r="K82" s="3125">
        <f>($F33*$C82)+($G33*$C82)+($H33*$C82)+($I33*$C82)+($J33*$C82)+($K33*$C82)/$E$7</f>
        <v>0</v>
      </c>
      <c r="L82" s="3047">
        <f>'11.2. ДА за периода'!L82</f>
        <v>0</v>
      </c>
      <c r="M82" s="3126">
        <f>($M33*$C82)/$E$7</f>
        <v>0</v>
      </c>
      <c r="N82" s="3124">
        <f>($M33*$C82)+($N33*$C82)/$E$7</f>
        <v>0</v>
      </c>
      <c r="O82" s="3124">
        <f>($M33*$C82)+($N33*$C82)+($O33*$C82)/$E$7</f>
        <v>0</v>
      </c>
      <c r="P82" s="3124">
        <f>($M33*$C82)+($N33*$C82)+($O33*$C82)+($P33*$C82)/$E$7</f>
        <v>0</v>
      </c>
      <c r="Q82" s="3125">
        <f>($M33*$C82)+($N33*$C82)+($O33*$C82)+($P33*$C82)+($Q33*$C82)/$E$7</f>
        <v>0</v>
      </c>
      <c r="R82" s="3127">
        <f>($M33*$C82)+($N33*$C82)+($O33*$C82)+($P33*$C82)+($Q33*$C82)+($R33*$C82)/$E$7</f>
        <v>0</v>
      </c>
      <c r="S82" s="1203">
        <f>'11.2. ДА за периода'!S82</f>
        <v>0</v>
      </c>
      <c r="T82" s="3128">
        <f>($T33*$C82)/$E$7</f>
        <v>0</v>
      </c>
      <c r="U82" s="3124">
        <f>($T33*$C82)+($U33*$C82)/$E$7</f>
        <v>0</v>
      </c>
      <c r="V82" s="3124">
        <f>($T33*$C82)+($U33*$C82)+($V33*$C82)/$E$7</f>
        <v>0</v>
      </c>
      <c r="W82" s="3124">
        <f>($T33*$C82)+($U33*$C82)+($V33*$C82)+($W33*$C82)/$E$7</f>
        <v>0</v>
      </c>
      <c r="X82" s="3124">
        <f>($T33*$C82)+($U33*$C82)+($V33*$C82)+($W33*$C82)+($X33*$C82)/$E$7</f>
        <v>0</v>
      </c>
      <c r="Y82" s="3127">
        <f>($T33*$C82)+($U33*$C82)+($V33*$C82)+($W33*$C82)+($X33*$C82)+($Y33*$C82)/$E$7</f>
        <v>0</v>
      </c>
      <c r="Z82" s="1203">
        <f>'11.2. ДА за периода'!Z82</f>
        <v>0</v>
      </c>
      <c r="AA82" s="3128">
        <f t="shared" si="92"/>
        <v>0</v>
      </c>
      <c r="AB82" s="3124">
        <f t="shared" si="93"/>
        <v>0</v>
      </c>
      <c r="AC82" s="3124">
        <f t="shared" si="94"/>
        <v>0</v>
      </c>
      <c r="AD82" s="3124">
        <f t="shared" si="95"/>
        <v>0</v>
      </c>
      <c r="AE82" s="3124">
        <f t="shared" si="96"/>
        <v>0</v>
      </c>
      <c r="AF82" s="3125">
        <f t="shared" si="97"/>
        <v>0</v>
      </c>
      <c r="AG82" s="1203">
        <f>'11.2. ДА за периода'!AG82</f>
        <v>0</v>
      </c>
      <c r="AH82" s="3128">
        <f t="shared" si="98"/>
        <v>0</v>
      </c>
      <c r="AI82" s="3124">
        <f t="shared" si="99"/>
        <v>0</v>
      </c>
      <c r="AJ82" s="3124">
        <f t="shared" si="100"/>
        <v>0</v>
      </c>
      <c r="AK82" s="3124">
        <f t="shared" si="101"/>
        <v>0</v>
      </c>
      <c r="AL82" s="3124">
        <f t="shared" si="102"/>
        <v>0</v>
      </c>
      <c r="AM82" s="3125">
        <f t="shared" si="103"/>
        <v>0</v>
      </c>
      <c r="AN82" s="1203">
        <f>'11.2. ДА за периода'!AN82</f>
        <v>0</v>
      </c>
      <c r="AO82" s="3126">
        <f>($AO33*$C82)/$E$7</f>
        <v>0</v>
      </c>
      <c r="AP82" s="3124">
        <f>($AO33*$C82)+($AP33*$C82)/$E$7</f>
        <v>0</v>
      </c>
      <c r="AQ82" s="3124">
        <f>($AO33*$C82)+($AP33*$C82)+($AQ33*$C82)/$E$7</f>
        <v>0</v>
      </c>
      <c r="AR82" s="3124">
        <f>($AO33*$C82)+($AP33*$C82)+($AQ33*$C82)+($AR33*$C82)/$E$7</f>
        <v>0</v>
      </c>
      <c r="AS82" s="3124">
        <f>($AO33*$C82)+($AP33*$C82)+($AQ33*$C82)+($AR33*$C82)+($AS33*$C82)/$E$7</f>
        <v>0</v>
      </c>
      <c r="AT82" s="3127">
        <f>($AO33*$C82)+($AP33*$C82)+($AQ33*$C82)+($AR33*$C82)+($AS33*$C82)+($AT33*$C82)/$E$7</f>
        <v>0</v>
      </c>
      <c r="AU82" s="3129"/>
    </row>
    <row r="83" spans="1:47">
      <c r="A83" s="3060"/>
      <c r="B83" s="4269">
        <v>20402</v>
      </c>
      <c r="C83" s="4242"/>
      <c r="D83" s="3052" t="s">
        <v>438</v>
      </c>
      <c r="E83" s="3065">
        <f>SUM(E84:E91)</f>
        <v>2.633</v>
      </c>
      <c r="F83" s="3066">
        <f t="shared" ref="F83:AT83" si="104">SUM(F84:F91)</f>
        <v>4.375</v>
      </c>
      <c r="G83" s="3067">
        <f t="shared" si="104"/>
        <v>23.532310000000003</v>
      </c>
      <c r="H83" s="3067">
        <f t="shared" si="104"/>
        <v>64.221409999999992</v>
      </c>
      <c r="I83" s="3067">
        <f t="shared" si="104"/>
        <v>93.483200000000011</v>
      </c>
      <c r="J83" s="3067">
        <f t="shared" si="104"/>
        <v>98.698200000000014</v>
      </c>
      <c r="K83" s="3120">
        <f t="shared" si="104"/>
        <v>102.41820000000001</v>
      </c>
      <c r="L83" s="3069">
        <f t="shared" si="104"/>
        <v>0.17599999999999999</v>
      </c>
      <c r="M83" s="3066">
        <f t="shared" si="104"/>
        <v>0.95000000000000007</v>
      </c>
      <c r="N83" s="3067">
        <f t="shared" si="104"/>
        <v>6.7034000000000011</v>
      </c>
      <c r="O83" s="3067">
        <f t="shared" si="104"/>
        <v>42.079610000000002</v>
      </c>
      <c r="P83" s="3067">
        <f t="shared" si="104"/>
        <v>72.928420000000017</v>
      </c>
      <c r="Q83" s="3067">
        <f t="shared" si="104"/>
        <v>73.483420000000024</v>
      </c>
      <c r="R83" s="3068">
        <f t="shared" si="104"/>
        <v>74.055420000000026</v>
      </c>
      <c r="S83" s="3069">
        <f t="shared" si="104"/>
        <v>0</v>
      </c>
      <c r="T83" s="3070">
        <f t="shared" si="104"/>
        <v>0.12</v>
      </c>
      <c r="U83" s="3067">
        <f t="shared" si="104"/>
        <v>21.354499999999998</v>
      </c>
      <c r="V83" s="3067">
        <f t="shared" si="104"/>
        <v>64.523499999999999</v>
      </c>
      <c r="W83" s="3067">
        <f t="shared" si="104"/>
        <v>87.597999999999999</v>
      </c>
      <c r="X83" s="3067">
        <f t="shared" si="104"/>
        <v>88.618000000000009</v>
      </c>
      <c r="Y83" s="3068">
        <f t="shared" si="104"/>
        <v>88.618000000000009</v>
      </c>
      <c r="Z83" s="3069">
        <f t="shared" si="104"/>
        <v>0</v>
      </c>
      <c r="AA83" s="3070">
        <f t="shared" si="104"/>
        <v>0</v>
      </c>
      <c r="AB83" s="3067">
        <f t="shared" si="104"/>
        <v>0</v>
      </c>
      <c r="AC83" s="3067">
        <f t="shared" si="104"/>
        <v>0</v>
      </c>
      <c r="AD83" s="3067">
        <f t="shared" si="104"/>
        <v>0</v>
      </c>
      <c r="AE83" s="3067">
        <f t="shared" si="104"/>
        <v>0</v>
      </c>
      <c r="AF83" s="3068">
        <f t="shared" si="104"/>
        <v>0</v>
      </c>
      <c r="AG83" s="3069">
        <f t="shared" si="104"/>
        <v>0</v>
      </c>
      <c r="AH83" s="3070">
        <f t="shared" si="104"/>
        <v>0</v>
      </c>
      <c r="AI83" s="3067">
        <f t="shared" si="104"/>
        <v>0</v>
      </c>
      <c r="AJ83" s="3067">
        <f t="shared" si="104"/>
        <v>0</v>
      </c>
      <c r="AK83" s="3067">
        <f t="shared" si="104"/>
        <v>0</v>
      </c>
      <c r="AL83" s="3067">
        <f t="shared" si="104"/>
        <v>0</v>
      </c>
      <c r="AM83" s="3068">
        <f t="shared" si="104"/>
        <v>0</v>
      </c>
      <c r="AN83" s="3069">
        <f t="shared" si="104"/>
        <v>0</v>
      </c>
      <c r="AO83" s="3070">
        <f t="shared" si="104"/>
        <v>0</v>
      </c>
      <c r="AP83" s="3067">
        <f t="shared" si="104"/>
        <v>0</v>
      </c>
      <c r="AQ83" s="3067">
        <f t="shared" si="104"/>
        <v>0</v>
      </c>
      <c r="AR83" s="3067">
        <f t="shared" si="104"/>
        <v>0</v>
      </c>
      <c r="AS83" s="3067">
        <f t="shared" si="104"/>
        <v>0</v>
      </c>
      <c r="AT83" s="3068">
        <f t="shared" si="104"/>
        <v>0</v>
      </c>
      <c r="AU83" s="3006"/>
    </row>
    <row r="84" spans="1:47" s="73" customFormat="1">
      <c r="A84" s="3121"/>
      <c r="B84" s="4270">
        <v>2040201</v>
      </c>
      <c r="C84" s="4243">
        <v>0.02</v>
      </c>
      <c r="D84" s="3071" t="s">
        <v>746</v>
      </c>
      <c r="E84" s="3047">
        <f>'11.2. ДА за периода'!E84</f>
        <v>0</v>
      </c>
      <c r="F84" s="3123">
        <f t="shared" ref="F84:F93" si="105">($F35*$C84)/$E$7</f>
        <v>6.3E-2</v>
      </c>
      <c r="G84" s="3124">
        <f t="shared" ref="G84:G93" si="106">($F35*$C84)+($G35*$C84)/$E$7</f>
        <v>0.126</v>
      </c>
      <c r="H84" s="3124">
        <f t="shared" ref="H84:H93" si="107">($F35*$C84)+($G35*$C84)+($H35*$C84)/$E$7</f>
        <v>0.126</v>
      </c>
      <c r="I84" s="3124">
        <f t="shared" ref="I84:I93" si="108">($F35*$C84)+($G35*$C84)+($H35*$C84)+($I35*$C84)/$E$7</f>
        <v>0.126</v>
      </c>
      <c r="J84" s="3124">
        <f t="shared" ref="J84:J93" si="109">($F35*$C84)+($G35*$C84)+($H35*$C84)+($I35*$C84)+($J35*$C84)/$E$7</f>
        <v>0.126</v>
      </c>
      <c r="K84" s="3125">
        <f t="shared" ref="K84:K93" si="110">($F35*$C84)+($G35*$C84)+($H35*$C84)+($I35*$C84)+($J35*$C84)+($K35*$C84)/$E$7</f>
        <v>0.126</v>
      </c>
      <c r="L84" s="3047">
        <f>'11.2. ДА за периода'!L84</f>
        <v>0</v>
      </c>
      <c r="M84" s="3126">
        <f t="shared" ref="M84:M93" si="111">($M35*$C84)/$E$7</f>
        <v>0</v>
      </c>
      <c r="N84" s="3124">
        <f t="shared" ref="N84:N93" si="112">($M35*$C84)+($N35*$C84)/$E$7</f>
        <v>0</v>
      </c>
      <c r="O84" s="3124">
        <f t="shared" ref="O84:O93" si="113">($M35*$C84)+($N35*$C84)+($O35*$C84)/$E$7</f>
        <v>0</v>
      </c>
      <c r="P84" s="3124">
        <f t="shared" ref="P84:P93" si="114">($M35*$C84)+($N35*$C84)+($O35*$C84)+($P35*$C84)/$E$7</f>
        <v>0</v>
      </c>
      <c r="Q84" s="3125">
        <f t="shared" ref="Q84:Q93" si="115">($M35*$C84)+($N35*$C84)+($O35*$C84)+($P35*$C84)+($Q35*$C84)/$E$7</f>
        <v>0</v>
      </c>
      <c r="R84" s="3127">
        <f t="shared" ref="R84:R93" si="116">($M35*$C84)+($N35*$C84)+($O35*$C84)+($P35*$C84)+($Q35*$C84)+($R35*$C84)/$E$7</f>
        <v>0</v>
      </c>
      <c r="S84" s="1203">
        <f>'11.2. ДА за периода'!S84</f>
        <v>0</v>
      </c>
      <c r="T84" s="3128">
        <f t="shared" ref="T84:T93" si="117">($T35*$C84)/$E$7</f>
        <v>0</v>
      </c>
      <c r="U84" s="3124">
        <f t="shared" ref="U84:U93" si="118">($T35*$C84)+($U35*$C84)/$E$7</f>
        <v>0</v>
      </c>
      <c r="V84" s="3124">
        <f t="shared" ref="V84:V93" si="119">($T35*$C84)+($U35*$C84)+($V35*$C84)/$E$7</f>
        <v>0</v>
      </c>
      <c r="W84" s="3124">
        <f t="shared" ref="W84:W93" si="120">($T35*$C84)+($U35*$C84)+($V35*$C84)+($W35*$C84)/$E$7</f>
        <v>0</v>
      </c>
      <c r="X84" s="3124">
        <f t="shared" ref="X84:X93" si="121">($T35*$C84)+($U35*$C84)+($V35*$C84)+($W35*$C84)+($X35*$C84)/$E$7</f>
        <v>0</v>
      </c>
      <c r="Y84" s="3127">
        <f t="shared" ref="Y84:Y93" si="122">($T35*$C84)+($U35*$C84)+($V35*$C84)+($W35*$C84)+($X35*$C84)+($Y35*$C84)/$E$7</f>
        <v>0</v>
      </c>
      <c r="Z84" s="1203">
        <f>'11.2. ДА за периода'!Z84</f>
        <v>0</v>
      </c>
      <c r="AA84" s="3128">
        <f t="shared" ref="AA84:AA93" si="123">(AA35*$C84)/$E$7</f>
        <v>0</v>
      </c>
      <c r="AB84" s="3124">
        <f t="shared" ref="AB84:AB93" si="124">(AA35*$C84)+(AB35*$C84)/$E$7</f>
        <v>0</v>
      </c>
      <c r="AC84" s="3124">
        <f t="shared" ref="AC84:AC93" si="125">(AA35*$C84)+(AB35*$C84)+(AC35*$C84)/$E$7</f>
        <v>0</v>
      </c>
      <c r="AD84" s="3124">
        <f t="shared" ref="AD84:AD93" si="126">(AA35*$C84)+(AB35*$C84)+(AC35*$C84)+(AD35*$C84)/$E$7</f>
        <v>0</v>
      </c>
      <c r="AE84" s="3124">
        <f t="shared" ref="AE84:AE93" si="127">(AA35*$C84)+(AB35*$C84)+(AC35*$C84)+(AD35*$C84)+(AE35*$C84)/$E$7</f>
        <v>0</v>
      </c>
      <c r="AF84" s="3125">
        <f t="shared" ref="AF84:AF93" si="128">(AA35*$C84)+(AB35*$C84)+(AC35*$C84)+(AD35*$C84)+(AE35*$C84)+(AF35*$C84)/$E$7</f>
        <v>0</v>
      </c>
      <c r="AG84" s="1203">
        <f>'11.2. ДА за периода'!AG84</f>
        <v>0</v>
      </c>
      <c r="AH84" s="3128">
        <f t="shared" ref="AH84:AH93" si="129">(AH35*$C84)/$E$7</f>
        <v>0</v>
      </c>
      <c r="AI84" s="3124">
        <f t="shared" ref="AI84:AI93" si="130">(AH35*$C84)+(AI35*$C84)/$E$7</f>
        <v>0</v>
      </c>
      <c r="AJ84" s="3124">
        <f t="shared" ref="AJ84:AJ93" si="131">(AH35*$C84)+(AI35*$C84)+(AJ35*$C84)/$E$7</f>
        <v>0</v>
      </c>
      <c r="AK84" s="3124">
        <f t="shared" ref="AK84:AK93" si="132">(AH35*$C84)+(AI35*$C84)+(AJ35*$C84)+(AK35*$C84)/$E$7</f>
        <v>0</v>
      </c>
      <c r="AL84" s="3124">
        <f t="shared" ref="AL84:AL93" si="133">(AH35*$C84)+(AI35*$C84)+(AJ35*$C84)+(AK35*$C84)+(AL35*$C84)/$E$7</f>
        <v>0</v>
      </c>
      <c r="AM84" s="3125">
        <f t="shared" ref="AM84:AM93" si="134">(AH35*$C84)+(AI35*$C84)+(AJ35*$C84)+(AK35*$C84)+(AL35*$C84)+(AM35*$C84)/$E$7</f>
        <v>0</v>
      </c>
      <c r="AN84" s="1203">
        <f>'11.2. ДА за периода'!AN84</f>
        <v>0</v>
      </c>
      <c r="AO84" s="3126">
        <f t="shared" ref="AO84:AO93" si="135">($AO35*$C84)/$E$7</f>
        <v>0</v>
      </c>
      <c r="AP84" s="3124">
        <f t="shared" ref="AP84:AP93" si="136">($AO35*$C84)+($AP35*$C84)/$E$7</f>
        <v>0</v>
      </c>
      <c r="AQ84" s="3124">
        <f t="shared" ref="AQ84:AQ93" si="137">($AO35*$C84)+($AP35*$C84)+($AQ35*$C84)/$E$7</f>
        <v>0</v>
      </c>
      <c r="AR84" s="3124">
        <f t="shared" ref="AR84:AR93" si="138">($AO35*$C84)+($AP35*$C84)+($AQ35*$C84)+($AR35*$C84)/$E$7</f>
        <v>0</v>
      </c>
      <c r="AS84" s="3124">
        <f t="shared" ref="AS84:AS93" si="139">($AO35*$C84)+($AP35*$C84)+($AQ35*$C84)+($AR35*$C84)+($AS35*$C84)/$E$7</f>
        <v>0</v>
      </c>
      <c r="AT84" s="3127">
        <f t="shared" ref="AT84:AT93" si="140">($AO35*$C84)+($AP35*$C84)+($AQ35*$C84)+($AR35*$C84)+($AS35*$C84)+($AT35*$C84)/$E$7</f>
        <v>0</v>
      </c>
      <c r="AU84" s="3129"/>
    </row>
    <row r="85" spans="1:47" s="73" customFormat="1">
      <c r="A85" s="3121"/>
      <c r="B85" s="4270">
        <v>2040202</v>
      </c>
      <c r="C85" s="4243">
        <v>0.02</v>
      </c>
      <c r="D85" s="3071" t="s">
        <v>747</v>
      </c>
      <c r="E85" s="3047">
        <f>'11.2. ДА за периода'!E85</f>
        <v>4.0000000000000001E-3</v>
      </c>
      <c r="F85" s="3123">
        <f t="shared" si="105"/>
        <v>1.2E-2</v>
      </c>
      <c r="G85" s="3124">
        <f t="shared" si="106"/>
        <v>3.4000000000000002E-2</v>
      </c>
      <c r="H85" s="3124">
        <f t="shared" si="107"/>
        <v>5.3999999999999999E-2</v>
      </c>
      <c r="I85" s="3124">
        <f t="shared" si="108"/>
        <v>7.3999999999999996E-2</v>
      </c>
      <c r="J85" s="3124">
        <f t="shared" si="109"/>
        <v>9.4E-2</v>
      </c>
      <c r="K85" s="3125">
        <f t="shared" si="110"/>
        <v>0.114</v>
      </c>
      <c r="L85" s="3047">
        <f>'11.2. ДА за периода'!L85</f>
        <v>0</v>
      </c>
      <c r="M85" s="3126">
        <f t="shared" si="111"/>
        <v>0</v>
      </c>
      <c r="N85" s="3124">
        <f t="shared" si="112"/>
        <v>0</v>
      </c>
      <c r="O85" s="3124">
        <f t="shared" si="113"/>
        <v>0</v>
      </c>
      <c r="P85" s="3124">
        <f t="shared" si="114"/>
        <v>0</v>
      </c>
      <c r="Q85" s="3125">
        <f t="shared" si="115"/>
        <v>0</v>
      </c>
      <c r="R85" s="3127">
        <f t="shared" si="116"/>
        <v>0</v>
      </c>
      <c r="S85" s="1203">
        <f>'11.2. ДА за периода'!S85</f>
        <v>0</v>
      </c>
      <c r="T85" s="3128">
        <f t="shared" si="117"/>
        <v>0</v>
      </c>
      <c r="U85" s="3124">
        <f t="shared" si="118"/>
        <v>0</v>
      </c>
      <c r="V85" s="3124">
        <f t="shared" si="119"/>
        <v>0</v>
      </c>
      <c r="W85" s="3124">
        <f t="shared" si="120"/>
        <v>0</v>
      </c>
      <c r="X85" s="3124">
        <f t="shared" si="121"/>
        <v>0</v>
      </c>
      <c r="Y85" s="3127">
        <f t="shared" si="122"/>
        <v>0</v>
      </c>
      <c r="Z85" s="1203">
        <f>'11.2. ДА за периода'!Z85</f>
        <v>0</v>
      </c>
      <c r="AA85" s="3128">
        <f t="shared" si="123"/>
        <v>0</v>
      </c>
      <c r="AB85" s="3124">
        <f t="shared" si="124"/>
        <v>0</v>
      </c>
      <c r="AC85" s="3124">
        <f t="shared" si="125"/>
        <v>0</v>
      </c>
      <c r="AD85" s="3124">
        <f t="shared" si="126"/>
        <v>0</v>
      </c>
      <c r="AE85" s="3124">
        <f t="shared" si="127"/>
        <v>0</v>
      </c>
      <c r="AF85" s="3125">
        <f t="shared" si="128"/>
        <v>0</v>
      </c>
      <c r="AG85" s="1203">
        <f>'11.2. ДА за периода'!AG85</f>
        <v>0</v>
      </c>
      <c r="AH85" s="3128">
        <f t="shared" si="129"/>
        <v>0</v>
      </c>
      <c r="AI85" s="3124">
        <f t="shared" si="130"/>
        <v>0</v>
      </c>
      <c r="AJ85" s="3124">
        <f t="shared" si="131"/>
        <v>0</v>
      </c>
      <c r="AK85" s="3124">
        <f t="shared" si="132"/>
        <v>0</v>
      </c>
      <c r="AL85" s="3124">
        <f t="shared" si="133"/>
        <v>0</v>
      </c>
      <c r="AM85" s="3125">
        <f t="shared" si="134"/>
        <v>0</v>
      </c>
      <c r="AN85" s="1203">
        <f>'11.2. ДА за периода'!AN85</f>
        <v>0</v>
      </c>
      <c r="AO85" s="3126">
        <f t="shared" si="135"/>
        <v>0</v>
      </c>
      <c r="AP85" s="3124">
        <f t="shared" si="136"/>
        <v>0</v>
      </c>
      <c r="AQ85" s="3124">
        <f t="shared" si="137"/>
        <v>0</v>
      </c>
      <c r="AR85" s="3124">
        <f t="shared" si="138"/>
        <v>0</v>
      </c>
      <c r="AS85" s="3124">
        <f t="shared" si="139"/>
        <v>0</v>
      </c>
      <c r="AT85" s="3127">
        <f t="shared" si="140"/>
        <v>0</v>
      </c>
      <c r="AU85" s="3129"/>
    </row>
    <row r="86" spans="1:47" s="73" customFormat="1">
      <c r="A86" s="3121"/>
      <c r="B86" s="4270">
        <v>2040203</v>
      </c>
      <c r="C86" s="4243">
        <v>0.02</v>
      </c>
      <c r="D86" s="3071" t="s">
        <v>423</v>
      </c>
      <c r="E86" s="3047">
        <f>'11.2. ДА за периода'!E86</f>
        <v>1E-3</v>
      </c>
      <c r="F86" s="3123">
        <f t="shared" si="105"/>
        <v>0</v>
      </c>
      <c r="G86" s="3124">
        <f t="shared" si="106"/>
        <v>0</v>
      </c>
      <c r="H86" s="3124">
        <f t="shared" si="107"/>
        <v>0</v>
      </c>
      <c r="I86" s="3124">
        <f t="shared" si="108"/>
        <v>0</v>
      </c>
      <c r="J86" s="3124">
        <f t="shared" si="109"/>
        <v>0</v>
      </c>
      <c r="K86" s="3125">
        <f t="shared" si="110"/>
        <v>0</v>
      </c>
      <c r="L86" s="3047">
        <f>'11.2. ДА за периода'!L86</f>
        <v>0</v>
      </c>
      <c r="M86" s="3126">
        <f t="shared" si="111"/>
        <v>0</v>
      </c>
      <c r="N86" s="3124">
        <f t="shared" si="112"/>
        <v>0</v>
      </c>
      <c r="O86" s="3124">
        <f t="shared" si="113"/>
        <v>0</v>
      </c>
      <c r="P86" s="3124">
        <f t="shared" si="114"/>
        <v>0</v>
      </c>
      <c r="Q86" s="3125">
        <f t="shared" si="115"/>
        <v>0</v>
      </c>
      <c r="R86" s="3127">
        <f t="shared" si="116"/>
        <v>0</v>
      </c>
      <c r="S86" s="1203">
        <f>'11.2. ДА за периода'!S86</f>
        <v>0</v>
      </c>
      <c r="T86" s="3128">
        <f t="shared" si="117"/>
        <v>0</v>
      </c>
      <c r="U86" s="3124">
        <f t="shared" si="118"/>
        <v>0</v>
      </c>
      <c r="V86" s="3124">
        <f t="shared" si="119"/>
        <v>0</v>
      </c>
      <c r="W86" s="3124">
        <f t="shared" si="120"/>
        <v>0</v>
      </c>
      <c r="X86" s="3124">
        <f t="shared" si="121"/>
        <v>0</v>
      </c>
      <c r="Y86" s="3127">
        <f t="shared" si="122"/>
        <v>0</v>
      </c>
      <c r="Z86" s="1203">
        <f>'11.2. ДА за периода'!Z86</f>
        <v>0</v>
      </c>
      <c r="AA86" s="3128">
        <f t="shared" si="123"/>
        <v>0</v>
      </c>
      <c r="AB86" s="3124">
        <f t="shared" si="124"/>
        <v>0</v>
      </c>
      <c r="AC86" s="3124">
        <f t="shared" si="125"/>
        <v>0</v>
      </c>
      <c r="AD86" s="3124">
        <f t="shared" si="126"/>
        <v>0</v>
      </c>
      <c r="AE86" s="3124">
        <f t="shared" si="127"/>
        <v>0</v>
      </c>
      <c r="AF86" s="3125">
        <f t="shared" si="128"/>
        <v>0</v>
      </c>
      <c r="AG86" s="1203">
        <f>'11.2. ДА за периода'!AG86</f>
        <v>0</v>
      </c>
      <c r="AH86" s="3128">
        <f t="shared" si="129"/>
        <v>0</v>
      </c>
      <c r="AI86" s="3124">
        <f t="shared" si="130"/>
        <v>0</v>
      </c>
      <c r="AJ86" s="3124">
        <f t="shared" si="131"/>
        <v>0</v>
      </c>
      <c r="AK86" s="3124">
        <f t="shared" si="132"/>
        <v>0</v>
      </c>
      <c r="AL86" s="3124">
        <f t="shared" si="133"/>
        <v>0</v>
      </c>
      <c r="AM86" s="3125">
        <f t="shared" si="134"/>
        <v>0</v>
      </c>
      <c r="AN86" s="1203">
        <f>'11.2. ДА за периода'!AN86</f>
        <v>0</v>
      </c>
      <c r="AO86" s="3126">
        <f t="shared" si="135"/>
        <v>0</v>
      </c>
      <c r="AP86" s="3124">
        <f t="shared" si="136"/>
        <v>0</v>
      </c>
      <c r="AQ86" s="3124">
        <f t="shared" si="137"/>
        <v>0</v>
      </c>
      <c r="AR86" s="3124">
        <f t="shared" si="138"/>
        <v>0</v>
      </c>
      <c r="AS86" s="3124">
        <f t="shared" si="139"/>
        <v>0</v>
      </c>
      <c r="AT86" s="3127">
        <f t="shared" si="140"/>
        <v>0</v>
      </c>
      <c r="AU86" s="3129"/>
    </row>
    <row r="87" spans="1:47" s="73" customFormat="1">
      <c r="A87" s="3121"/>
      <c r="B87" s="4270">
        <v>2040204</v>
      </c>
      <c r="C87" s="4243">
        <v>0.02</v>
      </c>
      <c r="D87" s="3073" t="s">
        <v>424</v>
      </c>
      <c r="E87" s="3047">
        <f>'11.2. ДА за периода'!E87</f>
        <v>7.0000000000000001E-3</v>
      </c>
      <c r="F87" s="3123">
        <f t="shared" si="105"/>
        <v>0</v>
      </c>
      <c r="G87" s="3124">
        <f t="shared" si="106"/>
        <v>0</v>
      </c>
      <c r="H87" s="3124">
        <f t="shared" si="107"/>
        <v>0</v>
      </c>
      <c r="I87" s="3124">
        <f t="shared" si="108"/>
        <v>0</v>
      </c>
      <c r="J87" s="3124">
        <f t="shared" si="109"/>
        <v>0</v>
      </c>
      <c r="K87" s="3125">
        <f t="shared" si="110"/>
        <v>0</v>
      </c>
      <c r="L87" s="3047">
        <f>'11.2. ДА за периода'!L87</f>
        <v>0</v>
      </c>
      <c r="M87" s="3126">
        <f t="shared" si="111"/>
        <v>0</v>
      </c>
      <c r="N87" s="3124">
        <f t="shared" si="112"/>
        <v>0</v>
      </c>
      <c r="O87" s="3124">
        <f t="shared" si="113"/>
        <v>0</v>
      </c>
      <c r="P87" s="3124">
        <f t="shared" si="114"/>
        <v>0</v>
      </c>
      <c r="Q87" s="3125">
        <f t="shared" si="115"/>
        <v>0</v>
      </c>
      <c r="R87" s="3127">
        <f t="shared" si="116"/>
        <v>0</v>
      </c>
      <c r="S87" s="1203">
        <f>'11.2. ДА за периода'!S87</f>
        <v>0</v>
      </c>
      <c r="T87" s="3128">
        <f t="shared" si="117"/>
        <v>0</v>
      </c>
      <c r="U87" s="3124">
        <f t="shared" si="118"/>
        <v>0</v>
      </c>
      <c r="V87" s="3124">
        <f t="shared" si="119"/>
        <v>0</v>
      </c>
      <c r="W87" s="3124">
        <f t="shared" si="120"/>
        <v>0</v>
      </c>
      <c r="X87" s="3124">
        <f t="shared" si="121"/>
        <v>0</v>
      </c>
      <c r="Y87" s="3127">
        <f t="shared" si="122"/>
        <v>0</v>
      </c>
      <c r="Z87" s="1203">
        <f>'11.2. ДА за периода'!Z87</f>
        <v>0</v>
      </c>
      <c r="AA87" s="3128">
        <f t="shared" si="123"/>
        <v>0</v>
      </c>
      <c r="AB87" s="3124">
        <f t="shared" si="124"/>
        <v>0</v>
      </c>
      <c r="AC87" s="3124">
        <f t="shared" si="125"/>
        <v>0</v>
      </c>
      <c r="AD87" s="3124">
        <f t="shared" si="126"/>
        <v>0</v>
      </c>
      <c r="AE87" s="3124">
        <f t="shared" si="127"/>
        <v>0</v>
      </c>
      <c r="AF87" s="3125">
        <f t="shared" si="128"/>
        <v>0</v>
      </c>
      <c r="AG87" s="1203">
        <f>'11.2. ДА за периода'!AG87</f>
        <v>0</v>
      </c>
      <c r="AH87" s="3128">
        <f t="shared" si="129"/>
        <v>0</v>
      </c>
      <c r="AI87" s="3124">
        <f t="shared" si="130"/>
        <v>0</v>
      </c>
      <c r="AJ87" s="3124">
        <f t="shared" si="131"/>
        <v>0</v>
      </c>
      <c r="AK87" s="3124">
        <f t="shared" si="132"/>
        <v>0</v>
      </c>
      <c r="AL87" s="3124">
        <f t="shared" si="133"/>
        <v>0</v>
      </c>
      <c r="AM87" s="3125">
        <f t="shared" si="134"/>
        <v>0</v>
      </c>
      <c r="AN87" s="1203">
        <f>'11.2. ДА за периода'!AN87</f>
        <v>0</v>
      </c>
      <c r="AO87" s="3126">
        <f t="shared" si="135"/>
        <v>0</v>
      </c>
      <c r="AP87" s="3124">
        <f t="shared" si="136"/>
        <v>0</v>
      </c>
      <c r="AQ87" s="3124">
        <f t="shared" si="137"/>
        <v>0</v>
      </c>
      <c r="AR87" s="3124">
        <f t="shared" si="138"/>
        <v>0</v>
      </c>
      <c r="AS87" s="3124">
        <f t="shared" si="139"/>
        <v>0</v>
      </c>
      <c r="AT87" s="3127">
        <f t="shared" si="140"/>
        <v>0</v>
      </c>
      <c r="AU87" s="3129"/>
    </row>
    <row r="88" spans="1:47" s="73" customFormat="1">
      <c r="A88" s="3121"/>
      <c r="B88" s="4270">
        <v>2040205</v>
      </c>
      <c r="C88" s="4243">
        <v>0.02</v>
      </c>
      <c r="D88" s="3071" t="s">
        <v>425</v>
      </c>
      <c r="E88" s="3047">
        <f>'11.2. ДА за периода'!E88</f>
        <v>2.4359999999999999</v>
      </c>
      <c r="F88" s="3123">
        <f t="shared" si="105"/>
        <v>3.7800000000000002</v>
      </c>
      <c r="G88" s="3124">
        <f t="shared" si="106"/>
        <v>21.952310000000001</v>
      </c>
      <c r="H88" s="3124">
        <f t="shared" si="107"/>
        <v>50.709789999999998</v>
      </c>
      <c r="I88" s="3124">
        <f t="shared" si="108"/>
        <v>68.039960000000008</v>
      </c>
      <c r="J88" s="3124">
        <f t="shared" si="109"/>
        <v>72.47496000000001</v>
      </c>
      <c r="K88" s="3125">
        <f t="shared" si="110"/>
        <v>75.414960000000008</v>
      </c>
      <c r="L88" s="3047">
        <f>'11.2. ДА за периода'!L88</f>
        <v>0</v>
      </c>
      <c r="M88" s="3126">
        <f t="shared" si="111"/>
        <v>0</v>
      </c>
      <c r="N88" s="3124">
        <f t="shared" si="112"/>
        <v>0</v>
      </c>
      <c r="O88" s="3124">
        <f t="shared" si="113"/>
        <v>0</v>
      </c>
      <c r="P88" s="3124">
        <f t="shared" si="114"/>
        <v>0</v>
      </c>
      <c r="Q88" s="3125">
        <f t="shared" si="115"/>
        <v>0</v>
      </c>
      <c r="R88" s="3127">
        <f t="shared" si="116"/>
        <v>0</v>
      </c>
      <c r="S88" s="1203">
        <f>'11.2. ДА за периода'!S88</f>
        <v>0</v>
      </c>
      <c r="T88" s="3128">
        <f t="shared" si="117"/>
        <v>0</v>
      </c>
      <c r="U88" s="3124">
        <f t="shared" si="118"/>
        <v>0</v>
      </c>
      <c r="V88" s="3124">
        <f t="shared" si="119"/>
        <v>0</v>
      </c>
      <c r="W88" s="3124">
        <f t="shared" si="120"/>
        <v>0</v>
      </c>
      <c r="X88" s="3124">
        <f t="shared" si="121"/>
        <v>0</v>
      </c>
      <c r="Y88" s="3127">
        <f t="shared" si="122"/>
        <v>0</v>
      </c>
      <c r="Z88" s="1203">
        <f>'11.2. ДА за периода'!Z88</f>
        <v>0</v>
      </c>
      <c r="AA88" s="3128">
        <f t="shared" si="123"/>
        <v>0</v>
      </c>
      <c r="AB88" s="3124">
        <f t="shared" si="124"/>
        <v>0</v>
      </c>
      <c r="AC88" s="3124">
        <f t="shared" si="125"/>
        <v>0</v>
      </c>
      <c r="AD88" s="3124">
        <f t="shared" si="126"/>
        <v>0</v>
      </c>
      <c r="AE88" s="3124">
        <f t="shared" si="127"/>
        <v>0</v>
      </c>
      <c r="AF88" s="3125">
        <f t="shared" si="128"/>
        <v>0</v>
      </c>
      <c r="AG88" s="1203">
        <f>'11.2. ДА за периода'!AG88</f>
        <v>0</v>
      </c>
      <c r="AH88" s="3128">
        <f t="shared" si="129"/>
        <v>0</v>
      </c>
      <c r="AI88" s="3124">
        <f t="shared" si="130"/>
        <v>0</v>
      </c>
      <c r="AJ88" s="3124">
        <f t="shared" si="131"/>
        <v>0</v>
      </c>
      <c r="AK88" s="3124">
        <f t="shared" si="132"/>
        <v>0</v>
      </c>
      <c r="AL88" s="3124">
        <f t="shared" si="133"/>
        <v>0</v>
      </c>
      <c r="AM88" s="3125">
        <f t="shared" si="134"/>
        <v>0</v>
      </c>
      <c r="AN88" s="1203">
        <f>'11.2. ДА за периода'!AN88</f>
        <v>0</v>
      </c>
      <c r="AO88" s="3126">
        <f t="shared" si="135"/>
        <v>0</v>
      </c>
      <c r="AP88" s="3124">
        <f t="shared" si="136"/>
        <v>0</v>
      </c>
      <c r="AQ88" s="3124">
        <f t="shared" si="137"/>
        <v>0</v>
      </c>
      <c r="AR88" s="3124">
        <f t="shared" si="138"/>
        <v>0</v>
      </c>
      <c r="AS88" s="3124">
        <f t="shared" si="139"/>
        <v>0</v>
      </c>
      <c r="AT88" s="3127">
        <f t="shared" si="140"/>
        <v>0</v>
      </c>
      <c r="AU88" s="3129"/>
    </row>
    <row r="89" spans="1:47" s="73" customFormat="1">
      <c r="A89" s="3121"/>
      <c r="B89" s="4270">
        <v>2040206</v>
      </c>
      <c r="C89" s="4243">
        <v>0.02</v>
      </c>
      <c r="D89" s="3071" t="s">
        <v>426</v>
      </c>
      <c r="E89" s="3047">
        <f>'11.2. ДА за периода'!E89</f>
        <v>5.0000000000000001E-3</v>
      </c>
      <c r="F89" s="3123">
        <f t="shared" si="105"/>
        <v>0</v>
      </c>
      <c r="G89" s="3124">
        <f t="shared" si="106"/>
        <v>0</v>
      </c>
      <c r="H89" s="3124">
        <f t="shared" si="107"/>
        <v>0</v>
      </c>
      <c r="I89" s="3124">
        <f t="shared" si="108"/>
        <v>0</v>
      </c>
      <c r="J89" s="3124">
        <f t="shared" si="109"/>
        <v>0</v>
      </c>
      <c r="K89" s="3125">
        <f t="shared" si="110"/>
        <v>0</v>
      </c>
      <c r="L89" s="3047">
        <f>'11.2. ДА за периода'!L89</f>
        <v>0.17599999999999999</v>
      </c>
      <c r="M89" s="3126">
        <f t="shared" si="111"/>
        <v>0.95000000000000007</v>
      </c>
      <c r="N89" s="3124">
        <f t="shared" si="112"/>
        <v>6.7034000000000011</v>
      </c>
      <c r="O89" s="3124">
        <f t="shared" si="113"/>
        <v>37.552690000000005</v>
      </c>
      <c r="P89" s="3124">
        <f t="shared" si="114"/>
        <v>63.874580000000016</v>
      </c>
      <c r="Q89" s="3125">
        <f t="shared" si="115"/>
        <v>64.429580000000016</v>
      </c>
      <c r="R89" s="3127">
        <f t="shared" si="116"/>
        <v>65.001580000000033</v>
      </c>
      <c r="S89" s="1203">
        <f>'11.2. ДА за периода'!S89</f>
        <v>0</v>
      </c>
      <c r="T89" s="3128">
        <f t="shared" si="117"/>
        <v>0</v>
      </c>
      <c r="U89" s="3124">
        <f t="shared" si="118"/>
        <v>0</v>
      </c>
      <c r="V89" s="3124">
        <f t="shared" si="119"/>
        <v>0</v>
      </c>
      <c r="W89" s="3124">
        <f t="shared" si="120"/>
        <v>0</v>
      </c>
      <c r="X89" s="3124">
        <f t="shared" si="121"/>
        <v>0</v>
      </c>
      <c r="Y89" s="3127">
        <f t="shared" si="122"/>
        <v>0</v>
      </c>
      <c r="Z89" s="1203">
        <f>'11.2. ДА за периода'!Z89</f>
        <v>0</v>
      </c>
      <c r="AA89" s="3128">
        <f t="shared" si="123"/>
        <v>0</v>
      </c>
      <c r="AB89" s="3124">
        <f t="shared" si="124"/>
        <v>0</v>
      </c>
      <c r="AC89" s="3124">
        <f t="shared" si="125"/>
        <v>0</v>
      </c>
      <c r="AD89" s="3124">
        <f t="shared" si="126"/>
        <v>0</v>
      </c>
      <c r="AE89" s="3124">
        <f t="shared" si="127"/>
        <v>0</v>
      </c>
      <c r="AF89" s="3125">
        <f t="shared" si="128"/>
        <v>0</v>
      </c>
      <c r="AG89" s="1203">
        <f>'11.2. ДА за периода'!AG89</f>
        <v>0</v>
      </c>
      <c r="AH89" s="3128">
        <f t="shared" si="129"/>
        <v>0</v>
      </c>
      <c r="AI89" s="3124">
        <f t="shared" si="130"/>
        <v>0</v>
      </c>
      <c r="AJ89" s="3124">
        <f t="shared" si="131"/>
        <v>0</v>
      </c>
      <c r="AK89" s="3124">
        <f t="shared" si="132"/>
        <v>0</v>
      </c>
      <c r="AL89" s="3124">
        <f t="shared" si="133"/>
        <v>0</v>
      </c>
      <c r="AM89" s="3125">
        <f t="shared" si="134"/>
        <v>0</v>
      </c>
      <c r="AN89" s="1203">
        <f>'11.2. ДА за периода'!AN89</f>
        <v>0</v>
      </c>
      <c r="AO89" s="3126">
        <f t="shared" si="135"/>
        <v>0</v>
      </c>
      <c r="AP89" s="3124">
        <f t="shared" si="136"/>
        <v>0</v>
      </c>
      <c r="AQ89" s="3124">
        <f t="shared" si="137"/>
        <v>0</v>
      </c>
      <c r="AR89" s="3124">
        <f t="shared" si="138"/>
        <v>0</v>
      </c>
      <c r="AS89" s="3124">
        <f t="shared" si="139"/>
        <v>0</v>
      </c>
      <c r="AT89" s="3127">
        <f t="shared" si="140"/>
        <v>0</v>
      </c>
      <c r="AU89" s="3129"/>
    </row>
    <row r="90" spans="1:47" s="73" customFormat="1" ht="24">
      <c r="A90" s="3121"/>
      <c r="B90" s="4270">
        <v>2040207</v>
      </c>
      <c r="C90" s="4243">
        <v>0.04</v>
      </c>
      <c r="D90" s="3071" t="s">
        <v>427</v>
      </c>
      <c r="E90" s="3047">
        <f>'11.2. ДА за периода'!E90</f>
        <v>0.18</v>
      </c>
      <c r="F90" s="3123">
        <f t="shared" si="105"/>
        <v>0.52</v>
      </c>
      <c r="G90" s="3124">
        <f t="shared" si="106"/>
        <v>1.42</v>
      </c>
      <c r="H90" s="3124">
        <f t="shared" si="107"/>
        <v>13.331620000000001</v>
      </c>
      <c r="I90" s="3124">
        <f t="shared" si="108"/>
        <v>25.24324</v>
      </c>
      <c r="J90" s="3124">
        <f t="shared" si="109"/>
        <v>26.003240000000002</v>
      </c>
      <c r="K90" s="3125">
        <f t="shared" si="110"/>
        <v>26.763240000000003</v>
      </c>
      <c r="L90" s="3047">
        <f>'11.2. ДА за периода'!L90</f>
        <v>0</v>
      </c>
      <c r="M90" s="3126">
        <f t="shared" si="111"/>
        <v>0</v>
      </c>
      <c r="N90" s="3124">
        <f t="shared" si="112"/>
        <v>0</v>
      </c>
      <c r="O90" s="3124">
        <f t="shared" si="113"/>
        <v>4.5269200000000005</v>
      </c>
      <c r="P90" s="3124">
        <f t="shared" si="114"/>
        <v>9.053840000000001</v>
      </c>
      <c r="Q90" s="3125">
        <f t="shared" si="115"/>
        <v>9.053840000000001</v>
      </c>
      <c r="R90" s="3127">
        <f t="shared" si="116"/>
        <v>9.053840000000001</v>
      </c>
      <c r="S90" s="1203">
        <f>'11.2. ДА за периода'!S90</f>
        <v>0</v>
      </c>
      <c r="T90" s="3128">
        <f t="shared" si="117"/>
        <v>0.12</v>
      </c>
      <c r="U90" s="3124">
        <f t="shared" si="118"/>
        <v>21.354499999999998</v>
      </c>
      <c r="V90" s="3124">
        <f t="shared" si="119"/>
        <v>64.523499999999999</v>
      </c>
      <c r="W90" s="3124">
        <f t="shared" si="120"/>
        <v>87.597999999999999</v>
      </c>
      <c r="X90" s="3124">
        <f t="shared" si="121"/>
        <v>88.618000000000009</v>
      </c>
      <c r="Y90" s="3127">
        <f t="shared" si="122"/>
        <v>88.618000000000009</v>
      </c>
      <c r="Z90" s="1203">
        <f>'11.2. ДА за периода'!Z90</f>
        <v>0</v>
      </c>
      <c r="AA90" s="3128">
        <f t="shared" si="123"/>
        <v>0</v>
      </c>
      <c r="AB90" s="3124">
        <f t="shared" si="124"/>
        <v>0</v>
      </c>
      <c r="AC90" s="3124">
        <f t="shared" si="125"/>
        <v>0</v>
      </c>
      <c r="AD90" s="3124">
        <f t="shared" si="126"/>
        <v>0</v>
      </c>
      <c r="AE90" s="3124">
        <f t="shared" si="127"/>
        <v>0</v>
      </c>
      <c r="AF90" s="3125">
        <f t="shared" si="128"/>
        <v>0</v>
      </c>
      <c r="AG90" s="1203">
        <f>'11.2. ДА за периода'!AG90</f>
        <v>0</v>
      </c>
      <c r="AH90" s="3128">
        <f t="shared" si="129"/>
        <v>0</v>
      </c>
      <c r="AI90" s="3124">
        <f t="shared" si="130"/>
        <v>0</v>
      </c>
      <c r="AJ90" s="3124">
        <f t="shared" si="131"/>
        <v>0</v>
      </c>
      <c r="AK90" s="3124">
        <f t="shared" si="132"/>
        <v>0</v>
      </c>
      <c r="AL90" s="3124">
        <f t="shared" si="133"/>
        <v>0</v>
      </c>
      <c r="AM90" s="3125">
        <f t="shared" si="134"/>
        <v>0</v>
      </c>
      <c r="AN90" s="1203">
        <f>'11.2. ДА за периода'!AN90</f>
        <v>0</v>
      </c>
      <c r="AO90" s="3126">
        <f t="shared" si="135"/>
        <v>0</v>
      </c>
      <c r="AP90" s="3124">
        <f t="shared" si="136"/>
        <v>0</v>
      </c>
      <c r="AQ90" s="3124">
        <f t="shared" si="137"/>
        <v>0</v>
      </c>
      <c r="AR90" s="3124">
        <f t="shared" si="138"/>
        <v>0</v>
      </c>
      <c r="AS90" s="3124">
        <f t="shared" si="139"/>
        <v>0</v>
      </c>
      <c r="AT90" s="3127">
        <f t="shared" si="140"/>
        <v>0</v>
      </c>
      <c r="AU90" s="3129"/>
    </row>
    <row r="91" spans="1:47" s="73" customFormat="1">
      <c r="A91" s="3121"/>
      <c r="B91" s="4270">
        <v>2040208</v>
      </c>
      <c r="C91" s="4243">
        <v>0.04</v>
      </c>
      <c r="D91" s="3071" t="s">
        <v>428</v>
      </c>
      <c r="E91" s="3047">
        <f>'11.2. ДА за периода'!E91</f>
        <v>0</v>
      </c>
      <c r="F91" s="3123">
        <f t="shared" si="105"/>
        <v>0</v>
      </c>
      <c r="G91" s="3124">
        <f t="shared" si="106"/>
        <v>0</v>
      </c>
      <c r="H91" s="3124">
        <f t="shared" si="107"/>
        <v>0</v>
      </c>
      <c r="I91" s="3124">
        <f t="shared" si="108"/>
        <v>0</v>
      </c>
      <c r="J91" s="3124">
        <f t="shared" si="109"/>
        <v>0</v>
      </c>
      <c r="K91" s="3125">
        <f t="shared" si="110"/>
        <v>0</v>
      </c>
      <c r="L91" s="3047">
        <f>'11.2. ДА за периода'!L91</f>
        <v>0</v>
      </c>
      <c r="M91" s="3126">
        <f t="shared" si="111"/>
        <v>0</v>
      </c>
      <c r="N91" s="3124">
        <f t="shared" si="112"/>
        <v>0</v>
      </c>
      <c r="O91" s="3124">
        <f t="shared" si="113"/>
        <v>0</v>
      </c>
      <c r="P91" s="3124">
        <f t="shared" si="114"/>
        <v>0</v>
      </c>
      <c r="Q91" s="3125">
        <f t="shared" si="115"/>
        <v>0</v>
      </c>
      <c r="R91" s="3127">
        <f t="shared" si="116"/>
        <v>0</v>
      </c>
      <c r="S91" s="1203">
        <f>'11.2. ДА за периода'!S91</f>
        <v>0</v>
      </c>
      <c r="T91" s="3128">
        <f t="shared" si="117"/>
        <v>0</v>
      </c>
      <c r="U91" s="3124">
        <f t="shared" si="118"/>
        <v>0</v>
      </c>
      <c r="V91" s="3124">
        <f t="shared" si="119"/>
        <v>0</v>
      </c>
      <c r="W91" s="3124">
        <f t="shared" si="120"/>
        <v>0</v>
      </c>
      <c r="X91" s="3124">
        <f t="shared" si="121"/>
        <v>0</v>
      </c>
      <c r="Y91" s="3127">
        <f t="shared" si="122"/>
        <v>0</v>
      </c>
      <c r="Z91" s="1203">
        <f>'11.2. ДА за периода'!Z91</f>
        <v>0</v>
      </c>
      <c r="AA91" s="3128">
        <f t="shared" si="123"/>
        <v>0</v>
      </c>
      <c r="AB91" s="3124">
        <f t="shared" si="124"/>
        <v>0</v>
      </c>
      <c r="AC91" s="3124">
        <f t="shared" si="125"/>
        <v>0</v>
      </c>
      <c r="AD91" s="3124">
        <f t="shared" si="126"/>
        <v>0</v>
      </c>
      <c r="AE91" s="3124">
        <f t="shared" si="127"/>
        <v>0</v>
      </c>
      <c r="AF91" s="3125">
        <f t="shared" si="128"/>
        <v>0</v>
      </c>
      <c r="AG91" s="1203">
        <f>'11.2. ДА за периода'!AG91</f>
        <v>0</v>
      </c>
      <c r="AH91" s="3128">
        <f t="shared" si="129"/>
        <v>0</v>
      </c>
      <c r="AI91" s="3124">
        <f t="shared" si="130"/>
        <v>0</v>
      </c>
      <c r="AJ91" s="3124">
        <f t="shared" si="131"/>
        <v>0</v>
      </c>
      <c r="AK91" s="3124">
        <f t="shared" si="132"/>
        <v>0</v>
      </c>
      <c r="AL91" s="3124">
        <f t="shared" si="133"/>
        <v>0</v>
      </c>
      <c r="AM91" s="3125">
        <f t="shared" si="134"/>
        <v>0</v>
      </c>
      <c r="AN91" s="1203">
        <f>'11.2. ДА за периода'!AN91</f>
        <v>0</v>
      </c>
      <c r="AO91" s="3126">
        <f t="shared" si="135"/>
        <v>0</v>
      </c>
      <c r="AP91" s="3124">
        <f t="shared" si="136"/>
        <v>0</v>
      </c>
      <c r="AQ91" s="3124">
        <f t="shared" si="137"/>
        <v>0</v>
      </c>
      <c r="AR91" s="3124">
        <f t="shared" si="138"/>
        <v>0</v>
      </c>
      <c r="AS91" s="3124">
        <f t="shared" si="139"/>
        <v>0</v>
      </c>
      <c r="AT91" s="3127">
        <f t="shared" si="140"/>
        <v>0</v>
      </c>
      <c r="AU91" s="3129"/>
    </row>
    <row r="92" spans="1:47">
      <c r="A92" s="3060"/>
      <c r="B92" s="4261">
        <v>20403</v>
      </c>
      <c r="C92" s="4244">
        <v>0.04</v>
      </c>
      <c r="D92" s="3074" t="s">
        <v>1060</v>
      </c>
      <c r="E92" s="3047">
        <f>'11.2. ДА за периода'!E92</f>
        <v>2.5999999999999999E-2</v>
      </c>
      <c r="F92" s="2971">
        <f t="shared" si="105"/>
        <v>0</v>
      </c>
      <c r="G92" s="1321">
        <f t="shared" si="106"/>
        <v>0</v>
      </c>
      <c r="H92" s="1321">
        <f t="shared" si="107"/>
        <v>0</v>
      </c>
      <c r="I92" s="1321">
        <f t="shared" si="108"/>
        <v>0</v>
      </c>
      <c r="J92" s="1321">
        <f t="shared" si="109"/>
        <v>0</v>
      </c>
      <c r="K92" s="2977">
        <f t="shared" si="110"/>
        <v>0</v>
      </c>
      <c r="L92" s="3047">
        <f>'11.2. ДА за периода'!L92</f>
        <v>0</v>
      </c>
      <c r="M92" s="1325">
        <f t="shared" si="111"/>
        <v>0</v>
      </c>
      <c r="N92" s="1321">
        <f t="shared" si="112"/>
        <v>0</v>
      </c>
      <c r="O92" s="1321">
        <f t="shared" si="113"/>
        <v>0</v>
      </c>
      <c r="P92" s="1321">
        <f t="shared" si="114"/>
        <v>0</v>
      </c>
      <c r="Q92" s="2977">
        <f t="shared" si="115"/>
        <v>0</v>
      </c>
      <c r="R92" s="1326">
        <f t="shared" si="116"/>
        <v>0</v>
      </c>
      <c r="S92" s="1203">
        <f>'11.2. ДА за периода'!S92</f>
        <v>0</v>
      </c>
      <c r="T92" s="996">
        <f t="shared" si="117"/>
        <v>0</v>
      </c>
      <c r="U92" s="1321">
        <f t="shared" si="118"/>
        <v>0</v>
      </c>
      <c r="V92" s="1321">
        <f t="shared" si="119"/>
        <v>0</v>
      </c>
      <c r="W92" s="1321">
        <f t="shared" si="120"/>
        <v>0</v>
      </c>
      <c r="X92" s="1321">
        <f t="shared" si="121"/>
        <v>0</v>
      </c>
      <c r="Y92" s="1326">
        <f t="shared" si="122"/>
        <v>0</v>
      </c>
      <c r="Z92" s="1203">
        <f>'11.2. ДА за периода'!Z92</f>
        <v>0</v>
      </c>
      <c r="AA92" s="996">
        <f t="shared" si="123"/>
        <v>0</v>
      </c>
      <c r="AB92" s="1321">
        <f t="shared" si="124"/>
        <v>0</v>
      </c>
      <c r="AC92" s="1321">
        <f t="shared" si="125"/>
        <v>0</v>
      </c>
      <c r="AD92" s="1321">
        <f t="shared" si="126"/>
        <v>0</v>
      </c>
      <c r="AE92" s="1321">
        <f t="shared" si="127"/>
        <v>0</v>
      </c>
      <c r="AF92" s="2977">
        <f t="shared" si="128"/>
        <v>0</v>
      </c>
      <c r="AG92" s="1203">
        <f>'11.2. ДА за периода'!AG92</f>
        <v>0</v>
      </c>
      <c r="AH92" s="996">
        <f t="shared" si="129"/>
        <v>0</v>
      </c>
      <c r="AI92" s="1321">
        <f t="shared" si="130"/>
        <v>0</v>
      </c>
      <c r="AJ92" s="1321">
        <f t="shared" si="131"/>
        <v>0</v>
      </c>
      <c r="AK92" s="1321">
        <f t="shared" si="132"/>
        <v>0</v>
      </c>
      <c r="AL92" s="1321">
        <f t="shared" si="133"/>
        <v>0</v>
      </c>
      <c r="AM92" s="2977">
        <f t="shared" si="134"/>
        <v>0</v>
      </c>
      <c r="AN92" s="1203">
        <f>'11.2. ДА за периода'!AN92</f>
        <v>0</v>
      </c>
      <c r="AO92" s="1325">
        <f t="shared" si="135"/>
        <v>0</v>
      </c>
      <c r="AP92" s="1321">
        <f t="shared" si="136"/>
        <v>0</v>
      </c>
      <c r="AQ92" s="1321">
        <f t="shared" si="137"/>
        <v>0</v>
      </c>
      <c r="AR92" s="1321">
        <f t="shared" si="138"/>
        <v>0</v>
      </c>
      <c r="AS92" s="1321">
        <f t="shared" si="139"/>
        <v>0</v>
      </c>
      <c r="AT92" s="1326">
        <f t="shared" si="140"/>
        <v>0</v>
      </c>
      <c r="AU92" s="3006"/>
    </row>
    <row r="93" spans="1:47" ht="25.5">
      <c r="A93" s="3060"/>
      <c r="B93" s="4261" t="s">
        <v>1061</v>
      </c>
      <c r="C93" s="4244">
        <v>0.04</v>
      </c>
      <c r="D93" s="3074" t="s">
        <v>1062</v>
      </c>
      <c r="E93" s="3047">
        <f>'11.2. ДА за периода'!E93</f>
        <v>0</v>
      </c>
      <c r="F93" s="2971">
        <f t="shared" si="105"/>
        <v>0</v>
      </c>
      <c r="G93" s="1321">
        <f t="shared" si="106"/>
        <v>0</v>
      </c>
      <c r="H93" s="1321">
        <f t="shared" si="107"/>
        <v>0</v>
      </c>
      <c r="I93" s="1321">
        <f t="shared" si="108"/>
        <v>0</v>
      </c>
      <c r="J93" s="1321">
        <f t="shared" si="109"/>
        <v>0</v>
      </c>
      <c r="K93" s="2977">
        <f t="shared" si="110"/>
        <v>0</v>
      </c>
      <c r="L93" s="3047">
        <f>'11.2. ДА за периода'!L93</f>
        <v>0</v>
      </c>
      <c r="M93" s="1325">
        <f t="shared" si="111"/>
        <v>0</v>
      </c>
      <c r="N93" s="1321">
        <f t="shared" si="112"/>
        <v>0</v>
      </c>
      <c r="O93" s="1321">
        <f t="shared" si="113"/>
        <v>0</v>
      </c>
      <c r="P93" s="1321">
        <f t="shared" si="114"/>
        <v>0</v>
      </c>
      <c r="Q93" s="2977">
        <f t="shared" si="115"/>
        <v>0</v>
      </c>
      <c r="R93" s="1326">
        <f t="shared" si="116"/>
        <v>0</v>
      </c>
      <c r="S93" s="1203">
        <f>'11.2. ДА за периода'!S93</f>
        <v>0</v>
      </c>
      <c r="T93" s="996">
        <f t="shared" si="117"/>
        <v>0</v>
      </c>
      <c r="U93" s="1321">
        <f t="shared" si="118"/>
        <v>0</v>
      </c>
      <c r="V93" s="1321">
        <f t="shared" si="119"/>
        <v>0</v>
      </c>
      <c r="W93" s="1321">
        <f t="shared" si="120"/>
        <v>0</v>
      </c>
      <c r="X93" s="1321">
        <f t="shared" si="121"/>
        <v>0</v>
      </c>
      <c r="Y93" s="1326">
        <f t="shared" si="122"/>
        <v>0</v>
      </c>
      <c r="Z93" s="1203">
        <f>'11.2. ДА за периода'!Z93</f>
        <v>0</v>
      </c>
      <c r="AA93" s="996">
        <f t="shared" si="123"/>
        <v>0</v>
      </c>
      <c r="AB93" s="1321">
        <f t="shared" si="124"/>
        <v>0</v>
      </c>
      <c r="AC93" s="1321">
        <f t="shared" si="125"/>
        <v>0</v>
      </c>
      <c r="AD93" s="1321">
        <f t="shared" si="126"/>
        <v>0</v>
      </c>
      <c r="AE93" s="1321">
        <f t="shared" si="127"/>
        <v>0</v>
      </c>
      <c r="AF93" s="2977">
        <f t="shared" si="128"/>
        <v>0</v>
      </c>
      <c r="AG93" s="1203">
        <f>'11.2. ДА за периода'!AG93</f>
        <v>0</v>
      </c>
      <c r="AH93" s="996">
        <f t="shared" si="129"/>
        <v>0</v>
      </c>
      <c r="AI93" s="1321">
        <f t="shared" si="130"/>
        <v>0</v>
      </c>
      <c r="AJ93" s="1321">
        <f t="shared" si="131"/>
        <v>0</v>
      </c>
      <c r="AK93" s="1321">
        <f t="shared" si="132"/>
        <v>0</v>
      </c>
      <c r="AL93" s="1321">
        <f t="shared" si="133"/>
        <v>0</v>
      </c>
      <c r="AM93" s="2977">
        <f t="shared" si="134"/>
        <v>0</v>
      </c>
      <c r="AN93" s="1203">
        <f>'11.2. ДА за периода'!AN93</f>
        <v>0</v>
      </c>
      <c r="AO93" s="1325">
        <f t="shared" si="135"/>
        <v>0</v>
      </c>
      <c r="AP93" s="1321">
        <f t="shared" si="136"/>
        <v>0</v>
      </c>
      <c r="AQ93" s="1321">
        <f t="shared" si="137"/>
        <v>0</v>
      </c>
      <c r="AR93" s="1321">
        <f t="shared" si="138"/>
        <v>0</v>
      </c>
      <c r="AS93" s="1321">
        <f t="shared" si="139"/>
        <v>0</v>
      </c>
      <c r="AT93" s="1326">
        <f t="shared" si="140"/>
        <v>0</v>
      </c>
      <c r="AU93" s="3006"/>
    </row>
    <row r="94" spans="1:47">
      <c r="A94" s="3053">
        <v>5</v>
      </c>
      <c r="B94" s="4268">
        <v>205</v>
      </c>
      <c r="C94" s="4241"/>
      <c r="D94" s="3054" t="s">
        <v>217</v>
      </c>
      <c r="E94" s="3108">
        <f>SUM(E95:E98)</f>
        <v>0.83699999999999997</v>
      </c>
      <c r="F94" s="3109">
        <f>SUM(F95:F98)</f>
        <v>4.13</v>
      </c>
      <c r="G94" s="3110">
        <f>SUM(G95:G98)</f>
        <v>11.459999999999999</v>
      </c>
      <c r="H94" s="3110">
        <f t="shared" ref="H94:K94" si="141">SUM(H95:H98)</f>
        <v>17.61</v>
      </c>
      <c r="I94" s="3110">
        <f t="shared" si="141"/>
        <v>24.060000000000002</v>
      </c>
      <c r="J94" s="3110">
        <f t="shared" si="141"/>
        <v>31.040000000000003</v>
      </c>
      <c r="K94" s="3111">
        <f t="shared" si="141"/>
        <v>38.805</v>
      </c>
      <c r="L94" s="3112">
        <f>SUM(L95:L98)</f>
        <v>3.5879999999999996</v>
      </c>
      <c r="M94" s="3109">
        <f>SUM(M95:M98)</f>
        <v>0</v>
      </c>
      <c r="N94" s="3110">
        <f>SUM(N95:N98)</f>
        <v>2.38</v>
      </c>
      <c r="O94" s="3110">
        <f t="shared" ref="O94:R94" si="142">SUM(O95:O98)</f>
        <v>4.76</v>
      </c>
      <c r="P94" s="3110">
        <f t="shared" si="142"/>
        <v>7.4</v>
      </c>
      <c r="Q94" s="3110">
        <f t="shared" si="142"/>
        <v>10.040000000000001</v>
      </c>
      <c r="R94" s="3113">
        <f t="shared" si="142"/>
        <v>11.365000000000002</v>
      </c>
      <c r="S94" s="3112">
        <f>SUM(S95:S98)</f>
        <v>6.4000000000000001E-2</v>
      </c>
      <c r="T94" s="3114">
        <f>SUM(T95:T98)</f>
        <v>0</v>
      </c>
      <c r="U94" s="3110">
        <f>SUM(U95:U98)</f>
        <v>0</v>
      </c>
      <c r="V94" s="3110">
        <f t="shared" ref="V94:Y94" si="143">SUM(V95:V98)</f>
        <v>0</v>
      </c>
      <c r="W94" s="3110">
        <f t="shared" si="143"/>
        <v>0</v>
      </c>
      <c r="X94" s="3110">
        <f t="shared" si="143"/>
        <v>0</v>
      </c>
      <c r="Y94" s="3113">
        <f t="shared" si="143"/>
        <v>0</v>
      </c>
      <c r="Z94" s="3112">
        <f>SUM(Z95:Z98)</f>
        <v>3.0000000000000001E-3</v>
      </c>
      <c r="AA94" s="3114">
        <f>SUM(AA95:AA98)</f>
        <v>0</v>
      </c>
      <c r="AB94" s="3110">
        <f>SUM(AB95:AB98)</f>
        <v>0</v>
      </c>
      <c r="AC94" s="3110">
        <f t="shared" ref="AC94:AF94" si="144">SUM(AC95:AC98)</f>
        <v>0</v>
      </c>
      <c r="AD94" s="3110">
        <f t="shared" si="144"/>
        <v>0</v>
      </c>
      <c r="AE94" s="3110">
        <f t="shared" si="144"/>
        <v>0</v>
      </c>
      <c r="AF94" s="3113">
        <f t="shared" si="144"/>
        <v>0</v>
      </c>
      <c r="AG94" s="3112">
        <f>SUM(AG95:AG98)</f>
        <v>0</v>
      </c>
      <c r="AH94" s="3114">
        <f>SUM(AH95:AH98)</f>
        <v>0</v>
      </c>
      <c r="AI94" s="3110">
        <f>SUM(AI95:AI98)</f>
        <v>0</v>
      </c>
      <c r="AJ94" s="3110">
        <f t="shared" ref="AJ94:AM94" si="145">SUM(AJ95:AJ98)</f>
        <v>0</v>
      </c>
      <c r="AK94" s="3110">
        <f t="shared" si="145"/>
        <v>0</v>
      </c>
      <c r="AL94" s="3110">
        <f t="shared" si="145"/>
        <v>0</v>
      </c>
      <c r="AM94" s="3113">
        <f t="shared" si="145"/>
        <v>0</v>
      </c>
      <c r="AN94" s="3112">
        <f>SUM(AN95:AN98)</f>
        <v>0</v>
      </c>
      <c r="AO94" s="3114">
        <f>SUM(AO95:AO98)</f>
        <v>3.0300000000000002</v>
      </c>
      <c r="AP94" s="3110">
        <f>SUM(AP95:AP98)</f>
        <v>6.4600000000000009</v>
      </c>
      <c r="AQ94" s="3110">
        <f t="shared" ref="AQ94:AS94" si="146">SUM(AQ95:AQ98)</f>
        <v>7.26</v>
      </c>
      <c r="AR94" s="3110">
        <f t="shared" si="146"/>
        <v>8.06</v>
      </c>
      <c r="AS94" s="3110">
        <f t="shared" si="146"/>
        <v>9.11</v>
      </c>
      <c r="AT94" s="3113">
        <f>SUM(AT95:AT98)</f>
        <v>10.309999999999999</v>
      </c>
      <c r="AU94" s="3006"/>
    </row>
    <row r="95" spans="1:47">
      <c r="A95" s="3081"/>
      <c r="B95" s="4271">
        <v>20501</v>
      </c>
      <c r="C95" s="4245">
        <v>0.08</v>
      </c>
      <c r="D95" s="3082" t="s">
        <v>569</v>
      </c>
      <c r="E95" s="3047">
        <f>'11.2. ДА за периода'!E95</f>
        <v>0</v>
      </c>
      <c r="F95" s="2971">
        <f>($F46*$C95)/$E$7</f>
        <v>3.88</v>
      </c>
      <c r="G95" s="1226">
        <f>($F46*$C95)+($G46*$C95)/$E$7</f>
        <v>9.36</v>
      </c>
      <c r="H95" s="1226">
        <f>($F46*$C95)+($G46*$C95)+($H46*$C95)/$E$7</f>
        <v>12.56</v>
      </c>
      <c r="I95" s="1226">
        <f>($F46*$C95)+($G46*$C95)+($H46*$C95)+($I46*$C95)/$E$7</f>
        <v>15.66</v>
      </c>
      <c r="J95" s="1226">
        <f>($F46*$C95)+($G46*$C95)+($H46*$C95)+($I46*$C95)+($J46*$C95)/$E$7</f>
        <v>17.84</v>
      </c>
      <c r="K95" s="3103">
        <f>($F46*$C95)+($G46*$C95)+($H46*$C95)+($I46*$C95)+($J46*$C95)+($K46*$C95)/$E$7</f>
        <v>20.079999999999998</v>
      </c>
      <c r="L95" s="3047">
        <f>'11.2. ДА за периода'!L95</f>
        <v>0</v>
      </c>
      <c r="M95" s="2971">
        <f>($M46*$C95)/$E$7</f>
        <v>0</v>
      </c>
      <c r="N95" s="1226">
        <f>($M46*$C95)+($N46*$C95)/$E$7</f>
        <v>2.08</v>
      </c>
      <c r="O95" s="1226">
        <f>($M46*$C95)+($N46*$C95)+($O46*$C95)/$E$7</f>
        <v>4.16</v>
      </c>
      <c r="P95" s="1226">
        <f>($M46*$C95)+($N46*$C95)+($O46*$C95)+($P46*$C95)/$E$7</f>
        <v>6.8000000000000007</v>
      </c>
      <c r="Q95" s="3103">
        <f>($M46*$C95)+($N46*$C95)+($O46*$C95)+($P46*$C95)+($Q46*$C95)/$E$7</f>
        <v>9.4400000000000013</v>
      </c>
      <c r="R95" s="2972">
        <f>($M46*$C95)+($N46*$C95)+($O46*$C95)+($P46*$C95)+($Q46*$C95)+($R46*$C95)/$E$7</f>
        <v>9.4400000000000013</v>
      </c>
      <c r="S95" s="1203">
        <f>'11.2. ДА за периода'!S95</f>
        <v>0</v>
      </c>
      <c r="T95" s="995">
        <f>($T46*$C95)/$E$7</f>
        <v>0</v>
      </c>
      <c r="U95" s="1226">
        <f>($T46*$C95)+($U46*$C95)/$E$7</f>
        <v>0</v>
      </c>
      <c r="V95" s="1226">
        <f>($T46*$C95)+($U46*$C95)+($V46*$C95)/$E$7</f>
        <v>0</v>
      </c>
      <c r="W95" s="1226">
        <f>($T46*$C95)+($U46*$C95)+($V46*$C95)+($W46*$C95)/$E$7</f>
        <v>0</v>
      </c>
      <c r="X95" s="1226">
        <f>($T46*$C95)+($U46*$C95)+($V46*$C95)+($W46*$C95)+($X46*$C95)/$E$7</f>
        <v>0</v>
      </c>
      <c r="Y95" s="2972">
        <f>($T46*$C95)+($U46*$C95)+($V46*$C95)+($W46*$C95)+($X46*$C95)+($Y46*$C95)/$E$7</f>
        <v>0</v>
      </c>
      <c r="Z95" s="1203">
        <f>'11.2. ДА за периода'!Z95</f>
        <v>0</v>
      </c>
      <c r="AA95" s="995">
        <f t="shared" ref="AA95:AA98" si="147">(AA46*$C95)/$E$7</f>
        <v>0</v>
      </c>
      <c r="AB95" s="1226">
        <f t="shared" ref="AB95:AB98" si="148">(AA46*$C95)+(AB46*$C95)/$E$7</f>
        <v>0</v>
      </c>
      <c r="AC95" s="1226">
        <f t="shared" ref="AC95:AC98" si="149">(AA46*$C95)+(AB46*$C95)+(AC46*$C95)/$E$7</f>
        <v>0</v>
      </c>
      <c r="AD95" s="1226">
        <f t="shared" ref="AD95:AD98" si="150">(AA46*$C95)+(AB46*$C95)+(AC46*$C95)+(AD46*$C95)/$E$7</f>
        <v>0</v>
      </c>
      <c r="AE95" s="1226">
        <f t="shared" ref="AE95:AE98" si="151">(AA46*$C95)+(AB46*$C95)+(AC46*$C95)+(AD46*$C95)+(AE46*$C95)/$E$7</f>
        <v>0</v>
      </c>
      <c r="AF95" s="3103">
        <f t="shared" ref="AF95:AF98" si="152">(AA46*$C95)+(AB46*$C95)+(AC46*$C95)+(AD46*$C95)+(AE46*$C95)+(AF46*$C95)/$E$7</f>
        <v>0</v>
      </c>
      <c r="AG95" s="1203">
        <f>'11.2. ДА за периода'!AG95</f>
        <v>0</v>
      </c>
      <c r="AH95" s="995">
        <f t="shared" ref="AH95:AH98" si="153">(AH46*$C95)/$E$7</f>
        <v>0</v>
      </c>
      <c r="AI95" s="1226">
        <f t="shared" ref="AI95:AI98" si="154">(AH46*$C95)+(AI46*$C95)/$E$7</f>
        <v>0</v>
      </c>
      <c r="AJ95" s="1226">
        <f t="shared" ref="AJ95:AJ98" si="155">(AH46*$C95)+(AI46*$C95)+(AJ46*$C95)/$E$7</f>
        <v>0</v>
      </c>
      <c r="AK95" s="1226">
        <f t="shared" ref="AK95:AK98" si="156">(AH46*$C95)+(AI46*$C95)+(AJ46*$C95)+(AK46*$C95)/$E$7</f>
        <v>0</v>
      </c>
      <c r="AL95" s="1226">
        <f t="shared" ref="AL95:AL98" si="157">(AH46*$C95)+(AI46*$C95)+(AJ46*$C95)+(AK46*$C95)+(AL46*$C95)/$E$7</f>
        <v>0</v>
      </c>
      <c r="AM95" s="3103">
        <f t="shared" ref="AM95:AM98" si="158">(AH46*$C95)+(AI46*$C95)+(AJ46*$C95)+(AK46*$C95)+(AL46*$C95)+(AM46*$C95)/$E$7</f>
        <v>0</v>
      </c>
      <c r="AN95" s="1203">
        <f>'11.2. ДА за периода'!AN95</f>
        <v>0</v>
      </c>
      <c r="AO95" s="2971">
        <f>($AO46*$C95)/$E$7</f>
        <v>2.68</v>
      </c>
      <c r="AP95" s="1226">
        <f>($AO46*$C95)+($AP46*$C95)/$E$7</f>
        <v>5.36</v>
      </c>
      <c r="AQ95" s="1226">
        <f>($AO46*$C95)+($AP46*$C95)+($AQ46*$C95)/$E$7</f>
        <v>5.36</v>
      </c>
      <c r="AR95" s="1226">
        <f>($AO46*$C95)+($AP46*$C95)+($AQ46*$C95)+($AR46*$C95)/$E$7</f>
        <v>5.36</v>
      </c>
      <c r="AS95" s="1226">
        <f>($AO46*$C95)+($AP46*$C95)+($AQ46*$C95)+($AR46*$C95)+($AS46*$C95)/$E$7</f>
        <v>5.36</v>
      </c>
      <c r="AT95" s="2972">
        <f>($AO46*$C95)+($AP46*$C95)+($AQ46*$C95)+($AR46*$C95)+($AS46*$C95)+($AT46*$C95)/$E$7</f>
        <v>5.36</v>
      </c>
      <c r="AU95" s="3006"/>
    </row>
    <row r="96" spans="1:47">
      <c r="A96" s="3081"/>
      <c r="B96" s="4271">
        <v>20502</v>
      </c>
      <c r="C96" s="4245">
        <v>0.1</v>
      </c>
      <c r="D96" s="3082" t="s">
        <v>416</v>
      </c>
      <c r="E96" s="3047">
        <f>'11.2. ДА за периода'!E96</f>
        <v>0.53100000000000003</v>
      </c>
      <c r="F96" s="2971">
        <f>($F47*$C96)/$E$7</f>
        <v>0.25</v>
      </c>
      <c r="G96" s="1321">
        <f>($F47*$C96)+($G47*$C96)/$E$7</f>
        <v>1.5</v>
      </c>
      <c r="H96" s="1321">
        <f>($F47*$C96)+($G47*$C96)+($H47*$C96)/$E$7</f>
        <v>3.3</v>
      </c>
      <c r="I96" s="1321">
        <f>($F47*$C96)+($G47*$C96)+($H47*$C96)+($I47*$C96)/$E$7</f>
        <v>5.3</v>
      </c>
      <c r="J96" s="1321">
        <f>($F47*$C96)+($G47*$C96)+($H47*$C96)+($I47*$C96)+($J47*$C96)/$E$7</f>
        <v>7.9</v>
      </c>
      <c r="K96" s="2977">
        <f>($F47*$C96)+($G47*$C96)+($H47*$C96)+($I47*$C96)+($J47*$C96)+($K47*$C96)/$E$7</f>
        <v>10.725000000000001</v>
      </c>
      <c r="L96" s="3047">
        <f>'11.2. ДА за периода'!L96</f>
        <v>0</v>
      </c>
      <c r="M96" s="1325">
        <f>($M47*$C96)/$E$7</f>
        <v>0</v>
      </c>
      <c r="N96" s="1321">
        <f>($M47*$C96)+($N47*$C96)/$E$7</f>
        <v>0.30000000000000004</v>
      </c>
      <c r="O96" s="1321">
        <f>($M47*$C96)+($N47*$C96)+($O47*$C96)/$E$7</f>
        <v>0.60000000000000009</v>
      </c>
      <c r="P96" s="1321">
        <f>($M47*$C96)+($N47*$C96)+($O47*$C96)+($P47*$C96)/$E$7</f>
        <v>0.60000000000000009</v>
      </c>
      <c r="Q96" s="2977">
        <f>($M47*$C96)+($N47*$C96)+($O47*$C96)+($P47*$C96)+($Q47*$C96)/$E$7</f>
        <v>0.60000000000000009</v>
      </c>
      <c r="R96" s="1326">
        <f>($M47*$C96)+($N47*$C96)+($O47*$C96)+($P47*$C96)+($Q47*$C96)+($R47*$C96)/$E$7</f>
        <v>1.9250000000000003</v>
      </c>
      <c r="S96" s="1203">
        <f>'11.2. ДА за периода'!S96</f>
        <v>0</v>
      </c>
      <c r="T96" s="996">
        <f>($T47*$C96)/$E$7</f>
        <v>0</v>
      </c>
      <c r="U96" s="1321">
        <f>($T47*$C96)+($U47*$C96)/$E$7</f>
        <v>0</v>
      </c>
      <c r="V96" s="1321">
        <f>($T47*$C96)+($U47*$C96)+($V47*$C96)/$E$7</f>
        <v>0</v>
      </c>
      <c r="W96" s="1321">
        <f>($T47*$C96)+($U47*$C96)+($V47*$C96)+($W47*$C96)/$E$7</f>
        <v>0</v>
      </c>
      <c r="X96" s="1321">
        <f>($T47*$C96)+($U47*$C96)+($V47*$C96)+($W47*$C96)+($X47*$C96)/$E$7</f>
        <v>0</v>
      </c>
      <c r="Y96" s="1326">
        <f>($T47*$C96)+($U47*$C96)+($V47*$C96)+($W47*$C96)+($X47*$C96)+($Y47*$C96)/$E$7</f>
        <v>0</v>
      </c>
      <c r="Z96" s="1203">
        <f>'11.2. ДА за периода'!Z96</f>
        <v>0</v>
      </c>
      <c r="AA96" s="996">
        <f t="shared" si="147"/>
        <v>0</v>
      </c>
      <c r="AB96" s="1321">
        <f t="shared" si="148"/>
        <v>0</v>
      </c>
      <c r="AC96" s="1321">
        <f t="shared" si="149"/>
        <v>0</v>
      </c>
      <c r="AD96" s="1321">
        <f t="shared" si="150"/>
        <v>0</v>
      </c>
      <c r="AE96" s="1321">
        <f t="shared" si="151"/>
        <v>0</v>
      </c>
      <c r="AF96" s="2977">
        <f t="shared" si="152"/>
        <v>0</v>
      </c>
      <c r="AG96" s="1203">
        <f>'11.2. ДА за периода'!AG96</f>
        <v>0</v>
      </c>
      <c r="AH96" s="996">
        <f t="shared" si="153"/>
        <v>0</v>
      </c>
      <c r="AI96" s="1321">
        <f t="shared" si="154"/>
        <v>0</v>
      </c>
      <c r="AJ96" s="1321">
        <f t="shared" si="155"/>
        <v>0</v>
      </c>
      <c r="AK96" s="1321">
        <f t="shared" si="156"/>
        <v>0</v>
      </c>
      <c r="AL96" s="1321">
        <f t="shared" si="157"/>
        <v>0</v>
      </c>
      <c r="AM96" s="2977">
        <f t="shared" si="158"/>
        <v>0</v>
      </c>
      <c r="AN96" s="1203">
        <f>'11.2. ДА за периода'!AN96</f>
        <v>0</v>
      </c>
      <c r="AO96" s="1325">
        <f>($AO47*$C96)/$E$7</f>
        <v>0.35000000000000003</v>
      </c>
      <c r="AP96" s="1321">
        <f>($AO47*$C96)+($AP47*$C96)/$E$7</f>
        <v>0.90000000000000013</v>
      </c>
      <c r="AQ96" s="1321">
        <f>($AO47*$C96)+($AP47*$C96)+($AQ47*$C96)/$E$7</f>
        <v>1.3</v>
      </c>
      <c r="AR96" s="1321">
        <f>($AO47*$C96)+($AP47*$C96)+($AQ47*$C96)+($AR47*$C96)/$E$7</f>
        <v>1.7</v>
      </c>
      <c r="AS96" s="1321">
        <f>($AO47*$C96)+($AP47*$C96)+($AQ47*$C96)+($AR47*$C96)+($AS47*$C96)/$E$7</f>
        <v>2.2999999999999998</v>
      </c>
      <c r="AT96" s="1326">
        <f>($AO47*$C96)+($AP47*$C96)+($AQ47*$C96)+($AR47*$C96)+($AS47*$C96)+($AT47*$C96)/$E$7</f>
        <v>3</v>
      </c>
      <c r="AU96" s="3006"/>
    </row>
    <row r="97" spans="1:47">
      <c r="A97" s="3081"/>
      <c r="B97" s="4271">
        <v>20503</v>
      </c>
      <c r="C97" s="4245">
        <v>0.1</v>
      </c>
      <c r="D97" s="3064" t="s">
        <v>417</v>
      </c>
      <c r="E97" s="3047">
        <f>'11.2. ДА за периода'!E97</f>
        <v>0.30599999999999999</v>
      </c>
      <c r="F97" s="2971">
        <f>($F48*$C97)/$E$7</f>
        <v>0</v>
      </c>
      <c r="G97" s="1321">
        <f>($F48*$C97)+($G48*$C97)/$E$7</f>
        <v>0.60000000000000009</v>
      </c>
      <c r="H97" s="1321">
        <f>($F48*$C97)+($G48*$C97)+($H48*$C97)/$E$7</f>
        <v>1.7500000000000002</v>
      </c>
      <c r="I97" s="1321">
        <f>($F48*$C97)+($G48*$C97)+($H48*$C97)+($I48*$C97)/$E$7</f>
        <v>3.1000000000000005</v>
      </c>
      <c r="J97" s="1321">
        <f>($F48*$C97)+($G48*$C97)+($H48*$C97)+($I48*$C97)+($J48*$C97)/$E$7</f>
        <v>5.3000000000000007</v>
      </c>
      <c r="K97" s="2977">
        <f>($F48*$C97)+($G48*$C97)+($H48*$C97)+($I48*$C97)+($J48*$C97)+($K48*$C97)/$E$7</f>
        <v>8.0000000000000018</v>
      </c>
      <c r="L97" s="3047">
        <f>'11.2. ДА за периода'!L97</f>
        <v>0.14299999999999999</v>
      </c>
      <c r="M97" s="1325">
        <f>($M48*$C97)/$E$7</f>
        <v>0</v>
      </c>
      <c r="N97" s="1321">
        <f>($M48*$C97)+($N48*$C97)/$E$7</f>
        <v>0</v>
      </c>
      <c r="O97" s="1321">
        <f>($M48*$C97)+($N48*$C97)+($O48*$C97)/$E$7</f>
        <v>0</v>
      </c>
      <c r="P97" s="1321">
        <f>($M48*$C97)+($N48*$C97)+($O48*$C97)+($P48*$C97)/$E$7</f>
        <v>0</v>
      </c>
      <c r="Q97" s="2977">
        <f>($M48*$C97)+($N48*$C97)+($O48*$C97)+($P48*$C97)+($Q48*$C97)/$E$7</f>
        <v>0</v>
      </c>
      <c r="R97" s="1326">
        <f>($M48*$C97)+($N48*$C97)+($O48*$C97)+($P48*$C97)+($Q48*$C97)+($R48*$C97)/$E$7</f>
        <v>0</v>
      </c>
      <c r="S97" s="1203">
        <f>'11.2. ДА за периода'!S97</f>
        <v>6.4000000000000001E-2</v>
      </c>
      <c r="T97" s="996">
        <f>($T48*$C97)/$E$7</f>
        <v>0</v>
      </c>
      <c r="U97" s="1321">
        <f>($T48*$C97)+($U48*$C97)/$E$7</f>
        <v>0</v>
      </c>
      <c r="V97" s="1321">
        <f>($T48*$C97)+($U48*$C97)+($V48*$C97)/$E$7</f>
        <v>0</v>
      </c>
      <c r="W97" s="1321">
        <f>($T48*$C97)+($U48*$C97)+($V48*$C97)+($W48*$C97)/$E$7</f>
        <v>0</v>
      </c>
      <c r="X97" s="1321">
        <f>($T48*$C97)+($U48*$C97)+($V48*$C97)+($W48*$C97)+($X48*$C97)/$E$7</f>
        <v>0</v>
      </c>
      <c r="Y97" s="1326">
        <f>($T48*$C97)+($U48*$C97)+($V48*$C97)+($W48*$C97)+($X48*$C97)+($Y48*$C97)/$E$7</f>
        <v>0</v>
      </c>
      <c r="Z97" s="1203">
        <f>'11.2. ДА за периода'!Z97</f>
        <v>3.0000000000000001E-3</v>
      </c>
      <c r="AA97" s="996">
        <f t="shared" si="147"/>
        <v>0</v>
      </c>
      <c r="AB97" s="1321">
        <f t="shared" si="148"/>
        <v>0</v>
      </c>
      <c r="AC97" s="1321">
        <f t="shared" si="149"/>
        <v>0</v>
      </c>
      <c r="AD97" s="1321">
        <f t="shared" si="150"/>
        <v>0</v>
      </c>
      <c r="AE97" s="1321">
        <f t="shared" si="151"/>
        <v>0</v>
      </c>
      <c r="AF97" s="2977">
        <f t="shared" si="152"/>
        <v>0</v>
      </c>
      <c r="AG97" s="1203">
        <f>'11.2. ДА за периода'!AG97</f>
        <v>0</v>
      </c>
      <c r="AH97" s="996">
        <f t="shared" si="153"/>
        <v>0</v>
      </c>
      <c r="AI97" s="1321">
        <f t="shared" si="154"/>
        <v>0</v>
      </c>
      <c r="AJ97" s="1321">
        <f t="shared" si="155"/>
        <v>0</v>
      </c>
      <c r="AK97" s="1321">
        <f t="shared" si="156"/>
        <v>0</v>
      </c>
      <c r="AL97" s="1321">
        <f t="shared" si="157"/>
        <v>0</v>
      </c>
      <c r="AM97" s="2977">
        <f t="shared" si="158"/>
        <v>0</v>
      </c>
      <c r="AN97" s="1203">
        <f>'11.2. ДА за периода'!AN97</f>
        <v>0</v>
      </c>
      <c r="AO97" s="1325">
        <f>($AO48*$C97)/$E$7</f>
        <v>0</v>
      </c>
      <c r="AP97" s="1321">
        <f>($AO48*$C97)+($AP48*$C97)/$E$7</f>
        <v>0.2</v>
      </c>
      <c r="AQ97" s="1321">
        <f>($AO48*$C97)+($AP48*$C97)+($AQ48*$C97)/$E$7</f>
        <v>0.60000000000000009</v>
      </c>
      <c r="AR97" s="1321">
        <f>($AO48*$C97)+($AP48*$C97)+($AQ48*$C97)+($AR48*$C97)/$E$7</f>
        <v>1</v>
      </c>
      <c r="AS97" s="1321">
        <f>($AO48*$C97)+($AP48*$C97)+($AQ48*$C97)+($AR48*$C97)+($AS48*$C97)/$E$7</f>
        <v>1.4500000000000002</v>
      </c>
      <c r="AT97" s="1326">
        <f>($AO48*$C97)+($AP48*$C97)+($AQ48*$C97)+($AR48*$C97)+($AS48*$C97)+($AT48*$C97)/$E$7</f>
        <v>1.9500000000000002</v>
      </c>
      <c r="AU97" s="3006"/>
    </row>
    <row r="98" spans="1:47">
      <c r="A98" s="3081"/>
      <c r="B98" s="4271">
        <v>20504</v>
      </c>
      <c r="C98" s="4245">
        <v>0.1</v>
      </c>
      <c r="D98" s="3064" t="s">
        <v>563</v>
      </c>
      <c r="E98" s="3047">
        <f>'11.2. ДА за периода'!E98</f>
        <v>0</v>
      </c>
      <c r="F98" s="2971">
        <f>($F49*$C98)/$E$7</f>
        <v>0</v>
      </c>
      <c r="G98" s="1321">
        <f>($F49*$C98)+($G49*$C98)/$E$7</f>
        <v>0</v>
      </c>
      <c r="H98" s="1321">
        <f>($F49*$C98)+($G49*$C98)+($H49*$C98)/$E$7</f>
        <v>0</v>
      </c>
      <c r="I98" s="1321">
        <f>($F49*$C98)+($G49*$C98)+($H49*$C98)+($I49*$C98)/$E$7</f>
        <v>0</v>
      </c>
      <c r="J98" s="1321">
        <f>($F49*$C98)+($G49*$C98)+($H49*$C98)+($I49*$C98)+($J49*$C98)/$E$7</f>
        <v>0</v>
      </c>
      <c r="K98" s="2977">
        <f>($F49*$C98)+($G49*$C98)+($H49*$C98)+($I49*$C98)+($J49*$C98)+($K49*$C98)/$E$7</f>
        <v>0</v>
      </c>
      <c r="L98" s="3047">
        <f>'11.2. ДА за периода'!L98</f>
        <v>3.4449999999999998</v>
      </c>
      <c r="M98" s="1325">
        <f>($M49*$C98)/$E$7</f>
        <v>0</v>
      </c>
      <c r="N98" s="1321">
        <f>($M49*$C98)+($N49*$C98)/$E$7</f>
        <v>0</v>
      </c>
      <c r="O98" s="1321">
        <f>($M49*$C98)+($N49*$C98)+($O49*$C98)/$E$7</f>
        <v>0</v>
      </c>
      <c r="P98" s="1321">
        <f>($M49*$C98)+($N49*$C98)+($O49*$C98)+($P49*$C98)/$E$7</f>
        <v>0</v>
      </c>
      <c r="Q98" s="2977">
        <f>($M49*$C98)+($N49*$C98)+($O49*$C98)+($P49*$C98)+($Q49*$C98)/$E$7</f>
        <v>0</v>
      </c>
      <c r="R98" s="1326">
        <f>($M49*$C98)+($N49*$C98)+($O49*$C98)+($P49*$C98)+($Q49*$C98)+($R49*$C98)/$E$7</f>
        <v>0</v>
      </c>
      <c r="S98" s="1203">
        <f>'11.2. ДА за периода'!S98</f>
        <v>0</v>
      </c>
      <c r="T98" s="996">
        <f>($T49*$C98)/$E$7</f>
        <v>0</v>
      </c>
      <c r="U98" s="1321">
        <f>($T49*$C98)+($U49*$C98)/$E$7</f>
        <v>0</v>
      </c>
      <c r="V98" s="1321">
        <f>($T49*$C98)+($U49*$C98)+($V49*$C98)/$E$7</f>
        <v>0</v>
      </c>
      <c r="W98" s="1321">
        <f>($T49*$C98)+($U49*$C98)+($V49*$C98)+($W49*$C98)/$E$7</f>
        <v>0</v>
      </c>
      <c r="X98" s="1321">
        <f>($T49*$C98)+($U49*$C98)+($V49*$C98)+($W49*$C98)+($X49*$C98)/$E$7</f>
        <v>0</v>
      </c>
      <c r="Y98" s="1326">
        <f>($T49*$C98)+($U49*$C98)+($V49*$C98)+($W49*$C98)+($X49*$C98)+($Y49*$C98)/$E$7</f>
        <v>0</v>
      </c>
      <c r="Z98" s="1203">
        <f>'11.2. ДА за периода'!Z98</f>
        <v>0</v>
      </c>
      <c r="AA98" s="996">
        <f t="shared" si="147"/>
        <v>0</v>
      </c>
      <c r="AB98" s="1321">
        <f t="shared" si="148"/>
        <v>0</v>
      </c>
      <c r="AC98" s="1321">
        <f t="shared" si="149"/>
        <v>0</v>
      </c>
      <c r="AD98" s="1321">
        <f t="shared" si="150"/>
        <v>0</v>
      </c>
      <c r="AE98" s="1321">
        <f t="shared" si="151"/>
        <v>0</v>
      </c>
      <c r="AF98" s="2977">
        <f t="shared" si="152"/>
        <v>0</v>
      </c>
      <c r="AG98" s="1203">
        <f>'11.2. ДА за периода'!AG98</f>
        <v>0</v>
      </c>
      <c r="AH98" s="996">
        <f t="shared" si="153"/>
        <v>0</v>
      </c>
      <c r="AI98" s="1321">
        <f t="shared" si="154"/>
        <v>0</v>
      </c>
      <c r="AJ98" s="1321">
        <f t="shared" si="155"/>
        <v>0</v>
      </c>
      <c r="AK98" s="1321">
        <f t="shared" si="156"/>
        <v>0</v>
      </c>
      <c r="AL98" s="1321">
        <f t="shared" si="157"/>
        <v>0</v>
      </c>
      <c r="AM98" s="2977">
        <f t="shared" si="158"/>
        <v>0</v>
      </c>
      <c r="AN98" s="1203">
        <f>'11.2. ДА за периода'!AN98</f>
        <v>0</v>
      </c>
      <c r="AO98" s="1325">
        <f>($AO49*$C98)/$E$7</f>
        <v>0</v>
      </c>
      <c r="AP98" s="1321">
        <f>($AO49*$C98)+($AP49*$C98)/$E$7</f>
        <v>0</v>
      </c>
      <c r="AQ98" s="1321">
        <f>($AO49*$C98)+($AP49*$C98)+($AQ49*$C98)/$E$7</f>
        <v>0</v>
      </c>
      <c r="AR98" s="1321">
        <f>($AO49*$C98)+($AP49*$C98)+($AQ49*$C98)+($AR49*$C98)/$E$7</f>
        <v>0</v>
      </c>
      <c r="AS98" s="1321">
        <f>($AO49*$C98)+($AP49*$C98)+($AQ49*$C98)+($AR49*$C98)+($AS49*$C98)/$E$7</f>
        <v>0</v>
      </c>
      <c r="AT98" s="1326">
        <f>($AO49*$C98)+($AP49*$C98)+($AQ49*$C98)+($AR49*$C98)+($AS49*$C98)+($AT49*$C98)/$E$7</f>
        <v>0</v>
      </c>
      <c r="AU98" s="3006"/>
    </row>
    <row r="99" spans="1:47" s="34" customFormat="1">
      <c r="A99" s="3055">
        <v>6</v>
      </c>
      <c r="B99" s="4272">
        <v>206</v>
      </c>
      <c r="C99" s="4246">
        <v>0.1</v>
      </c>
      <c r="D99" s="3072" t="s">
        <v>399</v>
      </c>
      <c r="E99" s="3108">
        <f t="shared" ref="E99:K99" si="159">SUM(E100:E102)</f>
        <v>0.55699999999999994</v>
      </c>
      <c r="F99" s="3109">
        <f t="shared" si="159"/>
        <v>0</v>
      </c>
      <c r="G99" s="3110">
        <f t="shared" si="159"/>
        <v>0</v>
      </c>
      <c r="H99" s="3110">
        <f t="shared" si="159"/>
        <v>0</v>
      </c>
      <c r="I99" s="3110">
        <f t="shared" si="159"/>
        <v>0</v>
      </c>
      <c r="J99" s="3110">
        <f t="shared" si="159"/>
        <v>0</v>
      </c>
      <c r="K99" s="3111">
        <f t="shared" si="159"/>
        <v>0</v>
      </c>
      <c r="L99" s="3112">
        <f t="shared" ref="L99:AT99" si="160">SUM(L100:L102)</f>
        <v>0.13500000000000001</v>
      </c>
      <c r="M99" s="3109">
        <f t="shared" si="160"/>
        <v>0</v>
      </c>
      <c r="N99" s="3110">
        <f t="shared" si="160"/>
        <v>0</v>
      </c>
      <c r="O99" s="3110">
        <f t="shared" si="160"/>
        <v>0</v>
      </c>
      <c r="P99" s="3110">
        <f t="shared" si="160"/>
        <v>0</v>
      </c>
      <c r="Q99" s="3110">
        <f t="shared" si="160"/>
        <v>0</v>
      </c>
      <c r="R99" s="3113">
        <f t="shared" si="160"/>
        <v>0</v>
      </c>
      <c r="S99" s="3112">
        <f t="shared" si="160"/>
        <v>0.06</v>
      </c>
      <c r="T99" s="3114">
        <f t="shared" si="160"/>
        <v>0</v>
      </c>
      <c r="U99" s="3110">
        <f t="shared" si="160"/>
        <v>0</v>
      </c>
      <c r="V99" s="3110">
        <f t="shared" si="160"/>
        <v>0</v>
      </c>
      <c r="W99" s="3110">
        <f t="shared" si="160"/>
        <v>0</v>
      </c>
      <c r="X99" s="3110">
        <f t="shared" si="160"/>
        <v>0</v>
      </c>
      <c r="Y99" s="3113">
        <f t="shared" si="160"/>
        <v>0</v>
      </c>
      <c r="Z99" s="3112">
        <f t="shared" si="160"/>
        <v>2E-3</v>
      </c>
      <c r="AA99" s="3114">
        <f t="shared" si="160"/>
        <v>0</v>
      </c>
      <c r="AB99" s="3110">
        <f t="shared" si="160"/>
        <v>0</v>
      </c>
      <c r="AC99" s="3110">
        <f t="shared" si="160"/>
        <v>0</v>
      </c>
      <c r="AD99" s="3110">
        <f t="shared" si="160"/>
        <v>0</v>
      </c>
      <c r="AE99" s="3110">
        <f t="shared" si="160"/>
        <v>0</v>
      </c>
      <c r="AF99" s="3113">
        <f t="shared" si="160"/>
        <v>0</v>
      </c>
      <c r="AG99" s="3112">
        <f t="shared" si="160"/>
        <v>0</v>
      </c>
      <c r="AH99" s="3114">
        <f t="shared" si="160"/>
        <v>0</v>
      </c>
      <c r="AI99" s="3110">
        <f t="shared" si="160"/>
        <v>0</v>
      </c>
      <c r="AJ99" s="3110">
        <f t="shared" si="160"/>
        <v>0</v>
      </c>
      <c r="AK99" s="3110">
        <f t="shared" si="160"/>
        <v>0</v>
      </c>
      <c r="AL99" s="3110">
        <f t="shared" si="160"/>
        <v>0</v>
      </c>
      <c r="AM99" s="3113">
        <f t="shared" si="160"/>
        <v>0</v>
      </c>
      <c r="AN99" s="3112">
        <f t="shared" si="160"/>
        <v>0</v>
      </c>
      <c r="AO99" s="3114">
        <f t="shared" si="160"/>
        <v>0.70000000000000007</v>
      </c>
      <c r="AP99" s="3110">
        <f t="shared" si="160"/>
        <v>1.9000000000000001</v>
      </c>
      <c r="AQ99" s="3110">
        <f t="shared" si="160"/>
        <v>2.8000000000000003</v>
      </c>
      <c r="AR99" s="3110">
        <f t="shared" si="160"/>
        <v>3.95</v>
      </c>
      <c r="AS99" s="3110">
        <f t="shared" si="160"/>
        <v>5.2</v>
      </c>
      <c r="AT99" s="3113">
        <f t="shared" si="160"/>
        <v>5.7</v>
      </c>
      <c r="AU99" s="3006"/>
    </row>
    <row r="100" spans="1:47">
      <c r="A100" s="3055"/>
      <c r="B100" s="4271">
        <v>20601</v>
      </c>
      <c r="C100" s="4245">
        <v>0.1</v>
      </c>
      <c r="D100" s="3064" t="s">
        <v>570</v>
      </c>
      <c r="E100" s="3047">
        <f>'11.2. ДА за периода'!E100</f>
        <v>9.6000000000000002E-2</v>
      </c>
      <c r="F100" s="2971">
        <f t="shared" ref="F100:F108" si="161">($F51*$C100)/$E$7</f>
        <v>0</v>
      </c>
      <c r="G100" s="1321">
        <f t="shared" ref="G100:G108" si="162">($F51*$C100)+($G51*$C100)/$E$7</f>
        <v>0</v>
      </c>
      <c r="H100" s="1321">
        <f t="shared" ref="H100:H108" si="163">($F51*$C100)+($G51*$C100)+($H51*$C100)/$E$7</f>
        <v>0</v>
      </c>
      <c r="I100" s="1321">
        <f t="shared" ref="I100:I108" si="164">($F51*$C100)+($G51*$C100)+($H51*$C100)+($I51*$C100)/$E$7</f>
        <v>0</v>
      </c>
      <c r="J100" s="1321">
        <f t="shared" ref="J100:J108" si="165">($F51*$C100)+($G51*$C100)+($H51*$C100)+($I51*$C100)+($J51*$C100)/$E$7</f>
        <v>0</v>
      </c>
      <c r="K100" s="2977">
        <f t="shared" ref="K100:K108" si="166">($F51*$C100)+($G51*$C100)+($H51*$C100)+($I51*$C100)+($J51*$C100)+($K51*$C100)/$E$7</f>
        <v>0</v>
      </c>
      <c r="L100" s="3047">
        <f>'11.2. ДА за периода'!L100</f>
        <v>2.5000000000000001E-2</v>
      </c>
      <c r="M100" s="1325">
        <f t="shared" ref="M100:M108" si="167">($M51*$C100)/$E$7</f>
        <v>0</v>
      </c>
      <c r="N100" s="1321">
        <f t="shared" ref="N100:N108" si="168">($M51*$C100)+($N51*$C100)/$E$7</f>
        <v>0</v>
      </c>
      <c r="O100" s="1321">
        <f t="shared" ref="O100:O108" si="169">($M51*$C100)+($N51*$C100)+($O51*$C100)/$E$7</f>
        <v>0</v>
      </c>
      <c r="P100" s="1321">
        <f t="shared" ref="P100:P108" si="170">($M51*$C100)+($N51*$C100)+($O51*$C100)+($P51*$C100)/$E$7</f>
        <v>0</v>
      </c>
      <c r="Q100" s="2977">
        <f t="shared" ref="Q100:Q108" si="171">($M51*$C100)+($N51*$C100)+($O51*$C100)+($P51*$C100)+($Q51*$C100)/$E$7</f>
        <v>0</v>
      </c>
      <c r="R100" s="1326">
        <f t="shared" ref="R100:R108" si="172">($M51*$C100)+($N51*$C100)+($O51*$C100)+($P51*$C100)+($Q51*$C100)+($R51*$C100)/$E$7</f>
        <v>0</v>
      </c>
      <c r="S100" s="1203">
        <f>'11.2. ДА за периода'!S100</f>
        <v>1.0999999999999999E-2</v>
      </c>
      <c r="T100" s="996">
        <f t="shared" ref="T100:T108" si="173">($T51*$C100)/$E$7</f>
        <v>0</v>
      </c>
      <c r="U100" s="1321">
        <f t="shared" ref="U100:U108" si="174">($T51*$C100)+($U51*$C100)/$E$7</f>
        <v>0</v>
      </c>
      <c r="V100" s="1321">
        <f t="shared" ref="V100:V108" si="175">($T51*$C100)+($U51*$C100)+($V51*$C100)/$E$7</f>
        <v>0</v>
      </c>
      <c r="W100" s="1321">
        <f t="shared" ref="W100:W108" si="176">($T51*$C100)+($U51*$C100)+($V51*$C100)+($W51*$C100)/$E$7</f>
        <v>0</v>
      </c>
      <c r="X100" s="1321">
        <f t="shared" ref="X100:X108" si="177">($T51*$C100)+($U51*$C100)+($V51*$C100)+($W51*$C100)+($X51*$C100)/$E$7</f>
        <v>0</v>
      </c>
      <c r="Y100" s="1326">
        <f t="shared" ref="Y100:Y108" si="178">($T51*$C100)+($U51*$C100)+($V51*$C100)+($W51*$C100)+($X51*$C100)+($Y51*$C100)/$E$7</f>
        <v>0</v>
      </c>
      <c r="Z100" s="1203">
        <f>'11.2. ДА за периода'!Z100</f>
        <v>0</v>
      </c>
      <c r="AA100" s="996">
        <f t="shared" ref="AA100:AA108" si="179">(AA51*$C100)/$E$7</f>
        <v>0</v>
      </c>
      <c r="AB100" s="1321">
        <f t="shared" ref="AB100:AB108" si="180">(AA51*$C100)+(AB51*$C100)/$E$7</f>
        <v>0</v>
      </c>
      <c r="AC100" s="1321">
        <f t="shared" ref="AC100:AC108" si="181">(AA51*$C100)+(AB51*$C100)+(AC51*$C100)/$E$7</f>
        <v>0</v>
      </c>
      <c r="AD100" s="1321">
        <f t="shared" ref="AD100:AD108" si="182">(AA51*$C100)+(AB51*$C100)+(AC51*$C100)+(AD51*$C100)/$E$7</f>
        <v>0</v>
      </c>
      <c r="AE100" s="1321">
        <f t="shared" ref="AE100:AE108" si="183">(AA51*$C100)+(AB51*$C100)+(AC51*$C100)+(AD51*$C100)+(AE51*$C100)/$E$7</f>
        <v>0</v>
      </c>
      <c r="AF100" s="2977">
        <f t="shared" ref="AF100:AF108" si="184">(AA51*$C100)+(AB51*$C100)+(AC51*$C100)+(AD51*$C100)+(AE51*$C100)+(AF51*$C100)/$E$7</f>
        <v>0</v>
      </c>
      <c r="AG100" s="1203">
        <f>'11.2. ДА за периода'!AG100</f>
        <v>0</v>
      </c>
      <c r="AH100" s="996">
        <f t="shared" ref="AH100:AH108" si="185">(AH51*$C100)/$E$7</f>
        <v>0</v>
      </c>
      <c r="AI100" s="1321">
        <f t="shared" ref="AI100:AI108" si="186">(AH51*$C100)+(AI51*$C100)/$E$7</f>
        <v>0</v>
      </c>
      <c r="AJ100" s="1321">
        <f t="shared" ref="AJ100:AJ108" si="187">(AH51*$C100)+(AI51*$C100)+(AJ51*$C100)/$E$7</f>
        <v>0</v>
      </c>
      <c r="AK100" s="1321">
        <f t="shared" ref="AK100:AK108" si="188">(AH51*$C100)+(AI51*$C100)+(AJ51*$C100)+(AK51*$C100)/$E$7</f>
        <v>0</v>
      </c>
      <c r="AL100" s="1321">
        <f t="shared" ref="AL100:AL108" si="189">(AH51*$C100)+(AI51*$C100)+(AJ51*$C100)+(AK51*$C100)+(AL51*$C100)/$E$7</f>
        <v>0</v>
      </c>
      <c r="AM100" s="2977">
        <f t="shared" ref="AM100:AM108" si="190">(AH51*$C100)+(AI51*$C100)+(AJ51*$C100)+(AK51*$C100)+(AL51*$C100)+(AM51*$C100)/$E$7</f>
        <v>0</v>
      </c>
      <c r="AN100" s="1203">
        <f>'11.2. ДА за периода'!AN100</f>
        <v>0</v>
      </c>
      <c r="AO100" s="1325">
        <f t="shared" ref="AO100:AO108" si="191">($AO51*$C100)/$E$7</f>
        <v>0.70000000000000007</v>
      </c>
      <c r="AP100" s="1321">
        <f t="shared" ref="AP100:AP108" si="192">($AO51*$C100)+($AP51*$C100)/$E$7</f>
        <v>1.9000000000000001</v>
      </c>
      <c r="AQ100" s="1321">
        <f t="shared" ref="AQ100:AQ108" si="193">($AO51*$C100)+($AP51*$C100)+($AQ51*$C100)/$E$7</f>
        <v>2.8000000000000003</v>
      </c>
      <c r="AR100" s="1321">
        <f t="shared" ref="AR100:AR108" si="194">($AO51*$C100)+($AP51*$C100)+($AQ51*$C100)+($AR51*$C100)/$E$7</f>
        <v>3.95</v>
      </c>
      <c r="AS100" s="1321">
        <f t="shared" ref="AS100:AS108" si="195">($AO51*$C100)+($AP51*$C100)+($AQ51*$C100)+($AR51*$C100)+($AS51*$C100)/$E$7</f>
        <v>5.2</v>
      </c>
      <c r="AT100" s="1326">
        <f t="shared" ref="AT100:AT108" si="196">($AO51*$C100)+($AP51*$C100)+($AQ51*$C100)+($AR51*$C100)+($AS51*$C100)+($AT51*$C100)/$E$7</f>
        <v>5.7</v>
      </c>
      <c r="AU100" s="3006"/>
    </row>
    <row r="101" spans="1:47">
      <c r="A101" s="3055"/>
      <c r="B101" s="4271">
        <v>20602</v>
      </c>
      <c r="C101" s="4245">
        <v>0.1</v>
      </c>
      <c r="D101" s="3064" t="s">
        <v>440</v>
      </c>
      <c r="E101" s="3047">
        <f>'11.2. ДА за периода'!E101</f>
        <v>0.14899999999999999</v>
      </c>
      <c r="F101" s="2971">
        <f t="shared" si="161"/>
        <v>0</v>
      </c>
      <c r="G101" s="1321">
        <f t="shared" si="162"/>
        <v>0</v>
      </c>
      <c r="H101" s="1321">
        <f t="shared" si="163"/>
        <v>0</v>
      </c>
      <c r="I101" s="1321">
        <f t="shared" si="164"/>
        <v>0</v>
      </c>
      <c r="J101" s="1321">
        <f t="shared" si="165"/>
        <v>0</v>
      </c>
      <c r="K101" s="2977">
        <f t="shared" si="166"/>
        <v>0</v>
      </c>
      <c r="L101" s="3047">
        <f>'11.2. ДА за периода'!L101</f>
        <v>3.3000000000000002E-2</v>
      </c>
      <c r="M101" s="1325">
        <f t="shared" si="167"/>
        <v>0</v>
      </c>
      <c r="N101" s="1321">
        <f t="shared" si="168"/>
        <v>0</v>
      </c>
      <c r="O101" s="1321">
        <f t="shared" si="169"/>
        <v>0</v>
      </c>
      <c r="P101" s="1321">
        <f t="shared" si="170"/>
        <v>0</v>
      </c>
      <c r="Q101" s="2977">
        <f t="shared" si="171"/>
        <v>0</v>
      </c>
      <c r="R101" s="1326">
        <f t="shared" si="172"/>
        <v>0</v>
      </c>
      <c r="S101" s="1203">
        <f>'11.2. ДА за периода'!S101</f>
        <v>1.4999999999999999E-2</v>
      </c>
      <c r="T101" s="996">
        <f t="shared" si="173"/>
        <v>0</v>
      </c>
      <c r="U101" s="1321">
        <f t="shared" si="174"/>
        <v>0</v>
      </c>
      <c r="V101" s="1321">
        <f t="shared" si="175"/>
        <v>0</v>
      </c>
      <c r="W101" s="1321">
        <f t="shared" si="176"/>
        <v>0</v>
      </c>
      <c r="X101" s="1321">
        <f t="shared" si="177"/>
        <v>0</v>
      </c>
      <c r="Y101" s="1326">
        <f t="shared" si="178"/>
        <v>0</v>
      </c>
      <c r="Z101" s="1203">
        <f>'11.2. ДА за периода'!Z101</f>
        <v>0</v>
      </c>
      <c r="AA101" s="996">
        <f t="shared" si="179"/>
        <v>0</v>
      </c>
      <c r="AB101" s="1321">
        <f t="shared" si="180"/>
        <v>0</v>
      </c>
      <c r="AC101" s="1321">
        <f t="shared" si="181"/>
        <v>0</v>
      </c>
      <c r="AD101" s="1321">
        <f t="shared" si="182"/>
        <v>0</v>
      </c>
      <c r="AE101" s="1321">
        <f t="shared" si="183"/>
        <v>0</v>
      </c>
      <c r="AF101" s="2977">
        <f t="shared" si="184"/>
        <v>0</v>
      </c>
      <c r="AG101" s="1203">
        <f>'11.2. ДА за периода'!AG101</f>
        <v>0</v>
      </c>
      <c r="AH101" s="996">
        <f t="shared" si="185"/>
        <v>0</v>
      </c>
      <c r="AI101" s="1321">
        <f t="shared" si="186"/>
        <v>0</v>
      </c>
      <c r="AJ101" s="1321">
        <f t="shared" si="187"/>
        <v>0</v>
      </c>
      <c r="AK101" s="1321">
        <f t="shared" si="188"/>
        <v>0</v>
      </c>
      <c r="AL101" s="1321">
        <f t="shared" si="189"/>
        <v>0</v>
      </c>
      <c r="AM101" s="2977">
        <f t="shared" si="190"/>
        <v>0</v>
      </c>
      <c r="AN101" s="1203">
        <f>'11.2. ДА за периода'!AN101</f>
        <v>0</v>
      </c>
      <c r="AO101" s="1325">
        <f t="shared" si="191"/>
        <v>0</v>
      </c>
      <c r="AP101" s="1321">
        <f t="shared" si="192"/>
        <v>0</v>
      </c>
      <c r="AQ101" s="1321">
        <f t="shared" si="193"/>
        <v>0</v>
      </c>
      <c r="AR101" s="1321">
        <f t="shared" si="194"/>
        <v>0</v>
      </c>
      <c r="AS101" s="1321">
        <f t="shared" si="195"/>
        <v>0</v>
      </c>
      <c r="AT101" s="1326">
        <f t="shared" si="196"/>
        <v>0</v>
      </c>
      <c r="AU101" s="3006"/>
    </row>
    <row r="102" spans="1:47">
      <c r="A102" s="3055"/>
      <c r="B102" s="4264">
        <v>20603</v>
      </c>
      <c r="C102" s="4247">
        <v>0.5</v>
      </c>
      <c r="D102" s="3074" t="s">
        <v>1023</v>
      </c>
      <c r="E102" s="3047">
        <f>'11.2. ДА за периода'!E102</f>
        <v>0.312</v>
      </c>
      <c r="F102" s="2971">
        <f t="shared" si="161"/>
        <v>0</v>
      </c>
      <c r="G102" s="1321">
        <f t="shared" si="162"/>
        <v>0</v>
      </c>
      <c r="H102" s="1321">
        <f t="shared" si="163"/>
        <v>0</v>
      </c>
      <c r="I102" s="1321">
        <f t="shared" si="164"/>
        <v>0</v>
      </c>
      <c r="J102" s="1321">
        <f t="shared" si="165"/>
        <v>0</v>
      </c>
      <c r="K102" s="2977">
        <f t="shared" si="166"/>
        <v>0</v>
      </c>
      <c r="L102" s="3047">
        <f>'11.2. ДА за периода'!L102</f>
        <v>7.6999999999999999E-2</v>
      </c>
      <c r="M102" s="1325">
        <f t="shared" si="167"/>
        <v>0</v>
      </c>
      <c r="N102" s="1321">
        <f t="shared" si="168"/>
        <v>0</v>
      </c>
      <c r="O102" s="1321">
        <f t="shared" si="169"/>
        <v>0</v>
      </c>
      <c r="P102" s="1321">
        <f t="shared" si="170"/>
        <v>0</v>
      </c>
      <c r="Q102" s="2977">
        <f t="shared" si="171"/>
        <v>0</v>
      </c>
      <c r="R102" s="1326">
        <f t="shared" si="172"/>
        <v>0</v>
      </c>
      <c r="S102" s="1203">
        <f>'11.2. ДА за периода'!S102</f>
        <v>3.4000000000000002E-2</v>
      </c>
      <c r="T102" s="996">
        <f t="shared" si="173"/>
        <v>0</v>
      </c>
      <c r="U102" s="1321">
        <f t="shared" si="174"/>
        <v>0</v>
      </c>
      <c r="V102" s="1321">
        <f t="shared" si="175"/>
        <v>0</v>
      </c>
      <c r="W102" s="1321">
        <f t="shared" si="176"/>
        <v>0</v>
      </c>
      <c r="X102" s="1321">
        <f t="shared" si="177"/>
        <v>0</v>
      </c>
      <c r="Y102" s="1326">
        <f t="shared" si="178"/>
        <v>0</v>
      </c>
      <c r="Z102" s="1203">
        <f>'11.2. ДА за периода'!Z102</f>
        <v>2E-3</v>
      </c>
      <c r="AA102" s="996">
        <f t="shared" si="179"/>
        <v>0</v>
      </c>
      <c r="AB102" s="1321">
        <f t="shared" si="180"/>
        <v>0</v>
      </c>
      <c r="AC102" s="1321">
        <f t="shared" si="181"/>
        <v>0</v>
      </c>
      <c r="AD102" s="1321">
        <f t="shared" si="182"/>
        <v>0</v>
      </c>
      <c r="AE102" s="1321">
        <f t="shared" si="183"/>
        <v>0</v>
      </c>
      <c r="AF102" s="2977">
        <f t="shared" si="184"/>
        <v>0</v>
      </c>
      <c r="AG102" s="1203">
        <f>'11.2. ДА за периода'!AG102</f>
        <v>0</v>
      </c>
      <c r="AH102" s="996">
        <f t="shared" si="185"/>
        <v>0</v>
      </c>
      <c r="AI102" s="1321">
        <f t="shared" si="186"/>
        <v>0</v>
      </c>
      <c r="AJ102" s="1321">
        <f t="shared" si="187"/>
        <v>0</v>
      </c>
      <c r="AK102" s="1321">
        <f t="shared" si="188"/>
        <v>0</v>
      </c>
      <c r="AL102" s="1321">
        <f t="shared" si="189"/>
        <v>0</v>
      </c>
      <c r="AM102" s="2977">
        <f t="shared" si="190"/>
        <v>0</v>
      </c>
      <c r="AN102" s="1203">
        <f>'11.2. ДА за периода'!AN102</f>
        <v>0</v>
      </c>
      <c r="AO102" s="1325">
        <f t="shared" si="191"/>
        <v>0</v>
      </c>
      <c r="AP102" s="1321">
        <f t="shared" si="192"/>
        <v>0</v>
      </c>
      <c r="AQ102" s="1321">
        <f t="shared" si="193"/>
        <v>0</v>
      </c>
      <c r="AR102" s="1321">
        <f t="shared" si="194"/>
        <v>0</v>
      </c>
      <c r="AS102" s="1321">
        <f t="shared" si="195"/>
        <v>0</v>
      </c>
      <c r="AT102" s="1326">
        <f t="shared" si="196"/>
        <v>0</v>
      </c>
      <c r="AU102" s="3006"/>
    </row>
    <row r="103" spans="1:47" s="34" customFormat="1">
      <c r="A103" s="3055">
        <v>7</v>
      </c>
      <c r="B103" s="4272">
        <v>208</v>
      </c>
      <c r="C103" s="4246">
        <v>0.2</v>
      </c>
      <c r="D103" s="3072" t="s">
        <v>418</v>
      </c>
      <c r="E103" s="3096">
        <f>'11.2. ДА за периода'!E103</f>
        <v>2.1999999999999999E-2</v>
      </c>
      <c r="F103" s="3130">
        <f t="shared" si="161"/>
        <v>0</v>
      </c>
      <c r="G103" s="1249">
        <f t="shared" si="162"/>
        <v>0</v>
      </c>
      <c r="H103" s="1249">
        <f t="shared" si="163"/>
        <v>0</v>
      </c>
      <c r="I103" s="1249">
        <f t="shared" si="164"/>
        <v>0</v>
      </c>
      <c r="J103" s="1249">
        <f t="shared" si="165"/>
        <v>0</v>
      </c>
      <c r="K103" s="3131">
        <f t="shared" si="166"/>
        <v>0</v>
      </c>
      <c r="L103" s="3096">
        <f>'11.2. ДА за периода'!L103</f>
        <v>0.01</v>
      </c>
      <c r="M103" s="3130">
        <f t="shared" si="167"/>
        <v>0</v>
      </c>
      <c r="N103" s="1249">
        <f t="shared" si="168"/>
        <v>0</v>
      </c>
      <c r="O103" s="1249">
        <f t="shared" si="169"/>
        <v>0</v>
      </c>
      <c r="P103" s="1249">
        <f t="shared" si="170"/>
        <v>0</v>
      </c>
      <c r="Q103" s="3131">
        <f t="shared" si="171"/>
        <v>0</v>
      </c>
      <c r="R103" s="3132">
        <f t="shared" si="172"/>
        <v>0</v>
      </c>
      <c r="S103" s="3133">
        <f>'11.2. ДА за периода'!S103</f>
        <v>4.0000000000000001E-3</v>
      </c>
      <c r="T103" s="1248">
        <f t="shared" si="173"/>
        <v>0</v>
      </c>
      <c r="U103" s="1249">
        <f t="shared" si="174"/>
        <v>0</v>
      </c>
      <c r="V103" s="1249">
        <f t="shared" si="175"/>
        <v>0</v>
      </c>
      <c r="W103" s="1249">
        <f t="shared" si="176"/>
        <v>0</v>
      </c>
      <c r="X103" s="1249">
        <f t="shared" si="177"/>
        <v>0</v>
      </c>
      <c r="Y103" s="3132">
        <f t="shared" si="178"/>
        <v>0</v>
      </c>
      <c r="Z103" s="3133">
        <f>'11.2. ДА за периода'!Z103</f>
        <v>0</v>
      </c>
      <c r="AA103" s="1248">
        <f t="shared" si="179"/>
        <v>0</v>
      </c>
      <c r="AB103" s="1249">
        <f t="shared" si="180"/>
        <v>0</v>
      </c>
      <c r="AC103" s="1249">
        <f t="shared" si="181"/>
        <v>0</v>
      </c>
      <c r="AD103" s="1249">
        <f t="shared" si="182"/>
        <v>0</v>
      </c>
      <c r="AE103" s="1249">
        <f t="shared" si="183"/>
        <v>0</v>
      </c>
      <c r="AF103" s="3132">
        <f t="shared" si="184"/>
        <v>0</v>
      </c>
      <c r="AG103" s="3133">
        <f>'11.2. ДА за периода'!AG103</f>
        <v>0</v>
      </c>
      <c r="AH103" s="1248">
        <f t="shared" si="185"/>
        <v>0</v>
      </c>
      <c r="AI103" s="1249">
        <f t="shared" si="186"/>
        <v>0</v>
      </c>
      <c r="AJ103" s="1249">
        <f t="shared" si="187"/>
        <v>0</v>
      </c>
      <c r="AK103" s="1249">
        <f t="shared" si="188"/>
        <v>0</v>
      </c>
      <c r="AL103" s="1249">
        <f t="shared" si="189"/>
        <v>0</v>
      </c>
      <c r="AM103" s="3132">
        <f t="shared" si="190"/>
        <v>0</v>
      </c>
      <c r="AN103" s="3133">
        <f>'11.2. ДА за периода'!AN103</f>
        <v>0</v>
      </c>
      <c r="AO103" s="1248">
        <f t="shared" si="191"/>
        <v>2</v>
      </c>
      <c r="AP103" s="1249">
        <f t="shared" si="192"/>
        <v>4.9000000000000004</v>
      </c>
      <c r="AQ103" s="1249">
        <f t="shared" si="193"/>
        <v>6.3</v>
      </c>
      <c r="AR103" s="1249">
        <f t="shared" si="194"/>
        <v>7.2</v>
      </c>
      <c r="AS103" s="1249">
        <f t="shared" si="195"/>
        <v>8.1999999999999993</v>
      </c>
      <c r="AT103" s="3132">
        <f t="shared" si="196"/>
        <v>9.4</v>
      </c>
      <c r="AU103" s="3006"/>
    </row>
    <row r="104" spans="1:47" s="34" customFormat="1">
      <c r="A104" s="3055">
        <v>8</v>
      </c>
      <c r="B104" s="4272">
        <v>209</v>
      </c>
      <c r="C104" s="4246">
        <v>0.1</v>
      </c>
      <c r="D104" s="3072" t="s">
        <v>218</v>
      </c>
      <c r="E104" s="3096">
        <f>'11.2. ДА за периода'!E104</f>
        <v>0</v>
      </c>
      <c r="F104" s="3130">
        <f t="shared" si="161"/>
        <v>0</v>
      </c>
      <c r="G104" s="1249">
        <f t="shared" si="162"/>
        <v>0</v>
      </c>
      <c r="H104" s="1249">
        <f t="shared" si="163"/>
        <v>0</v>
      </c>
      <c r="I104" s="1249">
        <f t="shared" si="164"/>
        <v>0</v>
      </c>
      <c r="J104" s="1249">
        <f t="shared" si="165"/>
        <v>0</v>
      </c>
      <c r="K104" s="3131">
        <f t="shared" si="166"/>
        <v>0</v>
      </c>
      <c r="L104" s="3096">
        <f>'11.2. ДА за периода'!L104</f>
        <v>0</v>
      </c>
      <c r="M104" s="3130">
        <f t="shared" si="167"/>
        <v>0</v>
      </c>
      <c r="N104" s="1249">
        <f t="shared" si="168"/>
        <v>0</v>
      </c>
      <c r="O104" s="1249">
        <f t="shared" si="169"/>
        <v>0</v>
      </c>
      <c r="P104" s="1249">
        <f t="shared" si="170"/>
        <v>0</v>
      </c>
      <c r="Q104" s="3131">
        <f t="shared" si="171"/>
        <v>0</v>
      </c>
      <c r="R104" s="3132">
        <f t="shared" si="172"/>
        <v>0</v>
      </c>
      <c r="S104" s="3133">
        <f>'11.2. ДА за периода'!S104</f>
        <v>0</v>
      </c>
      <c r="T104" s="1248">
        <f t="shared" si="173"/>
        <v>0</v>
      </c>
      <c r="U104" s="1249">
        <f t="shared" si="174"/>
        <v>0</v>
      </c>
      <c r="V104" s="1249">
        <f t="shared" si="175"/>
        <v>0</v>
      </c>
      <c r="W104" s="1249">
        <f t="shared" si="176"/>
        <v>0</v>
      </c>
      <c r="X104" s="1249">
        <f t="shared" si="177"/>
        <v>0</v>
      </c>
      <c r="Y104" s="3132">
        <f t="shared" si="178"/>
        <v>0</v>
      </c>
      <c r="Z104" s="3133">
        <f>'11.2. ДА за периода'!Z104</f>
        <v>0</v>
      </c>
      <c r="AA104" s="1248">
        <f t="shared" si="179"/>
        <v>0</v>
      </c>
      <c r="AB104" s="1249">
        <f t="shared" si="180"/>
        <v>0</v>
      </c>
      <c r="AC104" s="1249">
        <f t="shared" si="181"/>
        <v>0</v>
      </c>
      <c r="AD104" s="1249">
        <f t="shared" si="182"/>
        <v>0</v>
      </c>
      <c r="AE104" s="1249">
        <f t="shared" si="183"/>
        <v>0</v>
      </c>
      <c r="AF104" s="3132">
        <f t="shared" si="184"/>
        <v>0</v>
      </c>
      <c r="AG104" s="3133">
        <f>'11.2. ДА за периода'!AG104</f>
        <v>0</v>
      </c>
      <c r="AH104" s="1248">
        <f t="shared" si="185"/>
        <v>0</v>
      </c>
      <c r="AI104" s="1249">
        <f t="shared" si="186"/>
        <v>0</v>
      </c>
      <c r="AJ104" s="1249">
        <f t="shared" si="187"/>
        <v>0</v>
      </c>
      <c r="AK104" s="1249">
        <f t="shared" si="188"/>
        <v>0</v>
      </c>
      <c r="AL104" s="1249">
        <f t="shared" si="189"/>
        <v>0</v>
      </c>
      <c r="AM104" s="3132">
        <f t="shared" si="190"/>
        <v>0</v>
      </c>
      <c r="AN104" s="3133">
        <f>'11.2. ДА за периода'!AN104</f>
        <v>0</v>
      </c>
      <c r="AO104" s="1248">
        <f t="shared" si="191"/>
        <v>0</v>
      </c>
      <c r="AP104" s="1249">
        <f t="shared" si="192"/>
        <v>0</v>
      </c>
      <c r="AQ104" s="1249">
        <f t="shared" si="193"/>
        <v>0</v>
      </c>
      <c r="AR104" s="1249">
        <f t="shared" si="194"/>
        <v>0</v>
      </c>
      <c r="AS104" s="1249">
        <f t="shared" si="195"/>
        <v>0</v>
      </c>
      <c r="AT104" s="3132">
        <f t="shared" si="196"/>
        <v>0</v>
      </c>
      <c r="AU104" s="3006"/>
    </row>
    <row r="105" spans="1:47" s="34" customFormat="1">
      <c r="A105" s="3055">
        <v>9</v>
      </c>
      <c r="B105" s="4272">
        <v>212</v>
      </c>
      <c r="C105" s="4246">
        <v>0.2</v>
      </c>
      <c r="D105" s="3083" t="s">
        <v>219</v>
      </c>
      <c r="E105" s="3096">
        <f>'11.2. ДА за периода'!E105</f>
        <v>0.23400000000000001</v>
      </c>
      <c r="F105" s="3130">
        <f t="shared" si="161"/>
        <v>0</v>
      </c>
      <c r="G105" s="1249">
        <f t="shared" si="162"/>
        <v>0</v>
      </c>
      <c r="H105" s="1249">
        <f t="shared" si="163"/>
        <v>0</v>
      </c>
      <c r="I105" s="1249">
        <f t="shared" si="164"/>
        <v>0</v>
      </c>
      <c r="J105" s="1249">
        <f t="shared" si="165"/>
        <v>0</v>
      </c>
      <c r="K105" s="3131">
        <f t="shared" si="166"/>
        <v>0</v>
      </c>
      <c r="L105" s="3096">
        <f>'11.2. ДА за периода'!L105</f>
        <v>0.109</v>
      </c>
      <c r="M105" s="3130">
        <f t="shared" si="167"/>
        <v>0</v>
      </c>
      <c r="N105" s="1249">
        <f t="shared" si="168"/>
        <v>0</v>
      </c>
      <c r="O105" s="1249">
        <f t="shared" si="169"/>
        <v>0</v>
      </c>
      <c r="P105" s="1249">
        <f t="shared" si="170"/>
        <v>0</v>
      </c>
      <c r="Q105" s="3131">
        <f t="shared" si="171"/>
        <v>0</v>
      </c>
      <c r="R105" s="3132">
        <f t="shared" si="172"/>
        <v>0</v>
      </c>
      <c r="S105" s="3133">
        <f>'11.2. ДА за периода'!S105</f>
        <v>4.8000000000000001E-2</v>
      </c>
      <c r="T105" s="1248">
        <f t="shared" si="173"/>
        <v>0</v>
      </c>
      <c r="U105" s="1249">
        <f t="shared" si="174"/>
        <v>0</v>
      </c>
      <c r="V105" s="1249">
        <f t="shared" si="175"/>
        <v>0</v>
      </c>
      <c r="W105" s="1249">
        <f t="shared" si="176"/>
        <v>0</v>
      </c>
      <c r="X105" s="1249">
        <f t="shared" si="177"/>
        <v>0</v>
      </c>
      <c r="Y105" s="3132">
        <f t="shared" si="178"/>
        <v>0</v>
      </c>
      <c r="Z105" s="3133">
        <f>'11.2. ДА за периода'!Z105</f>
        <v>2E-3</v>
      </c>
      <c r="AA105" s="1248">
        <f t="shared" si="179"/>
        <v>0</v>
      </c>
      <c r="AB105" s="1249">
        <f t="shared" si="180"/>
        <v>0</v>
      </c>
      <c r="AC105" s="1249">
        <f t="shared" si="181"/>
        <v>0</v>
      </c>
      <c r="AD105" s="1249">
        <f t="shared" si="182"/>
        <v>0</v>
      </c>
      <c r="AE105" s="1249">
        <f t="shared" si="183"/>
        <v>0</v>
      </c>
      <c r="AF105" s="3132">
        <f t="shared" si="184"/>
        <v>0</v>
      </c>
      <c r="AG105" s="3133">
        <f>'11.2. ДА за периода'!AG105</f>
        <v>0</v>
      </c>
      <c r="AH105" s="1248">
        <f t="shared" si="185"/>
        <v>0</v>
      </c>
      <c r="AI105" s="1249">
        <f t="shared" si="186"/>
        <v>0</v>
      </c>
      <c r="AJ105" s="1249">
        <f t="shared" si="187"/>
        <v>0</v>
      </c>
      <c r="AK105" s="1249">
        <f t="shared" si="188"/>
        <v>0</v>
      </c>
      <c r="AL105" s="1249">
        <f t="shared" si="189"/>
        <v>0</v>
      </c>
      <c r="AM105" s="3132">
        <f t="shared" si="190"/>
        <v>0</v>
      </c>
      <c r="AN105" s="3133">
        <f>'11.2. ДА за периода'!AN105</f>
        <v>0</v>
      </c>
      <c r="AO105" s="1248">
        <f t="shared" si="191"/>
        <v>0.1</v>
      </c>
      <c r="AP105" s="1249">
        <f t="shared" si="192"/>
        <v>0.5</v>
      </c>
      <c r="AQ105" s="1249">
        <f t="shared" si="193"/>
        <v>1.1000000000000001</v>
      </c>
      <c r="AR105" s="1249">
        <f t="shared" si="194"/>
        <v>1.7000000000000002</v>
      </c>
      <c r="AS105" s="1249">
        <f t="shared" si="195"/>
        <v>2.35</v>
      </c>
      <c r="AT105" s="3132">
        <f t="shared" si="196"/>
        <v>3.0500000000000003</v>
      </c>
      <c r="AU105" s="3006"/>
    </row>
    <row r="106" spans="1:47" s="34" customFormat="1">
      <c r="A106" s="3055">
        <v>10</v>
      </c>
      <c r="B106" s="4272">
        <v>213</v>
      </c>
      <c r="C106" s="4246">
        <v>0.2</v>
      </c>
      <c r="D106" s="3054" t="s">
        <v>220</v>
      </c>
      <c r="E106" s="3096">
        <f>'11.2. ДА за периода'!E106</f>
        <v>0</v>
      </c>
      <c r="F106" s="3130">
        <f t="shared" si="161"/>
        <v>0</v>
      </c>
      <c r="G106" s="1249">
        <f t="shared" si="162"/>
        <v>0</v>
      </c>
      <c r="H106" s="1249">
        <f t="shared" si="163"/>
        <v>0</v>
      </c>
      <c r="I106" s="1249">
        <f t="shared" si="164"/>
        <v>0</v>
      </c>
      <c r="J106" s="1249">
        <f t="shared" si="165"/>
        <v>0</v>
      </c>
      <c r="K106" s="3131">
        <f t="shared" si="166"/>
        <v>0</v>
      </c>
      <c r="L106" s="3096">
        <f>'11.2. ДА за периода'!L106</f>
        <v>0</v>
      </c>
      <c r="M106" s="3130">
        <f t="shared" si="167"/>
        <v>0</v>
      </c>
      <c r="N106" s="1249">
        <f t="shared" si="168"/>
        <v>0</v>
      </c>
      <c r="O106" s="1249">
        <f t="shared" si="169"/>
        <v>0</v>
      </c>
      <c r="P106" s="1249">
        <f t="shared" si="170"/>
        <v>0</v>
      </c>
      <c r="Q106" s="3131">
        <f t="shared" si="171"/>
        <v>0</v>
      </c>
      <c r="R106" s="3132">
        <f t="shared" si="172"/>
        <v>0</v>
      </c>
      <c r="S106" s="3133">
        <f>'11.2. ДА за периода'!S106</f>
        <v>0</v>
      </c>
      <c r="T106" s="1248">
        <f t="shared" si="173"/>
        <v>0</v>
      </c>
      <c r="U106" s="1249">
        <f t="shared" si="174"/>
        <v>0</v>
      </c>
      <c r="V106" s="1249">
        <f t="shared" si="175"/>
        <v>0</v>
      </c>
      <c r="W106" s="1249">
        <f t="shared" si="176"/>
        <v>0</v>
      </c>
      <c r="X106" s="1249">
        <f t="shared" si="177"/>
        <v>0</v>
      </c>
      <c r="Y106" s="3132">
        <f t="shared" si="178"/>
        <v>0</v>
      </c>
      <c r="Z106" s="3133">
        <f>'11.2. ДА за периода'!Z106</f>
        <v>0</v>
      </c>
      <c r="AA106" s="1248">
        <f t="shared" si="179"/>
        <v>0</v>
      </c>
      <c r="AB106" s="1249">
        <f t="shared" si="180"/>
        <v>0</v>
      </c>
      <c r="AC106" s="1249">
        <f t="shared" si="181"/>
        <v>0</v>
      </c>
      <c r="AD106" s="1249">
        <f t="shared" si="182"/>
        <v>0</v>
      </c>
      <c r="AE106" s="1249">
        <f t="shared" si="183"/>
        <v>0</v>
      </c>
      <c r="AF106" s="3132">
        <f t="shared" si="184"/>
        <v>0</v>
      </c>
      <c r="AG106" s="3133">
        <f>'11.2. ДА за периода'!AG106</f>
        <v>0</v>
      </c>
      <c r="AH106" s="1248">
        <f t="shared" si="185"/>
        <v>0</v>
      </c>
      <c r="AI106" s="1249">
        <f t="shared" si="186"/>
        <v>0</v>
      </c>
      <c r="AJ106" s="1249">
        <f t="shared" si="187"/>
        <v>0</v>
      </c>
      <c r="AK106" s="1249">
        <f t="shared" si="188"/>
        <v>0</v>
      </c>
      <c r="AL106" s="1249">
        <f t="shared" si="189"/>
        <v>0</v>
      </c>
      <c r="AM106" s="3132">
        <f t="shared" si="190"/>
        <v>0</v>
      </c>
      <c r="AN106" s="3133">
        <f>'11.2. ДА за периода'!AN106</f>
        <v>0</v>
      </c>
      <c r="AO106" s="1248">
        <f t="shared" si="191"/>
        <v>0</v>
      </c>
      <c r="AP106" s="1249">
        <f t="shared" si="192"/>
        <v>0</v>
      </c>
      <c r="AQ106" s="1249">
        <f t="shared" si="193"/>
        <v>0</v>
      </c>
      <c r="AR106" s="1249">
        <f t="shared" si="194"/>
        <v>0</v>
      </c>
      <c r="AS106" s="1249">
        <f t="shared" si="195"/>
        <v>0</v>
      </c>
      <c r="AT106" s="3132">
        <f t="shared" si="196"/>
        <v>0</v>
      </c>
      <c r="AU106" s="3006"/>
    </row>
    <row r="107" spans="1:47" s="34" customFormat="1" ht="24">
      <c r="A107" s="3134">
        <v>11</v>
      </c>
      <c r="B107" s="4273">
        <v>215</v>
      </c>
      <c r="C107" s="4246">
        <v>0.2</v>
      </c>
      <c r="D107" s="3054" t="s">
        <v>685</v>
      </c>
      <c r="E107" s="3096">
        <f>'11.2. ДА за периода'!E107</f>
        <v>0</v>
      </c>
      <c r="F107" s="3130">
        <f t="shared" si="161"/>
        <v>0</v>
      </c>
      <c r="G107" s="1249">
        <f t="shared" si="162"/>
        <v>0</v>
      </c>
      <c r="H107" s="1249">
        <f t="shared" si="163"/>
        <v>0</v>
      </c>
      <c r="I107" s="1249">
        <f t="shared" si="164"/>
        <v>0</v>
      </c>
      <c r="J107" s="1249">
        <f t="shared" si="165"/>
        <v>0</v>
      </c>
      <c r="K107" s="3131">
        <f t="shared" si="166"/>
        <v>0</v>
      </c>
      <c r="L107" s="3096">
        <f>'11.2. ДА за периода'!L107</f>
        <v>0</v>
      </c>
      <c r="M107" s="3130">
        <f t="shared" si="167"/>
        <v>0</v>
      </c>
      <c r="N107" s="1249">
        <f t="shared" si="168"/>
        <v>0</v>
      </c>
      <c r="O107" s="1249">
        <f t="shared" si="169"/>
        <v>0</v>
      </c>
      <c r="P107" s="1249">
        <f t="shared" si="170"/>
        <v>0</v>
      </c>
      <c r="Q107" s="3131">
        <f t="shared" si="171"/>
        <v>0</v>
      </c>
      <c r="R107" s="3132">
        <f t="shared" si="172"/>
        <v>0</v>
      </c>
      <c r="S107" s="3133">
        <f>'11.2. ДА за периода'!S107</f>
        <v>0</v>
      </c>
      <c r="T107" s="1248">
        <f t="shared" si="173"/>
        <v>0</v>
      </c>
      <c r="U107" s="1249">
        <f t="shared" si="174"/>
        <v>0</v>
      </c>
      <c r="V107" s="1249">
        <f t="shared" si="175"/>
        <v>0</v>
      </c>
      <c r="W107" s="1249">
        <f t="shared" si="176"/>
        <v>0</v>
      </c>
      <c r="X107" s="1249">
        <f t="shared" si="177"/>
        <v>0</v>
      </c>
      <c r="Y107" s="3132">
        <f t="shared" si="178"/>
        <v>0</v>
      </c>
      <c r="Z107" s="3133">
        <f>'11.2. ДА за периода'!Z107</f>
        <v>0</v>
      </c>
      <c r="AA107" s="1248">
        <f t="shared" si="179"/>
        <v>0</v>
      </c>
      <c r="AB107" s="1249">
        <f t="shared" si="180"/>
        <v>0</v>
      </c>
      <c r="AC107" s="1249">
        <f t="shared" si="181"/>
        <v>0</v>
      </c>
      <c r="AD107" s="1249">
        <f t="shared" si="182"/>
        <v>0</v>
      </c>
      <c r="AE107" s="1249">
        <f t="shared" si="183"/>
        <v>0</v>
      </c>
      <c r="AF107" s="3132">
        <f t="shared" si="184"/>
        <v>0</v>
      </c>
      <c r="AG107" s="3133">
        <f>'11.2. ДА за периода'!AG107</f>
        <v>0</v>
      </c>
      <c r="AH107" s="1248">
        <f t="shared" si="185"/>
        <v>0</v>
      </c>
      <c r="AI107" s="1249">
        <f t="shared" si="186"/>
        <v>0</v>
      </c>
      <c r="AJ107" s="1249">
        <f t="shared" si="187"/>
        <v>0</v>
      </c>
      <c r="AK107" s="1249">
        <f t="shared" si="188"/>
        <v>0</v>
      </c>
      <c r="AL107" s="1249">
        <f t="shared" si="189"/>
        <v>0</v>
      </c>
      <c r="AM107" s="3132">
        <f t="shared" si="190"/>
        <v>0</v>
      </c>
      <c r="AN107" s="3133">
        <f>'11.2. ДА за периода'!AN107</f>
        <v>0</v>
      </c>
      <c r="AO107" s="1248">
        <f t="shared" si="191"/>
        <v>0</v>
      </c>
      <c r="AP107" s="1249">
        <f t="shared" si="192"/>
        <v>10.762700000000001</v>
      </c>
      <c r="AQ107" s="1249">
        <f t="shared" si="193"/>
        <v>21.9254</v>
      </c>
      <c r="AR107" s="1249">
        <f t="shared" si="194"/>
        <v>22.7254</v>
      </c>
      <c r="AS107" s="1249">
        <f t="shared" si="195"/>
        <v>23.525400000000001</v>
      </c>
      <c r="AT107" s="3132">
        <f t="shared" si="196"/>
        <v>24.325400000000002</v>
      </c>
      <c r="AU107" s="3006"/>
    </row>
    <row r="108" spans="1:47" s="34" customFormat="1" ht="13.5" thickBot="1">
      <c r="A108" s="3084">
        <v>12</v>
      </c>
      <c r="B108" s="4265">
        <v>219</v>
      </c>
      <c r="C108" s="4254">
        <v>0.1</v>
      </c>
      <c r="D108" s="3135" t="s">
        <v>221</v>
      </c>
      <c r="E108" s="3136">
        <f>'11.2. ДА за периода'!E108</f>
        <v>0</v>
      </c>
      <c r="F108" s="3137">
        <f t="shared" si="161"/>
        <v>0</v>
      </c>
      <c r="G108" s="3138">
        <f t="shared" si="162"/>
        <v>0</v>
      </c>
      <c r="H108" s="3138">
        <f t="shared" si="163"/>
        <v>0</v>
      </c>
      <c r="I108" s="3138">
        <f t="shared" si="164"/>
        <v>0</v>
      </c>
      <c r="J108" s="3138">
        <f t="shared" si="165"/>
        <v>0</v>
      </c>
      <c r="K108" s="3139">
        <f t="shared" si="166"/>
        <v>0</v>
      </c>
      <c r="L108" s="3136">
        <f>'11.2. ДА за периода'!L108</f>
        <v>0</v>
      </c>
      <c r="M108" s="3137">
        <f t="shared" si="167"/>
        <v>0</v>
      </c>
      <c r="N108" s="3138">
        <f t="shared" si="168"/>
        <v>0</v>
      </c>
      <c r="O108" s="3138">
        <f t="shared" si="169"/>
        <v>0</v>
      </c>
      <c r="P108" s="3138">
        <f t="shared" si="170"/>
        <v>0</v>
      </c>
      <c r="Q108" s="3139">
        <f t="shared" si="171"/>
        <v>0</v>
      </c>
      <c r="R108" s="3140">
        <f t="shared" si="172"/>
        <v>0</v>
      </c>
      <c r="S108" s="3136">
        <f>'11.2. ДА за периода'!S108</f>
        <v>0</v>
      </c>
      <c r="T108" s="3141">
        <f t="shared" si="173"/>
        <v>0</v>
      </c>
      <c r="U108" s="3138">
        <f t="shared" si="174"/>
        <v>0</v>
      </c>
      <c r="V108" s="3138">
        <f t="shared" si="175"/>
        <v>0</v>
      </c>
      <c r="W108" s="3138">
        <f t="shared" si="176"/>
        <v>0</v>
      </c>
      <c r="X108" s="3138">
        <f t="shared" si="177"/>
        <v>0</v>
      </c>
      <c r="Y108" s="3140">
        <f t="shared" si="178"/>
        <v>0</v>
      </c>
      <c r="Z108" s="3136">
        <f>'11.2. ДА за периода'!Z108</f>
        <v>0</v>
      </c>
      <c r="AA108" s="3141">
        <f t="shared" si="179"/>
        <v>0</v>
      </c>
      <c r="AB108" s="3138">
        <f t="shared" si="180"/>
        <v>0</v>
      </c>
      <c r="AC108" s="3138">
        <f t="shared" si="181"/>
        <v>0</v>
      </c>
      <c r="AD108" s="3138">
        <f t="shared" si="182"/>
        <v>0</v>
      </c>
      <c r="AE108" s="3138">
        <f t="shared" si="183"/>
        <v>0</v>
      </c>
      <c r="AF108" s="3140">
        <f t="shared" si="184"/>
        <v>0</v>
      </c>
      <c r="AG108" s="3136">
        <f>'11.2. ДА за периода'!AG108</f>
        <v>0</v>
      </c>
      <c r="AH108" s="3141">
        <f t="shared" si="185"/>
        <v>0</v>
      </c>
      <c r="AI108" s="3138">
        <f t="shared" si="186"/>
        <v>0</v>
      </c>
      <c r="AJ108" s="3138">
        <f t="shared" si="187"/>
        <v>0</v>
      </c>
      <c r="AK108" s="3138">
        <f t="shared" si="188"/>
        <v>0</v>
      </c>
      <c r="AL108" s="3138">
        <f t="shared" si="189"/>
        <v>0</v>
      </c>
      <c r="AM108" s="3140">
        <f t="shared" si="190"/>
        <v>0</v>
      </c>
      <c r="AN108" s="3136">
        <f>'11.2. ДА за периода'!AN108</f>
        <v>0</v>
      </c>
      <c r="AO108" s="3141">
        <f t="shared" si="191"/>
        <v>0</v>
      </c>
      <c r="AP108" s="3138">
        <f t="shared" si="192"/>
        <v>0</v>
      </c>
      <c r="AQ108" s="3138">
        <f t="shared" si="193"/>
        <v>0</v>
      </c>
      <c r="AR108" s="3138">
        <f t="shared" si="194"/>
        <v>0</v>
      </c>
      <c r="AS108" s="3138">
        <f t="shared" si="195"/>
        <v>0</v>
      </c>
      <c r="AT108" s="3140">
        <f t="shared" si="196"/>
        <v>0</v>
      </c>
      <c r="AU108" s="3006"/>
    </row>
    <row r="109" spans="1:47" ht="13.5" thickBot="1">
      <c r="A109" s="3142"/>
      <c r="B109" s="3143"/>
      <c r="C109" s="3143"/>
      <c r="D109" s="3143"/>
      <c r="E109" s="3144"/>
      <c r="F109" s="3144"/>
      <c r="G109" s="3144"/>
      <c r="H109" s="3144"/>
      <c r="I109" s="3144"/>
      <c r="J109" s="3144"/>
      <c r="K109" s="3144"/>
      <c r="L109" s="3144"/>
      <c r="M109" s="3144"/>
      <c r="N109" s="3144"/>
      <c r="O109" s="3144"/>
      <c r="P109" s="3144"/>
      <c r="Q109" s="3144"/>
      <c r="R109" s="3144"/>
      <c r="S109" s="3144"/>
      <c r="T109" s="3144"/>
      <c r="U109" s="3144"/>
      <c r="V109" s="3144"/>
      <c r="W109" s="3144"/>
      <c r="X109" s="3144"/>
      <c r="Y109" s="3144"/>
      <c r="Z109" s="3144"/>
      <c r="AA109" s="3144"/>
      <c r="AB109" s="3144"/>
      <c r="AC109" s="3144"/>
      <c r="AD109" s="3144"/>
      <c r="AE109" s="3144"/>
      <c r="AF109" s="3144"/>
      <c r="AG109" s="3144"/>
      <c r="AH109" s="3144"/>
      <c r="AI109" s="3144"/>
      <c r="AJ109" s="3144"/>
      <c r="AK109" s="3144"/>
      <c r="AL109" s="3144"/>
      <c r="AM109" s="3144"/>
      <c r="AN109" s="3144"/>
      <c r="AO109" s="3144"/>
      <c r="AP109" s="3144"/>
      <c r="AQ109" s="3144"/>
      <c r="AR109" s="3144"/>
      <c r="AS109" s="3144"/>
      <c r="AT109" s="3144"/>
      <c r="AU109" s="3007"/>
    </row>
    <row r="110" spans="1:47">
      <c r="A110" s="3142"/>
      <c r="B110" s="3143"/>
      <c r="C110" s="3143"/>
      <c r="D110" s="3145" t="s">
        <v>403</v>
      </c>
      <c r="E110" s="3146"/>
      <c r="F110" s="3147">
        <f>IFERROR(F60/(F$60+M$60+T$60),0)</f>
        <v>0.95210991167811576</v>
      </c>
      <c r="G110" s="3148">
        <f t="shared" ref="G110:K110" si="197">IFERROR(G60/(G$60+N$60+U$60),0)</f>
        <v>0.71017754742271522</v>
      </c>
      <c r="H110" s="3148">
        <f t="shared" si="197"/>
        <v>0.54970660535627702</v>
      </c>
      <c r="I110" s="3148">
        <f t="shared" si="197"/>
        <v>0.52680595624660154</v>
      </c>
      <c r="J110" s="3148">
        <f t="shared" si="197"/>
        <v>0.55374922204368227</v>
      </c>
      <c r="K110" s="3149">
        <f t="shared" si="197"/>
        <v>0.57769755714196813</v>
      </c>
      <c r="L110" s="3150"/>
      <c r="M110" s="3144"/>
      <c r="N110" s="3144"/>
      <c r="O110" s="3144"/>
      <c r="P110" s="3144"/>
      <c r="Q110" s="3144"/>
      <c r="R110" s="3144"/>
      <c r="S110" s="3144"/>
      <c r="T110" s="3144"/>
      <c r="U110" s="3144"/>
      <c r="V110" s="3144"/>
      <c r="W110" s="3144"/>
      <c r="X110" s="3144"/>
      <c r="Y110" s="3144"/>
      <c r="Z110" s="3144"/>
      <c r="AA110" s="3144"/>
      <c r="AB110" s="3144"/>
      <c r="AC110" s="3144"/>
      <c r="AD110" s="3144"/>
      <c r="AE110" s="3144"/>
      <c r="AF110" s="3144"/>
      <c r="AG110" s="3144"/>
      <c r="AH110" s="3144"/>
      <c r="AI110" s="3144"/>
      <c r="AJ110" s="3144"/>
      <c r="AK110" s="3144"/>
      <c r="AL110" s="3144"/>
      <c r="AM110" s="3144"/>
      <c r="AN110" s="3144"/>
      <c r="AO110" s="3144"/>
      <c r="AP110" s="3144"/>
      <c r="AQ110" s="3144"/>
      <c r="AR110" s="3144"/>
      <c r="AS110" s="3144"/>
      <c r="AT110" s="3144"/>
      <c r="AU110" s="3007"/>
    </row>
    <row r="111" spans="1:47">
      <c r="A111" s="3142"/>
      <c r="B111" s="3143"/>
      <c r="C111" s="3143"/>
      <c r="D111" s="3151" t="s">
        <v>652</v>
      </c>
      <c r="E111" s="3152"/>
      <c r="F111" s="3153">
        <f>IFERROR(M60/(F$60+M$60+T$60),0)</f>
        <v>4.317958783120706E-2</v>
      </c>
      <c r="G111" s="3154">
        <f t="shared" ref="G111:K111" si="198">IFERROR(N60/(G$60+N$60+U$60),0)</f>
        <v>8.8801481235893251E-2</v>
      </c>
      <c r="H111" s="3154">
        <f t="shared" si="198"/>
        <v>0.19889657034491615</v>
      </c>
      <c r="I111" s="3154">
        <f t="shared" si="198"/>
        <v>0.23829291060028152</v>
      </c>
      <c r="J111" s="3154">
        <f t="shared" si="198"/>
        <v>0.23126737201372805</v>
      </c>
      <c r="K111" s="3155">
        <f t="shared" si="198"/>
        <v>0.22512105711178759</v>
      </c>
      <c r="L111" s="3150"/>
      <c r="M111" s="3144"/>
      <c r="N111" s="3144"/>
      <c r="O111" s="3144"/>
      <c r="P111" s="3144"/>
      <c r="Q111" s="3144"/>
      <c r="R111" s="3144"/>
      <c r="S111" s="3144"/>
      <c r="T111" s="3144"/>
      <c r="U111" s="3144"/>
      <c r="V111" s="3144"/>
      <c r="W111" s="3144"/>
      <c r="X111" s="3144"/>
      <c r="Y111" s="3144"/>
      <c r="Z111" s="3144"/>
      <c r="AA111" s="3144"/>
      <c r="AB111" s="3144"/>
      <c r="AC111" s="3144"/>
      <c r="AD111" s="3144"/>
      <c r="AE111" s="3144"/>
      <c r="AF111" s="3144"/>
      <c r="AG111" s="3144"/>
      <c r="AH111" s="3144"/>
      <c r="AI111" s="3144"/>
      <c r="AJ111" s="3144"/>
      <c r="AK111" s="3144"/>
      <c r="AL111" s="3144"/>
      <c r="AM111" s="3144"/>
      <c r="AN111" s="3144"/>
      <c r="AO111" s="3144"/>
      <c r="AP111" s="3144"/>
      <c r="AQ111" s="3144"/>
      <c r="AR111" s="3144"/>
      <c r="AS111" s="3144"/>
      <c r="AT111" s="3144"/>
      <c r="AU111" s="3007"/>
    </row>
    <row r="112" spans="1:47" ht="13.5" thickBot="1">
      <c r="A112" s="3142"/>
      <c r="B112" s="3143"/>
      <c r="C112" s="3143"/>
      <c r="D112" s="3156" t="s">
        <v>404</v>
      </c>
      <c r="E112" s="3157"/>
      <c r="F112" s="3158">
        <f>IFERROR(T60/(F$60+M$60+T$60),0)</f>
        <v>4.7105004906771338E-3</v>
      </c>
      <c r="G112" s="3159">
        <f t="shared" ref="G112:K112" si="199">IFERROR(U60/(G$60+N$60+U$60),0)</f>
        <v>0.20102097134139144</v>
      </c>
      <c r="H112" s="3159">
        <f t="shared" si="199"/>
        <v>0.25139682429880683</v>
      </c>
      <c r="I112" s="3159">
        <f t="shared" si="199"/>
        <v>0.23490113315311681</v>
      </c>
      <c r="J112" s="3159">
        <f t="shared" si="199"/>
        <v>0.21498340594258966</v>
      </c>
      <c r="K112" s="3160">
        <f t="shared" si="199"/>
        <v>0.19718138574624433</v>
      </c>
      <c r="L112" s="3150"/>
      <c r="M112" s="3144"/>
      <c r="N112" s="3144"/>
      <c r="O112" s="3144"/>
      <c r="P112" s="3144"/>
      <c r="Q112" s="3144"/>
      <c r="R112" s="3144"/>
      <c r="S112" s="3144"/>
      <c r="T112" s="3144"/>
      <c r="U112" s="3144"/>
      <c r="V112" s="3144"/>
      <c r="W112" s="3144"/>
      <c r="X112" s="3144"/>
      <c r="Y112" s="3144"/>
      <c r="Z112" s="3144"/>
      <c r="AA112" s="3144"/>
      <c r="AB112" s="3144"/>
      <c r="AC112" s="3144"/>
      <c r="AD112" s="3144"/>
      <c r="AE112" s="3144"/>
      <c r="AF112" s="3144"/>
      <c r="AG112" s="3144"/>
      <c r="AH112" s="3144"/>
      <c r="AI112" s="3144"/>
      <c r="AJ112" s="3144"/>
      <c r="AK112" s="3144"/>
      <c r="AL112" s="3144"/>
      <c r="AM112" s="3144"/>
      <c r="AN112" s="3144"/>
      <c r="AO112" s="3144"/>
      <c r="AP112" s="3144"/>
      <c r="AQ112" s="3144"/>
      <c r="AR112" s="3144"/>
      <c r="AS112" s="3144"/>
      <c r="AT112" s="3144"/>
      <c r="AU112" s="3007"/>
    </row>
    <row r="113" spans="1:47" ht="13.5" thickBot="1">
      <c r="A113" s="3142"/>
      <c r="B113" s="3143"/>
      <c r="C113" s="3143"/>
      <c r="D113" s="3143"/>
      <c r="E113" s="3144"/>
      <c r="F113" s="3161">
        <f>SUM(F110:F112)</f>
        <v>0.99999999999999989</v>
      </c>
      <c r="G113" s="3162">
        <f t="shared" ref="G113:K113" si="200">SUM(G110:G112)</f>
        <v>0.99999999999999989</v>
      </c>
      <c r="H113" s="3162">
        <f t="shared" si="200"/>
        <v>1</v>
      </c>
      <c r="I113" s="3162">
        <f t="shared" si="200"/>
        <v>0.99999999999999978</v>
      </c>
      <c r="J113" s="3162">
        <f t="shared" si="200"/>
        <v>1</v>
      </c>
      <c r="K113" s="3163">
        <f t="shared" si="200"/>
        <v>1</v>
      </c>
      <c r="L113" s="3144"/>
      <c r="M113" s="3144"/>
      <c r="N113" s="3144"/>
      <c r="O113" s="3144"/>
      <c r="P113" s="3144"/>
      <c r="Q113" s="3144"/>
      <c r="R113" s="3144"/>
      <c r="S113" s="3144"/>
      <c r="T113" s="3144"/>
      <c r="U113" s="3005"/>
      <c r="V113" s="3005"/>
      <c r="W113" s="3164"/>
      <c r="X113" s="3165"/>
      <c r="Y113" s="3166"/>
      <c r="Z113" s="3144"/>
      <c r="AA113" s="3144"/>
      <c r="AB113" s="3167" t="str">
        <f>'Приложение '!B81</f>
        <v>Дата: 24 юни 2021 година</v>
      </c>
      <c r="AC113" s="3007"/>
      <c r="AD113" s="3164"/>
      <c r="AE113" s="3165"/>
      <c r="AF113" s="3166"/>
      <c r="AG113" s="3144"/>
      <c r="AH113" s="3144"/>
      <c r="AI113" s="3144"/>
      <c r="AJ113" s="3144"/>
      <c r="AK113" s="3168" t="str">
        <f>'Приложение '!C81</f>
        <v xml:space="preserve">Гл. счетоводител/Фин.директор: </v>
      </c>
      <c r="AL113" s="3169" t="str">
        <f>'Приложение '!D81</f>
        <v>..............................................</v>
      </c>
      <c r="AM113" s="3170"/>
      <c r="AN113" s="3171"/>
      <c r="AO113" s="3172"/>
      <c r="AP113" s="3005"/>
      <c r="AQ113" s="3144"/>
      <c r="AR113" s="3144"/>
      <c r="AS113" s="3144"/>
      <c r="AT113" s="3144"/>
      <c r="AU113" s="3007"/>
    </row>
    <row r="114" spans="1:47">
      <c r="A114" s="3142"/>
      <c r="B114" s="3143"/>
      <c r="C114" s="3143"/>
      <c r="D114" s="3143"/>
      <c r="E114" s="3144"/>
      <c r="F114" s="3144"/>
      <c r="G114" s="3144"/>
      <c r="H114" s="3144"/>
      <c r="I114" s="3144"/>
      <c r="J114" s="3144"/>
      <c r="K114" s="3144"/>
      <c r="L114" s="3144"/>
      <c r="M114" s="3144"/>
      <c r="N114" s="3144"/>
      <c r="O114" s="3144"/>
      <c r="P114" s="3144"/>
      <c r="Q114" s="3144"/>
      <c r="R114" s="3005"/>
      <c r="S114" s="3005"/>
      <c r="T114" s="3005"/>
      <c r="U114" s="3005"/>
      <c r="V114" s="3005"/>
      <c r="W114" s="3005"/>
      <c r="X114" s="3005"/>
      <c r="Y114" s="3005"/>
      <c r="Z114" s="3144"/>
      <c r="AA114" s="3144"/>
      <c r="AB114" s="3005"/>
      <c r="AC114" s="3173"/>
      <c r="AD114" s="3170"/>
      <c r="AE114" s="3171"/>
      <c r="AF114" s="3172"/>
      <c r="AG114" s="3144"/>
      <c r="AH114" s="3144"/>
      <c r="AI114" s="3144"/>
      <c r="AJ114" s="3144"/>
      <c r="AK114" s="3168"/>
      <c r="AL114" s="3174" t="str">
        <f>'Приложение '!D82</f>
        <v>(подпис)</v>
      </c>
      <c r="AM114" s="3170"/>
      <c r="AN114" s="3171"/>
      <c r="AO114" s="3172"/>
      <c r="AP114" s="3005"/>
      <c r="AQ114" s="3144"/>
      <c r="AR114" s="3144"/>
      <c r="AS114" s="3144"/>
      <c r="AT114" s="3144"/>
      <c r="AU114" s="3007"/>
    </row>
    <row r="115" spans="1:47">
      <c r="A115" s="3142"/>
      <c r="B115" s="3143"/>
      <c r="C115" s="3175"/>
      <c r="D115" s="3143"/>
      <c r="E115" s="3144"/>
      <c r="F115" s="3144"/>
      <c r="G115" s="3144"/>
      <c r="H115" s="3144"/>
      <c r="I115" s="3144"/>
      <c r="J115" s="3144"/>
      <c r="K115" s="3144"/>
      <c r="L115" s="3144"/>
      <c r="M115" s="3144"/>
      <c r="N115" s="3144"/>
      <c r="O115" s="3144"/>
      <c r="P115" s="3144"/>
      <c r="Q115" s="3144"/>
      <c r="R115" s="3005"/>
      <c r="S115" s="3005"/>
      <c r="T115" s="3005"/>
      <c r="U115" s="3005"/>
      <c r="V115" s="3005"/>
      <c r="W115" s="3005"/>
      <c r="X115" s="3005"/>
      <c r="Y115" s="3005"/>
      <c r="Z115" s="3144"/>
      <c r="AA115" s="3144"/>
      <c r="AB115" s="3005"/>
      <c r="AC115" s="3173"/>
      <c r="AD115" s="3170"/>
      <c r="AE115" s="3171"/>
      <c r="AF115" s="3172"/>
      <c r="AG115" s="3144"/>
      <c r="AH115" s="3005"/>
      <c r="AI115" s="3005"/>
      <c r="AJ115" s="3005"/>
      <c r="AK115" s="3168"/>
      <c r="AL115" s="3169"/>
      <c r="AM115" s="3170"/>
      <c r="AN115" s="3171"/>
      <c r="AO115" s="3172"/>
      <c r="AP115" s="3005"/>
      <c r="AQ115" s="3144"/>
      <c r="AR115" s="3144"/>
      <c r="AS115" s="3144"/>
      <c r="AT115" s="3144"/>
      <c r="AU115" s="3007"/>
    </row>
    <row r="116" spans="1:47">
      <c r="A116" s="3002"/>
      <c r="B116" s="3005"/>
      <c r="C116" s="3005"/>
      <c r="D116" s="3005"/>
      <c r="E116" s="3005"/>
      <c r="F116" s="3005"/>
      <c r="G116" s="3005"/>
      <c r="H116" s="3005"/>
      <c r="I116" s="3005"/>
      <c r="J116" s="3005"/>
      <c r="K116" s="3005"/>
      <c r="L116" s="3005"/>
      <c r="M116" s="3005"/>
      <c r="N116" s="3005"/>
      <c r="O116" s="3005"/>
      <c r="P116" s="3005"/>
      <c r="Q116" s="3005"/>
      <c r="R116" s="3005"/>
      <c r="S116" s="3005"/>
      <c r="T116" s="3005"/>
      <c r="U116" s="3005"/>
      <c r="V116" s="3005"/>
      <c r="W116" s="3005"/>
      <c r="X116" s="3005"/>
      <c r="Y116" s="3005"/>
      <c r="Z116" s="3005"/>
      <c r="AA116" s="3005"/>
      <c r="AB116" s="3005"/>
      <c r="AC116" s="3173"/>
      <c r="AD116" s="3170"/>
      <c r="AE116" s="3171"/>
      <c r="AF116" s="3172"/>
      <c r="AG116" s="3005"/>
      <c r="AH116" s="3005"/>
      <c r="AI116" s="3005"/>
      <c r="AJ116" s="3005"/>
      <c r="AK116" s="3168"/>
      <c r="AL116" s="3169"/>
      <c r="AM116" s="3170"/>
      <c r="AN116" s="3171"/>
      <c r="AO116" s="3172"/>
      <c r="AP116" s="3005"/>
      <c r="AQ116" s="3005"/>
      <c r="AR116" s="3005"/>
      <c r="AS116" s="3005"/>
      <c r="AT116" s="3005"/>
      <c r="AU116" s="3007"/>
    </row>
    <row r="117" spans="1:47">
      <c r="A117" s="3002"/>
      <c r="B117" s="3005"/>
      <c r="C117" s="3005"/>
      <c r="D117" s="3005"/>
      <c r="E117" s="3005"/>
      <c r="F117" s="3005"/>
      <c r="G117" s="3005"/>
      <c r="H117" s="3005"/>
      <c r="I117" s="3005"/>
      <c r="J117" s="3005"/>
      <c r="K117" s="3005"/>
      <c r="L117" s="3005"/>
      <c r="M117" s="3005"/>
      <c r="N117" s="3005"/>
      <c r="O117" s="3005"/>
      <c r="P117" s="3005"/>
      <c r="Q117" s="3005"/>
      <c r="R117" s="3005"/>
      <c r="S117" s="3005"/>
      <c r="T117" s="3005"/>
      <c r="U117" s="3005"/>
      <c r="V117" s="3005"/>
      <c r="W117" s="3005"/>
      <c r="X117" s="3005"/>
      <c r="Y117" s="3005"/>
      <c r="Z117" s="3005"/>
      <c r="AA117" s="3005"/>
      <c r="AB117" s="3005"/>
      <c r="AC117" s="3173"/>
      <c r="AD117" s="3170"/>
      <c r="AE117" s="3171"/>
      <c r="AF117" s="3172"/>
      <c r="AG117" s="3005"/>
      <c r="AH117" s="3005"/>
      <c r="AI117" s="3005"/>
      <c r="AJ117" s="3005"/>
      <c r="AK117" s="3168" t="str">
        <f>'Приложение '!C85</f>
        <v xml:space="preserve">Управител/Изп.директор: </v>
      </c>
      <c r="AL117" s="3169" t="str">
        <f>'Приложение '!D85</f>
        <v>.............................................</v>
      </c>
      <c r="AM117" s="3170"/>
      <c r="AN117" s="3171"/>
      <c r="AO117" s="3172"/>
      <c r="AP117" s="3005"/>
      <c r="AQ117" s="3005"/>
      <c r="AR117" s="3005"/>
      <c r="AS117" s="3005"/>
      <c r="AT117" s="3005"/>
      <c r="AU117" s="3007"/>
    </row>
    <row r="118" spans="1:47" ht="12.75" customHeight="1">
      <c r="B118" s="4646"/>
      <c r="C118" s="4646"/>
      <c r="D118" s="4646"/>
      <c r="E118" s="4647" t="s">
        <v>191</v>
      </c>
      <c r="F118" s="4646"/>
      <c r="G118" s="3005"/>
      <c r="H118" s="3005"/>
      <c r="I118" s="3005"/>
      <c r="J118" s="3005"/>
      <c r="K118" s="3005"/>
      <c r="L118" s="3005"/>
      <c r="M118" s="3005"/>
      <c r="N118" s="3005"/>
      <c r="O118" s="3005"/>
      <c r="P118" s="3005"/>
      <c r="Q118" s="3005"/>
      <c r="R118" s="3005"/>
      <c r="S118" s="3005"/>
      <c r="T118" s="3005"/>
      <c r="U118" s="3005"/>
      <c r="V118" s="3005"/>
      <c r="W118" s="3005"/>
      <c r="X118" s="3005"/>
      <c r="Y118" s="3005"/>
      <c r="Z118" s="3005"/>
      <c r="AA118" s="3005"/>
      <c r="AB118" s="3005"/>
      <c r="AC118" s="3173"/>
      <c r="AD118" s="3170"/>
      <c r="AE118" s="3171"/>
      <c r="AF118" s="3172"/>
      <c r="AG118" s="3005"/>
      <c r="AH118" s="3005"/>
      <c r="AI118" s="3005"/>
      <c r="AJ118" s="3005"/>
      <c r="AK118" s="3167"/>
      <c r="AL118" s="3174" t="str">
        <f>'Приложение '!D86</f>
        <v>(подпис и печат)</v>
      </c>
      <c r="AM118" s="3005"/>
      <c r="AN118" s="3165"/>
      <c r="AO118" s="3166"/>
      <c r="AP118" s="3005"/>
      <c r="AQ118" s="3005"/>
      <c r="AR118" s="3005"/>
      <c r="AS118" s="3005"/>
      <c r="AT118" s="3005"/>
      <c r="AU118" s="3007"/>
    </row>
    <row r="119" spans="1:47" ht="20.25" customHeight="1">
      <c r="B119" s="4520"/>
      <c r="C119" s="4520"/>
      <c r="D119" s="4520"/>
      <c r="E119" s="4648" t="s">
        <v>1554</v>
      </c>
      <c r="F119" s="4520"/>
      <c r="G119" s="3005"/>
      <c r="H119" s="3005"/>
      <c r="I119" s="3005"/>
      <c r="J119" s="3005"/>
      <c r="K119" s="3005"/>
      <c r="L119" s="3005"/>
      <c r="M119" s="3005"/>
      <c r="N119" s="3005"/>
      <c r="O119" s="3005"/>
      <c r="P119" s="3005"/>
      <c r="Q119" s="3005"/>
      <c r="R119" s="3005"/>
      <c r="S119" s="3005"/>
      <c r="T119" s="3005"/>
      <c r="U119" s="3005"/>
      <c r="V119" s="3005"/>
      <c r="W119" s="3005"/>
      <c r="X119" s="3005"/>
      <c r="Y119" s="3005"/>
      <c r="Z119" s="3005"/>
      <c r="AA119" s="3005"/>
      <c r="AB119" s="3005"/>
      <c r="AC119" s="3176"/>
      <c r="AD119" s="3005"/>
      <c r="AE119" s="3165"/>
      <c r="AF119" s="3166"/>
      <c r="AG119" s="3005"/>
      <c r="AH119" s="3005"/>
      <c r="AI119" s="3005"/>
      <c r="AJ119" s="3005"/>
      <c r="AK119" s="3167"/>
      <c r="AL119" s="3176"/>
      <c r="AM119" s="3164"/>
      <c r="AN119" s="3171"/>
      <c r="AO119" s="3172"/>
      <c r="AP119" s="3005"/>
      <c r="AQ119" s="3005"/>
      <c r="AR119" s="3005"/>
      <c r="AS119" s="3005"/>
      <c r="AT119" s="3005"/>
      <c r="AU119" s="3007"/>
    </row>
    <row r="120" spans="1:47">
      <c r="A120" s="3177"/>
      <c r="B120" s="3005"/>
      <c r="C120" s="3005"/>
      <c r="D120" s="3005"/>
      <c r="E120" s="3005"/>
      <c r="F120" s="3005"/>
      <c r="G120" s="3005"/>
      <c r="H120" s="3005"/>
      <c r="I120" s="3005"/>
      <c r="J120" s="3005"/>
      <c r="K120" s="3005"/>
      <c r="L120" s="3005"/>
      <c r="M120" s="3005"/>
      <c r="N120" s="3005"/>
      <c r="O120" s="3005"/>
      <c r="P120" s="3005"/>
      <c r="Q120" s="3005"/>
      <c r="R120" s="3005"/>
      <c r="S120" s="3005"/>
      <c r="T120" s="3005"/>
      <c r="U120" s="3005"/>
      <c r="V120" s="3005"/>
      <c r="W120" s="3005"/>
      <c r="X120" s="3005"/>
      <c r="Y120" s="3005"/>
      <c r="Z120" s="3005"/>
      <c r="AA120" s="3005"/>
      <c r="AB120" s="3005"/>
      <c r="AC120" s="3173"/>
      <c r="AD120" s="3164"/>
      <c r="AE120" s="3171"/>
      <c r="AF120" s="3172"/>
      <c r="AG120" s="3005"/>
      <c r="AH120" s="3005"/>
      <c r="AI120" s="3005"/>
      <c r="AJ120" s="3173"/>
      <c r="AK120" s="3164"/>
      <c r="AL120" s="3171"/>
      <c r="AM120" s="3172"/>
      <c r="AN120" s="3171"/>
      <c r="AO120" s="3005"/>
      <c r="AP120" s="3005"/>
      <c r="AQ120" s="3005"/>
      <c r="AR120" s="3005"/>
      <c r="AS120" s="3005"/>
      <c r="AT120" s="3005"/>
      <c r="AU120" s="3007"/>
    </row>
    <row r="121" spans="1:47">
      <c r="A121" s="3005"/>
      <c r="B121" s="3005"/>
      <c r="C121" s="3005"/>
      <c r="D121" s="3005"/>
      <c r="E121" s="3178"/>
      <c r="F121" s="3178"/>
      <c r="G121" s="3179"/>
      <c r="H121" s="3179"/>
      <c r="I121" s="3179"/>
      <c r="J121" s="3179"/>
      <c r="K121" s="3005"/>
      <c r="L121" s="3005"/>
      <c r="M121" s="3005"/>
      <c r="N121" s="3005"/>
      <c r="O121" s="3005"/>
      <c r="P121" s="3005"/>
      <c r="Q121" s="3005"/>
      <c r="R121" s="3005"/>
      <c r="S121" s="3005"/>
      <c r="T121" s="3005"/>
      <c r="U121" s="3005"/>
      <c r="V121" s="3005"/>
      <c r="W121" s="3005"/>
      <c r="X121" s="3005"/>
      <c r="Y121" s="3005"/>
      <c r="Z121" s="3005"/>
      <c r="AA121" s="3005"/>
      <c r="AB121" s="3005"/>
      <c r="AC121" s="3005"/>
      <c r="AD121" s="3005"/>
      <c r="AE121" s="3005"/>
      <c r="AF121" s="3005"/>
      <c r="AG121" s="3005"/>
      <c r="AH121" s="3005"/>
      <c r="AI121" s="3005"/>
      <c r="AJ121" s="3005"/>
      <c r="AK121" s="3005"/>
      <c r="AL121" s="3005"/>
      <c r="AM121" s="3005"/>
      <c r="AN121" s="3005"/>
      <c r="AO121" s="3005"/>
      <c r="AP121" s="3005"/>
      <c r="AQ121" s="3005"/>
      <c r="AR121" s="3005"/>
      <c r="AS121" s="3005"/>
      <c r="AT121" s="3005"/>
      <c r="AU121" s="3007"/>
    </row>
    <row r="122" spans="1:47">
      <c r="A122" s="3002"/>
      <c r="B122" s="3005"/>
      <c r="C122" s="3005"/>
      <c r="D122" s="3005"/>
      <c r="E122" s="3180"/>
      <c r="F122" s="3180"/>
      <c r="G122" s="3179"/>
      <c r="H122" s="3179"/>
      <c r="I122" s="3179"/>
      <c r="J122" s="3179"/>
      <c r="K122" s="3005"/>
      <c r="L122" s="3005"/>
      <c r="M122" s="3005"/>
      <c r="N122" s="3005"/>
      <c r="O122" s="3005"/>
      <c r="P122" s="3005"/>
      <c r="Q122" s="3005"/>
      <c r="R122" s="3005"/>
      <c r="S122" s="3005"/>
      <c r="T122" s="3005"/>
      <c r="U122" s="3005"/>
      <c r="V122" s="3005"/>
      <c r="W122" s="3005"/>
      <c r="X122" s="3005"/>
      <c r="Y122" s="3005"/>
      <c r="Z122" s="3005"/>
      <c r="AA122" s="3005"/>
      <c r="AB122" s="3005"/>
      <c r="AC122" s="3005"/>
      <c r="AD122" s="3005"/>
      <c r="AE122" s="3005"/>
      <c r="AF122" s="3005"/>
      <c r="AG122" s="3005"/>
      <c r="AH122" s="3005"/>
      <c r="AI122" s="3005"/>
      <c r="AJ122" s="3005"/>
      <c r="AK122" s="3005"/>
      <c r="AL122" s="3005"/>
      <c r="AM122" s="3005"/>
      <c r="AN122" s="3005"/>
      <c r="AO122" s="3005"/>
      <c r="AP122" s="3005"/>
      <c r="AQ122" s="3005"/>
      <c r="AR122" s="3005"/>
      <c r="AS122" s="3005"/>
      <c r="AT122" s="3005"/>
      <c r="AU122" s="3007"/>
    </row>
    <row r="123" spans="1:47">
      <c r="M123" s="33"/>
      <c r="N123" s="33"/>
      <c r="O123" s="33"/>
      <c r="P123" s="33"/>
      <c r="Q123" s="33"/>
    </row>
    <row r="124" spans="1:47">
      <c r="U124" s="47"/>
      <c r="V124" s="37"/>
      <c r="W124" s="30"/>
      <c r="X124" s="26"/>
      <c r="Y124" s="29"/>
      <c r="AB124" s="47"/>
      <c r="AC124" s="37"/>
      <c r="AD124" s="30"/>
      <c r="AE124" s="26"/>
      <c r="AF124" s="29"/>
      <c r="AI124" s="47"/>
      <c r="AJ124" s="37"/>
      <c r="AK124" s="30"/>
      <c r="AL124" s="26"/>
      <c r="AM124" s="29"/>
    </row>
    <row r="125" spans="1:47">
      <c r="U125" s="36"/>
      <c r="V125" s="31"/>
      <c r="W125" s="38"/>
      <c r="X125" s="39"/>
      <c r="Y125" s="29"/>
      <c r="AB125" s="36"/>
      <c r="AC125" s="31"/>
      <c r="AD125" s="38"/>
      <c r="AE125" s="39"/>
      <c r="AF125" s="29"/>
      <c r="AI125" s="36"/>
      <c r="AJ125" s="31"/>
      <c r="AK125" s="38"/>
      <c r="AL125" s="39"/>
      <c r="AM125" s="29"/>
    </row>
    <row r="126" spans="1:47">
      <c r="U126" s="36"/>
      <c r="V126" s="31"/>
      <c r="W126" s="38"/>
      <c r="X126" s="39"/>
      <c r="Y126" s="29"/>
      <c r="AB126" s="36"/>
      <c r="AC126" s="31"/>
      <c r="AD126" s="38"/>
      <c r="AE126" s="39"/>
      <c r="AF126" s="29"/>
      <c r="AI126" s="36"/>
      <c r="AJ126" s="31"/>
      <c r="AK126" s="38"/>
      <c r="AL126" s="39"/>
      <c r="AM126" s="29"/>
    </row>
    <row r="127" spans="1:47">
      <c r="T127" s="48"/>
      <c r="U127" s="36"/>
      <c r="V127" s="31"/>
      <c r="W127" s="38"/>
      <c r="X127" s="39"/>
      <c r="Y127" s="29"/>
      <c r="AA127" s="48"/>
      <c r="AB127" s="36"/>
      <c r="AC127" s="31"/>
      <c r="AD127" s="38"/>
      <c r="AE127" s="39"/>
      <c r="AF127" s="29"/>
      <c r="AH127" s="48"/>
      <c r="AI127" s="36"/>
      <c r="AJ127" s="31"/>
      <c r="AK127" s="38"/>
      <c r="AL127" s="39"/>
      <c r="AM127" s="29"/>
    </row>
    <row r="128" spans="1:47">
      <c r="U128" s="36"/>
      <c r="V128" s="31"/>
      <c r="W128" s="38"/>
      <c r="X128" s="39"/>
      <c r="Y128" s="29"/>
      <c r="AB128" s="36"/>
      <c r="AC128" s="31"/>
      <c r="AD128" s="38"/>
      <c r="AE128" s="39"/>
      <c r="AF128" s="29"/>
      <c r="AI128" s="36"/>
      <c r="AJ128" s="31"/>
      <c r="AK128" s="38"/>
      <c r="AL128" s="39"/>
      <c r="AM128" s="29"/>
    </row>
    <row r="129" spans="21:39">
      <c r="U129" s="36"/>
      <c r="V129" s="31"/>
      <c r="W129" s="38"/>
      <c r="X129" s="39"/>
      <c r="Y129" s="29"/>
      <c r="AB129" s="36"/>
      <c r="AC129" s="31"/>
      <c r="AD129" s="38"/>
      <c r="AE129" s="39"/>
      <c r="AF129" s="29"/>
      <c r="AI129" s="36"/>
      <c r="AJ129" s="31"/>
      <c r="AK129" s="38"/>
      <c r="AL129" s="39"/>
      <c r="AM129" s="29"/>
    </row>
    <row r="130" spans="21:39">
      <c r="U130" s="40"/>
      <c r="W130" s="30"/>
      <c r="X130" s="29"/>
      <c r="Y130" s="29"/>
      <c r="AB130" s="40"/>
      <c r="AD130" s="30"/>
      <c r="AE130" s="29"/>
      <c r="AF130" s="29"/>
      <c r="AI130" s="40"/>
      <c r="AK130" s="30"/>
      <c r="AL130" s="29"/>
      <c r="AM130" s="29"/>
    </row>
    <row r="131" spans="21:39">
      <c r="U131" s="36"/>
      <c r="V131" s="41"/>
      <c r="W131" s="38"/>
      <c r="X131" s="39"/>
      <c r="Y131" s="38"/>
      <c r="AB131" s="36"/>
      <c r="AC131" s="41"/>
      <c r="AD131" s="38"/>
      <c r="AE131" s="39"/>
      <c r="AF131" s="38"/>
      <c r="AI131" s="36"/>
      <c r="AJ131" s="41"/>
      <c r="AK131" s="38"/>
      <c r="AL131" s="39"/>
      <c r="AM131" s="38"/>
    </row>
  </sheetData>
  <sheetProtection algorithmName="SHA-512" hashValue="fDyXrGfcQ+Y+ys73BhrFbpl5Dmq4biOhWXZbmDclHokB+jHDB8jpjnuwAH5YqB8/xQqEt/fzcL9HUae5QIcORg==" saltValue="QBKLJ1+ANlsYHPZb8Bsg4g==" spinCount="100000" sheet="1" objects="1" scenarios="1"/>
  <mergeCells count="14">
    <mergeCell ref="A9:A10"/>
    <mergeCell ref="D9:D10"/>
    <mergeCell ref="E9:K9"/>
    <mergeCell ref="L9:R9"/>
    <mergeCell ref="A2:Y2"/>
    <mergeCell ref="A3:Y3"/>
    <mergeCell ref="A4:Y4"/>
    <mergeCell ref="A5:Y5"/>
    <mergeCell ref="S9:Y9"/>
    <mergeCell ref="AN9:AT9"/>
    <mergeCell ref="B9:B10"/>
    <mergeCell ref="C9:C10"/>
    <mergeCell ref="Z9:AF9"/>
    <mergeCell ref="AG9:AM9"/>
  </mergeCells>
  <printOptions horizontalCentered="1"/>
  <pageMargins left="0" right="0" top="0.55118110236220474" bottom="0.15748031496062992" header="0.31496062992125984" footer="0.31496062992125984"/>
  <pageSetup paperSize="9" scale="60" orientation="landscape" verticalDpi="2" r:id="rId1"/>
  <headerFooter alignWithMargins="0">
    <oddFooter>&amp;C&amp;A&amp;RСтр. &amp;P от &amp;N</oddFooter>
  </headerFooter>
  <rowBreaks count="1" manualBreakCount="1">
    <brk id="59" max="45" man="1"/>
  </rowBreaks>
  <colBreaks count="1" manualBreakCount="1">
    <brk id="25" max="121"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CP193"/>
  <sheetViews>
    <sheetView view="pageBreakPreview" topLeftCell="A163" zoomScale="80" zoomScaleNormal="90" zoomScaleSheetLayoutView="80" workbookViewId="0">
      <selection activeCell="W110" activeCellId="2" sqref="I110 P110 W110"/>
    </sheetView>
  </sheetViews>
  <sheetFormatPr defaultColWidth="9.140625" defaultRowHeight="12.75"/>
  <cols>
    <col min="1" max="1" width="4.42578125" style="1427" customWidth="1"/>
    <col min="2" max="2" width="9.42578125" style="752" customWidth="1"/>
    <col min="3" max="3" width="7.5703125" style="752" customWidth="1"/>
    <col min="4" max="4" width="38.42578125" style="752" customWidth="1"/>
    <col min="5" max="5" width="8.85546875" style="752" customWidth="1"/>
    <col min="6" max="12" width="7.5703125" style="752" customWidth="1"/>
    <col min="13" max="13" width="7.5703125" style="721" customWidth="1"/>
    <col min="14" max="14" width="7.5703125" style="1428" customWidth="1"/>
    <col min="15" max="15" width="7.5703125" style="721" customWidth="1"/>
    <col min="16" max="46" width="7.5703125" style="158" customWidth="1"/>
    <col min="47" max="47" width="10.140625" style="158" customWidth="1"/>
    <col min="48" max="16384" width="9.140625" style="158"/>
  </cols>
  <sheetData>
    <row r="1" spans="1:94" ht="19.5" customHeight="1">
      <c r="A1" s="2939"/>
      <c r="B1" s="2944"/>
      <c r="C1" s="2944"/>
      <c r="D1" s="2944"/>
      <c r="E1" s="2944"/>
      <c r="F1" s="2944"/>
      <c r="G1" s="2944"/>
      <c r="H1" s="3181"/>
      <c r="I1" s="3182"/>
      <c r="J1" s="2944"/>
      <c r="K1" s="3183"/>
      <c r="L1" s="2944"/>
      <c r="M1" s="3181"/>
      <c r="N1" s="3184"/>
      <c r="O1" s="3181"/>
      <c r="P1" s="3181"/>
      <c r="R1" s="3181"/>
      <c r="S1" s="3181"/>
      <c r="T1" s="3181"/>
      <c r="U1" s="3181"/>
      <c r="V1" s="3181"/>
      <c r="W1" s="3181"/>
      <c r="X1" s="3181"/>
      <c r="Y1" s="3185" t="s">
        <v>193</v>
      </c>
      <c r="Z1" s="3181"/>
      <c r="AA1" s="3181"/>
      <c r="AB1" s="3181"/>
      <c r="AC1" s="3181"/>
      <c r="AD1" s="3181"/>
      <c r="AE1" s="3181"/>
      <c r="AF1" s="2150"/>
      <c r="AG1" s="3181"/>
      <c r="AH1" s="3181"/>
      <c r="AI1" s="3181"/>
      <c r="AJ1" s="3181"/>
      <c r="AK1" s="3181"/>
      <c r="AL1" s="3181"/>
      <c r="AM1" s="2150"/>
      <c r="AN1" s="2150"/>
      <c r="AO1" s="3181"/>
      <c r="AP1" s="3181"/>
      <c r="AQ1" s="3181"/>
      <c r="AR1" s="3181"/>
      <c r="AS1" s="3181"/>
      <c r="AT1" s="3185"/>
      <c r="AU1" s="721"/>
      <c r="AV1" s="721"/>
      <c r="AW1" s="721"/>
      <c r="AX1" s="721"/>
      <c r="AY1" s="721"/>
      <c r="AZ1" s="721"/>
      <c r="BA1" s="721"/>
      <c r="BB1" s="721"/>
      <c r="BC1" s="721"/>
      <c r="BD1" s="721"/>
      <c r="BE1" s="721"/>
      <c r="BF1" s="721"/>
      <c r="BG1" s="721"/>
      <c r="BH1" s="721"/>
      <c r="BI1" s="721"/>
      <c r="BJ1" s="721"/>
      <c r="BK1" s="721"/>
      <c r="BL1" s="721"/>
      <c r="BM1" s="721"/>
      <c r="BN1" s="721"/>
      <c r="BO1" s="721"/>
      <c r="BP1" s="721"/>
      <c r="BQ1" s="721"/>
      <c r="BR1" s="721"/>
      <c r="BS1" s="721"/>
      <c r="BT1" s="721"/>
      <c r="BU1" s="721"/>
      <c r="BV1" s="721"/>
      <c r="BW1" s="721"/>
      <c r="BX1" s="721"/>
      <c r="BY1" s="721"/>
      <c r="BZ1" s="721"/>
      <c r="CA1" s="721"/>
      <c r="CB1" s="721"/>
      <c r="CC1" s="721"/>
      <c r="CD1" s="721"/>
      <c r="CE1" s="721"/>
      <c r="CF1" s="721"/>
      <c r="CG1" s="721"/>
      <c r="CH1" s="721"/>
      <c r="CI1" s="721"/>
      <c r="CJ1" s="721"/>
      <c r="CK1" s="721"/>
      <c r="CL1" s="721"/>
      <c r="CM1" s="721"/>
      <c r="CN1" s="721"/>
      <c r="CO1" s="721"/>
      <c r="CP1" s="721"/>
    </row>
    <row r="2" spans="1:94" ht="19.5" customHeight="1">
      <c r="A2" s="5411" t="s">
        <v>1018</v>
      </c>
      <c r="B2" s="5411"/>
      <c r="C2" s="5411"/>
      <c r="D2" s="5411"/>
      <c r="E2" s="5411"/>
      <c r="F2" s="5411"/>
      <c r="G2" s="5411"/>
      <c r="H2" s="5411"/>
      <c r="I2" s="5411"/>
      <c r="J2" s="5411"/>
      <c r="K2" s="5411"/>
      <c r="L2" s="5411"/>
      <c r="M2" s="5411"/>
      <c r="N2" s="5411"/>
      <c r="O2" s="5411"/>
      <c r="P2" s="5411"/>
      <c r="Q2" s="5411"/>
      <c r="R2" s="5411"/>
      <c r="S2" s="5411"/>
      <c r="T2" s="5411"/>
      <c r="U2" s="5411"/>
      <c r="V2" s="5411"/>
      <c r="W2" s="5411"/>
      <c r="X2" s="5411"/>
      <c r="Y2" s="541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721"/>
      <c r="AV2" s="721"/>
      <c r="AW2" s="721"/>
      <c r="AX2" s="721"/>
      <c r="AY2" s="721"/>
      <c r="AZ2" s="721"/>
      <c r="BA2" s="721"/>
      <c r="BB2" s="721"/>
      <c r="BC2" s="721"/>
      <c r="BD2" s="721"/>
      <c r="BE2" s="721"/>
      <c r="BF2" s="721"/>
      <c r="BG2" s="721"/>
      <c r="BH2" s="721"/>
      <c r="BI2" s="721"/>
      <c r="BJ2" s="721"/>
      <c r="BK2" s="721"/>
      <c r="BL2" s="721"/>
      <c r="BM2" s="721"/>
      <c r="BN2" s="721"/>
      <c r="BO2" s="721"/>
      <c r="BP2" s="721"/>
      <c r="BQ2" s="721"/>
      <c r="BR2" s="721"/>
      <c r="BS2" s="721"/>
      <c r="BT2" s="721"/>
      <c r="BU2" s="721"/>
      <c r="BV2" s="721"/>
      <c r="BW2" s="721"/>
      <c r="BX2" s="721"/>
      <c r="BY2" s="721"/>
      <c r="BZ2" s="721"/>
      <c r="CA2" s="721"/>
      <c r="CB2" s="721"/>
      <c r="CC2" s="721"/>
      <c r="CD2" s="721"/>
      <c r="CE2" s="721"/>
      <c r="CF2" s="721"/>
      <c r="CG2" s="721"/>
      <c r="CH2" s="721"/>
      <c r="CI2" s="721"/>
      <c r="CJ2" s="721"/>
      <c r="CK2" s="721"/>
      <c r="CL2" s="721"/>
      <c r="CM2" s="721"/>
      <c r="CN2" s="721"/>
      <c r="CO2" s="721"/>
      <c r="CP2" s="721"/>
    </row>
    <row r="3" spans="1:94" ht="18.75" customHeight="1">
      <c r="A3" s="5434" t="s">
        <v>1585</v>
      </c>
      <c r="B3" s="5434"/>
      <c r="C3" s="5434"/>
      <c r="D3" s="5434"/>
      <c r="E3" s="5434"/>
      <c r="F3" s="5434"/>
      <c r="G3" s="5434"/>
      <c r="H3" s="5434"/>
      <c r="I3" s="5434"/>
      <c r="J3" s="5434"/>
      <c r="K3" s="5434"/>
      <c r="L3" s="5434"/>
      <c r="M3" s="5434"/>
      <c r="N3" s="5434"/>
      <c r="O3" s="5434"/>
      <c r="P3" s="5434"/>
      <c r="Q3" s="5434"/>
      <c r="R3" s="5434"/>
      <c r="S3" s="5434"/>
      <c r="T3" s="5434"/>
      <c r="U3" s="5434"/>
      <c r="V3" s="5434"/>
      <c r="W3" s="5434"/>
      <c r="X3" s="5434"/>
      <c r="Y3" s="5434"/>
      <c r="Z3" s="3181"/>
      <c r="AA3" s="3181"/>
      <c r="AB3" s="3181"/>
      <c r="AC3" s="3181"/>
      <c r="AD3" s="3181"/>
      <c r="AE3" s="3181"/>
      <c r="AF3" s="3181"/>
      <c r="AG3" s="3181"/>
      <c r="AH3" s="3181"/>
      <c r="AI3" s="3181"/>
      <c r="AJ3" s="3181"/>
      <c r="AK3" s="3181"/>
      <c r="AL3" s="3181"/>
      <c r="AM3" s="3181"/>
      <c r="AN3" s="3181"/>
      <c r="AO3" s="3181"/>
      <c r="AP3" s="3181"/>
      <c r="AQ3" s="3181"/>
      <c r="AR3" s="3181"/>
      <c r="AS3" s="3181"/>
      <c r="AT3" s="318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row>
    <row r="4" spans="1:94" ht="19.5" customHeight="1">
      <c r="A4" s="5435" t="str">
        <f>'1. Обща информация'!A4:D4</f>
        <v>на "Водоснабдяване и канализаиця"ООД, гр. Перник</v>
      </c>
      <c r="B4" s="5435"/>
      <c r="C4" s="5435"/>
      <c r="D4" s="5435"/>
      <c r="E4" s="5435"/>
      <c r="F4" s="5435"/>
      <c r="G4" s="5435"/>
      <c r="H4" s="5435"/>
      <c r="I4" s="5435"/>
      <c r="J4" s="5435"/>
      <c r="K4" s="5435"/>
      <c r="L4" s="5435"/>
      <c r="M4" s="5435"/>
      <c r="N4" s="5435"/>
      <c r="O4" s="5435"/>
      <c r="P4" s="5435"/>
      <c r="Q4" s="5435"/>
      <c r="R4" s="5435"/>
      <c r="S4" s="5435"/>
      <c r="T4" s="5435"/>
      <c r="U4" s="5435"/>
      <c r="V4" s="5435"/>
      <c r="W4" s="5435"/>
      <c r="X4" s="5435"/>
      <c r="Y4" s="5435"/>
      <c r="Z4" s="3181"/>
      <c r="AA4" s="3181"/>
      <c r="AB4" s="3181"/>
      <c r="AC4" s="3181"/>
      <c r="AD4" s="3181"/>
      <c r="AE4" s="3181"/>
      <c r="AF4" s="3181"/>
      <c r="AG4" s="3181"/>
      <c r="AH4" s="3181"/>
      <c r="AI4" s="3181"/>
      <c r="AJ4" s="3181"/>
      <c r="AK4" s="3181"/>
      <c r="AL4" s="3181"/>
      <c r="AM4" s="3181"/>
      <c r="AN4" s="3181"/>
      <c r="AO4" s="3181"/>
      <c r="AP4" s="3181"/>
      <c r="AQ4" s="3181"/>
      <c r="AR4" s="3181"/>
      <c r="AS4" s="3181"/>
      <c r="AT4" s="3181"/>
      <c r="AU4" s="721"/>
      <c r="AV4" s="721"/>
      <c r="AW4" s="721"/>
      <c r="AX4" s="721"/>
      <c r="AY4" s="721"/>
      <c r="AZ4" s="721"/>
      <c r="BA4" s="721"/>
      <c r="BB4" s="721"/>
      <c r="BC4" s="721"/>
      <c r="BD4" s="721"/>
      <c r="BE4" s="721"/>
      <c r="BF4" s="721"/>
      <c r="BG4" s="721"/>
      <c r="BH4" s="721"/>
      <c r="BI4" s="721"/>
      <c r="BJ4" s="721"/>
      <c r="BK4" s="721"/>
      <c r="BL4" s="721"/>
      <c r="BM4" s="721"/>
      <c r="BN4" s="721"/>
      <c r="BO4" s="721"/>
      <c r="BP4" s="721"/>
      <c r="BQ4" s="721"/>
      <c r="BR4" s="721"/>
      <c r="BS4" s="721"/>
      <c r="BT4" s="721"/>
      <c r="BU4" s="721"/>
      <c r="BV4" s="721"/>
      <c r="BW4" s="721"/>
      <c r="BX4" s="721"/>
      <c r="BY4" s="721"/>
      <c r="BZ4" s="721"/>
      <c r="CA4" s="721"/>
      <c r="CB4" s="721"/>
      <c r="CC4" s="721"/>
      <c r="CD4" s="721"/>
      <c r="CE4" s="721"/>
      <c r="CF4" s="721"/>
      <c r="CG4" s="721"/>
      <c r="CH4" s="721"/>
      <c r="CI4" s="721"/>
      <c r="CJ4" s="721"/>
      <c r="CK4" s="721"/>
      <c r="CL4" s="721"/>
      <c r="CM4" s="721"/>
      <c r="CN4" s="721"/>
      <c r="CO4" s="721"/>
      <c r="CP4" s="721"/>
    </row>
    <row r="5" spans="1:94" ht="19.5" customHeight="1">
      <c r="A5" s="5435" t="str">
        <f>'1. Обща информация'!A5:D5</f>
        <v>ЕИК по БУЛСТАТ: 823073638</v>
      </c>
      <c r="B5" s="5435"/>
      <c r="C5" s="5435"/>
      <c r="D5" s="5435"/>
      <c r="E5" s="5435"/>
      <c r="F5" s="5435"/>
      <c r="G5" s="5435"/>
      <c r="H5" s="5435"/>
      <c r="I5" s="5435"/>
      <c r="J5" s="5435"/>
      <c r="K5" s="5435"/>
      <c r="L5" s="5435"/>
      <c r="M5" s="5435"/>
      <c r="N5" s="5435"/>
      <c r="O5" s="5435"/>
      <c r="P5" s="5435"/>
      <c r="Q5" s="5435"/>
      <c r="R5" s="5435"/>
      <c r="S5" s="5435"/>
      <c r="T5" s="5435"/>
      <c r="U5" s="5435"/>
      <c r="V5" s="5435"/>
      <c r="W5" s="5435"/>
      <c r="X5" s="5435"/>
      <c r="Y5" s="5435"/>
      <c r="Z5" s="3181"/>
      <c r="AA5" s="3181"/>
      <c r="AB5" s="3181"/>
      <c r="AC5" s="3181"/>
      <c r="AD5" s="3181"/>
      <c r="AE5" s="3181"/>
      <c r="AF5" s="3181"/>
      <c r="AG5" s="3181"/>
      <c r="AH5" s="3181"/>
      <c r="AI5" s="3181"/>
      <c r="AJ5" s="3181"/>
      <c r="AK5" s="3181"/>
      <c r="AL5" s="3181"/>
      <c r="AM5" s="3181"/>
      <c r="AN5" s="3181"/>
      <c r="AO5" s="3181"/>
      <c r="AP5" s="3181"/>
      <c r="AQ5" s="3181"/>
      <c r="AR5" s="3181"/>
      <c r="AS5" s="3181"/>
      <c r="AT5" s="3181"/>
      <c r="AU5" s="721"/>
      <c r="AV5" s="721"/>
      <c r="AW5" s="721"/>
      <c r="AX5" s="721"/>
      <c r="AY5" s="721"/>
      <c r="AZ5" s="721"/>
      <c r="BA5" s="721"/>
      <c r="BB5" s="721"/>
      <c r="BC5" s="721"/>
      <c r="BD5" s="721"/>
      <c r="BE5" s="721"/>
      <c r="BF5" s="721"/>
      <c r="BG5" s="721"/>
      <c r="BH5" s="721"/>
      <c r="BI5" s="721"/>
      <c r="BJ5" s="721"/>
      <c r="BK5" s="721"/>
      <c r="BL5" s="721"/>
      <c r="BM5" s="721"/>
      <c r="BN5" s="721"/>
      <c r="BO5" s="721"/>
      <c r="BP5" s="721"/>
      <c r="BQ5" s="721"/>
      <c r="BR5" s="721"/>
      <c r="BS5" s="721"/>
      <c r="BT5" s="721"/>
      <c r="BU5" s="721"/>
      <c r="BV5" s="721"/>
      <c r="BW5" s="721"/>
      <c r="BX5" s="721"/>
      <c r="BY5" s="721"/>
      <c r="BZ5" s="721"/>
      <c r="CA5" s="721"/>
      <c r="CB5" s="721"/>
      <c r="CC5" s="721"/>
      <c r="CD5" s="721"/>
      <c r="CE5" s="721"/>
      <c r="CF5" s="721"/>
      <c r="CG5" s="721"/>
      <c r="CH5" s="721"/>
      <c r="CI5" s="721"/>
      <c r="CJ5" s="721"/>
      <c r="CK5" s="721"/>
      <c r="CL5" s="721"/>
      <c r="CM5" s="721"/>
      <c r="CN5" s="721"/>
      <c r="CO5" s="721"/>
      <c r="CP5" s="721"/>
    </row>
    <row r="6" spans="1:94" ht="19.5" customHeight="1">
      <c r="A6" s="3186"/>
      <c r="B6" s="3186"/>
      <c r="C6" s="3186"/>
      <c r="D6" s="3186"/>
      <c r="E6" s="3186"/>
      <c r="F6" s="3186"/>
      <c r="G6" s="3186"/>
      <c r="H6" s="3186"/>
      <c r="I6" s="3186"/>
      <c r="J6" s="3186"/>
      <c r="K6" s="3186"/>
      <c r="L6" s="3186"/>
      <c r="M6" s="3181"/>
      <c r="N6" s="3184"/>
      <c r="O6" s="3181"/>
      <c r="P6" s="3181"/>
      <c r="Q6" s="3181"/>
      <c r="R6" s="3181"/>
      <c r="S6" s="3181"/>
      <c r="T6" s="3181"/>
      <c r="U6" s="3181"/>
      <c r="V6" s="3181"/>
      <c r="W6" s="3181"/>
      <c r="X6" s="3181"/>
      <c r="Y6" s="3181"/>
      <c r="Z6" s="3181"/>
      <c r="AA6" s="3181"/>
      <c r="AB6" s="3181"/>
      <c r="AC6" s="3181"/>
      <c r="AD6" s="3181"/>
      <c r="AE6" s="3181"/>
      <c r="AF6" s="3181"/>
      <c r="AG6" s="3181"/>
      <c r="AH6" s="3181"/>
      <c r="AI6" s="3181"/>
      <c r="AJ6" s="3181"/>
      <c r="AK6" s="3181"/>
      <c r="AL6" s="3181"/>
      <c r="AM6" s="3181"/>
      <c r="AN6" s="3181"/>
      <c r="AO6" s="3181"/>
      <c r="AP6" s="3181"/>
      <c r="AQ6" s="3181"/>
      <c r="AR6" s="3181"/>
      <c r="AS6" s="3181"/>
      <c r="AT6" s="3181"/>
      <c r="AU6" s="721"/>
      <c r="AV6" s="721"/>
      <c r="AW6" s="721"/>
      <c r="AX6" s="721"/>
      <c r="AY6" s="721"/>
      <c r="AZ6" s="721"/>
      <c r="BA6" s="721"/>
      <c r="BB6" s="721"/>
      <c r="BC6" s="721"/>
      <c r="BD6" s="721"/>
      <c r="BE6" s="721"/>
      <c r="BF6" s="721"/>
      <c r="BG6" s="721"/>
      <c r="BH6" s="721"/>
      <c r="BI6" s="721"/>
      <c r="BJ6" s="721"/>
      <c r="BK6" s="721"/>
      <c r="BL6" s="721"/>
      <c r="BM6" s="721"/>
      <c r="BN6" s="721"/>
      <c r="BO6" s="721"/>
      <c r="BP6" s="721"/>
      <c r="BQ6" s="721"/>
      <c r="BR6" s="721"/>
      <c r="BS6" s="721"/>
      <c r="BT6" s="721"/>
      <c r="BU6" s="721"/>
      <c r="BV6" s="721"/>
      <c r="BW6" s="721"/>
      <c r="BX6" s="721"/>
      <c r="BY6" s="721"/>
      <c r="BZ6" s="721"/>
      <c r="CA6" s="721"/>
      <c r="CB6" s="721"/>
      <c r="CC6" s="721"/>
      <c r="CD6" s="721"/>
      <c r="CE6" s="721"/>
      <c r="CF6" s="721"/>
      <c r="CG6" s="721"/>
      <c r="CH6" s="721"/>
      <c r="CI6" s="721"/>
      <c r="CJ6" s="721"/>
      <c r="CK6" s="721"/>
      <c r="CL6" s="721"/>
      <c r="CM6" s="721"/>
      <c r="CN6" s="721"/>
      <c r="CO6" s="721"/>
      <c r="CP6" s="721"/>
    </row>
    <row r="7" spans="1:94" ht="5.25" customHeight="1" thickBot="1">
      <c r="A7" s="3186"/>
      <c r="B7" s="3186"/>
      <c r="C7" s="3186"/>
      <c r="D7" s="3186"/>
      <c r="E7" s="3186"/>
      <c r="F7" s="3186"/>
      <c r="G7" s="3186"/>
      <c r="H7" s="3186"/>
      <c r="I7" s="3186"/>
      <c r="J7" s="3186"/>
      <c r="K7" s="3186"/>
      <c r="L7" s="3186"/>
      <c r="M7" s="3181"/>
      <c r="N7" s="3184"/>
      <c r="O7" s="3181"/>
      <c r="P7" s="3181"/>
      <c r="Q7" s="3181"/>
      <c r="R7" s="3181"/>
      <c r="S7" s="3181"/>
      <c r="T7" s="3181"/>
      <c r="U7" s="3181"/>
      <c r="V7" s="3181"/>
      <c r="W7" s="3181"/>
      <c r="X7" s="3181"/>
      <c r="Y7" s="3181"/>
      <c r="Z7" s="3181"/>
      <c r="AA7" s="3181"/>
      <c r="AB7" s="3181"/>
      <c r="AC7" s="3181"/>
      <c r="AD7" s="3181"/>
      <c r="AE7" s="3181"/>
      <c r="AF7" s="3181"/>
      <c r="AG7" s="3181"/>
      <c r="AH7" s="3181"/>
      <c r="AI7" s="3181"/>
      <c r="AJ7" s="3181"/>
      <c r="AK7" s="3181"/>
      <c r="AL7" s="3181"/>
      <c r="AM7" s="3181"/>
      <c r="AN7" s="3181"/>
      <c r="AO7" s="3181"/>
      <c r="AP7" s="3181"/>
      <c r="AQ7" s="3181"/>
      <c r="AR7" s="3181"/>
      <c r="AS7" s="3181"/>
      <c r="AT7" s="3181"/>
      <c r="AV7" s="721"/>
      <c r="AW7" s="721"/>
      <c r="AX7" s="721"/>
      <c r="AY7" s="721"/>
      <c r="AZ7" s="721"/>
      <c r="BA7" s="721"/>
      <c r="BB7" s="721"/>
      <c r="BC7" s="721"/>
      <c r="BD7" s="721"/>
      <c r="BE7" s="721"/>
      <c r="BF7" s="721"/>
      <c r="BG7" s="721"/>
      <c r="BH7" s="721"/>
      <c r="BI7" s="721"/>
      <c r="BJ7" s="721"/>
      <c r="BK7" s="721"/>
      <c r="BL7" s="721"/>
      <c r="BM7" s="721"/>
      <c r="BN7" s="721"/>
      <c r="BO7" s="721"/>
      <c r="BP7" s="721"/>
      <c r="BQ7" s="721"/>
      <c r="BR7" s="721"/>
      <c r="BS7" s="721"/>
      <c r="BT7" s="721"/>
      <c r="BU7" s="721"/>
      <c r="BV7" s="721"/>
      <c r="BW7" s="721"/>
      <c r="BX7" s="721"/>
      <c r="BY7" s="721"/>
      <c r="BZ7" s="721"/>
      <c r="CA7" s="721"/>
      <c r="CB7" s="721"/>
      <c r="CC7" s="721"/>
      <c r="CD7" s="721"/>
      <c r="CE7" s="721"/>
      <c r="CF7" s="721"/>
      <c r="CG7" s="721"/>
      <c r="CH7" s="721"/>
      <c r="CI7" s="721"/>
      <c r="CJ7" s="721"/>
      <c r="CK7" s="721"/>
      <c r="CL7" s="721"/>
      <c r="CM7" s="721"/>
      <c r="CN7" s="721"/>
      <c r="CO7" s="721"/>
      <c r="CP7" s="721"/>
    </row>
    <row r="8" spans="1:94" s="721" customFormat="1" ht="33.75" customHeight="1" thickBot="1">
      <c r="A8" s="5426" t="s">
        <v>1</v>
      </c>
      <c r="B8" s="5413" t="s">
        <v>1054</v>
      </c>
      <c r="C8" s="5413" t="s">
        <v>1053</v>
      </c>
      <c r="D8" s="5426" t="s">
        <v>90</v>
      </c>
      <c r="E8" s="5426" t="s">
        <v>215</v>
      </c>
      <c r="F8" s="5428"/>
      <c r="G8" s="5428"/>
      <c r="H8" s="5428"/>
      <c r="I8" s="5428"/>
      <c r="J8" s="5428"/>
      <c r="K8" s="5428"/>
      <c r="L8" s="5426" t="s">
        <v>178</v>
      </c>
      <c r="M8" s="5428"/>
      <c r="N8" s="5428"/>
      <c r="O8" s="5428"/>
      <c r="P8" s="5428"/>
      <c r="Q8" s="5428"/>
      <c r="R8" s="5429"/>
      <c r="S8" s="5426" t="s">
        <v>188</v>
      </c>
      <c r="T8" s="5428"/>
      <c r="U8" s="5428"/>
      <c r="V8" s="5428"/>
      <c r="W8" s="5428"/>
      <c r="X8" s="5428"/>
      <c r="Y8" s="5429"/>
      <c r="Z8" s="5426" t="s">
        <v>1037</v>
      </c>
      <c r="AA8" s="5428"/>
      <c r="AB8" s="5428"/>
      <c r="AC8" s="5428"/>
      <c r="AD8" s="5428"/>
      <c r="AE8" s="5428"/>
      <c r="AF8" s="5429"/>
      <c r="AG8" s="5426" t="s">
        <v>1102</v>
      </c>
      <c r="AH8" s="5428"/>
      <c r="AI8" s="5428"/>
      <c r="AJ8" s="5428"/>
      <c r="AK8" s="5428"/>
      <c r="AL8" s="5428"/>
      <c r="AM8" s="5429"/>
      <c r="AN8" s="5423" t="s">
        <v>668</v>
      </c>
      <c r="AO8" s="5424"/>
      <c r="AP8" s="5424"/>
      <c r="AQ8" s="5424"/>
      <c r="AR8" s="5424"/>
      <c r="AS8" s="5424"/>
      <c r="AT8" s="5425"/>
    </row>
    <row r="9" spans="1:94" s="721" customFormat="1" ht="22.5" customHeight="1" thickBot="1">
      <c r="A9" s="5427"/>
      <c r="B9" s="5414"/>
      <c r="C9" s="5414"/>
      <c r="D9" s="5427"/>
      <c r="E9" s="3187" t="str">
        <f>'Приложение '!C12</f>
        <v>2020 г.</v>
      </c>
      <c r="F9" s="3188" t="str">
        <f>'Приложение '!C13</f>
        <v>2021 г.</v>
      </c>
      <c r="G9" s="3189" t="str">
        <f>'Приложение '!C14</f>
        <v>2022 г.</v>
      </c>
      <c r="H9" s="3189" t="str">
        <f>'Приложение '!C15</f>
        <v>2023 г.</v>
      </c>
      <c r="I9" s="3189" t="str">
        <f>'Приложение '!C16</f>
        <v>2024 г.</v>
      </c>
      <c r="J9" s="3189" t="str">
        <f>'Приложение '!C17</f>
        <v>2025 г.</v>
      </c>
      <c r="K9" s="3190" t="str">
        <f>'Приложение '!C18</f>
        <v>2026 г.</v>
      </c>
      <c r="L9" s="3191" t="str">
        <f t="shared" ref="L9:AM9" si="0">E9</f>
        <v>2020 г.</v>
      </c>
      <c r="M9" s="3192" t="str">
        <f t="shared" si="0"/>
        <v>2021 г.</v>
      </c>
      <c r="N9" s="3189" t="str">
        <f t="shared" si="0"/>
        <v>2022 г.</v>
      </c>
      <c r="O9" s="3189" t="str">
        <f t="shared" si="0"/>
        <v>2023 г.</v>
      </c>
      <c r="P9" s="3189" t="str">
        <f t="shared" si="0"/>
        <v>2024 г.</v>
      </c>
      <c r="Q9" s="3189" t="str">
        <f t="shared" si="0"/>
        <v>2025 г.</v>
      </c>
      <c r="R9" s="3190" t="str">
        <f t="shared" si="0"/>
        <v>2026 г.</v>
      </c>
      <c r="S9" s="3191" t="str">
        <f t="shared" si="0"/>
        <v>2020 г.</v>
      </c>
      <c r="T9" s="3192" t="str">
        <f t="shared" si="0"/>
        <v>2021 г.</v>
      </c>
      <c r="U9" s="3189" t="str">
        <f t="shared" si="0"/>
        <v>2022 г.</v>
      </c>
      <c r="V9" s="3189" t="str">
        <f t="shared" si="0"/>
        <v>2023 г.</v>
      </c>
      <c r="W9" s="3189" t="str">
        <f t="shared" si="0"/>
        <v>2024 г.</v>
      </c>
      <c r="X9" s="3189" t="str">
        <f t="shared" si="0"/>
        <v>2025 г.</v>
      </c>
      <c r="Y9" s="3193" t="str">
        <f t="shared" si="0"/>
        <v>2026 г.</v>
      </c>
      <c r="Z9" s="3191" t="str">
        <f t="shared" si="0"/>
        <v>2020 г.</v>
      </c>
      <c r="AA9" s="3192" t="str">
        <f t="shared" si="0"/>
        <v>2021 г.</v>
      </c>
      <c r="AB9" s="3189" t="str">
        <f t="shared" si="0"/>
        <v>2022 г.</v>
      </c>
      <c r="AC9" s="3189" t="str">
        <f t="shared" si="0"/>
        <v>2023 г.</v>
      </c>
      <c r="AD9" s="3189" t="str">
        <f t="shared" si="0"/>
        <v>2024 г.</v>
      </c>
      <c r="AE9" s="3189" t="str">
        <f t="shared" si="0"/>
        <v>2025 г.</v>
      </c>
      <c r="AF9" s="3193" t="str">
        <f t="shared" si="0"/>
        <v>2026 г.</v>
      </c>
      <c r="AG9" s="3191" t="str">
        <f t="shared" si="0"/>
        <v>2020 г.</v>
      </c>
      <c r="AH9" s="3192" t="str">
        <f t="shared" si="0"/>
        <v>2021 г.</v>
      </c>
      <c r="AI9" s="3189" t="str">
        <f t="shared" si="0"/>
        <v>2022 г.</v>
      </c>
      <c r="AJ9" s="3189" t="str">
        <f t="shared" si="0"/>
        <v>2023 г.</v>
      </c>
      <c r="AK9" s="3189" t="str">
        <f t="shared" si="0"/>
        <v>2024 г.</v>
      </c>
      <c r="AL9" s="3189" t="str">
        <f t="shared" si="0"/>
        <v>2025 г.</v>
      </c>
      <c r="AM9" s="3193" t="str">
        <f t="shared" si="0"/>
        <v>2026 г.</v>
      </c>
      <c r="AN9" s="3191" t="str">
        <f t="shared" ref="AN9:AT9" si="1">S9</f>
        <v>2020 г.</v>
      </c>
      <c r="AO9" s="3192" t="str">
        <f t="shared" si="1"/>
        <v>2021 г.</v>
      </c>
      <c r="AP9" s="3189" t="str">
        <f t="shared" si="1"/>
        <v>2022 г.</v>
      </c>
      <c r="AQ9" s="3189" t="str">
        <f t="shared" si="1"/>
        <v>2023 г.</v>
      </c>
      <c r="AR9" s="3189" t="str">
        <f t="shared" si="1"/>
        <v>2024 г.</v>
      </c>
      <c r="AS9" s="3189" t="str">
        <f t="shared" si="1"/>
        <v>2025 г.</v>
      </c>
      <c r="AT9" s="3193" t="str">
        <f t="shared" si="1"/>
        <v>2026 г.</v>
      </c>
    </row>
    <row r="10" spans="1:94" s="45" customFormat="1" ht="39" thickBot="1">
      <c r="A10" s="3194" t="s">
        <v>1065</v>
      </c>
      <c r="B10" s="3194"/>
      <c r="C10" s="3194"/>
      <c r="D10" s="3195" t="s">
        <v>1579</v>
      </c>
      <c r="E10" s="3196" t="s">
        <v>1580</v>
      </c>
      <c r="F10" s="5430" t="s">
        <v>1581</v>
      </c>
      <c r="G10" s="5431"/>
      <c r="H10" s="5431"/>
      <c r="I10" s="5431"/>
      <c r="J10" s="5431"/>
      <c r="K10" s="5432"/>
      <c r="L10" s="3196" t="s">
        <v>1580</v>
      </c>
      <c r="M10" s="5430" t="s">
        <v>1581</v>
      </c>
      <c r="N10" s="5431"/>
      <c r="O10" s="5431"/>
      <c r="P10" s="5431"/>
      <c r="Q10" s="5431"/>
      <c r="R10" s="5432"/>
      <c r="S10" s="3196" t="s">
        <v>1580</v>
      </c>
      <c r="T10" s="5430" t="s">
        <v>1581</v>
      </c>
      <c r="U10" s="5431"/>
      <c r="V10" s="5431"/>
      <c r="W10" s="5431"/>
      <c r="X10" s="5431"/>
      <c r="Y10" s="5432"/>
      <c r="Z10" s="3196" t="s">
        <v>1580</v>
      </c>
      <c r="AA10" s="5430" t="s">
        <v>1581</v>
      </c>
      <c r="AB10" s="5431"/>
      <c r="AC10" s="5431"/>
      <c r="AD10" s="5431"/>
      <c r="AE10" s="5431"/>
      <c r="AF10" s="5432"/>
      <c r="AG10" s="3196" t="s">
        <v>1580</v>
      </c>
      <c r="AH10" s="5430" t="s">
        <v>1581</v>
      </c>
      <c r="AI10" s="5431"/>
      <c r="AJ10" s="5431"/>
      <c r="AK10" s="5431"/>
      <c r="AL10" s="5431"/>
      <c r="AM10" s="5432"/>
      <c r="AN10" s="3196" t="s">
        <v>1580</v>
      </c>
      <c r="AO10" s="5430" t="s">
        <v>1581</v>
      </c>
      <c r="AP10" s="5431"/>
      <c r="AQ10" s="5431"/>
      <c r="AR10" s="5431"/>
      <c r="AS10" s="5431"/>
      <c r="AT10" s="5432"/>
      <c r="AU10" s="1429"/>
    </row>
    <row r="11" spans="1:94" s="738" customFormat="1" ht="14.25" customHeight="1" thickBot="1">
      <c r="A11" s="3197" t="s">
        <v>210</v>
      </c>
      <c r="B11" s="3198"/>
      <c r="C11" s="3198"/>
      <c r="D11" s="3198" t="s">
        <v>339</v>
      </c>
      <c r="E11" s="3202">
        <f t="shared" ref="E11:AT11" si="2">E12+E15+E18+E30+E45+E50+SUM(E54:E59)</f>
        <v>567.77800000000013</v>
      </c>
      <c r="F11" s="3199">
        <f t="shared" si="2"/>
        <v>0</v>
      </c>
      <c r="G11" s="3200">
        <f t="shared" si="2"/>
        <v>3</v>
      </c>
      <c r="H11" s="3200">
        <f t="shared" si="2"/>
        <v>100</v>
      </c>
      <c r="I11" s="3200">
        <f t="shared" si="2"/>
        <v>135</v>
      </c>
      <c r="J11" s="3200">
        <f t="shared" si="2"/>
        <v>273</v>
      </c>
      <c r="K11" s="3201">
        <f t="shared" si="2"/>
        <v>50</v>
      </c>
      <c r="L11" s="3202">
        <f t="shared" si="2"/>
        <v>103.13400000000003</v>
      </c>
      <c r="M11" s="3199">
        <f t="shared" si="2"/>
        <v>0</v>
      </c>
      <c r="N11" s="3200">
        <f t="shared" si="2"/>
        <v>10</v>
      </c>
      <c r="O11" s="3200">
        <f t="shared" si="2"/>
        <v>0</v>
      </c>
      <c r="P11" s="3200">
        <f t="shared" si="2"/>
        <v>30</v>
      </c>
      <c r="Q11" s="3200">
        <f t="shared" si="2"/>
        <v>250</v>
      </c>
      <c r="R11" s="3201">
        <f t="shared" si="2"/>
        <v>100</v>
      </c>
      <c r="S11" s="3202">
        <f t="shared" si="2"/>
        <v>4.5749999999999993</v>
      </c>
      <c r="T11" s="3199">
        <f t="shared" si="2"/>
        <v>50</v>
      </c>
      <c r="U11" s="3200">
        <f t="shared" si="2"/>
        <v>10</v>
      </c>
      <c r="V11" s="3200">
        <f t="shared" si="2"/>
        <v>0</v>
      </c>
      <c r="W11" s="3200">
        <f t="shared" si="2"/>
        <v>10</v>
      </c>
      <c r="X11" s="3200">
        <f t="shared" si="2"/>
        <v>30</v>
      </c>
      <c r="Y11" s="3203">
        <f t="shared" si="2"/>
        <v>0</v>
      </c>
      <c r="Z11" s="3202">
        <f t="shared" ref="Z11:AF11" si="3">Z12+Z15+Z18+Z30+Z45+Z50+SUM(Z54:Z59)</f>
        <v>0.2</v>
      </c>
      <c r="AA11" s="3199">
        <f t="shared" si="3"/>
        <v>0</v>
      </c>
      <c r="AB11" s="3200">
        <f t="shared" si="3"/>
        <v>0</v>
      </c>
      <c r="AC11" s="3200">
        <f t="shared" si="3"/>
        <v>0</v>
      </c>
      <c r="AD11" s="3200">
        <f t="shared" si="3"/>
        <v>10</v>
      </c>
      <c r="AE11" s="3200">
        <f t="shared" si="3"/>
        <v>0</v>
      </c>
      <c r="AF11" s="3203">
        <f t="shared" si="3"/>
        <v>0</v>
      </c>
      <c r="AG11" s="3202">
        <f t="shared" ref="AG11:AM11" si="4">AG12+AG15+AG18+AG30+AG45+AG50+SUM(AG54:AG59)</f>
        <v>0</v>
      </c>
      <c r="AH11" s="3199">
        <f t="shared" si="4"/>
        <v>0</v>
      </c>
      <c r="AI11" s="3200">
        <f t="shared" si="4"/>
        <v>0</v>
      </c>
      <c r="AJ11" s="3200">
        <f t="shared" si="4"/>
        <v>0</v>
      </c>
      <c r="AK11" s="3200">
        <f t="shared" si="4"/>
        <v>0</v>
      </c>
      <c r="AL11" s="3200">
        <f t="shared" si="4"/>
        <v>0</v>
      </c>
      <c r="AM11" s="3201">
        <f t="shared" si="4"/>
        <v>0</v>
      </c>
      <c r="AN11" s="3202">
        <f t="shared" si="2"/>
        <v>0</v>
      </c>
      <c r="AO11" s="3199">
        <f>AO12+AO15+AO18+AO30+AO45+AO50+SUM(AO54:AO59)</f>
        <v>0</v>
      </c>
      <c r="AP11" s="3200">
        <f t="shared" si="2"/>
        <v>0</v>
      </c>
      <c r="AQ11" s="3200">
        <f t="shared" si="2"/>
        <v>0</v>
      </c>
      <c r="AR11" s="3200">
        <f t="shared" si="2"/>
        <v>0</v>
      </c>
      <c r="AS11" s="3200">
        <f t="shared" si="2"/>
        <v>0</v>
      </c>
      <c r="AT11" s="3203">
        <f t="shared" si="2"/>
        <v>0</v>
      </c>
      <c r="AU11" s="1430"/>
      <c r="AV11" s="1429"/>
    </row>
    <row r="12" spans="1:94" s="45" customFormat="1">
      <c r="A12" s="3204">
        <v>1</v>
      </c>
      <c r="B12" s="3204">
        <v>201</v>
      </c>
      <c r="C12" s="3205">
        <v>0</v>
      </c>
      <c r="D12" s="3206" t="s">
        <v>222</v>
      </c>
      <c r="E12" s="3207">
        <f>SUM(E13:E14)</f>
        <v>0</v>
      </c>
      <c r="F12" s="3208">
        <f>SUM(F13:F14)</f>
        <v>0</v>
      </c>
      <c r="G12" s="3209">
        <f>SUM(G13:G14)</f>
        <v>0</v>
      </c>
      <c r="H12" s="3209">
        <f>SUM(H13:H14)</f>
        <v>0</v>
      </c>
      <c r="I12" s="3209">
        <f t="shared" ref="I12:K12" si="5">SUM(I13:I14)</f>
        <v>0</v>
      </c>
      <c r="J12" s="3209">
        <f t="shared" si="5"/>
        <v>0</v>
      </c>
      <c r="K12" s="3210">
        <f t="shared" si="5"/>
        <v>0</v>
      </c>
      <c r="L12" s="3207">
        <f>SUM(L13:L14)</f>
        <v>0</v>
      </c>
      <c r="M12" s="3208">
        <f>SUM(M13:M14)</f>
        <v>0</v>
      </c>
      <c r="N12" s="3209">
        <f>SUM(N13:N14)</f>
        <v>0</v>
      </c>
      <c r="O12" s="3209">
        <f>SUM(O13:O14)</f>
        <v>0</v>
      </c>
      <c r="P12" s="3209">
        <f t="shared" ref="P12:R12" si="6">SUM(P13:P14)</f>
        <v>0</v>
      </c>
      <c r="Q12" s="3209">
        <f t="shared" si="6"/>
        <v>0</v>
      </c>
      <c r="R12" s="3210">
        <f t="shared" si="6"/>
        <v>0</v>
      </c>
      <c r="S12" s="3207">
        <f>SUM(S13:S14)</f>
        <v>0.49199999999999999</v>
      </c>
      <c r="T12" s="3208">
        <f>SUM(T13:T14)</f>
        <v>0</v>
      </c>
      <c r="U12" s="3209">
        <f>SUM(U13:U14)</f>
        <v>0</v>
      </c>
      <c r="V12" s="3209">
        <f>SUM(V13:V14)</f>
        <v>0</v>
      </c>
      <c r="W12" s="3209">
        <f t="shared" ref="W12:Y12" si="7">SUM(W13:W14)</f>
        <v>0</v>
      </c>
      <c r="X12" s="3209">
        <f t="shared" si="7"/>
        <v>0</v>
      </c>
      <c r="Y12" s="3211">
        <f t="shared" si="7"/>
        <v>0</v>
      </c>
      <c r="Z12" s="3207">
        <f>SUM(Z13:Z14)</f>
        <v>0</v>
      </c>
      <c r="AA12" s="3208">
        <f>SUM(AA13:AA14)</f>
        <v>0</v>
      </c>
      <c r="AB12" s="3209">
        <f>SUM(AB13:AB14)</f>
        <v>0</v>
      </c>
      <c r="AC12" s="3209">
        <f>SUM(AC13:AC14)</f>
        <v>0</v>
      </c>
      <c r="AD12" s="3209">
        <f t="shared" ref="AD12:AF12" si="8">SUM(AD13:AD14)</f>
        <v>0</v>
      </c>
      <c r="AE12" s="3209">
        <f t="shared" si="8"/>
        <v>0</v>
      </c>
      <c r="AF12" s="3211">
        <f t="shared" si="8"/>
        <v>0</v>
      </c>
      <c r="AG12" s="3207">
        <f>SUM(AG13:AG14)</f>
        <v>0</v>
      </c>
      <c r="AH12" s="3208">
        <f>SUM(AH13:AH14)</f>
        <v>0</v>
      </c>
      <c r="AI12" s="3209">
        <f>SUM(AI13:AI14)</f>
        <v>0</v>
      </c>
      <c r="AJ12" s="3209">
        <f>SUM(AJ13:AJ14)</f>
        <v>0</v>
      </c>
      <c r="AK12" s="3209">
        <f t="shared" ref="AK12:AM12" si="9">SUM(AK13:AK14)</f>
        <v>0</v>
      </c>
      <c r="AL12" s="3209">
        <f t="shared" si="9"/>
        <v>0</v>
      </c>
      <c r="AM12" s="3210">
        <f t="shared" si="9"/>
        <v>0</v>
      </c>
      <c r="AN12" s="3207">
        <f>SUM(AN13:AN14)</f>
        <v>0</v>
      </c>
      <c r="AO12" s="3366"/>
      <c r="AP12" s="3367"/>
      <c r="AQ12" s="3367"/>
      <c r="AR12" s="3367"/>
      <c r="AS12" s="3367"/>
      <c r="AT12" s="3368"/>
      <c r="AU12" s="1431"/>
    </row>
    <row r="13" spans="1:94" s="738" customFormat="1">
      <c r="A13" s="3212"/>
      <c r="B13" s="3213">
        <v>20101</v>
      </c>
      <c r="C13" s="3214">
        <v>0</v>
      </c>
      <c r="D13" s="3215" t="s">
        <v>562</v>
      </c>
      <c r="E13" s="448"/>
      <c r="F13" s="452"/>
      <c r="G13" s="450"/>
      <c r="H13" s="450"/>
      <c r="I13" s="450"/>
      <c r="J13" s="450"/>
      <c r="K13" s="287"/>
      <c r="L13" s="448"/>
      <c r="M13" s="452"/>
      <c r="N13" s="450"/>
      <c r="O13" s="450"/>
      <c r="P13" s="450"/>
      <c r="Q13" s="450"/>
      <c r="R13" s="287"/>
      <c r="S13" s="4907">
        <v>0.49199999999999999</v>
      </c>
      <c r="T13" s="452"/>
      <c r="U13" s="450"/>
      <c r="V13" s="450"/>
      <c r="W13" s="450"/>
      <c r="X13" s="450"/>
      <c r="Y13" s="451"/>
      <c r="Z13" s="448"/>
      <c r="AA13" s="452"/>
      <c r="AB13" s="450"/>
      <c r="AC13" s="450"/>
      <c r="AD13" s="450"/>
      <c r="AE13" s="450"/>
      <c r="AF13" s="451"/>
      <c r="AG13" s="448"/>
      <c r="AH13" s="452"/>
      <c r="AI13" s="450"/>
      <c r="AJ13" s="450"/>
      <c r="AK13" s="450"/>
      <c r="AL13" s="450"/>
      <c r="AM13" s="287"/>
      <c r="AN13" s="448"/>
      <c r="AO13" s="3369"/>
      <c r="AP13" s="3370"/>
      <c r="AQ13" s="3370"/>
      <c r="AR13" s="3370"/>
      <c r="AS13" s="3370"/>
      <c r="AT13" s="3371"/>
      <c r="AU13" s="1432"/>
    </row>
    <row r="14" spans="1:94" s="738" customFormat="1">
      <c r="A14" s="3212"/>
      <c r="B14" s="3213">
        <v>20102</v>
      </c>
      <c r="C14" s="3214">
        <v>0</v>
      </c>
      <c r="D14" s="3216" t="s">
        <v>564</v>
      </c>
      <c r="E14" s="448"/>
      <c r="F14" s="452"/>
      <c r="G14" s="450"/>
      <c r="H14" s="450"/>
      <c r="I14" s="450"/>
      <c r="J14" s="450"/>
      <c r="K14" s="287"/>
      <c r="L14" s="448"/>
      <c r="M14" s="452"/>
      <c r="N14" s="450"/>
      <c r="O14" s="450"/>
      <c r="P14" s="450"/>
      <c r="Q14" s="450"/>
      <c r="R14" s="287"/>
      <c r="S14" s="448"/>
      <c r="T14" s="452"/>
      <c r="U14" s="450"/>
      <c r="V14" s="450"/>
      <c r="W14" s="450"/>
      <c r="X14" s="450"/>
      <c r="Y14" s="451"/>
      <c r="Z14" s="448"/>
      <c r="AA14" s="452"/>
      <c r="AB14" s="450"/>
      <c r="AC14" s="450"/>
      <c r="AD14" s="450"/>
      <c r="AE14" s="450"/>
      <c r="AF14" s="451"/>
      <c r="AG14" s="448"/>
      <c r="AH14" s="452"/>
      <c r="AI14" s="450"/>
      <c r="AJ14" s="450"/>
      <c r="AK14" s="450"/>
      <c r="AL14" s="450"/>
      <c r="AM14" s="287"/>
      <c r="AN14" s="448"/>
      <c r="AO14" s="3369"/>
      <c r="AP14" s="3370"/>
      <c r="AQ14" s="3370"/>
      <c r="AR14" s="3370"/>
      <c r="AS14" s="3370"/>
      <c r="AT14" s="3371"/>
      <c r="AU14" s="1429"/>
    </row>
    <row r="15" spans="1:94" s="45" customFormat="1">
      <c r="A15" s="3217">
        <v>2</v>
      </c>
      <c r="B15" s="3218">
        <v>202</v>
      </c>
      <c r="C15" s="3219">
        <v>0.03</v>
      </c>
      <c r="D15" s="3220" t="s">
        <v>409</v>
      </c>
      <c r="E15" s="3221">
        <f>SUM(E16:E17)</f>
        <v>13.571</v>
      </c>
      <c r="F15" s="3222">
        <f>SUM(F16:F17)</f>
        <v>0</v>
      </c>
      <c r="G15" s="3223">
        <f t="shared" ref="G15:AN15" si="10">SUM(G16:G17)</f>
        <v>0</v>
      </c>
      <c r="H15" s="3223">
        <f t="shared" si="10"/>
        <v>0</v>
      </c>
      <c r="I15" s="3223">
        <f t="shared" si="10"/>
        <v>0</v>
      </c>
      <c r="J15" s="3223">
        <f t="shared" si="10"/>
        <v>0</v>
      </c>
      <c r="K15" s="3224">
        <f t="shared" si="10"/>
        <v>0</v>
      </c>
      <c r="L15" s="3221">
        <f t="shared" si="10"/>
        <v>1.1040000000000001</v>
      </c>
      <c r="M15" s="3222">
        <f t="shared" si="10"/>
        <v>0</v>
      </c>
      <c r="N15" s="3223">
        <f t="shared" si="10"/>
        <v>0</v>
      </c>
      <c r="O15" s="3223">
        <f t="shared" si="10"/>
        <v>0</v>
      </c>
      <c r="P15" s="3223">
        <f t="shared" si="10"/>
        <v>0</v>
      </c>
      <c r="Q15" s="3223">
        <f t="shared" si="10"/>
        <v>0</v>
      </c>
      <c r="R15" s="3224">
        <f t="shared" si="10"/>
        <v>0</v>
      </c>
      <c r="S15" s="3221">
        <f t="shared" si="10"/>
        <v>0</v>
      </c>
      <c r="T15" s="3222">
        <f t="shared" si="10"/>
        <v>0</v>
      </c>
      <c r="U15" s="3223">
        <f t="shared" si="10"/>
        <v>0</v>
      </c>
      <c r="V15" s="3223">
        <f t="shared" si="10"/>
        <v>0</v>
      </c>
      <c r="W15" s="3223">
        <f t="shared" si="10"/>
        <v>0</v>
      </c>
      <c r="X15" s="3223">
        <f t="shared" si="10"/>
        <v>0</v>
      </c>
      <c r="Y15" s="3225">
        <f t="shared" si="10"/>
        <v>0</v>
      </c>
      <c r="Z15" s="3221">
        <f t="shared" si="10"/>
        <v>2.1000000000000001E-2</v>
      </c>
      <c r="AA15" s="3222">
        <f t="shared" si="10"/>
        <v>0</v>
      </c>
      <c r="AB15" s="3223">
        <f t="shared" si="10"/>
        <v>0</v>
      </c>
      <c r="AC15" s="3223">
        <f t="shared" si="10"/>
        <v>0</v>
      </c>
      <c r="AD15" s="3223">
        <f t="shared" si="10"/>
        <v>0</v>
      </c>
      <c r="AE15" s="3223">
        <f t="shared" si="10"/>
        <v>0</v>
      </c>
      <c r="AF15" s="3225">
        <f t="shared" si="10"/>
        <v>0</v>
      </c>
      <c r="AG15" s="3221">
        <f>SUM(AG16:AG17)</f>
        <v>0</v>
      </c>
      <c r="AH15" s="3222">
        <f>SUM(AH16:AH17)</f>
        <v>0</v>
      </c>
      <c r="AI15" s="3223">
        <f t="shared" ref="AI15:AM15" si="11">SUM(AI16:AI17)</f>
        <v>0</v>
      </c>
      <c r="AJ15" s="3223">
        <f t="shared" si="11"/>
        <v>0</v>
      </c>
      <c r="AK15" s="3223">
        <f t="shared" si="11"/>
        <v>0</v>
      </c>
      <c r="AL15" s="3223">
        <f t="shared" si="11"/>
        <v>0</v>
      </c>
      <c r="AM15" s="3224">
        <f t="shared" si="11"/>
        <v>0</v>
      </c>
      <c r="AN15" s="3221">
        <f t="shared" si="10"/>
        <v>0</v>
      </c>
      <c r="AO15" s="3369"/>
      <c r="AP15" s="3370"/>
      <c r="AQ15" s="3370"/>
      <c r="AR15" s="3370"/>
      <c r="AS15" s="3370"/>
      <c r="AT15" s="3371"/>
    </row>
    <row r="16" spans="1:94" s="721" customFormat="1">
      <c r="A16" s="3226"/>
      <c r="B16" s="2921">
        <v>20201</v>
      </c>
      <c r="C16" s="3227">
        <v>0.03</v>
      </c>
      <c r="D16" s="3228" t="s">
        <v>430</v>
      </c>
      <c r="E16" s="4907">
        <v>2.34</v>
      </c>
      <c r="F16" s="452"/>
      <c r="G16" s="450"/>
      <c r="H16" s="450"/>
      <c r="I16" s="450"/>
      <c r="J16" s="450"/>
      <c r="K16" s="287"/>
      <c r="L16" s="4907">
        <v>1.1040000000000001</v>
      </c>
      <c r="M16" s="452"/>
      <c r="N16" s="450"/>
      <c r="O16" s="450"/>
      <c r="P16" s="450"/>
      <c r="Q16" s="450"/>
      <c r="R16" s="287"/>
      <c r="S16" s="448"/>
      <c r="T16" s="452"/>
      <c r="U16" s="450"/>
      <c r="V16" s="450"/>
      <c r="W16" s="450"/>
      <c r="X16" s="450"/>
      <c r="Y16" s="451"/>
      <c r="Z16" s="4907">
        <v>2.1000000000000001E-2</v>
      </c>
      <c r="AA16" s="452"/>
      <c r="AB16" s="450"/>
      <c r="AC16" s="450"/>
      <c r="AD16" s="450"/>
      <c r="AE16" s="450"/>
      <c r="AF16" s="451"/>
      <c r="AG16" s="448"/>
      <c r="AH16" s="452"/>
      <c r="AI16" s="450"/>
      <c r="AJ16" s="450"/>
      <c r="AK16" s="450"/>
      <c r="AL16" s="450"/>
      <c r="AM16" s="287"/>
      <c r="AN16" s="448"/>
      <c r="AO16" s="3369"/>
      <c r="AP16" s="3370"/>
      <c r="AQ16" s="3370"/>
      <c r="AR16" s="3370"/>
      <c r="AS16" s="3370"/>
      <c r="AT16" s="3371"/>
      <c r="AU16" s="1429"/>
    </row>
    <row r="17" spans="1:47" s="721" customFormat="1">
      <c r="A17" s="3226"/>
      <c r="B17" s="2921">
        <v>20202</v>
      </c>
      <c r="C17" s="3227">
        <v>0.03</v>
      </c>
      <c r="D17" s="3228" t="s">
        <v>431</v>
      </c>
      <c r="E17" s="4908">
        <v>11.231</v>
      </c>
      <c r="F17" s="452"/>
      <c r="G17" s="450"/>
      <c r="H17" s="450"/>
      <c r="I17" s="450"/>
      <c r="J17" s="450"/>
      <c r="K17" s="287"/>
      <c r="L17" s="448"/>
      <c r="M17" s="452"/>
      <c r="N17" s="450"/>
      <c r="O17" s="450"/>
      <c r="P17" s="450"/>
      <c r="Q17" s="450"/>
      <c r="R17" s="287"/>
      <c r="S17" s="448"/>
      <c r="T17" s="452"/>
      <c r="U17" s="450"/>
      <c r="V17" s="450"/>
      <c r="W17" s="450"/>
      <c r="X17" s="450"/>
      <c r="Y17" s="451"/>
      <c r="Z17" s="448"/>
      <c r="AA17" s="452"/>
      <c r="AB17" s="450"/>
      <c r="AC17" s="450"/>
      <c r="AD17" s="450"/>
      <c r="AE17" s="450"/>
      <c r="AF17" s="451"/>
      <c r="AG17" s="448"/>
      <c r="AH17" s="452"/>
      <c r="AI17" s="450"/>
      <c r="AJ17" s="450"/>
      <c r="AK17" s="450"/>
      <c r="AL17" s="450"/>
      <c r="AM17" s="287"/>
      <c r="AN17" s="448"/>
      <c r="AO17" s="3369"/>
      <c r="AP17" s="3370"/>
      <c r="AQ17" s="3370"/>
      <c r="AR17" s="3370"/>
      <c r="AS17" s="3370"/>
      <c r="AT17" s="3371"/>
      <c r="AU17" s="1429"/>
    </row>
    <row r="18" spans="1:47" s="45" customFormat="1" ht="12.75" customHeight="1">
      <c r="A18" s="3217">
        <v>3</v>
      </c>
      <c r="B18" s="3218">
        <v>203</v>
      </c>
      <c r="C18" s="3219"/>
      <c r="D18" s="3229" t="s">
        <v>410</v>
      </c>
      <c r="E18" s="3221">
        <f t="shared" ref="E18:AN18" si="12">SUM(E19:E29)-E22-E25</f>
        <v>214.34</v>
      </c>
      <c r="F18" s="3222">
        <f t="shared" si="12"/>
        <v>0</v>
      </c>
      <c r="G18" s="3223">
        <f>SUM(G19:G29)-G22-G25</f>
        <v>0</v>
      </c>
      <c r="H18" s="3223">
        <f t="shared" si="12"/>
        <v>100</v>
      </c>
      <c r="I18" s="3223">
        <f t="shared" si="12"/>
        <v>100</v>
      </c>
      <c r="J18" s="3223">
        <f t="shared" si="12"/>
        <v>220</v>
      </c>
      <c r="K18" s="3224">
        <f t="shared" si="12"/>
        <v>0</v>
      </c>
      <c r="L18" s="3221">
        <f t="shared" si="12"/>
        <v>3.1E-2</v>
      </c>
      <c r="M18" s="3222">
        <f t="shared" si="12"/>
        <v>0</v>
      </c>
      <c r="N18" s="3223">
        <f t="shared" si="12"/>
        <v>0</v>
      </c>
      <c r="O18" s="3223">
        <f t="shared" si="12"/>
        <v>0</v>
      </c>
      <c r="P18" s="3223">
        <f t="shared" si="12"/>
        <v>0</v>
      </c>
      <c r="Q18" s="3223">
        <f t="shared" si="12"/>
        <v>120</v>
      </c>
      <c r="R18" s="3224">
        <f t="shared" si="12"/>
        <v>0</v>
      </c>
      <c r="S18" s="3221">
        <f t="shared" si="12"/>
        <v>0</v>
      </c>
      <c r="T18" s="3222">
        <f t="shared" si="12"/>
        <v>0</v>
      </c>
      <c r="U18" s="3223">
        <f t="shared" si="12"/>
        <v>0</v>
      </c>
      <c r="V18" s="3223">
        <f t="shared" si="12"/>
        <v>0</v>
      </c>
      <c r="W18" s="3223">
        <f t="shared" si="12"/>
        <v>10</v>
      </c>
      <c r="X18" s="3223">
        <f t="shared" si="12"/>
        <v>30</v>
      </c>
      <c r="Y18" s="3225">
        <f t="shared" si="12"/>
        <v>0</v>
      </c>
      <c r="Z18" s="3221">
        <f t="shared" ref="Z18:AM18" si="13">SUM(Z19:Z29)-Z22-Z25</f>
        <v>0</v>
      </c>
      <c r="AA18" s="3222">
        <f t="shared" si="13"/>
        <v>0</v>
      </c>
      <c r="AB18" s="3223">
        <f t="shared" si="13"/>
        <v>0</v>
      </c>
      <c r="AC18" s="3223">
        <f t="shared" si="13"/>
        <v>0</v>
      </c>
      <c r="AD18" s="3223">
        <f t="shared" si="13"/>
        <v>0</v>
      </c>
      <c r="AE18" s="3223">
        <f t="shared" si="13"/>
        <v>0</v>
      </c>
      <c r="AF18" s="3225">
        <f t="shared" si="13"/>
        <v>0</v>
      </c>
      <c r="AG18" s="3221">
        <f t="shared" si="13"/>
        <v>0</v>
      </c>
      <c r="AH18" s="3222">
        <f t="shared" si="13"/>
        <v>0</v>
      </c>
      <c r="AI18" s="3223">
        <f>SUM(AI19:AI29)-AI22-AI25</f>
        <v>0</v>
      </c>
      <c r="AJ18" s="3223">
        <f t="shared" si="13"/>
        <v>0</v>
      </c>
      <c r="AK18" s="3223">
        <f t="shared" si="13"/>
        <v>0</v>
      </c>
      <c r="AL18" s="3223">
        <f t="shared" si="13"/>
        <v>0</v>
      </c>
      <c r="AM18" s="3224">
        <f t="shared" si="13"/>
        <v>0</v>
      </c>
      <c r="AN18" s="3221">
        <f t="shared" si="12"/>
        <v>0</v>
      </c>
      <c r="AO18" s="3369"/>
      <c r="AP18" s="3370"/>
      <c r="AQ18" s="3370"/>
      <c r="AR18" s="3370"/>
      <c r="AS18" s="3370"/>
      <c r="AT18" s="3371"/>
    </row>
    <row r="19" spans="1:47" s="721" customFormat="1">
      <c r="A19" s="3226"/>
      <c r="B19" s="2921">
        <v>20301</v>
      </c>
      <c r="C19" s="3227">
        <v>0.1</v>
      </c>
      <c r="D19" s="3230" t="s">
        <v>432</v>
      </c>
      <c r="E19" s="4907">
        <v>2.585</v>
      </c>
      <c r="F19" s="452"/>
      <c r="G19" s="450"/>
      <c r="H19" s="450"/>
      <c r="I19" s="450"/>
      <c r="J19" s="450"/>
      <c r="K19" s="287"/>
      <c r="L19" s="448"/>
      <c r="M19" s="452"/>
      <c r="N19" s="450"/>
      <c r="O19" s="450"/>
      <c r="P19" s="450"/>
      <c r="Q19" s="450"/>
      <c r="R19" s="287"/>
      <c r="S19" s="448"/>
      <c r="T19" s="452"/>
      <c r="U19" s="450"/>
      <c r="V19" s="450"/>
      <c r="W19" s="450"/>
      <c r="X19" s="450"/>
      <c r="Y19" s="451"/>
      <c r="Z19" s="448"/>
      <c r="AA19" s="452"/>
      <c r="AB19" s="450"/>
      <c r="AC19" s="450"/>
      <c r="AD19" s="450"/>
      <c r="AE19" s="450"/>
      <c r="AF19" s="451"/>
      <c r="AG19" s="448"/>
      <c r="AH19" s="452"/>
      <c r="AI19" s="450"/>
      <c r="AJ19" s="450"/>
      <c r="AK19" s="450"/>
      <c r="AL19" s="450"/>
      <c r="AM19" s="287"/>
      <c r="AN19" s="448"/>
      <c r="AO19" s="3369"/>
      <c r="AP19" s="3370"/>
      <c r="AQ19" s="3370"/>
      <c r="AR19" s="3370"/>
      <c r="AS19" s="3370"/>
      <c r="AT19" s="3371"/>
      <c r="AU19" s="1429"/>
    </row>
    <row r="20" spans="1:47" s="721" customFormat="1">
      <c r="A20" s="3226"/>
      <c r="B20" s="2921">
        <v>20302</v>
      </c>
      <c r="C20" s="3227">
        <v>0.1</v>
      </c>
      <c r="D20" s="3230" t="s">
        <v>433</v>
      </c>
      <c r="E20" s="448"/>
      <c r="F20" s="452"/>
      <c r="G20" s="450"/>
      <c r="H20" s="450">
        <v>100</v>
      </c>
      <c r="I20" s="450">
        <v>100</v>
      </c>
      <c r="J20" s="450">
        <v>100</v>
      </c>
      <c r="K20" s="287"/>
      <c r="L20" s="448"/>
      <c r="M20" s="452"/>
      <c r="N20" s="450"/>
      <c r="O20" s="450"/>
      <c r="P20" s="450"/>
      <c r="Q20" s="450">
        <v>120</v>
      </c>
      <c r="R20" s="287"/>
      <c r="S20" s="448"/>
      <c r="T20" s="452"/>
      <c r="U20" s="450"/>
      <c r="V20" s="450"/>
      <c r="W20" s="450">
        <v>10</v>
      </c>
      <c r="X20" s="450">
        <v>30</v>
      </c>
      <c r="Y20" s="451"/>
      <c r="Z20" s="448"/>
      <c r="AA20" s="452"/>
      <c r="AB20" s="450"/>
      <c r="AC20" s="450"/>
      <c r="AD20" s="450"/>
      <c r="AE20" s="450"/>
      <c r="AF20" s="451"/>
      <c r="AG20" s="448"/>
      <c r="AH20" s="452"/>
      <c r="AI20" s="450"/>
      <c r="AJ20" s="450"/>
      <c r="AK20" s="450"/>
      <c r="AL20" s="450"/>
      <c r="AM20" s="287"/>
      <c r="AN20" s="448"/>
      <c r="AO20" s="3369"/>
      <c r="AP20" s="3370"/>
      <c r="AQ20" s="3370"/>
      <c r="AR20" s="3370"/>
      <c r="AS20" s="3370"/>
      <c r="AT20" s="3371"/>
      <c r="AU20" s="1429"/>
    </row>
    <row r="21" spans="1:47" s="721" customFormat="1">
      <c r="A21" s="3226"/>
      <c r="B21" s="2921">
        <v>20303</v>
      </c>
      <c r="C21" s="3227">
        <v>0.1</v>
      </c>
      <c r="D21" s="3230" t="s">
        <v>411</v>
      </c>
      <c r="E21" s="448"/>
      <c r="F21" s="452"/>
      <c r="G21" s="450"/>
      <c r="H21" s="450"/>
      <c r="I21" s="450"/>
      <c r="J21" s="450"/>
      <c r="K21" s="287"/>
      <c r="L21" s="448"/>
      <c r="M21" s="452"/>
      <c r="N21" s="450"/>
      <c r="O21" s="450"/>
      <c r="P21" s="450"/>
      <c r="Q21" s="450"/>
      <c r="R21" s="287"/>
      <c r="S21" s="448"/>
      <c r="T21" s="452"/>
      <c r="U21" s="450"/>
      <c r="V21" s="450"/>
      <c r="W21" s="450"/>
      <c r="X21" s="450"/>
      <c r="Y21" s="451"/>
      <c r="Z21" s="448"/>
      <c r="AA21" s="452"/>
      <c r="AB21" s="450"/>
      <c r="AC21" s="450"/>
      <c r="AD21" s="450"/>
      <c r="AE21" s="450"/>
      <c r="AF21" s="451"/>
      <c r="AG21" s="448"/>
      <c r="AH21" s="452"/>
      <c r="AI21" s="450"/>
      <c r="AJ21" s="450"/>
      <c r="AK21" s="450"/>
      <c r="AL21" s="450"/>
      <c r="AM21" s="287"/>
      <c r="AN21" s="448"/>
      <c r="AO21" s="3369"/>
      <c r="AP21" s="3370"/>
      <c r="AQ21" s="3370"/>
      <c r="AR21" s="3370"/>
      <c r="AS21" s="3370"/>
      <c r="AT21" s="3371"/>
      <c r="AU21" s="1429"/>
    </row>
    <row r="22" spans="1:47" s="721" customFormat="1">
      <c r="A22" s="3226"/>
      <c r="B22" s="2921">
        <v>20304</v>
      </c>
      <c r="C22" s="3227">
        <v>0.1</v>
      </c>
      <c r="D22" s="3230" t="s">
        <v>412</v>
      </c>
      <c r="E22" s="3231">
        <f t="shared" ref="E22:AN22" si="14">SUM(E23:E24)</f>
        <v>29.258000000000003</v>
      </c>
      <c r="F22" s="3232">
        <f t="shared" si="14"/>
        <v>0</v>
      </c>
      <c r="G22" s="3233">
        <f t="shared" si="14"/>
        <v>0</v>
      </c>
      <c r="H22" s="3233">
        <f t="shared" si="14"/>
        <v>0</v>
      </c>
      <c r="I22" s="3233">
        <f t="shared" si="14"/>
        <v>0</v>
      </c>
      <c r="J22" s="3233">
        <f t="shared" si="14"/>
        <v>0</v>
      </c>
      <c r="K22" s="3234">
        <f t="shared" si="14"/>
        <v>0</v>
      </c>
      <c r="L22" s="3231">
        <f t="shared" si="14"/>
        <v>0</v>
      </c>
      <c r="M22" s="3232">
        <f t="shared" si="14"/>
        <v>0</v>
      </c>
      <c r="N22" s="3233">
        <f t="shared" si="14"/>
        <v>0</v>
      </c>
      <c r="O22" s="3233">
        <f t="shared" si="14"/>
        <v>0</v>
      </c>
      <c r="P22" s="3233">
        <f t="shared" si="14"/>
        <v>0</v>
      </c>
      <c r="Q22" s="3233">
        <f t="shared" si="14"/>
        <v>0</v>
      </c>
      <c r="R22" s="3234">
        <f t="shared" si="14"/>
        <v>0</v>
      </c>
      <c r="S22" s="3231">
        <f t="shared" si="14"/>
        <v>0</v>
      </c>
      <c r="T22" s="3232">
        <f t="shared" si="14"/>
        <v>0</v>
      </c>
      <c r="U22" s="3233">
        <f t="shared" si="14"/>
        <v>0</v>
      </c>
      <c r="V22" s="3233">
        <f t="shared" si="14"/>
        <v>0</v>
      </c>
      <c r="W22" s="3233">
        <f t="shared" si="14"/>
        <v>0</v>
      </c>
      <c r="X22" s="3233">
        <f t="shared" si="14"/>
        <v>0</v>
      </c>
      <c r="Y22" s="3235">
        <f t="shared" si="14"/>
        <v>0</v>
      </c>
      <c r="Z22" s="3231">
        <f t="shared" ref="Z22:AM22" si="15">SUM(Z23:Z24)</f>
        <v>0</v>
      </c>
      <c r="AA22" s="3232">
        <f t="shared" si="15"/>
        <v>0</v>
      </c>
      <c r="AB22" s="3233">
        <f t="shared" si="15"/>
        <v>0</v>
      </c>
      <c r="AC22" s="3233">
        <f t="shared" si="15"/>
        <v>0</v>
      </c>
      <c r="AD22" s="3233">
        <f t="shared" si="15"/>
        <v>0</v>
      </c>
      <c r="AE22" s="3233">
        <f t="shared" si="15"/>
        <v>0</v>
      </c>
      <c r="AF22" s="3235">
        <f t="shared" si="15"/>
        <v>0</v>
      </c>
      <c r="AG22" s="3231">
        <f t="shared" si="15"/>
        <v>0</v>
      </c>
      <c r="AH22" s="3232">
        <f t="shared" si="15"/>
        <v>0</v>
      </c>
      <c r="AI22" s="3233">
        <f t="shared" si="15"/>
        <v>0</v>
      </c>
      <c r="AJ22" s="3233">
        <f t="shared" si="15"/>
        <v>0</v>
      </c>
      <c r="AK22" s="3233">
        <f t="shared" si="15"/>
        <v>0</v>
      </c>
      <c r="AL22" s="3233">
        <f t="shared" si="15"/>
        <v>0</v>
      </c>
      <c r="AM22" s="3234">
        <f t="shared" si="15"/>
        <v>0</v>
      </c>
      <c r="AN22" s="3231">
        <f t="shared" si="14"/>
        <v>0</v>
      </c>
      <c r="AO22" s="3369"/>
      <c r="AP22" s="3370"/>
      <c r="AQ22" s="3370"/>
      <c r="AR22" s="3370"/>
      <c r="AS22" s="3370"/>
      <c r="AT22" s="3371"/>
    </row>
    <row r="23" spans="1:47" s="721" customFormat="1">
      <c r="A23" s="3226"/>
      <c r="B23" s="3236">
        <v>2030401</v>
      </c>
      <c r="C23" s="3237">
        <v>0.1</v>
      </c>
      <c r="D23" s="3238" t="s">
        <v>999</v>
      </c>
      <c r="E23" s="4908">
        <f>26.178+3.08</f>
        <v>29.258000000000003</v>
      </c>
      <c r="F23" s="452"/>
      <c r="G23" s="450"/>
      <c r="H23" s="450"/>
      <c r="I23" s="450">
        <v>0</v>
      </c>
      <c r="J23" s="450"/>
      <c r="K23" s="287"/>
      <c r="L23" s="448"/>
      <c r="M23" s="452"/>
      <c r="N23" s="450"/>
      <c r="O23" s="450"/>
      <c r="P23" s="450"/>
      <c r="Q23" s="450"/>
      <c r="R23" s="287"/>
      <c r="S23" s="448"/>
      <c r="T23" s="452"/>
      <c r="U23" s="450"/>
      <c r="V23" s="450"/>
      <c r="W23" s="450"/>
      <c r="X23" s="450"/>
      <c r="Y23" s="451"/>
      <c r="Z23" s="448"/>
      <c r="AA23" s="452"/>
      <c r="AB23" s="450"/>
      <c r="AC23" s="450"/>
      <c r="AD23" s="450"/>
      <c r="AE23" s="450"/>
      <c r="AF23" s="451"/>
      <c r="AG23" s="448"/>
      <c r="AH23" s="452"/>
      <c r="AI23" s="450"/>
      <c r="AJ23" s="450"/>
      <c r="AK23" s="450"/>
      <c r="AL23" s="450"/>
      <c r="AM23" s="287"/>
      <c r="AN23" s="448"/>
      <c r="AO23" s="3369"/>
      <c r="AP23" s="3370"/>
      <c r="AQ23" s="3370"/>
      <c r="AR23" s="3370"/>
      <c r="AS23" s="3370"/>
      <c r="AT23" s="3371"/>
      <c r="AU23" s="1429"/>
    </row>
    <row r="24" spans="1:47" s="721" customFormat="1">
      <c r="A24" s="3226"/>
      <c r="B24" s="3236">
        <v>2030402</v>
      </c>
      <c r="C24" s="3237">
        <v>0.1</v>
      </c>
      <c r="D24" s="3238" t="s">
        <v>434</v>
      </c>
      <c r="E24" s="448"/>
      <c r="F24" s="452"/>
      <c r="G24" s="450"/>
      <c r="H24" s="450"/>
      <c r="I24" s="450"/>
      <c r="J24" s="450"/>
      <c r="K24" s="287"/>
      <c r="L24" s="448"/>
      <c r="M24" s="452"/>
      <c r="N24" s="450"/>
      <c r="O24" s="450"/>
      <c r="P24" s="450"/>
      <c r="Q24" s="450"/>
      <c r="R24" s="287"/>
      <c r="S24" s="448"/>
      <c r="T24" s="452"/>
      <c r="U24" s="450"/>
      <c r="V24" s="450"/>
      <c r="W24" s="450"/>
      <c r="X24" s="450"/>
      <c r="Y24" s="451"/>
      <c r="Z24" s="448"/>
      <c r="AA24" s="452"/>
      <c r="AB24" s="450"/>
      <c r="AC24" s="450"/>
      <c r="AD24" s="450"/>
      <c r="AE24" s="450"/>
      <c r="AF24" s="451"/>
      <c r="AG24" s="448"/>
      <c r="AH24" s="452"/>
      <c r="AI24" s="450"/>
      <c r="AJ24" s="450"/>
      <c r="AK24" s="450"/>
      <c r="AL24" s="450"/>
      <c r="AM24" s="287"/>
      <c r="AN24" s="448"/>
      <c r="AO24" s="3369"/>
      <c r="AP24" s="3370"/>
      <c r="AQ24" s="3370"/>
      <c r="AR24" s="3370"/>
      <c r="AS24" s="3370"/>
      <c r="AT24" s="3371"/>
      <c r="AU24" s="1429"/>
    </row>
    <row r="25" spans="1:47" s="721" customFormat="1">
      <c r="A25" s="3226"/>
      <c r="B25" s="2921">
        <v>20305</v>
      </c>
      <c r="C25" s="3239">
        <v>0.1</v>
      </c>
      <c r="D25" s="3230" t="s">
        <v>435</v>
      </c>
      <c r="E25" s="3231">
        <f>SUM(E26:E28)</f>
        <v>176.53700000000001</v>
      </c>
      <c r="F25" s="3232">
        <f t="shared" ref="F25:AN25" si="16">SUM(F26:F28)</f>
        <v>0</v>
      </c>
      <c r="G25" s="3233">
        <f t="shared" si="16"/>
        <v>0</v>
      </c>
      <c r="H25" s="3233">
        <f t="shared" si="16"/>
        <v>0</v>
      </c>
      <c r="I25" s="3233">
        <f t="shared" si="16"/>
        <v>0</v>
      </c>
      <c r="J25" s="3233">
        <f t="shared" si="16"/>
        <v>0</v>
      </c>
      <c r="K25" s="3234">
        <f t="shared" si="16"/>
        <v>0</v>
      </c>
      <c r="L25" s="3231">
        <f t="shared" si="16"/>
        <v>3.1E-2</v>
      </c>
      <c r="M25" s="3232">
        <f t="shared" si="16"/>
        <v>0</v>
      </c>
      <c r="N25" s="3233">
        <f t="shared" si="16"/>
        <v>0</v>
      </c>
      <c r="O25" s="3233">
        <f t="shared" si="16"/>
        <v>0</v>
      </c>
      <c r="P25" s="3233">
        <f t="shared" si="16"/>
        <v>0</v>
      </c>
      <c r="Q25" s="3233">
        <f t="shared" si="16"/>
        <v>0</v>
      </c>
      <c r="R25" s="3234">
        <f t="shared" si="16"/>
        <v>0</v>
      </c>
      <c r="S25" s="3231">
        <f t="shared" si="16"/>
        <v>0</v>
      </c>
      <c r="T25" s="3232">
        <f t="shared" si="16"/>
        <v>0</v>
      </c>
      <c r="U25" s="3233">
        <f t="shared" si="16"/>
        <v>0</v>
      </c>
      <c r="V25" s="3233">
        <f t="shared" si="16"/>
        <v>0</v>
      </c>
      <c r="W25" s="3233">
        <f t="shared" si="16"/>
        <v>0</v>
      </c>
      <c r="X25" s="3233">
        <f t="shared" si="16"/>
        <v>0</v>
      </c>
      <c r="Y25" s="3235">
        <f t="shared" si="16"/>
        <v>0</v>
      </c>
      <c r="Z25" s="3231">
        <f t="shared" si="16"/>
        <v>0</v>
      </c>
      <c r="AA25" s="3232">
        <f t="shared" si="16"/>
        <v>0</v>
      </c>
      <c r="AB25" s="3233">
        <f t="shared" si="16"/>
        <v>0</v>
      </c>
      <c r="AC25" s="3233">
        <f t="shared" si="16"/>
        <v>0</v>
      </c>
      <c r="AD25" s="3233">
        <f t="shared" si="16"/>
        <v>0</v>
      </c>
      <c r="AE25" s="3233">
        <f t="shared" si="16"/>
        <v>0</v>
      </c>
      <c r="AF25" s="3235">
        <f t="shared" si="16"/>
        <v>0</v>
      </c>
      <c r="AG25" s="3231">
        <f>SUM(AG26:AG28)</f>
        <v>0</v>
      </c>
      <c r="AH25" s="3232">
        <f t="shared" ref="AH25:AM25" si="17">SUM(AH26:AH28)</f>
        <v>0</v>
      </c>
      <c r="AI25" s="3233">
        <f t="shared" si="17"/>
        <v>0</v>
      </c>
      <c r="AJ25" s="3233">
        <f t="shared" si="17"/>
        <v>0</v>
      </c>
      <c r="AK25" s="3233">
        <f t="shared" si="17"/>
        <v>0</v>
      </c>
      <c r="AL25" s="3233">
        <f t="shared" si="17"/>
        <v>0</v>
      </c>
      <c r="AM25" s="3234">
        <f t="shared" si="17"/>
        <v>0</v>
      </c>
      <c r="AN25" s="3231">
        <f t="shared" si="16"/>
        <v>0</v>
      </c>
      <c r="AO25" s="3369"/>
      <c r="AP25" s="3370"/>
      <c r="AQ25" s="3370"/>
      <c r="AR25" s="3370"/>
      <c r="AS25" s="3370"/>
      <c r="AT25" s="3371"/>
    </row>
    <row r="26" spans="1:47" s="721" customFormat="1">
      <c r="A26" s="3226"/>
      <c r="B26" s="2921">
        <v>2030501</v>
      </c>
      <c r="C26" s="3240">
        <v>0.1</v>
      </c>
      <c r="D26" s="3238" t="s">
        <v>1009</v>
      </c>
      <c r="E26" s="4908">
        <v>56.319000000000003</v>
      </c>
      <c r="F26" s="452"/>
      <c r="G26" s="450"/>
      <c r="H26" s="450"/>
      <c r="I26" s="450"/>
      <c r="J26" s="450"/>
      <c r="K26" s="287"/>
      <c r="L26" s="4907">
        <v>3.1E-2</v>
      </c>
      <c r="M26" s="452"/>
      <c r="N26" s="450"/>
      <c r="O26" s="450"/>
      <c r="P26" s="450"/>
      <c r="Q26" s="450"/>
      <c r="R26" s="287"/>
      <c r="S26" s="448"/>
      <c r="T26" s="452"/>
      <c r="U26" s="450"/>
      <c r="V26" s="450"/>
      <c r="W26" s="450"/>
      <c r="X26" s="450"/>
      <c r="Y26" s="451"/>
      <c r="Z26" s="448"/>
      <c r="AA26" s="452"/>
      <c r="AB26" s="450"/>
      <c r="AC26" s="450"/>
      <c r="AD26" s="450"/>
      <c r="AE26" s="450"/>
      <c r="AF26" s="451"/>
      <c r="AG26" s="448"/>
      <c r="AH26" s="452"/>
      <c r="AI26" s="450"/>
      <c r="AJ26" s="450"/>
      <c r="AK26" s="450"/>
      <c r="AL26" s="450"/>
      <c r="AM26" s="287"/>
      <c r="AN26" s="448"/>
      <c r="AO26" s="3369"/>
      <c r="AP26" s="3370"/>
      <c r="AQ26" s="3370"/>
      <c r="AR26" s="3370"/>
      <c r="AS26" s="3370"/>
      <c r="AT26" s="3371"/>
      <c r="AU26" s="1429"/>
    </row>
    <row r="27" spans="1:47" s="721" customFormat="1" ht="25.5">
      <c r="A27" s="3226"/>
      <c r="B27" s="2921">
        <v>2030502</v>
      </c>
      <c r="C27" s="3240">
        <v>0.1</v>
      </c>
      <c r="D27" s="3238" t="s">
        <v>702</v>
      </c>
      <c r="E27" s="4908">
        <v>104.34099999999999</v>
      </c>
      <c r="F27" s="452"/>
      <c r="G27" s="450"/>
      <c r="H27" s="450"/>
      <c r="I27" s="450"/>
      <c r="J27" s="450"/>
      <c r="K27" s="287"/>
      <c r="L27" s="448"/>
      <c r="M27" s="452"/>
      <c r="N27" s="450"/>
      <c r="O27" s="450"/>
      <c r="P27" s="450"/>
      <c r="Q27" s="450"/>
      <c r="R27" s="287"/>
      <c r="S27" s="448"/>
      <c r="T27" s="452"/>
      <c r="U27" s="450"/>
      <c r="V27" s="450"/>
      <c r="W27" s="450"/>
      <c r="X27" s="450"/>
      <c r="Y27" s="451"/>
      <c r="Z27" s="448"/>
      <c r="AA27" s="452"/>
      <c r="AB27" s="450"/>
      <c r="AC27" s="450"/>
      <c r="AD27" s="450"/>
      <c r="AE27" s="450"/>
      <c r="AF27" s="451"/>
      <c r="AG27" s="448"/>
      <c r="AH27" s="452"/>
      <c r="AI27" s="450"/>
      <c r="AJ27" s="450"/>
      <c r="AK27" s="450"/>
      <c r="AL27" s="450"/>
      <c r="AM27" s="287"/>
      <c r="AN27" s="448"/>
      <c r="AO27" s="3369"/>
      <c r="AP27" s="3370"/>
      <c r="AQ27" s="3370"/>
      <c r="AR27" s="3370"/>
      <c r="AS27" s="3370"/>
      <c r="AT27" s="3371"/>
      <c r="AU27" s="1429"/>
    </row>
    <row r="28" spans="1:47" s="721" customFormat="1">
      <c r="A28" s="3226"/>
      <c r="B28" s="2921">
        <v>2030503</v>
      </c>
      <c r="C28" s="3240">
        <v>0.1</v>
      </c>
      <c r="D28" s="3238" t="s">
        <v>720</v>
      </c>
      <c r="E28" s="4908">
        <v>15.877000000000001</v>
      </c>
      <c r="F28" s="452"/>
      <c r="G28" s="450"/>
      <c r="H28" s="450"/>
      <c r="I28" s="450"/>
      <c r="J28" s="450"/>
      <c r="K28" s="287"/>
      <c r="L28" s="448"/>
      <c r="M28" s="452"/>
      <c r="N28" s="450"/>
      <c r="O28" s="450"/>
      <c r="P28" s="450"/>
      <c r="Q28" s="450"/>
      <c r="R28" s="287"/>
      <c r="S28" s="448"/>
      <c r="T28" s="452"/>
      <c r="U28" s="450"/>
      <c r="V28" s="450"/>
      <c r="W28" s="450"/>
      <c r="X28" s="450"/>
      <c r="Y28" s="451"/>
      <c r="Z28" s="448"/>
      <c r="AA28" s="452"/>
      <c r="AB28" s="450"/>
      <c r="AC28" s="450"/>
      <c r="AD28" s="450"/>
      <c r="AE28" s="450"/>
      <c r="AF28" s="451"/>
      <c r="AG28" s="448"/>
      <c r="AH28" s="452"/>
      <c r="AI28" s="450"/>
      <c r="AJ28" s="450"/>
      <c r="AK28" s="450"/>
      <c r="AL28" s="450"/>
      <c r="AM28" s="287"/>
      <c r="AN28" s="448"/>
      <c r="AO28" s="3369"/>
      <c r="AP28" s="3370"/>
      <c r="AQ28" s="3370"/>
      <c r="AR28" s="3370"/>
      <c r="AS28" s="3370"/>
      <c r="AT28" s="3371"/>
      <c r="AU28" s="1429"/>
    </row>
    <row r="29" spans="1:47" s="721" customFormat="1">
      <c r="A29" s="3226"/>
      <c r="B29" s="2921">
        <v>20306</v>
      </c>
      <c r="C29" s="3227">
        <v>0.1</v>
      </c>
      <c r="D29" s="3230" t="s">
        <v>414</v>
      </c>
      <c r="E29" s="4907">
        <f>4.305+1.655</f>
        <v>5.96</v>
      </c>
      <c r="F29" s="452"/>
      <c r="G29" s="450"/>
      <c r="H29" s="450"/>
      <c r="I29" s="450"/>
      <c r="J29" s="450">
        <v>120</v>
      </c>
      <c r="K29" s="287"/>
      <c r="L29" s="448"/>
      <c r="M29" s="452"/>
      <c r="N29" s="450"/>
      <c r="O29" s="450"/>
      <c r="P29" s="450"/>
      <c r="Q29" s="450"/>
      <c r="R29" s="287"/>
      <c r="S29" s="448"/>
      <c r="T29" s="452"/>
      <c r="U29" s="450"/>
      <c r="V29" s="450"/>
      <c r="W29" s="450"/>
      <c r="X29" s="450"/>
      <c r="Y29" s="451"/>
      <c r="Z29" s="448"/>
      <c r="AA29" s="452"/>
      <c r="AB29" s="450"/>
      <c r="AC29" s="450"/>
      <c r="AD29" s="450"/>
      <c r="AE29" s="450"/>
      <c r="AF29" s="451"/>
      <c r="AG29" s="448"/>
      <c r="AH29" s="452"/>
      <c r="AI29" s="450"/>
      <c r="AJ29" s="450"/>
      <c r="AK29" s="450"/>
      <c r="AL29" s="450"/>
      <c r="AM29" s="287"/>
      <c r="AN29" s="448"/>
      <c r="AO29" s="3369"/>
      <c r="AP29" s="3370"/>
      <c r="AQ29" s="3370"/>
      <c r="AR29" s="3370"/>
      <c r="AS29" s="3370"/>
      <c r="AT29" s="3371"/>
      <c r="AU29" s="1429"/>
    </row>
    <row r="30" spans="1:47" s="721" customFormat="1" ht="14.25" customHeight="1">
      <c r="A30" s="3217">
        <v>4</v>
      </c>
      <c r="B30" s="3218">
        <v>204</v>
      </c>
      <c r="C30" s="3219"/>
      <c r="D30" s="3241" t="s">
        <v>216</v>
      </c>
      <c r="E30" s="3221">
        <f>E31+E34+E43+E44</f>
        <v>298.56500000000005</v>
      </c>
      <c r="F30" s="3222">
        <f t="shared" ref="F30:K30" si="18">F31+F34+F43+F44</f>
        <v>0</v>
      </c>
      <c r="G30" s="3223">
        <f t="shared" si="18"/>
        <v>0</v>
      </c>
      <c r="H30" s="3223">
        <f t="shared" si="18"/>
        <v>0</v>
      </c>
      <c r="I30" s="3223">
        <f t="shared" si="18"/>
        <v>0</v>
      </c>
      <c r="J30" s="3223">
        <f t="shared" si="18"/>
        <v>0</v>
      </c>
      <c r="K30" s="3224">
        <f t="shared" si="18"/>
        <v>0</v>
      </c>
      <c r="L30" s="3221">
        <f>L31+L34+L43+L44</f>
        <v>22.382000000000001</v>
      </c>
      <c r="M30" s="3222">
        <f t="shared" ref="M30:R30" si="19">M31+M34+M43+M44</f>
        <v>0</v>
      </c>
      <c r="N30" s="3223">
        <f t="shared" si="19"/>
        <v>0</v>
      </c>
      <c r="O30" s="3223">
        <f t="shared" si="19"/>
        <v>0</v>
      </c>
      <c r="P30" s="3223">
        <f t="shared" si="19"/>
        <v>0</v>
      </c>
      <c r="Q30" s="3223">
        <f t="shared" si="19"/>
        <v>0</v>
      </c>
      <c r="R30" s="3224">
        <f t="shared" si="19"/>
        <v>0</v>
      </c>
      <c r="S30" s="3221">
        <f>S31+S34+S43+S44</f>
        <v>0</v>
      </c>
      <c r="T30" s="3222">
        <f t="shared" ref="T30:AN30" si="20">T31+T34+T43+T44</f>
        <v>50</v>
      </c>
      <c r="U30" s="3223">
        <f t="shared" si="20"/>
        <v>0</v>
      </c>
      <c r="V30" s="3223">
        <f t="shared" si="20"/>
        <v>0</v>
      </c>
      <c r="W30" s="3223">
        <f t="shared" si="20"/>
        <v>0</v>
      </c>
      <c r="X30" s="3223">
        <f t="shared" si="20"/>
        <v>0</v>
      </c>
      <c r="Y30" s="3225">
        <f t="shared" si="20"/>
        <v>0</v>
      </c>
      <c r="Z30" s="3221">
        <f>Z31+Z34+Z43+Z44</f>
        <v>0</v>
      </c>
      <c r="AA30" s="3222">
        <f t="shared" ref="AA30:AF30" si="21">AA31+AA34+AA43+AA44</f>
        <v>0</v>
      </c>
      <c r="AB30" s="3223">
        <f t="shared" si="21"/>
        <v>0</v>
      </c>
      <c r="AC30" s="3223">
        <f t="shared" si="21"/>
        <v>0</v>
      </c>
      <c r="AD30" s="3223">
        <f t="shared" si="21"/>
        <v>0</v>
      </c>
      <c r="AE30" s="3223">
        <f t="shared" si="21"/>
        <v>0</v>
      </c>
      <c r="AF30" s="3225">
        <f t="shared" si="21"/>
        <v>0</v>
      </c>
      <c r="AG30" s="3221">
        <f>AG31+AG34+AG43+AG44</f>
        <v>0</v>
      </c>
      <c r="AH30" s="3222">
        <f t="shared" ref="AH30:AM30" si="22">AH31+AH34+AH43+AH44</f>
        <v>0</v>
      </c>
      <c r="AI30" s="3223">
        <f t="shared" si="22"/>
        <v>0</v>
      </c>
      <c r="AJ30" s="3223">
        <f t="shared" si="22"/>
        <v>0</v>
      </c>
      <c r="AK30" s="3223">
        <f t="shared" si="22"/>
        <v>0</v>
      </c>
      <c r="AL30" s="3223">
        <f t="shared" si="22"/>
        <v>0</v>
      </c>
      <c r="AM30" s="3224">
        <f t="shared" si="22"/>
        <v>0</v>
      </c>
      <c r="AN30" s="3221">
        <f t="shared" si="20"/>
        <v>0</v>
      </c>
      <c r="AO30" s="3369"/>
      <c r="AP30" s="3370"/>
      <c r="AQ30" s="3370"/>
      <c r="AR30" s="3370"/>
      <c r="AS30" s="3370"/>
      <c r="AT30" s="3371"/>
      <c r="AU30" s="1429"/>
    </row>
    <row r="31" spans="1:47" s="721" customFormat="1">
      <c r="A31" s="3226"/>
      <c r="B31" s="2921">
        <v>20401</v>
      </c>
      <c r="C31" s="3239"/>
      <c r="D31" s="3216" t="s">
        <v>422</v>
      </c>
      <c r="E31" s="3231">
        <f t="shared" ref="E31:AN31" si="23">SUM(E32:E33)</f>
        <v>0</v>
      </c>
      <c r="F31" s="3232">
        <f t="shared" si="23"/>
        <v>0</v>
      </c>
      <c r="G31" s="3233">
        <f t="shared" si="23"/>
        <v>0</v>
      </c>
      <c r="H31" s="3233">
        <f t="shared" si="23"/>
        <v>0</v>
      </c>
      <c r="I31" s="3233">
        <f t="shared" si="23"/>
        <v>0</v>
      </c>
      <c r="J31" s="3233">
        <f t="shared" si="23"/>
        <v>0</v>
      </c>
      <c r="K31" s="3234">
        <f t="shared" si="23"/>
        <v>0</v>
      </c>
      <c r="L31" s="3231">
        <f t="shared" si="23"/>
        <v>0</v>
      </c>
      <c r="M31" s="3232">
        <f t="shared" si="23"/>
        <v>0</v>
      </c>
      <c r="N31" s="3233">
        <f t="shared" si="23"/>
        <v>0</v>
      </c>
      <c r="O31" s="3233">
        <f t="shared" si="23"/>
        <v>0</v>
      </c>
      <c r="P31" s="3233">
        <f t="shared" si="23"/>
        <v>0</v>
      </c>
      <c r="Q31" s="3233">
        <f t="shared" si="23"/>
        <v>0</v>
      </c>
      <c r="R31" s="3234">
        <f t="shared" si="23"/>
        <v>0</v>
      </c>
      <c r="S31" s="3231">
        <f t="shared" si="23"/>
        <v>0</v>
      </c>
      <c r="T31" s="3232">
        <f t="shared" si="23"/>
        <v>0</v>
      </c>
      <c r="U31" s="3233">
        <f t="shared" si="23"/>
        <v>0</v>
      </c>
      <c r="V31" s="3233">
        <f t="shared" si="23"/>
        <v>0</v>
      </c>
      <c r="W31" s="3233">
        <f t="shared" si="23"/>
        <v>0</v>
      </c>
      <c r="X31" s="3233">
        <f t="shared" si="23"/>
        <v>0</v>
      </c>
      <c r="Y31" s="3235">
        <f t="shared" si="23"/>
        <v>0</v>
      </c>
      <c r="Z31" s="3231">
        <f t="shared" ref="Z31:AM31" si="24">SUM(Z32:Z33)</f>
        <v>0</v>
      </c>
      <c r="AA31" s="3232">
        <f t="shared" si="24"/>
        <v>0</v>
      </c>
      <c r="AB31" s="3233">
        <f t="shared" si="24"/>
        <v>0</v>
      </c>
      <c r="AC31" s="3233">
        <f t="shared" si="24"/>
        <v>0</v>
      </c>
      <c r="AD31" s="3233">
        <f t="shared" si="24"/>
        <v>0</v>
      </c>
      <c r="AE31" s="3233">
        <f t="shared" si="24"/>
        <v>0</v>
      </c>
      <c r="AF31" s="3235">
        <f t="shared" si="24"/>
        <v>0</v>
      </c>
      <c r="AG31" s="3231">
        <f t="shared" si="24"/>
        <v>0</v>
      </c>
      <c r="AH31" s="3232">
        <f t="shared" si="24"/>
        <v>0</v>
      </c>
      <c r="AI31" s="3233">
        <f t="shared" si="24"/>
        <v>0</v>
      </c>
      <c r="AJ31" s="3233">
        <f t="shared" si="24"/>
        <v>0</v>
      </c>
      <c r="AK31" s="3233">
        <f t="shared" si="24"/>
        <v>0</v>
      </c>
      <c r="AL31" s="3233">
        <f t="shared" si="24"/>
        <v>0</v>
      </c>
      <c r="AM31" s="3234">
        <f t="shared" si="24"/>
        <v>0</v>
      </c>
      <c r="AN31" s="3231">
        <f t="shared" si="23"/>
        <v>0</v>
      </c>
      <c r="AO31" s="3369"/>
      <c r="AP31" s="3370"/>
      <c r="AQ31" s="3370"/>
      <c r="AR31" s="3370"/>
      <c r="AS31" s="3370"/>
      <c r="AT31" s="3371"/>
    </row>
    <row r="32" spans="1:47" s="721" customFormat="1">
      <c r="A32" s="3226"/>
      <c r="B32" s="3236">
        <v>2040101</v>
      </c>
      <c r="C32" s="3237">
        <v>0.1</v>
      </c>
      <c r="D32" s="3242" t="s">
        <v>436</v>
      </c>
      <c r="E32" s="448"/>
      <c r="F32" s="452"/>
      <c r="G32" s="450"/>
      <c r="H32" s="450"/>
      <c r="I32" s="450"/>
      <c r="J32" s="450"/>
      <c r="K32" s="287"/>
      <c r="L32" s="448"/>
      <c r="M32" s="452"/>
      <c r="N32" s="450"/>
      <c r="O32" s="450"/>
      <c r="P32" s="450"/>
      <c r="Q32" s="450"/>
      <c r="R32" s="287"/>
      <c r="S32" s="448"/>
      <c r="T32" s="452"/>
      <c r="U32" s="450"/>
      <c r="V32" s="450"/>
      <c r="W32" s="450"/>
      <c r="X32" s="450"/>
      <c r="Y32" s="451"/>
      <c r="Z32" s="448"/>
      <c r="AA32" s="452"/>
      <c r="AB32" s="450"/>
      <c r="AC32" s="450"/>
      <c r="AD32" s="450"/>
      <c r="AE32" s="450"/>
      <c r="AF32" s="451"/>
      <c r="AG32" s="448"/>
      <c r="AH32" s="452"/>
      <c r="AI32" s="450"/>
      <c r="AJ32" s="450"/>
      <c r="AK32" s="450"/>
      <c r="AL32" s="450"/>
      <c r="AM32" s="287"/>
      <c r="AN32" s="448"/>
      <c r="AO32" s="3369"/>
      <c r="AP32" s="3370"/>
      <c r="AQ32" s="3370"/>
      <c r="AR32" s="3370"/>
      <c r="AS32" s="3370"/>
      <c r="AT32" s="3371"/>
    </row>
    <row r="33" spans="1:47" s="721" customFormat="1">
      <c r="A33" s="3226"/>
      <c r="B33" s="3236">
        <v>2040102</v>
      </c>
      <c r="C33" s="3237">
        <v>0.04</v>
      </c>
      <c r="D33" s="3242" t="s">
        <v>437</v>
      </c>
      <c r="E33" s="448"/>
      <c r="F33" s="452"/>
      <c r="G33" s="450"/>
      <c r="H33" s="450"/>
      <c r="I33" s="450"/>
      <c r="J33" s="450"/>
      <c r="K33" s="287"/>
      <c r="L33" s="448"/>
      <c r="M33" s="452"/>
      <c r="N33" s="450"/>
      <c r="O33" s="450"/>
      <c r="P33" s="450"/>
      <c r="Q33" s="450"/>
      <c r="R33" s="287"/>
      <c r="S33" s="448"/>
      <c r="T33" s="452"/>
      <c r="U33" s="450"/>
      <c r="V33" s="450"/>
      <c r="W33" s="450"/>
      <c r="X33" s="450"/>
      <c r="Y33" s="451"/>
      <c r="Z33" s="448"/>
      <c r="AA33" s="452"/>
      <c r="AB33" s="450"/>
      <c r="AC33" s="450"/>
      <c r="AD33" s="450"/>
      <c r="AE33" s="450"/>
      <c r="AF33" s="451"/>
      <c r="AG33" s="448"/>
      <c r="AH33" s="452"/>
      <c r="AI33" s="450"/>
      <c r="AJ33" s="450"/>
      <c r="AK33" s="450"/>
      <c r="AL33" s="450"/>
      <c r="AM33" s="287"/>
      <c r="AN33" s="448"/>
      <c r="AO33" s="3369"/>
      <c r="AP33" s="3370"/>
      <c r="AQ33" s="3370"/>
      <c r="AR33" s="3370"/>
      <c r="AS33" s="3370"/>
      <c r="AT33" s="3371"/>
    </row>
    <row r="34" spans="1:47" s="721" customFormat="1">
      <c r="A34" s="3226"/>
      <c r="B34" s="2921">
        <v>20402</v>
      </c>
      <c r="C34" s="3239"/>
      <c r="D34" s="3216" t="s">
        <v>438</v>
      </c>
      <c r="E34" s="3231">
        <f>SUM(E35:E42)</f>
        <v>295.85900000000004</v>
      </c>
      <c r="F34" s="3232">
        <f>SUM(F35:F42)</f>
        <v>0</v>
      </c>
      <c r="G34" s="3233">
        <f t="shared" ref="G34:K34" si="25">SUM(G35:G42)</f>
        <v>0</v>
      </c>
      <c r="H34" s="3233">
        <f t="shared" si="25"/>
        <v>0</v>
      </c>
      <c r="I34" s="3233">
        <f t="shared" si="25"/>
        <v>0</v>
      </c>
      <c r="J34" s="3233">
        <f t="shared" si="25"/>
        <v>0</v>
      </c>
      <c r="K34" s="3234">
        <f t="shared" si="25"/>
        <v>0</v>
      </c>
      <c r="L34" s="3231">
        <f>SUM(L35:L42)</f>
        <v>22.382000000000001</v>
      </c>
      <c r="M34" s="3232">
        <f t="shared" ref="M34:AN34" si="26">SUM(M35:M42)</f>
        <v>0</v>
      </c>
      <c r="N34" s="3233">
        <f t="shared" si="26"/>
        <v>0</v>
      </c>
      <c r="O34" s="3233">
        <f t="shared" si="26"/>
        <v>0</v>
      </c>
      <c r="P34" s="3233">
        <f t="shared" si="26"/>
        <v>0</v>
      </c>
      <c r="Q34" s="3233">
        <f t="shared" si="26"/>
        <v>0</v>
      </c>
      <c r="R34" s="3234">
        <f t="shared" si="26"/>
        <v>0</v>
      </c>
      <c r="S34" s="3231">
        <f t="shared" si="26"/>
        <v>0</v>
      </c>
      <c r="T34" s="3232">
        <f t="shared" si="26"/>
        <v>0</v>
      </c>
      <c r="U34" s="3233">
        <f t="shared" si="26"/>
        <v>0</v>
      </c>
      <c r="V34" s="3233">
        <f t="shared" si="26"/>
        <v>0</v>
      </c>
      <c r="W34" s="3233">
        <f t="shared" si="26"/>
        <v>0</v>
      </c>
      <c r="X34" s="3233">
        <f t="shared" si="26"/>
        <v>0</v>
      </c>
      <c r="Y34" s="3235">
        <f t="shared" si="26"/>
        <v>0</v>
      </c>
      <c r="Z34" s="3231">
        <f t="shared" si="26"/>
        <v>0</v>
      </c>
      <c r="AA34" s="3232">
        <f t="shared" si="26"/>
        <v>0</v>
      </c>
      <c r="AB34" s="3233">
        <f t="shared" si="26"/>
        <v>0</v>
      </c>
      <c r="AC34" s="3233">
        <f t="shared" si="26"/>
        <v>0</v>
      </c>
      <c r="AD34" s="3233">
        <f t="shared" si="26"/>
        <v>0</v>
      </c>
      <c r="AE34" s="3233">
        <f t="shared" si="26"/>
        <v>0</v>
      </c>
      <c r="AF34" s="3235">
        <f t="shared" si="26"/>
        <v>0</v>
      </c>
      <c r="AG34" s="3231">
        <f>SUM(AG35:AG42)</f>
        <v>0</v>
      </c>
      <c r="AH34" s="3232">
        <f>SUM(AH35:AH42)</f>
        <v>0</v>
      </c>
      <c r="AI34" s="3233">
        <f t="shared" ref="AI34:AM34" si="27">SUM(AI35:AI42)</f>
        <v>0</v>
      </c>
      <c r="AJ34" s="3233">
        <f t="shared" si="27"/>
        <v>0</v>
      </c>
      <c r="AK34" s="3233">
        <f t="shared" si="27"/>
        <v>0</v>
      </c>
      <c r="AL34" s="3233">
        <f t="shared" si="27"/>
        <v>0</v>
      </c>
      <c r="AM34" s="3234">
        <f t="shared" si="27"/>
        <v>0</v>
      </c>
      <c r="AN34" s="3231">
        <f t="shared" si="26"/>
        <v>0</v>
      </c>
      <c r="AO34" s="3369"/>
      <c r="AP34" s="3370"/>
      <c r="AQ34" s="3370"/>
      <c r="AR34" s="3370"/>
      <c r="AS34" s="3370"/>
      <c r="AT34" s="3371"/>
    </row>
    <row r="35" spans="1:47" s="721" customFormat="1">
      <c r="A35" s="3226"/>
      <c r="B35" s="2921">
        <v>2040201</v>
      </c>
      <c r="C35" s="3227">
        <v>0.02</v>
      </c>
      <c r="D35" s="3238" t="s">
        <v>746</v>
      </c>
      <c r="E35" s="448"/>
      <c r="F35" s="452"/>
      <c r="G35" s="450"/>
      <c r="H35" s="450"/>
      <c r="I35" s="450"/>
      <c r="J35" s="450"/>
      <c r="K35" s="287"/>
      <c r="L35" s="448"/>
      <c r="M35" s="452"/>
      <c r="N35" s="450"/>
      <c r="O35" s="450"/>
      <c r="P35" s="450"/>
      <c r="Q35" s="450"/>
      <c r="R35" s="287"/>
      <c r="S35" s="448"/>
      <c r="T35" s="452"/>
      <c r="U35" s="450"/>
      <c r="V35" s="450"/>
      <c r="W35" s="450"/>
      <c r="X35" s="450"/>
      <c r="Y35" s="451"/>
      <c r="Z35" s="448"/>
      <c r="AA35" s="452"/>
      <c r="AB35" s="450"/>
      <c r="AC35" s="450"/>
      <c r="AD35" s="450"/>
      <c r="AE35" s="450"/>
      <c r="AF35" s="451"/>
      <c r="AG35" s="448"/>
      <c r="AH35" s="452"/>
      <c r="AI35" s="450"/>
      <c r="AJ35" s="450"/>
      <c r="AK35" s="450"/>
      <c r="AL35" s="450"/>
      <c r="AM35" s="287"/>
      <c r="AN35" s="448"/>
      <c r="AO35" s="3369"/>
      <c r="AP35" s="3370"/>
      <c r="AQ35" s="3370"/>
      <c r="AR35" s="3370"/>
      <c r="AS35" s="3370"/>
      <c r="AT35" s="3371"/>
    </row>
    <row r="36" spans="1:47" s="721" customFormat="1">
      <c r="A36" s="3226"/>
      <c r="B36" s="2921">
        <v>2040202</v>
      </c>
      <c r="C36" s="3227">
        <v>0.02</v>
      </c>
      <c r="D36" s="3238" t="s">
        <v>747</v>
      </c>
      <c r="E36" s="4908">
        <v>0.45400000000000001</v>
      </c>
      <c r="F36" s="452"/>
      <c r="G36" s="450"/>
      <c r="H36" s="450"/>
      <c r="I36" s="450"/>
      <c r="J36" s="450"/>
      <c r="K36" s="287"/>
      <c r="L36" s="448"/>
      <c r="M36" s="452"/>
      <c r="N36" s="450"/>
      <c r="O36" s="450"/>
      <c r="P36" s="450"/>
      <c r="Q36" s="450"/>
      <c r="R36" s="287"/>
      <c r="S36" s="448"/>
      <c r="T36" s="452"/>
      <c r="U36" s="450"/>
      <c r="V36" s="450"/>
      <c r="W36" s="450"/>
      <c r="X36" s="450"/>
      <c r="Y36" s="451"/>
      <c r="Z36" s="448"/>
      <c r="AA36" s="452"/>
      <c r="AB36" s="450"/>
      <c r="AC36" s="450"/>
      <c r="AD36" s="450"/>
      <c r="AE36" s="450"/>
      <c r="AF36" s="451"/>
      <c r="AG36" s="448"/>
      <c r="AH36" s="452"/>
      <c r="AI36" s="450"/>
      <c r="AJ36" s="450"/>
      <c r="AK36" s="450"/>
      <c r="AL36" s="450"/>
      <c r="AM36" s="287"/>
      <c r="AN36" s="448"/>
      <c r="AO36" s="3369"/>
      <c r="AP36" s="3370"/>
      <c r="AQ36" s="3370"/>
      <c r="AR36" s="3370"/>
      <c r="AS36" s="3370"/>
      <c r="AT36" s="3371"/>
    </row>
    <row r="37" spans="1:47" s="721" customFormat="1">
      <c r="A37" s="3226"/>
      <c r="B37" s="2921">
        <v>2040203</v>
      </c>
      <c r="C37" s="3227">
        <v>0.02</v>
      </c>
      <c r="D37" s="3238" t="s">
        <v>423</v>
      </c>
      <c r="E37" s="4908">
        <f>1.523</f>
        <v>1.5229999999999999</v>
      </c>
      <c r="F37" s="452"/>
      <c r="G37" s="450"/>
      <c r="H37" s="450"/>
      <c r="I37" s="450"/>
      <c r="J37" s="450"/>
      <c r="K37" s="287"/>
      <c r="L37" s="448"/>
      <c r="M37" s="452"/>
      <c r="N37" s="450"/>
      <c r="O37" s="450"/>
      <c r="P37" s="450"/>
      <c r="Q37" s="450"/>
      <c r="R37" s="287"/>
      <c r="S37" s="448"/>
      <c r="T37" s="452"/>
      <c r="U37" s="450"/>
      <c r="V37" s="450"/>
      <c r="W37" s="450"/>
      <c r="X37" s="450"/>
      <c r="Y37" s="451"/>
      <c r="Z37" s="448"/>
      <c r="AA37" s="452"/>
      <c r="AB37" s="450"/>
      <c r="AC37" s="450"/>
      <c r="AD37" s="450"/>
      <c r="AE37" s="450"/>
      <c r="AF37" s="451"/>
      <c r="AG37" s="448"/>
      <c r="AH37" s="452"/>
      <c r="AI37" s="450"/>
      <c r="AJ37" s="450"/>
      <c r="AK37" s="450"/>
      <c r="AL37" s="450"/>
      <c r="AM37" s="287"/>
      <c r="AN37" s="448"/>
      <c r="AO37" s="3369"/>
      <c r="AP37" s="3370"/>
      <c r="AQ37" s="3370"/>
      <c r="AR37" s="3370"/>
      <c r="AS37" s="3370"/>
      <c r="AT37" s="3371"/>
    </row>
    <row r="38" spans="1:47" s="721" customFormat="1">
      <c r="A38" s="3226"/>
      <c r="B38" s="2921">
        <v>2040204</v>
      </c>
      <c r="C38" s="3227">
        <v>0.02</v>
      </c>
      <c r="D38" s="3242" t="s">
        <v>424</v>
      </c>
      <c r="E38" s="4908">
        <v>0.51700000000000002</v>
      </c>
      <c r="F38" s="452"/>
      <c r="G38" s="450"/>
      <c r="H38" s="450"/>
      <c r="I38" s="450"/>
      <c r="J38" s="450"/>
      <c r="K38" s="287"/>
      <c r="L38" s="448"/>
      <c r="M38" s="452"/>
      <c r="N38" s="450"/>
      <c r="O38" s="450"/>
      <c r="P38" s="450"/>
      <c r="Q38" s="450"/>
      <c r="R38" s="287"/>
      <c r="S38" s="448"/>
      <c r="T38" s="452"/>
      <c r="U38" s="450"/>
      <c r="V38" s="450"/>
      <c r="W38" s="450"/>
      <c r="X38" s="450"/>
      <c r="Y38" s="451"/>
      <c r="Z38" s="448"/>
      <c r="AA38" s="452"/>
      <c r="AB38" s="450"/>
      <c r="AC38" s="450"/>
      <c r="AD38" s="450"/>
      <c r="AE38" s="450"/>
      <c r="AF38" s="451"/>
      <c r="AG38" s="448"/>
      <c r="AH38" s="452"/>
      <c r="AI38" s="450"/>
      <c r="AJ38" s="450"/>
      <c r="AK38" s="450"/>
      <c r="AL38" s="450"/>
      <c r="AM38" s="287"/>
      <c r="AN38" s="448"/>
      <c r="AO38" s="3369"/>
      <c r="AP38" s="3370"/>
      <c r="AQ38" s="3370"/>
      <c r="AR38" s="3370"/>
      <c r="AS38" s="3370"/>
      <c r="AT38" s="3371"/>
    </row>
    <row r="39" spans="1:47" s="721" customFormat="1">
      <c r="A39" s="3226"/>
      <c r="B39" s="2921">
        <v>2040205</v>
      </c>
      <c r="C39" s="3227">
        <v>0.02</v>
      </c>
      <c r="D39" s="3238" t="s">
        <v>425</v>
      </c>
      <c r="E39" s="4908">
        <v>278.57799999999997</v>
      </c>
      <c r="F39" s="452"/>
      <c r="G39" s="450"/>
      <c r="H39" s="450"/>
      <c r="I39" s="450"/>
      <c r="J39" s="450"/>
      <c r="K39" s="287"/>
      <c r="L39" s="448"/>
      <c r="M39" s="452"/>
      <c r="N39" s="450"/>
      <c r="O39" s="450"/>
      <c r="P39" s="450"/>
      <c r="Q39" s="450"/>
      <c r="R39" s="287"/>
      <c r="S39" s="448"/>
      <c r="T39" s="452"/>
      <c r="U39" s="450"/>
      <c r="V39" s="450"/>
      <c r="W39" s="450"/>
      <c r="X39" s="450"/>
      <c r="Y39" s="451"/>
      <c r="Z39" s="448"/>
      <c r="AA39" s="452"/>
      <c r="AB39" s="450"/>
      <c r="AC39" s="450"/>
      <c r="AD39" s="450"/>
      <c r="AE39" s="450"/>
      <c r="AF39" s="451"/>
      <c r="AG39" s="448"/>
      <c r="AH39" s="452"/>
      <c r="AI39" s="450"/>
      <c r="AJ39" s="450"/>
      <c r="AK39" s="450"/>
      <c r="AL39" s="450"/>
      <c r="AM39" s="287"/>
      <c r="AN39" s="448"/>
      <c r="AO39" s="3369"/>
      <c r="AP39" s="3370"/>
      <c r="AQ39" s="3370"/>
      <c r="AR39" s="3370"/>
      <c r="AS39" s="3370"/>
      <c r="AT39" s="3371"/>
    </row>
    <row r="40" spans="1:47" s="721" customFormat="1">
      <c r="A40" s="3226"/>
      <c r="B40" s="2921">
        <v>2040206</v>
      </c>
      <c r="C40" s="3227">
        <v>0.02</v>
      </c>
      <c r="D40" s="3238" t="s">
        <v>426</v>
      </c>
      <c r="E40" s="4908">
        <v>0.33100000000000002</v>
      </c>
      <c r="F40" s="452"/>
      <c r="G40" s="450"/>
      <c r="H40" s="450"/>
      <c r="I40" s="450"/>
      <c r="J40" s="450"/>
      <c r="K40" s="287"/>
      <c r="L40" s="4907">
        <v>22.382000000000001</v>
      </c>
      <c r="M40" s="452"/>
      <c r="N40" s="450"/>
      <c r="O40" s="450"/>
      <c r="P40" s="450"/>
      <c r="Q40" s="450"/>
      <c r="R40" s="287"/>
      <c r="S40" s="448"/>
      <c r="T40" s="452"/>
      <c r="U40" s="450"/>
      <c r="V40" s="450"/>
      <c r="W40" s="450"/>
      <c r="X40" s="450"/>
      <c r="Y40" s="451"/>
      <c r="Z40" s="448"/>
      <c r="AA40" s="452"/>
      <c r="AB40" s="450"/>
      <c r="AC40" s="450"/>
      <c r="AD40" s="450"/>
      <c r="AE40" s="450"/>
      <c r="AF40" s="451"/>
      <c r="AG40" s="448"/>
      <c r="AH40" s="452"/>
      <c r="AI40" s="450"/>
      <c r="AJ40" s="450"/>
      <c r="AK40" s="450"/>
      <c r="AL40" s="450"/>
      <c r="AM40" s="287"/>
      <c r="AN40" s="448"/>
      <c r="AO40" s="3369"/>
      <c r="AP40" s="3370"/>
      <c r="AQ40" s="3370"/>
      <c r="AR40" s="3370"/>
      <c r="AS40" s="3370"/>
      <c r="AT40" s="3371"/>
    </row>
    <row r="41" spans="1:47" s="721" customFormat="1" ht="25.5">
      <c r="A41" s="3226"/>
      <c r="B41" s="2921">
        <v>2040207</v>
      </c>
      <c r="C41" s="3227">
        <v>0.04</v>
      </c>
      <c r="D41" s="3238" t="s">
        <v>427</v>
      </c>
      <c r="E41" s="4908">
        <v>14.456</v>
      </c>
      <c r="F41" s="452"/>
      <c r="G41" s="450"/>
      <c r="H41" s="450"/>
      <c r="I41" s="450"/>
      <c r="J41" s="450"/>
      <c r="K41" s="287"/>
      <c r="L41" s="448"/>
      <c r="M41" s="452"/>
      <c r="N41" s="450"/>
      <c r="O41" s="450"/>
      <c r="P41" s="450"/>
      <c r="Q41" s="450"/>
      <c r="R41" s="287"/>
      <c r="S41" s="448"/>
      <c r="T41" s="452"/>
      <c r="U41" s="450"/>
      <c r="V41" s="450"/>
      <c r="W41" s="450"/>
      <c r="X41" s="450"/>
      <c r="Y41" s="451"/>
      <c r="Z41" s="448"/>
      <c r="AA41" s="452"/>
      <c r="AB41" s="450"/>
      <c r="AC41" s="450"/>
      <c r="AD41" s="450"/>
      <c r="AE41" s="450"/>
      <c r="AF41" s="451"/>
      <c r="AG41" s="448"/>
      <c r="AH41" s="452"/>
      <c r="AI41" s="450"/>
      <c r="AJ41" s="450"/>
      <c r="AK41" s="450"/>
      <c r="AL41" s="450"/>
      <c r="AM41" s="287"/>
      <c r="AN41" s="448"/>
      <c r="AO41" s="3369"/>
      <c r="AP41" s="3370"/>
      <c r="AQ41" s="3370"/>
      <c r="AR41" s="3370"/>
      <c r="AS41" s="3370"/>
      <c r="AT41" s="3371"/>
    </row>
    <row r="42" spans="1:47" s="721" customFormat="1">
      <c r="A42" s="3226"/>
      <c r="B42" s="2921">
        <v>2040208</v>
      </c>
      <c r="C42" s="3227">
        <v>0.04</v>
      </c>
      <c r="D42" s="3238" t="s">
        <v>428</v>
      </c>
      <c r="E42" s="448"/>
      <c r="F42" s="452"/>
      <c r="G42" s="450"/>
      <c r="H42" s="450"/>
      <c r="I42" s="450"/>
      <c r="J42" s="450"/>
      <c r="K42" s="287"/>
      <c r="L42" s="448"/>
      <c r="M42" s="452"/>
      <c r="N42" s="450"/>
      <c r="O42" s="450"/>
      <c r="P42" s="450"/>
      <c r="Q42" s="450"/>
      <c r="R42" s="287"/>
      <c r="S42" s="448"/>
      <c r="T42" s="452"/>
      <c r="U42" s="450"/>
      <c r="V42" s="450"/>
      <c r="W42" s="450"/>
      <c r="X42" s="450"/>
      <c r="Y42" s="451"/>
      <c r="Z42" s="448"/>
      <c r="AA42" s="452"/>
      <c r="AB42" s="450"/>
      <c r="AC42" s="450"/>
      <c r="AD42" s="450"/>
      <c r="AE42" s="450"/>
      <c r="AF42" s="451"/>
      <c r="AG42" s="448"/>
      <c r="AH42" s="452"/>
      <c r="AI42" s="450"/>
      <c r="AJ42" s="450"/>
      <c r="AK42" s="450"/>
      <c r="AL42" s="450"/>
      <c r="AM42" s="287"/>
      <c r="AN42" s="448"/>
      <c r="AO42" s="3369"/>
      <c r="AP42" s="3370"/>
      <c r="AQ42" s="3370"/>
      <c r="AR42" s="3370"/>
      <c r="AS42" s="3370"/>
      <c r="AT42" s="3371"/>
    </row>
    <row r="43" spans="1:47" s="721" customFormat="1">
      <c r="A43" s="3226"/>
      <c r="B43" s="2921">
        <v>20403</v>
      </c>
      <c r="C43" s="3227">
        <v>0.04</v>
      </c>
      <c r="D43" s="3243" t="s">
        <v>1060</v>
      </c>
      <c r="E43" s="4907">
        <v>2.706</v>
      </c>
      <c r="F43" s="452"/>
      <c r="G43" s="450"/>
      <c r="H43" s="450"/>
      <c r="I43" s="450"/>
      <c r="J43" s="450"/>
      <c r="K43" s="287"/>
      <c r="L43" s="448"/>
      <c r="M43" s="452"/>
      <c r="N43" s="450"/>
      <c r="O43" s="450"/>
      <c r="P43" s="450"/>
      <c r="Q43" s="450"/>
      <c r="R43" s="287"/>
      <c r="S43" s="448"/>
      <c r="T43" s="452">
        <v>50</v>
      </c>
      <c r="U43" s="450"/>
      <c r="V43" s="450"/>
      <c r="W43" s="450"/>
      <c r="X43" s="450"/>
      <c r="Y43" s="451"/>
      <c r="Z43" s="448"/>
      <c r="AA43" s="452"/>
      <c r="AB43" s="450"/>
      <c r="AC43" s="450"/>
      <c r="AD43" s="450"/>
      <c r="AE43" s="450"/>
      <c r="AF43" s="451"/>
      <c r="AG43" s="448"/>
      <c r="AH43" s="452"/>
      <c r="AI43" s="450"/>
      <c r="AJ43" s="450"/>
      <c r="AK43" s="450"/>
      <c r="AL43" s="450"/>
      <c r="AM43" s="287"/>
      <c r="AN43" s="448"/>
      <c r="AO43" s="3369"/>
      <c r="AP43" s="3370"/>
      <c r="AQ43" s="3370"/>
      <c r="AR43" s="3370"/>
      <c r="AS43" s="3370"/>
      <c r="AT43" s="3371"/>
    </row>
    <row r="44" spans="1:47" s="721" customFormat="1" ht="25.5">
      <c r="A44" s="3226"/>
      <c r="B44" s="2921" t="s">
        <v>1061</v>
      </c>
      <c r="C44" s="3227">
        <v>0.04</v>
      </c>
      <c r="D44" s="3243" t="s">
        <v>1062</v>
      </c>
      <c r="E44" s="448"/>
      <c r="F44" s="452"/>
      <c r="G44" s="450"/>
      <c r="H44" s="450"/>
      <c r="I44" s="450"/>
      <c r="J44" s="450"/>
      <c r="K44" s="287"/>
      <c r="L44" s="448"/>
      <c r="M44" s="452"/>
      <c r="N44" s="450"/>
      <c r="O44" s="450"/>
      <c r="P44" s="450"/>
      <c r="Q44" s="450"/>
      <c r="R44" s="287"/>
      <c r="S44" s="448"/>
      <c r="T44" s="452"/>
      <c r="U44" s="450"/>
      <c r="V44" s="450"/>
      <c r="W44" s="450"/>
      <c r="X44" s="450"/>
      <c r="Y44" s="451"/>
      <c r="Z44" s="448"/>
      <c r="AA44" s="452"/>
      <c r="AB44" s="450"/>
      <c r="AC44" s="450"/>
      <c r="AD44" s="450"/>
      <c r="AE44" s="450"/>
      <c r="AF44" s="451"/>
      <c r="AG44" s="448"/>
      <c r="AH44" s="452"/>
      <c r="AI44" s="450"/>
      <c r="AJ44" s="450"/>
      <c r="AK44" s="450"/>
      <c r="AL44" s="450"/>
      <c r="AM44" s="287"/>
      <c r="AN44" s="448"/>
      <c r="AO44" s="3369"/>
      <c r="AP44" s="3370"/>
      <c r="AQ44" s="3370"/>
      <c r="AR44" s="3370"/>
      <c r="AS44" s="3370"/>
      <c r="AT44" s="3371"/>
    </row>
    <row r="45" spans="1:47" s="721" customFormat="1">
      <c r="A45" s="3217">
        <v>5</v>
      </c>
      <c r="B45" s="3218">
        <v>205</v>
      </c>
      <c r="C45" s="3218"/>
      <c r="D45" s="3229" t="s">
        <v>217</v>
      </c>
      <c r="E45" s="3244">
        <f>SUM(E46:E49)</f>
        <v>20.344000000000001</v>
      </c>
      <c r="F45" s="3245">
        <f>SUM(F46:F49)</f>
        <v>0</v>
      </c>
      <c r="G45" s="3246">
        <f>SUM(G46:G49)</f>
        <v>0</v>
      </c>
      <c r="H45" s="3246">
        <f t="shared" ref="H45:K45" si="28">SUM(H46:H49)</f>
        <v>0</v>
      </c>
      <c r="I45" s="3246">
        <f t="shared" si="28"/>
        <v>0</v>
      </c>
      <c r="J45" s="3246">
        <f t="shared" si="28"/>
        <v>0</v>
      </c>
      <c r="K45" s="3247">
        <f t="shared" si="28"/>
        <v>0</v>
      </c>
      <c r="L45" s="3244">
        <f>SUM(L46:L49)</f>
        <v>72.916000000000011</v>
      </c>
      <c r="M45" s="3222">
        <f>SUM(M46:M49)</f>
        <v>0</v>
      </c>
      <c r="N45" s="3223">
        <f>SUM(N46:N49)</f>
        <v>0</v>
      </c>
      <c r="O45" s="3223">
        <f t="shared" ref="O45:R45" si="29">SUM(O46:O49)</f>
        <v>0</v>
      </c>
      <c r="P45" s="3223">
        <f t="shared" si="29"/>
        <v>30</v>
      </c>
      <c r="Q45" s="3223">
        <f t="shared" si="29"/>
        <v>120</v>
      </c>
      <c r="R45" s="3224">
        <f t="shared" si="29"/>
        <v>100</v>
      </c>
      <c r="S45" s="3244">
        <f>SUM(S46:S49)</f>
        <v>1.7909999999999999</v>
      </c>
      <c r="T45" s="3245">
        <f>SUM(T46:T49)</f>
        <v>0</v>
      </c>
      <c r="U45" s="3246">
        <f>SUM(U46:U49)</f>
        <v>0</v>
      </c>
      <c r="V45" s="3246">
        <f t="shared" ref="V45:Y45" si="30">SUM(V46:V49)</f>
        <v>0</v>
      </c>
      <c r="W45" s="3246">
        <f t="shared" si="30"/>
        <v>0</v>
      </c>
      <c r="X45" s="3246">
        <f t="shared" si="30"/>
        <v>0</v>
      </c>
      <c r="Y45" s="3248">
        <f t="shared" si="30"/>
        <v>0</v>
      </c>
      <c r="Z45" s="3244">
        <f>SUM(Z46:Z49)</f>
        <v>7.5999999999999998E-2</v>
      </c>
      <c r="AA45" s="3245">
        <f>SUM(AA46:AA49)</f>
        <v>0</v>
      </c>
      <c r="AB45" s="3246">
        <f>SUM(AB46:AB49)</f>
        <v>0</v>
      </c>
      <c r="AC45" s="3246">
        <f t="shared" ref="AC45:AF45" si="31">SUM(AC46:AC49)</f>
        <v>0</v>
      </c>
      <c r="AD45" s="3246">
        <f t="shared" si="31"/>
        <v>10</v>
      </c>
      <c r="AE45" s="3246">
        <f t="shared" si="31"/>
        <v>0</v>
      </c>
      <c r="AF45" s="3248">
        <f t="shared" si="31"/>
        <v>0</v>
      </c>
      <c r="AG45" s="3244">
        <f>SUM(AG46:AG49)</f>
        <v>0</v>
      </c>
      <c r="AH45" s="3245">
        <f>SUM(AH46:AH49)</f>
        <v>0</v>
      </c>
      <c r="AI45" s="3246">
        <f>SUM(AI46:AI49)</f>
        <v>0</v>
      </c>
      <c r="AJ45" s="3246">
        <f t="shared" ref="AJ45:AM45" si="32">SUM(AJ46:AJ49)</f>
        <v>0</v>
      </c>
      <c r="AK45" s="3246">
        <f t="shared" si="32"/>
        <v>0</v>
      </c>
      <c r="AL45" s="3246">
        <f t="shared" si="32"/>
        <v>0</v>
      </c>
      <c r="AM45" s="3247">
        <f t="shared" si="32"/>
        <v>0</v>
      </c>
      <c r="AN45" s="3244">
        <f>SUM(AN46:AN49)</f>
        <v>0</v>
      </c>
      <c r="AO45" s="3369"/>
      <c r="AP45" s="3370"/>
      <c r="AQ45" s="3370"/>
      <c r="AR45" s="3370"/>
      <c r="AS45" s="3370"/>
      <c r="AT45" s="3371"/>
    </row>
    <row r="46" spans="1:47" s="721" customFormat="1">
      <c r="A46" s="3249"/>
      <c r="B46" s="3250">
        <v>20501</v>
      </c>
      <c r="C46" s="3251">
        <v>0.08</v>
      </c>
      <c r="D46" s="3252" t="s">
        <v>569</v>
      </c>
      <c r="E46" s="448"/>
      <c r="F46" s="452"/>
      <c r="G46" s="450"/>
      <c r="H46" s="450"/>
      <c r="I46" s="450"/>
      <c r="J46" s="450"/>
      <c r="K46" s="287"/>
      <c r="L46" s="448"/>
      <c r="M46" s="452"/>
      <c r="N46" s="450"/>
      <c r="O46" s="450"/>
      <c r="P46" s="450"/>
      <c r="Q46" s="450"/>
      <c r="R46" s="287"/>
      <c r="S46" s="448"/>
      <c r="T46" s="452"/>
      <c r="U46" s="450"/>
      <c r="V46" s="450"/>
      <c r="W46" s="450"/>
      <c r="X46" s="450"/>
      <c r="Y46" s="451"/>
      <c r="Z46" s="448"/>
      <c r="AA46" s="452"/>
      <c r="AB46" s="450"/>
      <c r="AC46" s="450"/>
      <c r="AD46" s="450">
        <v>10</v>
      </c>
      <c r="AE46" s="450"/>
      <c r="AF46" s="451"/>
      <c r="AG46" s="448"/>
      <c r="AH46" s="452"/>
      <c r="AI46" s="450"/>
      <c r="AJ46" s="450"/>
      <c r="AK46" s="450"/>
      <c r="AL46" s="450"/>
      <c r="AM46" s="287"/>
      <c r="AN46" s="448"/>
      <c r="AO46" s="3369"/>
      <c r="AP46" s="3370"/>
      <c r="AQ46" s="3370"/>
      <c r="AR46" s="3370"/>
      <c r="AS46" s="3370"/>
      <c r="AT46" s="3371"/>
      <c r="AU46" s="1429"/>
    </row>
    <row r="47" spans="1:47" s="721" customFormat="1">
      <c r="A47" s="3249"/>
      <c r="B47" s="3250">
        <v>20502</v>
      </c>
      <c r="C47" s="3251">
        <v>0.1</v>
      </c>
      <c r="D47" s="3252" t="s">
        <v>416</v>
      </c>
      <c r="E47" s="4907">
        <v>11.71</v>
      </c>
      <c r="F47" s="452"/>
      <c r="G47" s="450"/>
      <c r="H47" s="450"/>
      <c r="I47" s="450"/>
      <c r="J47" s="450"/>
      <c r="K47" s="287"/>
      <c r="L47" s="448"/>
      <c r="M47" s="452"/>
      <c r="N47" s="450"/>
      <c r="O47" s="450"/>
      <c r="P47" s="450"/>
      <c r="Q47" s="450"/>
      <c r="R47" s="287"/>
      <c r="S47" s="448"/>
      <c r="T47" s="452"/>
      <c r="U47" s="450"/>
      <c r="V47" s="450"/>
      <c r="W47" s="450"/>
      <c r="X47" s="450"/>
      <c r="Y47" s="451"/>
      <c r="Z47" s="448"/>
      <c r="AA47" s="452"/>
      <c r="AB47" s="450"/>
      <c r="AC47" s="450"/>
      <c r="AD47" s="450"/>
      <c r="AE47" s="450"/>
      <c r="AF47" s="451"/>
      <c r="AG47" s="448"/>
      <c r="AH47" s="452"/>
      <c r="AI47" s="450"/>
      <c r="AJ47" s="450"/>
      <c r="AK47" s="450"/>
      <c r="AL47" s="450"/>
      <c r="AM47" s="287"/>
      <c r="AN47" s="448"/>
      <c r="AO47" s="3369"/>
      <c r="AP47" s="3370"/>
      <c r="AQ47" s="3370"/>
      <c r="AR47" s="3370"/>
      <c r="AS47" s="3370"/>
      <c r="AT47" s="3371"/>
      <c r="AU47" s="1429"/>
    </row>
    <row r="48" spans="1:47" s="721" customFormat="1">
      <c r="A48" s="3249"/>
      <c r="B48" s="3250">
        <v>20503</v>
      </c>
      <c r="C48" s="3251">
        <v>0.1</v>
      </c>
      <c r="D48" s="3230" t="s">
        <v>417</v>
      </c>
      <c r="E48" s="4907">
        <v>8.6340000000000003</v>
      </c>
      <c r="F48" s="452"/>
      <c r="G48" s="450"/>
      <c r="H48" s="450"/>
      <c r="I48" s="450"/>
      <c r="J48" s="450"/>
      <c r="K48" s="287"/>
      <c r="L48" s="4907">
        <v>4.016</v>
      </c>
      <c r="M48" s="452"/>
      <c r="N48" s="450"/>
      <c r="O48" s="450"/>
      <c r="P48" s="450"/>
      <c r="Q48" s="450"/>
      <c r="R48" s="287"/>
      <c r="S48" s="4907">
        <v>1.7909999999999999</v>
      </c>
      <c r="T48" s="452"/>
      <c r="U48" s="450"/>
      <c r="V48" s="450"/>
      <c r="W48" s="450"/>
      <c r="X48" s="450"/>
      <c r="Y48" s="451"/>
      <c r="Z48" s="4907">
        <v>7.5999999999999998E-2</v>
      </c>
      <c r="AA48" s="452"/>
      <c r="AB48" s="450"/>
      <c r="AC48" s="450"/>
      <c r="AD48" s="450"/>
      <c r="AE48" s="450"/>
      <c r="AF48" s="451"/>
      <c r="AG48" s="448"/>
      <c r="AH48" s="452"/>
      <c r="AI48" s="450"/>
      <c r="AJ48" s="450"/>
      <c r="AK48" s="450"/>
      <c r="AL48" s="450"/>
      <c r="AM48" s="287"/>
      <c r="AN48" s="448"/>
      <c r="AO48" s="3369"/>
      <c r="AP48" s="3370"/>
      <c r="AQ48" s="3370"/>
      <c r="AR48" s="3370"/>
      <c r="AS48" s="3370"/>
      <c r="AT48" s="3371"/>
      <c r="AU48" s="1429"/>
    </row>
    <row r="49" spans="1:47" s="721" customFormat="1">
      <c r="A49" s="3249"/>
      <c r="B49" s="3250">
        <v>20504</v>
      </c>
      <c r="C49" s="3251">
        <v>0.1</v>
      </c>
      <c r="D49" s="3230" t="s">
        <v>563</v>
      </c>
      <c r="E49" s="448"/>
      <c r="F49" s="452"/>
      <c r="G49" s="450"/>
      <c r="H49" s="450"/>
      <c r="I49" s="450"/>
      <c r="J49" s="450"/>
      <c r="K49" s="287"/>
      <c r="L49" s="4907">
        <v>68.900000000000006</v>
      </c>
      <c r="M49" s="452"/>
      <c r="N49" s="450"/>
      <c r="O49" s="450"/>
      <c r="P49" s="450">
        <v>30</v>
      </c>
      <c r="Q49" s="450">
        <v>120</v>
      </c>
      <c r="R49" s="287">
        <v>100</v>
      </c>
      <c r="S49" s="448"/>
      <c r="T49" s="452"/>
      <c r="U49" s="450"/>
      <c r="V49" s="450"/>
      <c r="W49" s="450"/>
      <c r="X49" s="450"/>
      <c r="Y49" s="451"/>
      <c r="Z49" s="448"/>
      <c r="AA49" s="452"/>
      <c r="AB49" s="450"/>
      <c r="AC49" s="450"/>
      <c r="AD49" s="450"/>
      <c r="AE49" s="450"/>
      <c r="AF49" s="451"/>
      <c r="AG49" s="448"/>
      <c r="AH49" s="452"/>
      <c r="AI49" s="450"/>
      <c r="AJ49" s="450"/>
      <c r="AK49" s="450"/>
      <c r="AL49" s="450"/>
      <c r="AM49" s="287"/>
      <c r="AN49" s="448"/>
      <c r="AO49" s="3369"/>
      <c r="AP49" s="3370"/>
      <c r="AQ49" s="3370"/>
      <c r="AR49" s="3370"/>
      <c r="AS49" s="3370"/>
      <c r="AT49" s="3371"/>
      <c r="AU49" s="1429"/>
    </row>
    <row r="50" spans="1:47" s="721" customFormat="1">
      <c r="A50" s="3253">
        <v>6</v>
      </c>
      <c r="B50" s="3254">
        <v>206</v>
      </c>
      <c r="C50" s="3255">
        <v>0.1</v>
      </c>
      <c r="D50" s="3241" t="s">
        <v>399</v>
      </c>
      <c r="E50" s="3244">
        <f>SUM(E51:E53)</f>
        <v>11.762</v>
      </c>
      <c r="F50" s="3245">
        <f>SUM(F51:F53)</f>
        <v>0</v>
      </c>
      <c r="G50" s="3246">
        <f t="shared" ref="G50:AN50" si="33">SUM(G51:G53)</f>
        <v>3</v>
      </c>
      <c r="H50" s="3246">
        <f t="shared" si="33"/>
        <v>0</v>
      </c>
      <c r="I50" s="3246">
        <f>SUM(I51:I53)</f>
        <v>0</v>
      </c>
      <c r="J50" s="3246">
        <f t="shared" si="33"/>
        <v>0</v>
      </c>
      <c r="K50" s="3247">
        <f t="shared" si="33"/>
        <v>0</v>
      </c>
      <c r="L50" s="3244">
        <f t="shared" si="33"/>
        <v>2.4240000000000004</v>
      </c>
      <c r="M50" s="3222">
        <f t="shared" si="33"/>
        <v>0</v>
      </c>
      <c r="N50" s="3223">
        <f t="shared" si="33"/>
        <v>0</v>
      </c>
      <c r="O50" s="3223">
        <f t="shared" si="33"/>
        <v>0</v>
      </c>
      <c r="P50" s="3223">
        <f t="shared" si="33"/>
        <v>0</v>
      </c>
      <c r="Q50" s="3223">
        <f t="shared" si="33"/>
        <v>10</v>
      </c>
      <c r="R50" s="3224">
        <f t="shared" si="33"/>
        <v>0</v>
      </c>
      <c r="S50" s="3244">
        <f t="shared" si="33"/>
        <v>1.022</v>
      </c>
      <c r="T50" s="3222">
        <f t="shared" si="33"/>
        <v>0</v>
      </c>
      <c r="U50" s="3223">
        <f t="shared" si="33"/>
        <v>0</v>
      </c>
      <c r="V50" s="3223">
        <f t="shared" si="33"/>
        <v>0</v>
      </c>
      <c r="W50" s="3223">
        <f t="shared" si="33"/>
        <v>0</v>
      </c>
      <c r="X50" s="3223">
        <f t="shared" si="33"/>
        <v>0</v>
      </c>
      <c r="Y50" s="3225">
        <f t="shared" si="33"/>
        <v>0</v>
      </c>
      <c r="Z50" s="3244">
        <f t="shared" si="33"/>
        <v>2.3E-2</v>
      </c>
      <c r="AA50" s="3222">
        <f t="shared" si="33"/>
        <v>0</v>
      </c>
      <c r="AB50" s="3223">
        <f t="shared" si="33"/>
        <v>0</v>
      </c>
      <c r="AC50" s="3223">
        <f t="shared" si="33"/>
        <v>0</v>
      </c>
      <c r="AD50" s="3223">
        <f t="shared" si="33"/>
        <v>0</v>
      </c>
      <c r="AE50" s="3223">
        <f t="shared" si="33"/>
        <v>0</v>
      </c>
      <c r="AF50" s="3225">
        <f t="shared" si="33"/>
        <v>0</v>
      </c>
      <c r="AG50" s="3244">
        <f>SUM(AG51:AG53)</f>
        <v>0</v>
      </c>
      <c r="AH50" s="3245">
        <f>SUM(AH51:AH53)</f>
        <v>0</v>
      </c>
      <c r="AI50" s="3246">
        <f t="shared" ref="AI50:AM50" si="34">SUM(AI51:AI53)</f>
        <v>0</v>
      </c>
      <c r="AJ50" s="3246">
        <f t="shared" si="34"/>
        <v>0</v>
      </c>
      <c r="AK50" s="3246">
        <f>SUM(AK51:AK53)</f>
        <v>0</v>
      </c>
      <c r="AL50" s="3246">
        <f t="shared" si="34"/>
        <v>0</v>
      </c>
      <c r="AM50" s="3247">
        <f t="shared" si="34"/>
        <v>0</v>
      </c>
      <c r="AN50" s="3244">
        <f t="shared" si="33"/>
        <v>0</v>
      </c>
      <c r="AO50" s="3369"/>
      <c r="AP50" s="3370"/>
      <c r="AQ50" s="3370"/>
      <c r="AR50" s="3370"/>
      <c r="AS50" s="3370"/>
      <c r="AT50" s="3371"/>
    </row>
    <row r="51" spans="1:47" s="721" customFormat="1">
      <c r="A51" s="3253"/>
      <c r="B51" s="3250">
        <v>20601</v>
      </c>
      <c r="C51" s="3251">
        <v>0.1</v>
      </c>
      <c r="D51" s="3230" t="s">
        <v>570</v>
      </c>
      <c r="E51" s="4907">
        <f>2.463+1.447</f>
        <v>3.91</v>
      </c>
      <c r="F51" s="452"/>
      <c r="G51" s="450"/>
      <c r="H51" s="450"/>
      <c r="I51" s="450"/>
      <c r="J51" s="450"/>
      <c r="K51" s="287"/>
      <c r="L51" s="4907">
        <f>0.132+0.673</f>
        <v>0.80500000000000005</v>
      </c>
      <c r="M51" s="452"/>
      <c r="N51" s="450"/>
      <c r="O51" s="450"/>
      <c r="P51" s="450"/>
      <c r="Q51" s="450"/>
      <c r="R51" s="287"/>
      <c r="S51" s="4907">
        <v>0.3</v>
      </c>
      <c r="T51" s="452"/>
      <c r="U51" s="450"/>
      <c r="V51" s="450"/>
      <c r="W51" s="450"/>
      <c r="X51" s="450"/>
      <c r="Y51" s="451"/>
      <c r="Z51" s="4907">
        <v>1.2E-2</v>
      </c>
      <c r="AA51" s="452"/>
      <c r="AB51" s="450"/>
      <c r="AC51" s="450"/>
      <c r="AD51" s="450"/>
      <c r="AE51" s="450"/>
      <c r="AF51" s="451"/>
      <c r="AG51" s="448"/>
      <c r="AH51" s="452"/>
      <c r="AI51" s="450"/>
      <c r="AJ51" s="450"/>
      <c r="AK51" s="450"/>
      <c r="AL51" s="450"/>
      <c r="AM51" s="287"/>
      <c r="AN51" s="448"/>
      <c r="AO51" s="3369"/>
      <c r="AP51" s="3370"/>
      <c r="AQ51" s="3370"/>
      <c r="AR51" s="3370"/>
      <c r="AS51" s="3370"/>
      <c r="AT51" s="3371"/>
      <c r="AU51" s="1429"/>
    </row>
    <row r="52" spans="1:47" s="721" customFormat="1">
      <c r="A52" s="3253"/>
      <c r="B52" s="3250">
        <v>20602</v>
      </c>
      <c r="C52" s="3251">
        <v>0.1</v>
      </c>
      <c r="D52" s="3230" t="s">
        <v>440</v>
      </c>
      <c r="E52" s="4907">
        <f>3.555+2.373</f>
        <v>5.9280000000000008</v>
      </c>
      <c r="F52" s="452"/>
      <c r="G52" s="450"/>
      <c r="H52" s="450"/>
      <c r="I52" s="450"/>
      <c r="J52" s="450"/>
      <c r="K52" s="287"/>
      <c r="L52" s="4907">
        <v>1.1040000000000001</v>
      </c>
      <c r="M52" s="452"/>
      <c r="N52" s="450"/>
      <c r="O52" s="450"/>
      <c r="P52" s="450"/>
      <c r="Q52" s="450">
        <v>10</v>
      </c>
      <c r="R52" s="287"/>
      <c r="S52" s="4907">
        <v>0.49199999999999999</v>
      </c>
      <c r="T52" s="452"/>
      <c r="U52" s="450"/>
      <c r="V52" s="450"/>
      <c r="W52" s="450"/>
      <c r="X52" s="450"/>
      <c r="Y52" s="451"/>
      <c r="Z52" s="4907">
        <v>2E-3</v>
      </c>
      <c r="AA52" s="452"/>
      <c r="AB52" s="450"/>
      <c r="AC52" s="450"/>
      <c r="AD52" s="450"/>
      <c r="AE52" s="450"/>
      <c r="AF52" s="451"/>
      <c r="AG52" s="448"/>
      <c r="AH52" s="452"/>
      <c r="AI52" s="450"/>
      <c r="AJ52" s="450"/>
      <c r="AK52" s="450"/>
      <c r="AL52" s="450"/>
      <c r="AM52" s="287"/>
      <c r="AN52" s="448"/>
      <c r="AO52" s="3369"/>
      <c r="AP52" s="3370"/>
      <c r="AQ52" s="3370"/>
      <c r="AR52" s="3370"/>
      <c r="AS52" s="3370"/>
      <c r="AT52" s="3371"/>
      <c r="AU52" s="1429"/>
    </row>
    <row r="53" spans="1:47" s="721" customFormat="1">
      <c r="A53" s="3253"/>
      <c r="B53" s="3250">
        <v>20603</v>
      </c>
      <c r="C53" s="3251">
        <v>0.5</v>
      </c>
      <c r="D53" s="3230" t="s">
        <v>1023</v>
      </c>
      <c r="E53" s="4907">
        <f>0.817+1.107</f>
        <v>1.9239999999999999</v>
      </c>
      <c r="F53" s="452"/>
      <c r="G53" s="450">
        <v>3</v>
      </c>
      <c r="H53" s="450"/>
      <c r="I53" s="450"/>
      <c r="J53" s="450"/>
      <c r="K53" s="287"/>
      <c r="L53" s="4907">
        <v>0.51500000000000001</v>
      </c>
      <c r="M53" s="452"/>
      <c r="N53" s="450"/>
      <c r="O53" s="450"/>
      <c r="P53" s="450"/>
      <c r="Q53" s="450"/>
      <c r="R53" s="287"/>
      <c r="S53" s="4907">
        <v>0.23</v>
      </c>
      <c r="T53" s="452"/>
      <c r="U53" s="450"/>
      <c r="V53" s="450"/>
      <c r="W53" s="450"/>
      <c r="X53" s="450"/>
      <c r="Y53" s="451"/>
      <c r="Z53" s="4907">
        <v>8.9999999999999993E-3</v>
      </c>
      <c r="AA53" s="452"/>
      <c r="AB53" s="450"/>
      <c r="AC53" s="450"/>
      <c r="AD53" s="450"/>
      <c r="AE53" s="450"/>
      <c r="AF53" s="451"/>
      <c r="AG53" s="448"/>
      <c r="AH53" s="452"/>
      <c r="AI53" s="450"/>
      <c r="AJ53" s="450"/>
      <c r="AK53" s="450"/>
      <c r="AL53" s="450"/>
      <c r="AM53" s="287"/>
      <c r="AN53" s="448"/>
      <c r="AO53" s="3369"/>
      <c r="AP53" s="3370"/>
      <c r="AQ53" s="3370"/>
      <c r="AR53" s="3370"/>
      <c r="AS53" s="3370"/>
      <c r="AT53" s="3371"/>
      <c r="AU53" s="1429"/>
    </row>
    <row r="54" spans="1:47" s="45" customFormat="1">
      <c r="A54" s="3253">
        <v>7</v>
      </c>
      <c r="B54" s="3254">
        <v>208</v>
      </c>
      <c r="C54" s="3255">
        <v>0.2</v>
      </c>
      <c r="D54" s="3241" t="s">
        <v>418</v>
      </c>
      <c r="E54" s="4907">
        <v>0.43099999999999999</v>
      </c>
      <c r="F54" s="452"/>
      <c r="G54" s="450"/>
      <c r="H54" s="450"/>
      <c r="I54" s="450">
        <v>10</v>
      </c>
      <c r="J54" s="450">
        <v>30</v>
      </c>
      <c r="K54" s="287"/>
      <c r="L54" s="4907">
        <v>0.2</v>
      </c>
      <c r="M54" s="452"/>
      <c r="N54" s="450">
        <v>10</v>
      </c>
      <c r="O54" s="450"/>
      <c r="P54" s="450"/>
      <c r="Q54" s="450"/>
      <c r="R54" s="287"/>
      <c r="S54" s="4907">
        <v>8.8999999999999996E-2</v>
      </c>
      <c r="T54" s="452"/>
      <c r="U54" s="450">
        <v>10</v>
      </c>
      <c r="V54" s="450"/>
      <c r="W54" s="450"/>
      <c r="X54" s="450"/>
      <c r="Y54" s="451"/>
      <c r="Z54" s="4907">
        <v>3.0000000000000001E-3</v>
      </c>
      <c r="AA54" s="452"/>
      <c r="AB54" s="450"/>
      <c r="AC54" s="450"/>
      <c r="AD54" s="450"/>
      <c r="AE54" s="450"/>
      <c r="AF54" s="451"/>
      <c r="AG54" s="448"/>
      <c r="AH54" s="452"/>
      <c r="AI54" s="450"/>
      <c r="AJ54" s="450"/>
      <c r="AK54" s="450"/>
      <c r="AL54" s="450"/>
      <c r="AM54" s="287"/>
      <c r="AN54" s="448"/>
      <c r="AO54" s="3369"/>
      <c r="AP54" s="3370"/>
      <c r="AQ54" s="3370"/>
      <c r="AR54" s="3370"/>
      <c r="AS54" s="3370"/>
      <c r="AT54" s="3371"/>
      <c r="AU54" s="1429"/>
    </row>
    <row r="55" spans="1:47" s="45" customFormat="1">
      <c r="A55" s="3253">
        <v>8</v>
      </c>
      <c r="B55" s="3254">
        <v>209</v>
      </c>
      <c r="C55" s="3255">
        <v>0.1</v>
      </c>
      <c r="D55" s="3241" t="s">
        <v>218</v>
      </c>
      <c r="E55" s="448"/>
      <c r="F55" s="452"/>
      <c r="G55" s="450"/>
      <c r="H55" s="450"/>
      <c r="I55" s="450"/>
      <c r="J55" s="450">
        <v>10</v>
      </c>
      <c r="K55" s="287"/>
      <c r="L55" s="448"/>
      <c r="M55" s="452"/>
      <c r="N55" s="450"/>
      <c r="O55" s="450"/>
      <c r="P55" s="450"/>
      <c r="Q55" s="450"/>
      <c r="R55" s="287"/>
      <c r="S55" s="448"/>
      <c r="T55" s="452"/>
      <c r="U55" s="450"/>
      <c r="V55" s="450"/>
      <c r="W55" s="450"/>
      <c r="X55" s="450"/>
      <c r="Y55" s="451"/>
      <c r="Z55" s="448"/>
      <c r="AA55" s="452"/>
      <c r="AB55" s="450"/>
      <c r="AC55" s="450"/>
      <c r="AD55" s="450"/>
      <c r="AE55" s="450"/>
      <c r="AF55" s="451"/>
      <c r="AG55" s="448"/>
      <c r="AH55" s="452"/>
      <c r="AI55" s="450"/>
      <c r="AJ55" s="450"/>
      <c r="AK55" s="450"/>
      <c r="AL55" s="450"/>
      <c r="AM55" s="287"/>
      <c r="AN55" s="448"/>
      <c r="AO55" s="3369"/>
      <c r="AP55" s="3370"/>
      <c r="AQ55" s="3370"/>
      <c r="AR55" s="3370"/>
      <c r="AS55" s="3370"/>
      <c r="AT55" s="3371"/>
      <c r="AU55" s="1429"/>
    </row>
    <row r="56" spans="1:47" s="45" customFormat="1">
      <c r="A56" s="3253">
        <v>9</v>
      </c>
      <c r="B56" s="3254">
        <v>212</v>
      </c>
      <c r="C56" s="3255">
        <v>0.2</v>
      </c>
      <c r="D56" s="3256" t="s">
        <v>219</v>
      </c>
      <c r="E56" s="4907">
        <v>8.7650000000000006</v>
      </c>
      <c r="F56" s="452"/>
      <c r="G56" s="450"/>
      <c r="H56" s="450"/>
      <c r="I56" s="450">
        <v>5</v>
      </c>
      <c r="J56" s="450">
        <v>3</v>
      </c>
      <c r="K56" s="287"/>
      <c r="L56" s="4907">
        <v>4.077</v>
      </c>
      <c r="M56" s="452"/>
      <c r="N56" s="450"/>
      <c r="O56" s="450"/>
      <c r="P56" s="450"/>
      <c r="Q56" s="450"/>
      <c r="R56" s="287"/>
      <c r="S56" s="4907">
        <v>1.181</v>
      </c>
      <c r="T56" s="452"/>
      <c r="U56" s="450"/>
      <c r="V56" s="450"/>
      <c r="W56" s="450"/>
      <c r="X56" s="450"/>
      <c r="Y56" s="451"/>
      <c r="Z56" s="4907">
        <v>7.6999999999999999E-2</v>
      </c>
      <c r="AA56" s="452"/>
      <c r="AB56" s="450"/>
      <c r="AC56" s="450"/>
      <c r="AD56" s="450"/>
      <c r="AE56" s="450"/>
      <c r="AF56" s="451"/>
      <c r="AG56" s="448"/>
      <c r="AH56" s="452"/>
      <c r="AI56" s="450"/>
      <c r="AJ56" s="450"/>
      <c r="AK56" s="450"/>
      <c r="AL56" s="450"/>
      <c r="AM56" s="287"/>
      <c r="AN56" s="448"/>
      <c r="AO56" s="3369"/>
      <c r="AP56" s="3370"/>
      <c r="AQ56" s="3370"/>
      <c r="AR56" s="3370"/>
      <c r="AS56" s="3370"/>
      <c r="AT56" s="3371"/>
      <c r="AU56" s="1429"/>
    </row>
    <row r="57" spans="1:47" s="45" customFormat="1">
      <c r="A57" s="3253">
        <v>10</v>
      </c>
      <c r="B57" s="3254">
        <v>213</v>
      </c>
      <c r="C57" s="3255">
        <v>0.2</v>
      </c>
      <c r="D57" s="3229" t="s">
        <v>220</v>
      </c>
      <c r="E57" s="448"/>
      <c r="F57" s="452"/>
      <c r="G57" s="450"/>
      <c r="H57" s="450"/>
      <c r="I57" s="450"/>
      <c r="J57" s="450"/>
      <c r="K57" s="287"/>
      <c r="L57" s="448"/>
      <c r="M57" s="452"/>
      <c r="N57" s="450"/>
      <c r="O57" s="450"/>
      <c r="P57" s="450"/>
      <c r="Q57" s="450"/>
      <c r="R57" s="287"/>
      <c r="S57" s="448"/>
      <c r="T57" s="452"/>
      <c r="U57" s="450"/>
      <c r="V57" s="450"/>
      <c r="W57" s="450"/>
      <c r="X57" s="450"/>
      <c r="Y57" s="451"/>
      <c r="Z57" s="448"/>
      <c r="AA57" s="452"/>
      <c r="AB57" s="450"/>
      <c r="AC57" s="450"/>
      <c r="AD57" s="450"/>
      <c r="AE57" s="450"/>
      <c r="AF57" s="451"/>
      <c r="AG57" s="448"/>
      <c r="AH57" s="452"/>
      <c r="AI57" s="450"/>
      <c r="AJ57" s="450"/>
      <c r="AK57" s="450"/>
      <c r="AL57" s="450"/>
      <c r="AM57" s="287"/>
      <c r="AN57" s="448"/>
      <c r="AO57" s="3369"/>
      <c r="AP57" s="3370"/>
      <c r="AQ57" s="3370"/>
      <c r="AR57" s="3370"/>
      <c r="AS57" s="3370"/>
      <c r="AT57" s="3371"/>
      <c r="AU57" s="1429"/>
    </row>
    <row r="58" spans="1:47" s="45" customFormat="1" ht="25.5">
      <c r="A58" s="3253">
        <v>11</v>
      </c>
      <c r="B58" s="3254">
        <v>215</v>
      </c>
      <c r="C58" s="3255">
        <v>0.2</v>
      </c>
      <c r="D58" s="3229" t="s">
        <v>685</v>
      </c>
      <c r="E58" s="448"/>
      <c r="F58" s="452"/>
      <c r="G58" s="450"/>
      <c r="H58" s="450"/>
      <c r="I58" s="450">
        <v>20</v>
      </c>
      <c r="J58" s="450"/>
      <c r="K58" s="287">
        <v>50</v>
      </c>
      <c r="L58" s="448"/>
      <c r="M58" s="452"/>
      <c r="N58" s="450"/>
      <c r="O58" s="450"/>
      <c r="P58" s="450"/>
      <c r="Q58" s="450"/>
      <c r="R58" s="287"/>
      <c r="S58" s="448"/>
      <c r="T58" s="452"/>
      <c r="U58" s="450"/>
      <c r="V58" s="450"/>
      <c r="W58" s="450"/>
      <c r="X58" s="450"/>
      <c r="Y58" s="451"/>
      <c r="Z58" s="448"/>
      <c r="AA58" s="452"/>
      <c r="AB58" s="450"/>
      <c r="AC58" s="450"/>
      <c r="AD58" s="450"/>
      <c r="AE58" s="450"/>
      <c r="AF58" s="451"/>
      <c r="AG58" s="448"/>
      <c r="AH58" s="452"/>
      <c r="AI58" s="450"/>
      <c r="AJ58" s="450"/>
      <c r="AK58" s="450"/>
      <c r="AL58" s="450"/>
      <c r="AM58" s="287"/>
      <c r="AN58" s="448"/>
      <c r="AO58" s="3369"/>
      <c r="AP58" s="3370"/>
      <c r="AQ58" s="3370"/>
      <c r="AR58" s="3370"/>
      <c r="AS58" s="3370"/>
      <c r="AT58" s="3371"/>
      <c r="AU58" s="1429"/>
    </row>
    <row r="59" spans="1:47" s="45" customFormat="1" ht="13.5" thickBot="1">
      <c r="A59" s="3253">
        <v>12</v>
      </c>
      <c r="B59" s="3257">
        <v>219</v>
      </c>
      <c r="C59" s="3258">
        <v>0.1</v>
      </c>
      <c r="D59" s="3259" t="s">
        <v>221</v>
      </c>
      <c r="E59" s="449"/>
      <c r="F59" s="452"/>
      <c r="G59" s="450"/>
      <c r="H59" s="450"/>
      <c r="I59" s="450"/>
      <c r="J59" s="450">
        <v>10</v>
      </c>
      <c r="K59" s="287"/>
      <c r="L59" s="449"/>
      <c r="M59" s="452"/>
      <c r="N59" s="450"/>
      <c r="O59" s="450"/>
      <c r="P59" s="450"/>
      <c r="Q59" s="450"/>
      <c r="R59" s="287"/>
      <c r="S59" s="449"/>
      <c r="T59" s="452"/>
      <c r="U59" s="450"/>
      <c r="V59" s="450"/>
      <c r="W59" s="450"/>
      <c r="X59" s="450"/>
      <c r="Y59" s="451"/>
      <c r="Z59" s="449"/>
      <c r="AA59" s="452"/>
      <c r="AB59" s="450"/>
      <c r="AC59" s="450"/>
      <c r="AD59" s="450"/>
      <c r="AE59" s="450"/>
      <c r="AF59" s="451"/>
      <c r="AG59" s="449"/>
      <c r="AH59" s="452"/>
      <c r="AI59" s="450"/>
      <c r="AJ59" s="450"/>
      <c r="AK59" s="450"/>
      <c r="AL59" s="450"/>
      <c r="AM59" s="287"/>
      <c r="AN59" s="449"/>
      <c r="AO59" s="3372"/>
      <c r="AP59" s="3373"/>
      <c r="AQ59" s="3373"/>
      <c r="AR59" s="3373"/>
      <c r="AS59" s="3373"/>
      <c r="AT59" s="3374"/>
      <c r="AU59" s="1429"/>
    </row>
    <row r="60" spans="1:47" s="720" customFormat="1" ht="15" thickBot="1">
      <c r="A60" s="3260" t="s">
        <v>211</v>
      </c>
      <c r="B60" s="3261"/>
      <c r="C60" s="3261"/>
      <c r="D60" s="3262" t="s">
        <v>223</v>
      </c>
      <c r="E60" s="3263">
        <f t="shared" ref="E60:AT60" si="35">E61+E64+E67+E79+E94+E99+SUM(E103:E108)</f>
        <v>14.127000000000001</v>
      </c>
      <c r="F60" s="3263">
        <f t="shared" si="35"/>
        <v>33.975069999999995</v>
      </c>
      <c r="G60" s="3200">
        <f t="shared" si="35"/>
        <v>32.475069999999995</v>
      </c>
      <c r="H60" s="3200">
        <f t="shared" si="35"/>
        <v>22.475070000000002</v>
      </c>
      <c r="I60" s="3200">
        <f t="shared" si="35"/>
        <v>5.4750700000000005</v>
      </c>
      <c r="J60" s="3200">
        <f t="shared" si="35"/>
        <v>-25.124929999999996</v>
      </c>
      <c r="K60" s="3201">
        <f t="shared" si="35"/>
        <v>-35.124929999999992</v>
      </c>
      <c r="L60" s="3202">
        <f t="shared" si="35"/>
        <v>4.020999999999999</v>
      </c>
      <c r="M60" s="3264">
        <f t="shared" si="35"/>
        <v>9.0792599999999997</v>
      </c>
      <c r="N60" s="3200">
        <f t="shared" si="35"/>
        <v>7.0792599999999997</v>
      </c>
      <c r="O60" s="3200">
        <f t="shared" si="35"/>
        <v>7.0792599999999997</v>
      </c>
      <c r="P60" s="3200">
        <f t="shared" si="35"/>
        <v>4.0792600000000014</v>
      </c>
      <c r="Q60" s="3200">
        <f t="shared" si="35"/>
        <v>-20.920739999999999</v>
      </c>
      <c r="R60" s="3203">
        <f t="shared" si="35"/>
        <v>-30.920740000000002</v>
      </c>
      <c r="S60" s="3202">
        <f t="shared" si="35"/>
        <v>0.17599999999999999</v>
      </c>
      <c r="T60" s="3199">
        <f t="shared" si="35"/>
        <v>-1.3727</v>
      </c>
      <c r="U60" s="3200">
        <f t="shared" si="35"/>
        <v>-3.3727</v>
      </c>
      <c r="V60" s="3200">
        <f t="shared" si="35"/>
        <v>-3.3727</v>
      </c>
      <c r="W60" s="3200">
        <f t="shared" si="35"/>
        <v>-4.3727</v>
      </c>
      <c r="X60" s="3200">
        <f t="shared" si="35"/>
        <v>-7.3727</v>
      </c>
      <c r="Y60" s="3203">
        <f t="shared" si="35"/>
        <v>-7.3727</v>
      </c>
      <c r="Z60" s="3202">
        <f t="shared" ref="Z60:AF60" si="36">Z61+Z64+Z67+Z79+Z94+Z99+SUM(Z103:Z108)</f>
        <v>7.0000000000000001E-3</v>
      </c>
      <c r="AA60" s="3199">
        <f t="shared" si="36"/>
        <v>3.0130000000000001E-2</v>
      </c>
      <c r="AB60" s="3200">
        <f t="shared" si="36"/>
        <v>3.0130000000000001E-2</v>
      </c>
      <c r="AC60" s="3200">
        <f t="shared" si="36"/>
        <v>3.0130000000000001E-2</v>
      </c>
      <c r="AD60" s="3200">
        <f t="shared" si="36"/>
        <v>-0.76986999999999994</v>
      </c>
      <c r="AE60" s="3200">
        <f t="shared" si="36"/>
        <v>-0.76986999999999994</v>
      </c>
      <c r="AF60" s="3203">
        <f t="shared" si="36"/>
        <v>-0.76986999999999994</v>
      </c>
      <c r="AG60" s="3202">
        <f t="shared" ref="AG60:AM60" si="37">AG61+AG64+AG67+AG79+AG94+AG99+SUM(AG103:AG108)</f>
        <v>0</v>
      </c>
      <c r="AH60" s="3199">
        <f t="shared" si="37"/>
        <v>0</v>
      </c>
      <c r="AI60" s="3200">
        <f t="shared" si="37"/>
        <v>0</v>
      </c>
      <c r="AJ60" s="3200">
        <f t="shared" si="37"/>
        <v>0</v>
      </c>
      <c r="AK60" s="3200">
        <f t="shared" si="37"/>
        <v>0</v>
      </c>
      <c r="AL60" s="3200">
        <f t="shared" si="37"/>
        <v>0</v>
      </c>
      <c r="AM60" s="3203">
        <f t="shared" si="37"/>
        <v>0</v>
      </c>
      <c r="AN60" s="3202">
        <f t="shared" si="35"/>
        <v>0</v>
      </c>
      <c r="AO60" s="3199">
        <f t="shared" si="35"/>
        <v>0</v>
      </c>
      <c r="AP60" s="3200">
        <f t="shared" si="35"/>
        <v>0</v>
      </c>
      <c r="AQ60" s="3200">
        <f t="shared" si="35"/>
        <v>0</v>
      </c>
      <c r="AR60" s="3200">
        <f t="shared" si="35"/>
        <v>0</v>
      </c>
      <c r="AS60" s="3200">
        <f t="shared" si="35"/>
        <v>0</v>
      </c>
      <c r="AT60" s="3203">
        <f t="shared" si="35"/>
        <v>0</v>
      </c>
      <c r="AU60" s="1429"/>
    </row>
    <row r="61" spans="1:47" s="45" customFormat="1">
      <c r="A61" s="3204">
        <v>1</v>
      </c>
      <c r="B61" s="3204">
        <v>201</v>
      </c>
      <c r="C61" s="3205">
        <v>0</v>
      </c>
      <c r="D61" s="3265" t="s">
        <v>222</v>
      </c>
      <c r="E61" s="3375">
        <f>SUM(E62:E63)</f>
        <v>0</v>
      </c>
      <c r="F61" s="3266">
        <f>SUM(F62:F63)</f>
        <v>0</v>
      </c>
      <c r="G61" s="3267">
        <f t="shared" ref="G61:J61" si="38">SUM(G62:G63)</f>
        <v>0</v>
      </c>
      <c r="H61" s="3267">
        <f t="shared" si="38"/>
        <v>0</v>
      </c>
      <c r="I61" s="3267">
        <f t="shared" si="38"/>
        <v>0</v>
      </c>
      <c r="J61" s="3267">
        <f t="shared" si="38"/>
        <v>0</v>
      </c>
      <c r="K61" s="3268">
        <f>SUM(K62:K63)</f>
        <v>0</v>
      </c>
      <c r="L61" s="3269">
        <f>SUM(L62:L63)</f>
        <v>0</v>
      </c>
      <c r="M61" s="3270">
        <f>SUM(M62:M63)</f>
        <v>0</v>
      </c>
      <c r="N61" s="3267">
        <f t="shared" ref="N61:Q61" si="39">SUM(N62:N63)</f>
        <v>0</v>
      </c>
      <c r="O61" s="3267">
        <f t="shared" si="39"/>
        <v>0</v>
      </c>
      <c r="P61" s="3267">
        <f t="shared" si="39"/>
        <v>0</v>
      </c>
      <c r="Q61" s="3267">
        <f t="shared" si="39"/>
        <v>0</v>
      </c>
      <c r="R61" s="3271">
        <f>SUM(R62:R63)</f>
        <v>0</v>
      </c>
      <c r="S61" s="3269">
        <f>SUM(S62:S63)</f>
        <v>0</v>
      </c>
      <c r="T61" s="3270">
        <f>SUM(T62:T63)</f>
        <v>0</v>
      </c>
      <c r="U61" s="3267">
        <f t="shared" ref="U61:X61" si="40">SUM(U62:U63)</f>
        <v>0</v>
      </c>
      <c r="V61" s="3267">
        <f t="shared" si="40"/>
        <v>0</v>
      </c>
      <c r="W61" s="3267">
        <f t="shared" si="40"/>
        <v>0</v>
      </c>
      <c r="X61" s="3267">
        <f t="shared" si="40"/>
        <v>0</v>
      </c>
      <c r="Y61" s="3271">
        <f>SUM(Y62:Y63)</f>
        <v>0</v>
      </c>
      <c r="Z61" s="3269">
        <f>SUM(Z62:Z63)</f>
        <v>0</v>
      </c>
      <c r="AA61" s="3270">
        <f>SUM(AA62:AA63)</f>
        <v>0</v>
      </c>
      <c r="AB61" s="3267">
        <f t="shared" ref="AB61:AE61" si="41">SUM(AB62:AB63)</f>
        <v>0</v>
      </c>
      <c r="AC61" s="3267">
        <f t="shared" si="41"/>
        <v>0</v>
      </c>
      <c r="AD61" s="3267">
        <f t="shared" si="41"/>
        <v>0</v>
      </c>
      <c r="AE61" s="3267">
        <f t="shared" si="41"/>
        <v>0</v>
      </c>
      <c r="AF61" s="3271">
        <f>SUM(AF62:AF63)</f>
        <v>0</v>
      </c>
      <c r="AG61" s="3269">
        <f>SUM(AG62:AG63)</f>
        <v>0</v>
      </c>
      <c r="AH61" s="3270">
        <f>SUM(AH62:AH63)</f>
        <v>0</v>
      </c>
      <c r="AI61" s="3267">
        <f t="shared" ref="AI61:AL61" si="42">SUM(AI62:AI63)</f>
        <v>0</v>
      </c>
      <c r="AJ61" s="3267">
        <f t="shared" si="42"/>
        <v>0</v>
      </c>
      <c r="AK61" s="3267">
        <f t="shared" si="42"/>
        <v>0</v>
      </c>
      <c r="AL61" s="3267">
        <f t="shared" si="42"/>
        <v>0</v>
      </c>
      <c r="AM61" s="3271">
        <f>SUM(AM62:AM63)</f>
        <v>0</v>
      </c>
      <c r="AN61" s="3269">
        <f>SUM(AN62:AN63)</f>
        <v>0</v>
      </c>
      <c r="AO61" s="3366"/>
      <c r="AP61" s="3367"/>
      <c r="AQ61" s="3367"/>
      <c r="AR61" s="3367"/>
      <c r="AS61" s="3367"/>
      <c r="AT61" s="3368"/>
      <c r="AU61" s="1431"/>
    </row>
    <row r="62" spans="1:47" s="738" customFormat="1">
      <c r="A62" s="3212"/>
      <c r="B62" s="3212">
        <v>20101</v>
      </c>
      <c r="C62" s="3272">
        <v>0</v>
      </c>
      <c r="D62" s="3273" t="s">
        <v>562</v>
      </c>
      <c r="E62" s="448"/>
      <c r="F62" s="3274">
        <f>($E13*$C62)-(F13*$C62)</f>
        <v>0</v>
      </c>
      <c r="G62" s="3275">
        <f t="shared" ref="G62:K63" si="43">F62-(G13*$C62)</f>
        <v>0</v>
      </c>
      <c r="H62" s="3276">
        <f t="shared" si="43"/>
        <v>0</v>
      </c>
      <c r="I62" s="3276">
        <f t="shared" si="43"/>
        <v>0</v>
      </c>
      <c r="J62" s="3276">
        <f t="shared" si="43"/>
        <v>0</v>
      </c>
      <c r="K62" s="3277">
        <f t="shared" si="43"/>
        <v>0</v>
      </c>
      <c r="L62" s="448"/>
      <c r="M62" s="3278">
        <f>($L13*$C62)-(M13*$C62)</f>
        <v>0</v>
      </c>
      <c r="N62" s="3275">
        <f t="shared" ref="N62:R63" si="44">M62-(N13*$C62)</f>
        <v>0</v>
      </c>
      <c r="O62" s="3276">
        <f t="shared" si="44"/>
        <v>0</v>
      </c>
      <c r="P62" s="3276">
        <f t="shared" si="44"/>
        <v>0</v>
      </c>
      <c r="Q62" s="3276">
        <f t="shared" si="44"/>
        <v>0</v>
      </c>
      <c r="R62" s="3279">
        <f t="shared" si="44"/>
        <v>0</v>
      </c>
      <c r="S62" s="448"/>
      <c r="T62" s="3278">
        <f>($S13*$C62)-(T13*$C62)</f>
        <v>0</v>
      </c>
      <c r="U62" s="3275">
        <f t="shared" ref="U62:Y63" si="45">T62-(U13*$C62)</f>
        <v>0</v>
      </c>
      <c r="V62" s="3276">
        <f t="shared" si="45"/>
        <v>0</v>
      </c>
      <c r="W62" s="3276">
        <f t="shared" si="45"/>
        <v>0</v>
      </c>
      <c r="X62" s="3276">
        <f t="shared" si="45"/>
        <v>0</v>
      </c>
      <c r="Y62" s="3279">
        <f t="shared" si="45"/>
        <v>0</v>
      </c>
      <c r="Z62" s="448"/>
      <c r="AA62" s="3278">
        <f>($Z13*$C62)-(AA13*$C62)</f>
        <v>0</v>
      </c>
      <c r="AB62" s="3275">
        <f t="shared" ref="AB62:AF63" si="46">AA62-(AB13*$C62)</f>
        <v>0</v>
      </c>
      <c r="AC62" s="3276">
        <f t="shared" si="46"/>
        <v>0</v>
      </c>
      <c r="AD62" s="3276">
        <f t="shared" si="46"/>
        <v>0</v>
      </c>
      <c r="AE62" s="3276">
        <f t="shared" si="46"/>
        <v>0</v>
      </c>
      <c r="AF62" s="3279">
        <f t="shared" si="46"/>
        <v>0</v>
      </c>
      <c r="AG62" s="448"/>
      <c r="AH62" s="3278">
        <f>($AG13*$C62)-(AH13*$C62)</f>
        <v>0</v>
      </c>
      <c r="AI62" s="3275">
        <f t="shared" ref="AI62:AM63" si="47">AH62-(AI13*$C62)</f>
        <v>0</v>
      </c>
      <c r="AJ62" s="3276">
        <f t="shared" si="47"/>
        <v>0</v>
      </c>
      <c r="AK62" s="3276">
        <f t="shared" si="47"/>
        <v>0</v>
      </c>
      <c r="AL62" s="3276">
        <f t="shared" si="47"/>
        <v>0</v>
      </c>
      <c r="AM62" s="3279">
        <f t="shared" si="47"/>
        <v>0</v>
      </c>
      <c r="AN62" s="448"/>
      <c r="AO62" s="3369"/>
      <c r="AP62" s="3370"/>
      <c r="AQ62" s="3370"/>
      <c r="AR62" s="3370"/>
      <c r="AS62" s="3370"/>
      <c r="AT62" s="3371"/>
      <c r="AU62" s="1432"/>
    </row>
    <row r="63" spans="1:47" s="738" customFormat="1">
      <c r="A63" s="3212"/>
      <c r="B63" s="3212">
        <v>20102</v>
      </c>
      <c r="C63" s="3272">
        <v>0</v>
      </c>
      <c r="D63" s="3280" t="s">
        <v>564</v>
      </c>
      <c r="E63" s="448"/>
      <c r="F63" s="3278">
        <f>($E14*$C63)-(F14*$C63)</f>
        <v>0</v>
      </c>
      <c r="G63" s="3276">
        <f t="shared" si="43"/>
        <v>0</v>
      </c>
      <c r="H63" s="3276">
        <f t="shared" si="43"/>
        <v>0</v>
      </c>
      <c r="I63" s="3276">
        <f t="shared" si="43"/>
        <v>0</v>
      </c>
      <c r="J63" s="3276">
        <f t="shared" si="43"/>
        <v>0</v>
      </c>
      <c r="K63" s="3277">
        <f t="shared" si="43"/>
        <v>0</v>
      </c>
      <c r="L63" s="448"/>
      <c r="M63" s="3278">
        <f>($L14*$C63)-(M14*$C63)</f>
        <v>0</v>
      </c>
      <c r="N63" s="3276">
        <f t="shared" si="44"/>
        <v>0</v>
      </c>
      <c r="O63" s="3276">
        <f t="shared" si="44"/>
        <v>0</v>
      </c>
      <c r="P63" s="3276">
        <f t="shared" si="44"/>
        <v>0</v>
      </c>
      <c r="Q63" s="3276">
        <f t="shared" si="44"/>
        <v>0</v>
      </c>
      <c r="R63" s="3279">
        <f t="shared" si="44"/>
        <v>0</v>
      </c>
      <c r="S63" s="448"/>
      <c r="T63" s="3278">
        <f>($S14*$C63)-(T14*$C63)</f>
        <v>0</v>
      </c>
      <c r="U63" s="3276">
        <f t="shared" si="45"/>
        <v>0</v>
      </c>
      <c r="V63" s="3276">
        <f t="shared" si="45"/>
        <v>0</v>
      </c>
      <c r="W63" s="3276">
        <f t="shared" si="45"/>
        <v>0</v>
      </c>
      <c r="X63" s="3276">
        <f t="shared" si="45"/>
        <v>0</v>
      </c>
      <c r="Y63" s="3279">
        <f t="shared" si="45"/>
        <v>0</v>
      </c>
      <c r="Z63" s="448"/>
      <c r="AA63" s="3278">
        <f>($Z14*$C63)-(AA14*$C63)</f>
        <v>0</v>
      </c>
      <c r="AB63" s="3276">
        <f t="shared" si="46"/>
        <v>0</v>
      </c>
      <c r="AC63" s="3276">
        <f t="shared" si="46"/>
        <v>0</v>
      </c>
      <c r="AD63" s="3276">
        <f t="shared" si="46"/>
        <v>0</v>
      </c>
      <c r="AE63" s="3276">
        <f t="shared" si="46"/>
        <v>0</v>
      </c>
      <c r="AF63" s="3279">
        <f t="shared" si="46"/>
        <v>0</v>
      </c>
      <c r="AG63" s="448"/>
      <c r="AH63" s="3278">
        <f>($AG14*$C63)-(AH14*$C63)</f>
        <v>0</v>
      </c>
      <c r="AI63" s="3276">
        <f t="shared" si="47"/>
        <v>0</v>
      </c>
      <c r="AJ63" s="3276">
        <f t="shared" si="47"/>
        <v>0</v>
      </c>
      <c r="AK63" s="3276">
        <f t="shared" si="47"/>
        <v>0</v>
      </c>
      <c r="AL63" s="3276">
        <f t="shared" si="47"/>
        <v>0</v>
      </c>
      <c r="AM63" s="3279">
        <f t="shared" si="47"/>
        <v>0</v>
      </c>
      <c r="AN63" s="448"/>
      <c r="AO63" s="3369"/>
      <c r="AP63" s="3370"/>
      <c r="AQ63" s="3370"/>
      <c r="AR63" s="3370"/>
      <c r="AS63" s="3370"/>
      <c r="AT63" s="3371"/>
      <c r="AU63" s="1433"/>
    </row>
    <row r="64" spans="1:47" s="45" customFormat="1">
      <c r="A64" s="3217">
        <v>2</v>
      </c>
      <c r="B64" s="3217">
        <v>202</v>
      </c>
      <c r="C64" s="3281">
        <v>0.03</v>
      </c>
      <c r="D64" s="3282" t="s">
        <v>409</v>
      </c>
      <c r="E64" s="3283">
        <f>SUM(E65:E66)</f>
        <v>8.4000000000000005E-2</v>
      </c>
      <c r="F64" s="3283">
        <f>SUM(F65:F66)</f>
        <v>0.40712999999999999</v>
      </c>
      <c r="G64" s="3223">
        <f t="shared" ref="G64:AN64" si="48">SUM(G65:G66)</f>
        <v>0.40712999999999999</v>
      </c>
      <c r="H64" s="3223">
        <f t="shared" si="48"/>
        <v>0.40712999999999999</v>
      </c>
      <c r="I64" s="3223">
        <f t="shared" si="48"/>
        <v>0.40712999999999999</v>
      </c>
      <c r="J64" s="3223">
        <f t="shared" si="48"/>
        <v>0.40712999999999999</v>
      </c>
      <c r="K64" s="3224">
        <f t="shared" si="48"/>
        <v>0.40712999999999999</v>
      </c>
      <c r="L64" s="3221">
        <f t="shared" si="48"/>
        <v>0</v>
      </c>
      <c r="M64" s="3284">
        <f t="shared" si="48"/>
        <v>3.3120000000000004E-2</v>
      </c>
      <c r="N64" s="3223">
        <f t="shared" si="48"/>
        <v>3.3120000000000004E-2</v>
      </c>
      <c r="O64" s="3223">
        <f t="shared" si="48"/>
        <v>3.3120000000000004E-2</v>
      </c>
      <c r="P64" s="3223">
        <f t="shared" si="48"/>
        <v>3.3120000000000004E-2</v>
      </c>
      <c r="Q64" s="3223">
        <f t="shared" si="48"/>
        <v>3.3120000000000004E-2</v>
      </c>
      <c r="R64" s="3225">
        <f t="shared" si="48"/>
        <v>3.3120000000000004E-2</v>
      </c>
      <c r="S64" s="3221">
        <f t="shared" si="48"/>
        <v>0</v>
      </c>
      <c r="T64" s="3222">
        <f t="shared" si="48"/>
        <v>0</v>
      </c>
      <c r="U64" s="3223">
        <f t="shared" si="48"/>
        <v>0</v>
      </c>
      <c r="V64" s="3223">
        <f t="shared" si="48"/>
        <v>0</v>
      </c>
      <c r="W64" s="3223">
        <f t="shared" si="48"/>
        <v>0</v>
      </c>
      <c r="X64" s="3223">
        <f t="shared" si="48"/>
        <v>0</v>
      </c>
      <c r="Y64" s="3225">
        <f t="shared" si="48"/>
        <v>0</v>
      </c>
      <c r="Z64" s="3221">
        <f t="shared" si="48"/>
        <v>0</v>
      </c>
      <c r="AA64" s="3222">
        <f t="shared" si="48"/>
        <v>6.3000000000000003E-4</v>
      </c>
      <c r="AB64" s="3223">
        <f t="shared" si="48"/>
        <v>6.3000000000000003E-4</v>
      </c>
      <c r="AC64" s="3223">
        <f t="shared" si="48"/>
        <v>6.3000000000000003E-4</v>
      </c>
      <c r="AD64" s="3223">
        <f t="shared" si="48"/>
        <v>6.3000000000000003E-4</v>
      </c>
      <c r="AE64" s="3223">
        <f t="shared" si="48"/>
        <v>6.3000000000000003E-4</v>
      </c>
      <c r="AF64" s="3225">
        <f t="shared" si="48"/>
        <v>6.3000000000000003E-4</v>
      </c>
      <c r="AG64" s="3221">
        <f t="shared" si="48"/>
        <v>0</v>
      </c>
      <c r="AH64" s="3222">
        <f t="shared" si="48"/>
        <v>0</v>
      </c>
      <c r="AI64" s="3223">
        <f t="shared" si="48"/>
        <v>0</v>
      </c>
      <c r="AJ64" s="3223">
        <f t="shared" si="48"/>
        <v>0</v>
      </c>
      <c r="AK64" s="3223">
        <f t="shared" si="48"/>
        <v>0</v>
      </c>
      <c r="AL64" s="3223">
        <f t="shared" si="48"/>
        <v>0</v>
      </c>
      <c r="AM64" s="3225">
        <f t="shared" si="48"/>
        <v>0</v>
      </c>
      <c r="AN64" s="3221">
        <f t="shared" si="48"/>
        <v>0</v>
      </c>
      <c r="AO64" s="3369"/>
      <c r="AP64" s="3370"/>
      <c r="AQ64" s="3370"/>
      <c r="AR64" s="3370"/>
      <c r="AS64" s="3370"/>
      <c r="AT64" s="3371"/>
      <c r="AU64" s="1434"/>
    </row>
    <row r="65" spans="1:47" s="721" customFormat="1">
      <c r="A65" s="3226"/>
      <c r="B65" s="3226">
        <v>20201</v>
      </c>
      <c r="C65" s="3285">
        <v>0.03</v>
      </c>
      <c r="D65" s="3286" t="s">
        <v>430</v>
      </c>
      <c r="E65" s="448"/>
      <c r="F65" s="3278">
        <f>($E16*$C65)-(F16*$C65)</f>
        <v>7.0199999999999999E-2</v>
      </c>
      <c r="G65" s="3276">
        <f t="shared" ref="G65:K66" si="49">F65-(G16*$C65)</f>
        <v>7.0199999999999999E-2</v>
      </c>
      <c r="H65" s="3276">
        <f t="shared" si="49"/>
        <v>7.0199999999999999E-2</v>
      </c>
      <c r="I65" s="3276">
        <f t="shared" si="49"/>
        <v>7.0199999999999999E-2</v>
      </c>
      <c r="J65" s="3276">
        <f t="shared" si="49"/>
        <v>7.0199999999999999E-2</v>
      </c>
      <c r="K65" s="3277">
        <f t="shared" si="49"/>
        <v>7.0199999999999999E-2</v>
      </c>
      <c r="L65" s="448"/>
      <c r="M65" s="3278">
        <f>($L16*$C65)-(M16*$C65)</f>
        <v>3.3120000000000004E-2</v>
      </c>
      <c r="N65" s="3276">
        <f t="shared" ref="N65:R66" si="50">M65-(N16*$C65)</f>
        <v>3.3120000000000004E-2</v>
      </c>
      <c r="O65" s="3276">
        <f t="shared" si="50"/>
        <v>3.3120000000000004E-2</v>
      </c>
      <c r="P65" s="3276">
        <f t="shared" si="50"/>
        <v>3.3120000000000004E-2</v>
      </c>
      <c r="Q65" s="3276">
        <f t="shared" si="50"/>
        <v>3.3120000000000004E-2</v>
      </c>
      <c r="R65" s="3279">
        <f t="shared" si="50"/>
        <v>3.3120000000000004E-2</v>
      </c>
      <c r="S65" s="448"/>
      <c r="T65" s="3278">
        <f>($S16*$C65)-(T16*$C65)</f>
        <v>0</v>
      </c>
      <c r="U65" s="3276">
        <f t="shared" ref="U65:Y66" si="51">T65-(U16*$C65)</f>
        <v>0</v>
      </c>
      <c r="V65" s="3276">
        <f t="shared" si="51"/>
        <v>0</v>
      </c>
      <c r="W65" s="3276">
        <f t="shared" si="51"/>
        <v>0</v>
      </c>
      <c r="X65" s="3276">
        <f t="shared" si="51"/>
        <v>0</v>
      </c>
      <c r="Y65" s="3279">
        <f t="shared" si="51"/>
        <v>0</v>
      </c>
      <c r="Z65" s="448"/>
      <c r="AA65" s="3278">
        <f t="shared" ref="AA65:AA66" si="52">($Z16*$C65)-(AA16*$C65)</f>
        <v>6.3000000000000003E-4</v>
      </c>
      <c r="AB65" s="3276">
        <f t="shared" ref="AB65:AF66" si="53">AA65-(AB16*$C65)</f>
        <v>6.3000000000000003E-4</v>
      </c>
      <c r="AC65" s="3276">
        <f t="shared" si="53"/>
        <v>6.3000000000000003E-4</v>
      </c>
      <c r="AD65" s="3276">
        <f t="shared" si="53"/>
        <v>6.3000000000000003E-4</v>
      </c>
      <c r="AE65" s="3276">
        <f t="shared" si="53"/>
        <v>6.3000000000000003E-4</v>
      </c>
      <c r="AF65" s="3279">
        <f t="shared" si="53"/>
        <v>6.3000000000000003E-4</v>
      </c>
      <c r="AG65" s="448"/>
      <c r="AH65" s="3278">
        <f t="shared" ref="AH65:AH66" si="54">($AG16*$C65)-(AH16*$C65)</f>
        <v>0</v>
      </c>
      <c r="AI65" s="3276">
        <f t="shared" ref="AI65:AM66" si="55">AH65-(AI16*$C65)</f>
        <v>0</v>
      </c>
      <c r="AJ65" s="3276">
        <f t="shared" si="55"/>
        <v>0</v>
      </c>
      <c r="AK65" s="3276">
        <f t="shared" si="55"/>
        <v>0</v>
      </c>
      <c r="AL65" s="3276">
        <f t="shared" si="55"/>
        <v>0</v>
      </c>
      <c r="AM65" s="3279">
        <f t="shared" si="55"/>
        <v>0</v>
      </c>
      <c r="AN65" s="448"/>
      <c r="AO65" s="3369"/>
      <c r="AP65" s="3370"/>
      <c r="AQ65" s="3370"/>
      <c r="AR65" s="3370"/>
      <c r="AS65" s="3370"/>
      <c r="AT65" s="3371"/>
      <c r="AU65" s="1433"/>
    </row>
    <row r="66" spans="1:47" s="721" customFormat="1">
      <c r="A66" s="3226"/>
      <c r="B66" s="3226">
        <v>20202</v>
      </c>
      <c r="C66" s="3285">
        <v>0.03</v>
      </c>
      <c r="D66" s="3286" t="s">
        <v>431</v>
      </c>
      <c r="E66" s="448">
        <v>8.4000000000000005E-2</v>
      </c>
      <c r="F66" s="3278">
        <f>($E17*$C66)-(F17*$C66)</f>
        <v>0.33693000000000001</v>
      </c>
      <c r="G66" s="3276">
        <f t="shared" si="49"/>
        <v>0.33693000000000001</v>
      </c>
      <c r="H66" s="3276">
        <f t="shared" si="49"/>
        <v>0.33693000000000001</v>
      </c>
      <c r="I66" s="3276">
        <f t="shared" si="49"/>
        <v>0.33693000000000001</v>
      </c>
      <c r="J66" s="3276">
        <f t="shared" si="49"/>
        <v>0.33693000000000001</v>
      </c>
      <c r="K66" s="3277">
        <f t="shared" si="49"/>
        <v>0.33693000000000001</v>
      </c>
      <c r="L66" s="448"/>
      <c r="M66" s="3278">
        <f>($L17*$C66)-(M17*$C66)</f>
        <v>0</v>
      </c>
      <c r="N66" s="3276">
        <f t="shared" si="50"/>
        <v>0</v>
      </c>
      <c r="O66" s="3276">
        <f t="shared" si="50"/>
        <v>0</v>
      </c>
      <c r="P66" s="3276">
        <f t="shared" si="50"/>
        <v>0</v>
      </c>
      <c r="Q66" s="3276">
        <f t="shared" si="50"/>
        <v>0</v>
      </c>
      <c r="R66" s="3279">
        <f t="shared" si="50"/>
        <v>0</v>
      </c>
      <c r="S66" s="448"/>
      <c r="T66" s="3278">
        <f>($S17*$C66)-(T17*$C66)</f>
        <v>0</v>
      </c>
      <c r="U66" s="3276">
        <f t="shared" si="51"/>
        <v>0</v>
      </c>
      <c r="V66" s="3276">
        <f t="shared" si="51"/>
        <v>0</v>
      </c>
      <c r="W66" s="3276">
        <f t="shared" si="51"/>
        <v>0</v>
      </c>
      <c r="X66" s="3276">
        <f t="shared" si="51"/>
        <v>0</v>
      </c>
      <c r="Y66" s="3279">
        <f t="shared" si="51"/>
        <v>0</v>
      </c>
      <c r="Z66" s="448"/>
      <c r="AA66" s="3278">
        <f t="shared" si="52"/>
        <v>0</v>
      </c>
      <c r="AB66" s="3276">
        <f t="shared" si="53"/>
        <v>0</v>
      </c>
      <c r="AC66" s="3276">
        <f t="shared" si="53"/>
        <v>0</v>
      </c>
      <c r="AD66" s="3276">
        <f t="shared" si="53"/>
        <v>0</v>
      </c>
      <c r="AE66" s="3276">
        <f t="shared" si="53"/>
        <v>0</v>
      </c>
      <c r="AF66" s="3279">
        <f t="shared" si="53"/>
        <v>0</v>
      </c>
      <c r="AG66" s="448"/>
      <c r="AH66" s="3278">
        <f t="shared" si="54"/>
        <v>0</v>
      </c>
      <c r="AI66" s="3276">
        <f t="shared" si="55"/>
        <v>0</v>
      </c>
      <c r="AJ66" s="3276">
        <f t="shared" si="55"/>
        <v>0</v>
      </c>
      <c r="AK66" s="3276">
        <f t="shared" si="55"/>
        <v>0</v>
      </c>
      <c r="AL66" s="3276">
        <f t="shared" si="55"/>
        <v>0</v>
      </c>
      <c r="AM66" s="3279">
        <f t="shared" si="55"/>
        <v>0</v>
      </c>
      <c r="AN66" s="448"/>
      <c r="AO66" s="3369"/>
      <c r="AP66" s="3370"/>
      <c r="AQ66" s="3370"/>
      <c r="AR66" s="3370"/>
      <c r="AS66" s="3370"/>
      <c r="AT66" s="3371"/>
      <c r="AU66" s="1433"/>
    </row>
    <row r="67" spans="1:47" s="45" customFormat="1" ht="12.75" customHeight="1">
      <c r="A67" s="3217">
        <v>3</v>
      </c>
      <c r="B67" s="3217">
        <v>203</v>
      </c>
      <c r="C67" s="3281"/>
      <c r="D67" s="3287" t="s">
        <v>410</v>
      </c>
      <c r="E67" s="3283">
        <f t="shared" ref="E67" si="56">SUM(E68:E78)-E71-E74</f>
        <v>9.734</v>
      </c>
      <c r="F67" s="3283">
        <f t="shared" ref="F67:AN67" si="57">SUM(F68:F78)-F71-F74</f>
        <v>21.433999999999994</v>
      </c>
      <c r="G67" s="3223">
        <f t="shared" si="57"/>
        <v>21.433999999999994</v>
      </c>
      <c r="H67" s="3223">
        <f t="shared" si="57"/>
        <v>11.434000000000001</v>
      </c>
      <c r="I67" s="3223">
        <f t="shared" si="57"/>
        <v>1.4340000000000011</v>
      </c>
      <c r="J67" s="3223">
        <f t="shared" si="57"/>
        <v>-20.565999999999995</v>
      </c>
      <c r="K67" s="3224">
        <f t="shared" si="57"/>
        <v>-20.565999999999995</v>
      </c>
      <c r="L67" s="3221">
        <f t="shared" si="57"/>
        <v>3.0000000000000001E-3</v>
      </c>
      <c r="M67" s="3284">
        <f t="shared" si="57"/>
        <v>3.1000000000000003E-3</v>
      </c>
      <c r="N67" s="3223">
        <f t="shared" si="57"/>
        <v>3.1000000000000003E-3</v>
      </c>
      <c r="O67" s="3223">
        <f t="shared" si="57"/>
        <v>3.1000000000000003E-3</v>
      </c>
      <c r="P67" s="3223">
        <f t="shared" si="57"/>
        <v>3.1000000000000003E-3</v>
      </c>
      <c r="Q67" s="3223">
        <f t="shared" si="57"/>
        <v>-11.9969</v>
      </c>
      <c r="R67" s="3225">
        <f t="shared" si="57"/>
        <v>-11.9969</v>
      </c>
      <c r="S67" s="3221">
        <f t="shared" si="57"/>
        <v>0</v>
      </c>
      <c r="T67" s="3222">
        <f t="shared" si="57"/>
        <v>0</v>
      </c>
      <c r="U67" s="3223">
        <f t="shared" si="57"/>
        <v>0</v>
      </c>
      <c r="V67" s="3223">
        <f t="shared" si="57"/>
        <v>0</v>
      </c>
      <c r="W67" s="3223">
        <f t="shared" si="57"/>
        <v>-1</v>
      </c>
      <c r="X67" s="3223">
        <f t="shared" si="57"/>
        <v>-4</v>
      </c>
      <c r="Y67" s="3225">
        <f t="shared" si="57"/>
        <v>-4</v>
      </c>
      <c r="Z67" s="3221">
        <f t="shared" ref="Z67:AM67" si="58">SUM(Z68:Z78)-Z71-Z74</f>
        <v>0</v>
      </c>
      <c r="AA67" s="3222">
        <f t="shared" si="58"/>
        <v>0</v>
      </c>
      <c r="AB67" s="3223">
        <f t="shared" si="58"/>
        <v>0</v>
      </c>
      <c r="AC67" s="3223">
        <f t="shared" si="58"/>
        <v>0</v>
      </c>
      <c r="AD67" s="3223">
        <f t="shared" si="58"/>
        <v>0</v>
      </c>
      <c r="AE67" s="3223">
        <f t="shared" si="58"/>
        <v>0</v>
      </c>
      <c r="AF67" s="3225">
        <f t="shared" si="58"/>
        <v>0</v>
      </c>
      <c r="AG67" s="3221">
        <f t="shared" si="58"/>
        <v>0</v>
      </c>
      <c r="AH67" s="3222">
        <f t="shared" si="58"/>
        <v>0</v>
      </c>
      <c r="AI67" s="3223">
        <f t="shared" si="58"/>
        <v>0</v>
      </c>
      <c r="AJ67" s="3223">
        <f t="shared" si="58"/>
        <v>0</v>
      </c>
      <c r="AK67" s="3223">
        <f t="shared" si="58"/>
        <v>0</v>
      </c>
      <c r="AL67" s="3223">
        <f t="shared" si="58"/>
        <v>0</v>
      </c>
      <c r="AM67" s="3225">
        <f t="shared" si="58"/>
        <v>0</v>
      </c>
      <c r="AN67" s="3221">
        <f t="shared" si="57"/>
        <v>0</v>
      </c>
      <c r="AO67" s="3369"/>
      <c r="AP67" s="3370"/>
      <c r="AQ67" s="3370"/>
      <c r="AR67" s="3370"/>
      <c r="AS67" s="3370"/>
      <c r="AT67" s="3371"/>
      <c r="AU67" s="1435"/>
    </row>
    <row r="68" spans="1:47" s="721" customFormat="1">
      <c r="A68" s="3226"/>
      <c r="B68" s="3226">
        <v>20301</v>
      </c>
      <c r="C68" s="3285">
        <v>0.1</v>
      </c>
      <c r="D68" s="3288" t="s">
        <v>432</v>
      </c>
      <c r="E68" s="448">
        <v>0.17100000000000001</v>
      </c>
      <c r="F68" s="3278">
        <f>($E19*$C68)-(F19*$C68)</f>
        <v>0.25850000000000001</v>
      </c>
      <c r="G68" s="3276">
        <f t="shared" ref="G68:K70" si="59">F68-(G19*$C68)</f>
        <v>0.25850000000000001</v>
      </c>
      <c r="H68" s="3276">
        <f t="shared" si="59"/>
        <v>0.25850000000000001</v>
      </c>
      <c r="I68" s="3276">
        <f t="shared" si="59"/>
        <v>0.25850000000000001</v>
      </c>
      <c r="J68" s="3276">
        <f t="shared" si="59"/>
        <v>0.25850000000000001</v>
      </c>
      <c r="K68" s="3277">
        <f t="shared" si="59"/>
        <v>0.25850000000000001</v>
      </c>
      <c r="L68" s="448"/>
      <c r="M68" s="3278">
        <f>($L19*$C68)-(M19*$C68)</f>
        <v>0</v>
      </c>
      <c r="N68" s="3276">
        <f t="shared" ref="N68:R70" si="60">M68-(N19*$C68)</f>
        <v>0</v>
      </c>
      <c r="O68" s="3276">
        <f t="shared" si="60"/>
        <v>0</v>
      </c>
      <c r="P68" s="3276">
        <f t="shared" si="60"/>
        <v>0</v>
      </c>
      <c r="Q68" s="3276">
        <f t="shared" si="60"/>
        <v>0</v>
      </c>
      <c r="R68" s="3279">
        <f t="shared" si="60"/>
        <v>0</v>
      </c>
      <c r="S68" s="448"/>
      <c r="T68" s="3278">
        <f>($S19*$C68)-(T19*$C68)</f>
        <v>0</v>
      </c>
      <c r="U68" s="3276">
        <f t="shared" ref="U68:Y70" si="61">T68-(U19*$C68)</f>
        <v>0</v>
      </c>
      <c r="V68" s="3276">
        <f t="shared" si="61"/>
        <v>0</v>
      </c>
      <c r="W68" s="3276">
        <f t="shared" si="61"/>
        <v>0</v>
      </c>
      <c r="X68" s="3276">
        <f t="shared" si="61"/>
        <v>0</v>
      </c>
      <c r="Y68" s="3279">
        <f t="shared" si="61"/>
        <v>0</v>
      </c>
      <c r="Z68" s="448"/>
      <c r="AA68" s="3278">
        <f t="shared" ref="AA68:AA70" si="62">($Z19*$C68)-(AA19*$C68)</f>
        <v>0</v>
      </c>
      <c r="AB68" s="3276">
        <f t="shared" ref="AB68:AF70" si="63">AA68-(AB19*$C68)</f>
        <v>0</v>
      </c>
      <c r="AC68" s="3276">
        <f t="shared" si="63"/>
        <v>0</v>
      </c>
      <c r="AD68" s="3276">
        <f t="shared" si="63"/>
        <v>0</v>
      </c>
      <c r="AE68" s="3276">
        <f t="shared" si="63"/>
        <v>0</v>
      </c>
      <c r="AF68" s="3279">
        <f t="shared" si="63"/>
        <v>0</v>
      </c>
      <c r="AG68" s="448"/>
      <c r="AH68" s="3278">
        <f t="shared" ref="AH68:AH70" si="64">($AG19*$C68)-(AH19*$C68)</f>
        <v>0</v>
      </c>
      <c r="AI68" s="3276">
        <f t="shared" ref="AI68:AM70" si="65">AH68-(AI19*$C68)</f>
        <v>0</v>
      </c>
      <c r="AJ68" s="3276">
        <f t="shared" si="65"/>
        <v>0</v>
      </c>
      <c r="AK68" s="3276">
        <f t="shared" si="65"/>
        <v>0</v>
      </c>
      <c r="AL68" s="3276">
        <f t="shared" si="65"/>
        <v>0</v>
      </c>
      <c r="AM68" s="3279">
        <f t="shared" si="65"/>
        <v>0</v>
      </c>
      <c r="AN68" s="448"/>
      <c r="AO68" s="3369"/>
      <c r="AP68" s="3370"/>
      <c r="AQ68" s="3370"/>
      <c r="AR68" s="3370"/>
      <c r="AS68" s="3370"/>
      <c r="AT68" s="3371"/>
      <c r="AU68" s="1429"/>
    </row>
    <row r="69" spans="1:47" s="721" customFormat="1">
      <c r="A69" s="3226"/>
      <c r="B69" s="3226">
        <v>20302</v>
      </c>
      <c r="C69" s="3285">
        <v>0.1</v>
      </c>
      <c r="D69" s="3288" t="s">
        <v>433</v>
      </c>
      <c r="E69" s="448"/>
      <c r="F69" s="3278">
        <f>($E20*$C69)-(F20*$C69)</f>
        <v>0</v>
      </c>
      <c r="G69" s="3276">
        <f t="shared" si="59"/>
        <v>0</v>
      </c>
      <c r="H69" s="3276">
        <f t="shared" si="59"/>
        <v>-10</v>
      </c>
      <c r="I69" s="3276">
        <f t="shared" si="59"/>
        <v>-20</v>
      </c>
      <c r="J69" s="3276">
        <f t="shared" si="59"/>
        <v>-30</v>
      </c>
      <c r="K69" s="3277">
        <f t="shared" si="59"/>
        <v>-30</v>
      </c>
      <c r="L69" s="448"/>
      <c r="M69" s="3278">
        <f>($L20*$C69)-(M20*$C69)</f>
        <v>0</v>
      </c>
      <c r="N69" s="3276">
        <f t="shared" si="60"/>
        <v>0</v>
      </c>
      <c r="O69" s="3276">
        <f t="shared" si="60"/>
        <v>0</v>
      </c>
      <c r="P69" s="3276">
        <f t="shared" si="60"/>
        <v>0</v>
      </c>
      <c r="Q69" s="3276">
        <f t="shared" si="60"/>
        <v>-12</v>
      </c>
      <c r="R69" s="3279">
        <f t="shared" si="60"/>
        <v>-12</v>
      </c>
      <c r="S69" s="448"/>
      <c r="T69" s="3278">
        <f>($S20*$C69)-(T20*$C69)</f>
        <v>0</v>
      </c>
      <c r="U69" s="3276">
        <f t="shared" si="61"/>
        <v>0</v>
      </c>
      <c r="V69" s="3276">
        <f t="shared" si="61"/>
        <v>0</v>
      </c>
      <c r="W69" s="3276">
        <f t="shared" si="61"/>
        <v>-1</v>
      </c>
      <c r="X69" s="3276">
        <f t="shared" si="61"/>
        <v>-4</v>
      </c>
      <c r="Y69" s="3279">
        <f t="shared" si="61"/>
        <v>-4</v>
      </c>
      <c r="Z69" s="448"/>
      <c r="AA69" s="3278">
        <f t="shared" si="62"/>
        <v>0</v>
      </c>
      <c r="AB69" s="3276">
        <f t="shared" si="63"/>
        <v>0</v>
      </c>
      <c r="AC69" s="3276">
        <f t="shared" si="63"/>
        <v>0</v>
      </c>
      <c r="AD69" s="3276">
        <f t="shared" si="63"/>
        <v>0</v>
      </c>
      <c r="AE69" s="3276">
        <f t="shared" si="63"/>
        <v>0</v>
      </c>
      <c r="AF69" s="3279">
        <f t="shared" si="63"/>
        <v>0</v>
      </c>
      <c r="AG69" s="448"/>
      <c r="AH69" s="3278">
        <f t="shared" si="64"/>
        <v>0</v>
      </c>
      <c r="AI69" s="3276">
        <f t="shared" si="65"/>
        <v>0</v>
      </c>
      <c r="AJ69" s="3276">
        <f t="shared" si="65"/>
        <v>0</v>
      </c>
      <c r="AK69" s="3276">
        <f t="shared" si="65"/>
        <v>0</v>
      </c>
      <c r="AL69" s="3276">
        <f t="shared" si="65"/>
        <v>0</v>
      </c>
      <c r="AM69" s="3279">
        <f t="shared" si="65"/>
        <v>0</v>
      </c>
      <c r="AN69" s="448"/>
      <c r="AO69" s="3369"/>
      <c r="AP69" s="3370"/>
      <c r="AQ69" s="3370"/>
      <c r="AR69" s="3370"/>
      <c r="AS69" s="3370"/>
      <c r="AT69" s="3371"/>
      <c r="AU69" s="1429"/>
    </row>
    <row r="70" spans="1:47" s="721" customFormat="1">
      <c r="A70" s="3226"/>
      <c r="B70" s="3226">
        <v>20303</v>
      </c>
      <c r="C70" s="3285">
        <v>0.1</v>
      </c>
      <c r="D70" s="3288" t="s">
        <v>411</v>
      </c>
      <c r="E70" s="448"/>
      <c r="F70" s="3278">
        <f>($E21*$C70)-(F21*$C70)</f>
        <v>0</v>
      </c>
      <c r="G70" s="3276">
        <f t="shared" si="59"/>
        <v>0</v>
      </c>
      <c r="H70" s="3276">
        <f t="shared" si="59"/>
        <v>0</v>
      </c>
      <c r="I70" s="3276">
        <f t="shared" si="59"/>
        <v>0</v>
      </c>
      <c r="J70" s="3276">
        <f t="shared" si="59"/>
        <v>0</v>
      </c>
      <c r="K70" s="3277">
        <f t="shared" si="59"/>
        <v>0</v>
      </c>
      <c r="L70" s="448"/>
      <c r="M70" s="3278">
        <f>($L21*$C70)-(M21*$C70)</f>
        <v>0</v>
      </c>
      <c r="N70" s="3276">
        <f t="shared" si="60"/>
        <v>0</v>
      </c>
      <c r="O70" s="3276">
        <f t="shared" si="60"/>
        <v>0</v>
      </c>
      <c r="P70" s="3276">
        <f t="shared" si="60"/>
        <v>0</v>
      </c>
      <c r="Q70" s="3276">
        <f t="shared" si="60"/>
        <v>0</v>
      </c>
      <c r="R70" s="3279">
        <f t="shared" si="60"/>
        <v>0</v>
      </c>
      <c r="S70" s="448"/>
      <c r="T70" s="3278">
        <f>($S21*$C70)-(T21*$C70)</f>
        <v>0</v>
      </c>
      <c r="U70" s="3276">
        <f t="shared" si="61"/>
        <v>0</v>
      </c>
      <c r="V70" s="3276">
        <f t="shared" si="61"/>
        <v>0</v>
      </c>
      <c r="W70" s="3276">
        <f t="shared" si="61"/>
        <v>0</v>
      </c>
      <c r="X70" s="3276">
        <f t="shared" si="61"/>
        <v>0</v>
      </c>
      <c r="Y70" s="3279">
        <f t="shared" si="61"/>
        <v>0</v>
      </c>
      <c r="Z70" s="448"/>
      <c r="AA70" s="3278">
        <f t="shared" si="62"/>
        <v>0</v>
      </c>
      <c r="AB70" s="3276">
        <f t="shared" si="63"/>
        <v>0</v>
      </c>
      <c r="AC70" s="3276">
        <f t="shared" si="63"/>
        <v>0</v>
      </c>
      <c r="AD70" s="3276">
        <f t="shared" si="63"/>
        <v>0</v>
      </c>
      <c r="AE70" s="3276">
        <f t="shared" si="63"/>
        <v>0</v>
      </c>
      <c r="AF70" s="3279">
        <f t="shared" si="63"/>
        <v>0</v>
      </c>
      <c r="AG70" s="448"/>
      <c r="AH70" s="3278">
        <f t="shared" si="64"/>
        <v>0</v>
      </c>
      <c r="AI70" s="3276">
        <f t="shared" si="65"/>
        <v>0</v>
      </c>
      <c r="AJ70" s="3276">
        <f t="shared" si="65"/>
        <v>0</v>
      </c>
      <c r="AK70" s="3276">
        <f t="shared" si="65"/>
        <v>0</v>
      </c>
      <c r="AL70" s="3276">
        <f t="shared" si="65"/>
        <v>0</v>
      </c>
      <c r="AM70" s="3279">
        <f t="shared" si="65"/>
        <v>0</v>
      </c>
      <c r="AN70" s="448"/>
      <c r="AO70" s="3369"/>
      <c r="AP70" s="3370"/>
      <c r="AQ70" s="3370"/>
      <c r="AR70" s="3370"/>
      <c r="AS70" s="3370"/>
      <c r="AT70" s="3371"/>
      <c r="AU70" s="1429"/>
    </row>
    <row r="71" spans="1:47" s="721" customFormat="1">
      <c r="A71" s="3226"/>
      <c r="B71" s="3226">
        <v>20304</v>
      </c>
      <c r="C71" s="3289">
        <v>0.1</v>
      </c>
      <c r="D71" s="3288" t="s">
        <v>412</v>
      </c>
      <c r="E71" s="3290">
        <f t="shared" ref="E71" si="66">SUM(E72:E73)</f>
        <v>1.343</v>
      </c>
      <c r="F71" s="3290">
        <f t="shared" ref="F71:AN71" si="67">SUM(F72:F73)</f>
        <v>2.9258000000000006</v>
      </c>
      <c r="G71" s="3233">
        <f t="shared" si="67"/>
        <v>2.9258000000000006</v>
      </c>
      <c r="H71" s="3233">
        <f t="shared" si="67"/>
        <v>2.9258000000000006</v>
      </c>
      <c r="I71" s="3233">
        <f t="shared" si="67"/>
        <v>2.9258000000000006</v>
      </c>
      <c r="J71" s="3233">
        <f t="shared" si="67"/>
        <v>2.9258000000000006</v>
      </c>
      <c r="K71" s="3234">
        <f t="shared" si="67"/>
        <v>2.9258000000000006</v>
      </c>
      <c r="L71" s="3231">
        <f t="shared" si="67"/>
        <v>0</v>
      </c>
      <c r="M71" s="3291">
        <f t="shared" si="67"/>
        <v>0</v>
      </c>
      <c r="N71" s="3233">
        <f t="shared" si="67"/>
        <v>0</v>
      </c>
      <c r="O71" s="3233">
        <f t="shared" si="67"/>
        <v>0</v>
      </c>
      <c r="P71" s="3233">
        <f t="shared" si="67"/>
        <v>0</v>
      </c>
      <c r="Q71" s="3233">
        <f t="shared" si="67"/>
        <v>0</v>
      </c>
      <c r="R71" s="3235">
        <f t="shared" si="67"/>
        <v>0</v>
      </c>
      <c r="S71" s="3231">
        <f t="shared" si="67"/>
        <v>0</v>
      </c>
      <c r="T71" s="3232">
        <f t="shared" si="67"/>
        <v>0</v>
      </c>
      <c r="U71" s="3233">
        <f t="shared" si="67"/>
        <v>0</v>
      </c>
      <c r="V71" s="3233">
        <f t="shared" si="67"/>
        <v>0</v>
      </c>
      <c r="W71" s="3233">
        <f t="shared" si="67"/>
        <v>0</v>
      </c>
      <c r="X71" s="3233">
        <f t="shared" si="67"/>
        <v>0</v>
      </c>
      <c r="Y71" s="3235">
        <f t="shared" si="67"/>
        <v>0</v>
      </c>
      <c r="Z71" s="3231">
        <f t="shared" si="67"/>
        <v>0</v>
      </c>
      <c r="AA71" s="3232">
        <f t="shared" si="67"/>
        <v>0</v>
      </c>
      <c r="AB71" s="3233">
        <f t="shared" si="67"/>
        <v>0</v>
      </c>
      <c r="AC71" s="3233">
        <f t="shared" si="67"/>
        <v>0</v>
      </c>
      <c r="AD71" s="3233">
        <f t="shared" si="67"/>
        <v>0</v>
      </c>
      <c r="AE71" s="3233">
        <f t="shared" si="67"/>
        <v>0</v>
      </c>
      <c r="AF71" s="3235">
        <f t="shared" si="67"/>
        <v>0</v>
      </c>
      <c r="AG71" s="3231">
        <f t="shared" si="67"/>
        <v>0</v>
      </c>
      <c r="AH71" s="3232">
        <f t="shared" si="67"/>
        <v>0</v>
      </c>
      <c r="AI71" s="3233">
        <f t="shared" si="67"/>
        <v>0</v>
      </c>
      <c r="AJ71" s="3233">
        <f t="shared" si="67"/>
        <v>0</v>
      </c>
      <c r="AK71" s="3233">
        <f t="shared" si="67"/>
        <v>0</v>
      </c>
      <c r="AL71" s="3233">
        <f t="shared" si="67"/>
        <v>0</v>
      </c>
      <c r="AM71" s="3235">
        <f t="shared" si="67"/>
        <v>0</v>
      </c>
      <c r="AN71" s="3231">
        <f t="shared" si="67"/>
        <v>0</v>
      </c>
      <c r="AO71" s="3369"/>
      <c r="AP71" s="3370"/>
      <c r="AQ71" s="3370"/>
      <c r="AR71" s="3370"/>
      <c r="AS71" s="3370"/>
      <c r="AT71" s="3371"/>
      <c r="AU71" s="1429"/>
    </row>
    <row r="72" spans="1:47" s="721" customFormat="1">
      <c r="A72" s="3226"/>
      <c r="B72" s="3292">
        <v>2030401</v>
      </c>
      <c r="C72" s="3293">
        <v>0.1</v>
      </c>
      <c r="D72" s="3294" t="s">
        <v>999</v>
      </c>
      <c r="E72" s="448">
        <f>0.107+1.236</f>
        <v>1.343</v>
      </c>
      <c r="F72" s="3278">
        <f>($E23*$C72)-(F23*$C72)</f>
        <v>2.9258000000000006</v>
      </c>
      <c r="G72" s="3276">
        <f t="shared" ref="G72:K73" si="68">F72-(G23*$C72)</f>
        <v>2.9258000000000006</v>
      </c>
      <c r="H72" s="3276">
        <f t="shared" si="68"/>
        <v>2.9258000000000006</v>
      </c>
      <c r="I72" s="3276">
        <f t="shared" si="68"/>
        <v>2.9258000000000006</v>
      </c>
      <c r="J72" s="3276">
        <f t="shared" si="68"/>
        <v>2.9258000000000006</v>
      </c>
      <c r="K72" s="3277">
        <f t="shared" si="68"/>
        <v>2.9258000000000006</v>
      </c>
      <c r="L72" s="448"/>
      <c r="M72" s="3278">
        <f>($L23*$C72)-(M23*$C72)</f>
        <v>0</v>
      </c>
      <c r="N72" s="3276">
        <f t="shared" ref="N72:R73" si="69">M72-(N23*$C72)</f>
        <v>0</v>
      </c>
      <c r="O72" s="3276">
        <f t="shared" si="69"/>
        <v>0</v>
      </c>
      <c r="P72" s="3276">
        <f t="shared" si="69"/>
        <v>0</v>
      </c>
      <c r="Q72" s="3276">
        <f t="shared" si="69"/>
        <v>0</v>
      </c>
      <c r="R72" s="3279">
        <f t="shared" si="69"/>
        <v>0</v>
      </c>
      <c r="S72" s="448"/>
      <c r="T72" s="3278">
        <f>($S23*$C72)-(T23*$C72)</f>
        <v>0</v>
      </c>
      <c r="U72" s="3276">
        <f t="shared" ref="U72:Y73" si="70">T72-(U23*$C72)</f>
        <v>0</v>
      </c>
      <c r="V72" s="3276">
        <f t="shared" si="70"/>
        <v>0</v>
      </c>
      <c r="W72" s="3276">
        <f t="shared" si="70"/>
        <v>0</v>
      </c>
      <c r="X72" s="3276">
        <f t="shared" si="70"/>
        <v>0</v>
      </c>
      <c r="Y72" s="3279">
        <f t="shared" si="70"/>
        <v>0</v>
      </c>
      <c r="Z72" s="448"/>
      <c r="AA72" s="3278">
        <f t="shared" ref="AA72:AA73" si="71">($Z23*$C72)-(AA23*$C72)</f>
        <v>0</v>
      </c>
      <c r="AB72" s="3276">
        <f t="shared" ref="AB72:AF73" si="72">AA72-(AB23*$C72)</f>
        <v>0</v>
      </c>
      <c r="AC72" s="3276">
        <f t="shared" si="72"/>
        <v>0</v>
      </c>
      <c r="AD72" s="3276">
        <f t="shared" si="72"/>
        <v>0</v>
      </c>
      <c r="AE72" s="3276">
        <f t="shared" si="72"/>
        <v>0</v>
      </c>
      <c r="AF72" s="3279">
        <f t="shared" si="72"/>
        <v>0</v>
      </c>
      <c r="AG72" s="448"/>
      <c r="AH72" s="3278">
        <f t="shared" ref="AH72:AH73" si="73">($AG23*$C72)-(AH23*$C72)</f>
        <v>0</v>
      </c>
      <c r="AI72" s="3276">
        <f t="shared" ref="AI72:AM73" si="74">AH72-(AI23*$C72)</f>
        <v>0</v>
      </c>
      <c r="AJ72" s="3276">
        <f t="shared" si="74"/>
        <v>0</v>
      </c>
      <c r="AK72" s="3276">
        <f t="shared" si="74"/>
        <v>0</v>
      </c>
      <c r="AL72" s="3276">
        <f t="shared" si="74"/>
        <v>0</v>
      </c>
      <c r="AM72" s="3279">
        <f t="shared" si="74"/>
        <v>0</v>
      </c>
      <c r="AN72" s="448"/>
      <c r="AO72" s="3369"/>
      <c r="AP72" s="3370"/>
      <c r="AQ72" s="3370"/>
      <c r="AR72" s="3370"/>
      <c r="AS72" s="3370"/>
      <c r="AT72" s="3371"/>
      <c r="AU72" s="1429"/>
    </row>
    <row r="73" spans="1:47" s="721" customFormat="1">
      <c r="A73" s="3226"/>
      <c r="B73" s="3292">
        <v>2030402</v>
      </c>
      <c r="C73" s="3293">
        <v>0.1</v>
      </c>
      <c r="D73" s="3294" t="s">
        <v>434</v>
      </c>
      <c r="E73" s="448"/>
      <c r="F73" s="3278">
        <f>($E24*$C73)-(F24*$C73)</f>
        <v>0</v>
      </c>
      <c r="G73" s="3276">
        <f t="shared" si="68"/>
        <v>0</v>
      </c>
      <c r="H73" s="3276">
        <f t="shared" si="68"/>
        <v>0</v>
      </c>
      <c r="I73" s="3276">
        <f t="shared" si="68"/>
        <v>0</v>
      </c>
      <c r="J73" s="3276">
        <f t="shared" si="68"/>
        <v>0</v>
      </c>
      <c r="K73" s="3277">
        <f t="shared" si="68"/>
        <v>0</v>
      </c>
      <c r="L73" s="448"/>
      <c r="M73" s="3278">
        <f>($L24*$C73)-(M24*$C73)</f>
        <v>0</v>
      </c>
      <c r="N73" s="3276">
        <f t="shared" si="69"/>
        <v>0</v>
      </c>
      <c r="O73" s="3276">
        <f t="shared" si="69"/>
        <v>0</v>
      </c>
      <c r="P73" s="3276">
        <f t="shared" si="69"/>
        <v>0</v>
      </c>
      <c r="Q73" s="3276">
        <f t="shared" si="69"/>
        <v>0</v>
      </c>
      <c r="R73" s="3279">
        <f t="shared" si="69"/>
        <v>0</v>
      </c>
      <c r="S73" s="448"/>
      <c r="T73" s="3278">
        <f>($S24*$C73)-(T24*$C73)</f>
        <v>0</v>
      </c>
      <c r="U73" s="3276">
        <f t="shared" si="70"/>
        <v>0</v>
      </c>
      <c r="V73" s="3276">
        <f t="shared" si="70"/>
        <v>0</v>
      </c>
      <c r="W73" s="3276">
        <f t="shared" si="70"/>
        <v>0</v>
      </c>
      <c r="X73" s="3276">
        <f t="shared" si="70"/>
        <v>0</v>
      </c>
      <c r="Y73" s="3279">
        <f t="shared" si="70"/>
        <v>0</v>
      </c>
      <c r="Z73" s="448"/>
      <c r="AA73" s="3278">
        <f t="shared" si="71"/>
        <v>0</v>
      </c>
      <c r="AB73" s="3276">
        <f t="shared" si="72"/>
        <v>0</v>
      </c>
      <c r="AC73" s="3276">
        <f t="shared" si="72"/>
        <v>0</v>
      </c>
      <c r="AD73" s="3276">
        <f t="shared" si="72"/>
        <v>0</v>
      </c>
      <c r="AE73" s="3276">
        <f t="shared" si="72"/>
        <v>0</v>
      </c>
      <c r="AF73" s="3279">
        <f t="shared" si="72"/>
        <v>0</v>
      </c>
      <c r="AG73" s="448"/>
      <c r="AH73" s="3278">
        <f t="shared" si="73"/>
        <v>0</v>
      </c>
      <c r="AI73" s="3276">
        <f t="shared" si="74"/>
        <v>0</v>
      </c>
      <c r="AJ73" s="3276">
        <f t="shared" si="74"/>
        <v>0</v>
      </c>
      <c r="AK73" s="3276">
        <f t="shared" si="74"/>
        <v>0</v>
      </c>
      <c r="AL73" s="3276">
        <f t="shared" si="74"/>
        <v>0</v>
      </c>
      <c r="AM73" s="3279">
        <f t="shared" si="74"/>
        <v>0</v>
      </c>
      <c r="AN73" s="448"/>
      <c r="AO73" s="3369"/>
      <c r="AP73" s="3370"/>
      <c r="AQ73" s="3370"/>
      <c r="AR73" s="3370"/>
      <c r="AS73" s="3370"/>
      <c r="AT73" s="3371"/>
      <c r="AU73" s="1429"/>
    </row>
    <row r="74" spans="1:47" s="721" customFormat="1">
      <c r="A74" s="3226"/>
      <c r="B74" s="3226">
        <v>20305</v>
      </c>
      <c r="C74" s="3289"/>
      <c r="D74" s="3288" t="s">
        <v>435</v>
      </c>
      <c r="E74" s="3290">
        <f>SUM(E75:E77)</f>
        <v>7.988999999999999</v>
      </c>
      <c r="F74" s="3290">
        <f t="shared" ref="F74:AN74" si="75">SUM(F75:F77)</f>
        <v>17.653700000000004</v>
      </c>
      <c r="G74" s="3233">
        <f t="shared" si="75"/>
        <v>17.653700000000004</v>
      </c>
      <c r="H74" s="3233">
        <f t="shared" si="75"/>
        <v>17.653700000000004</v>
      </c>
      <c r="I74" s="3233">
        <f t="shared" si="75"/>
        <v>17.653700000000004</v>
      </c>
      <c r="J74" s="3233">
        <f t="shared" si="75"/>
        <v>17.653700000000004</v>
      </c>
      <c r="K74" s="3234">
        <f t="shared" si="75"/>
        <v>17.653700000000004</v>
      </c>
      <c r="L74" s="3231">
        <f t="shared" si="75"/>
        <v>3.0000000000000001E-3</v>
      </c>
      <c r="M74" s="3291">
        <f t="shared" si="75"/>
        <v>3.1000000000000003E-3</v>
      </c>
      <c r="N74" s="3233">
        <f t="shared" si="75"/>
        <v>3.1000000000000003E-3</v>
      </c>
      <c r="O74" s="3233">
        <f t="shared" si="75"/>
        <v>3.1000000000000003E-3</v>
      </c>
      <c r="P74" s="3233">
        <f t="shared" si="75"/>
        <v>3.1000000000000003E-3</v>
      </c>
      <c r="Q74" s="3233">
        <f t="shared" si="75"/>
        <v>3.1000000000000003E-3</v>
      </c>
      <c r="R74" s="3235">
        <f t="shared" si="75"/>
        <v>3.1000000000000003E-3</v>
      </c>
      <c r="S74" s="3231">
        <f t="shared" si="75"/>
        <v>0</v>
      </c>
      <c r="T74" s="3232">
        <f t="shared" si="75"/>
        <v>0</v>
      </c>
      <c r="U74" s="3233">
        <f t="shared" si="75"/>
        <v>0</v>
      </c>
      <c r="V74" s="3233">
        <f t="shared" si="75"/>
        <v>0</v>
      </c>
      <c r="W74" s="3233">
        <f t="shared" si="75"/>
        <v>0</v>
      </c>
      <c r="X74" s="3233">
        <f t="shared" si="75"/>
        <v>0</v>
      </c>
      <c r="Y74" s="3235">
        <f t="shared" si="75"/>
        <v>0</v>
      </c>
      <c r="Z74" s="3231">
        <f t="shared" si="75"/>
        <v>0</v>
      </c>
      <c r="AA74" s="3232">
        <f t="shared" si="75"/>
        <v>0</v>
      </c>
      <c r="AB74" s="3233">
        <f t="shared" si="75"/>
        <v>0</v>
      </c>
      <c r="AC74" s="3233">
        <f t="shared" si="75"/>
        <v>0</v>
      </c>
      <c r="AD74" s="3233">
        <f t="shared" si="75"/>
        <v>0</v>
      </c>
      <c r="AE74" s="3233">
        <f t="shared" si="75"/>
        <v>0</v>
      </c>
      <c r="AF74" s="3235">
        <f t="shared" si="75"/>
        <v>0</v>
      </c>
      <c r="AG74" s="3231">
        <f t="shared" si="75"/>
        <v>0</v>
      </c>
      <c r="AH74" s="3232">
        <f t="shared" si="75"/>
        <v>0</v>
      </c>
      <c r="AI74" s="3233">
        <f t="shared" si="75"/>
        <v>0</v>
      </c>
      <c r="AJ74" s="3233">
        <f t="shared" si="75"/>
        <v>0</v>
      </c>
      <c r="AK74" s="3233">
        <f t="shared" si="75"/>
        <v>0</v>
      </c>
      <c r="AL74" s="3233">
        <f t="shared" si="75"/>
        <v>0</v>
      </c>
      <c r="AM74" s="3235">
        <f t="shared" si="75"/>
        <v>0</v>
      </c>
      <c r="AN74" s="3231">
        <f t="shared" si="75"/>
        <v>0</v>
      </c>
      <c r="AO74" s="3369"/>
      <c r="AP74" s="3370"/>
      <c r="AQ74" s="3370"/>
      <c r="AR74" s="3370"/>
      <c r="AS74" s="3370"/>
      <c r="AT74" s="3371"/>
      <c r="AU74" s="1429"/>
    </row>
    <row r="75" spans="1:47" s="721" customFormat="1">
      <c r="A75" s="3226"/>
      <c r="B75" s="3226">
        <v>2030501</v>
      </c>
      <c r="C75" s="3295">
        <v>0.1</v>
      </c>
      <c r="D75" s="3294" t="s">
        <v>1009</v>
      </c>
      <c r="E75" s="448">
        <v>2.847</v>
      </c>
      <c r="F75" s="3278">
        <f>($E26*$C75)-(F26*$C75)</f>
        <v>5.6319000000000008</v>
      </c>
      <c r="G75" s="3276">
        <f t="shared" ref="G75:K78" si="76">F75-(G26*$C75)</f>
        <v>5.6319000000000008</v>
      </c>
      <c r="H75" s="3276">
        <f t="shared" si="76"/>
        <v>5.6319000000000008</v>
      </c>
      <c r="I75" s="3276">
        <f t="shared" si="76"/>
        <v>5.6319000000000008</v>
      </c>
      <c r="J75" s="3276">
        <f t="shared" si="76"/>
        <v>5.6319000000000008</v>
      </c>
      <c r="K75" s="3277">
        <f t="shared" si="76"/>
        <v>5.6319000000000008</v>
      </c>
      <c r="L75" s="448">
        <v>3.0000000000000001E-3</v>
      </c>
      <c r="M75" s="3278">
        <f>($L26*$C75)-(M26*$C75)</f>
        <v>3.1000000000000003E-3</v>
      </c>
      <c r="N75" s="3276">
        <f t="shared" ref="N75:R78" si="77">M75-(N26*$C75)</f>
        <v>3.1000000000000003E-3</v>
      </c>
      <c r="O75" s="3276">
        <f t="shared" si="77"/>
        <v>3.1000000000000003E-3</v>
      </c>
      <c r="P75" s="3276">
        <f t="shared" si="77"/>
        <v>3.1000000000000003E-3</v>
      </c>
      <c r="Q75" s="3276">
        <f t="shared" si="77"/>
        <v>3.1000000000000003E-3</v>
      </c>
      <c r="R75" s="3279">
        <f t="shared" si="77"/>
        <v>3.1000000000000003E-3</v>
      </c>
      <c r="S75" s="448"/>
      <c r="T75" s="3278">
        <f>($S26*$C75)-(T26*$C75)</f>
        <v>0</v>
      </c>
      <c r="U75" s="3276">
        <f t="shared" ref="U75:Y78" si="78">T75-(U26*$C75)</f>
        <v>0</v>
      </c>
      <c r="V75" s="3276">
        <f t="shared" si="78"/>
        <v>0</v>
      </c>
      <c r="W75" s="3276">
        <f t="shared" si="78"/>
        <v>0</v>
      </c>
      <c r="X75" s="3276">
        <f t="shared" si="78"/>
        <v>0</v>
      </c>
      <c r="Y75" s="3279">
        <f t="shared" si="78"/>
        <v>0</v>
      </c>
      <c r="Z75" s="448"/>
      <c r="AA75" s="3278">
        <f t="shared" ref="AA75:AA78" si="79">($Z26*$C75)-(AA26*$C75)</f>
        <v>0</v>
      </c>
      <c r="AB75" s="3276">
        <f t="shared" ref="AB75:AF78" si="80">AA75-(AB26*$C75)</f>
        <v>0</v>
      </c>
      <c r="AC75" s="3276">
        <f t="shared" si="80"/>
        <v>0</v>
      </c>
      <c r="AD75" s="3276">
        <f t="shared" si="80"/>
        <v>0</v>
      </c>
      <c r="AE75" s="3276">
        <f t="shared" si="80"/>
        <v>0</v>
      </c>
      <c r="AF75" s="3279">
        <f t="shared" si="80"/>
        <v>0</v>
      </c>
      <c r="AG75" s="448"/>
      <c r="AH75" s="3278">
        <f t="shared" ref="AH75:AH79" si="81">($AG26*$C75)-(AH26*$C75)</f>
        <v>0</v>
      </c>
      <c r="AI75" s="3276">
        <f t="shared" ref="AI75:AM78" si="82">AH75-(AI26*$C75)</f>
        <v>0</v>
      </c>
      <c r="AJ75" s="3276">
        <f t="shared" si="82"/>
        <v>0</v>
      </c>
      <c r="AK75" s="3276">
        <f t="shared" si="82"/>
        <v>0</v>
      </c>
      <c r="AL75" s="3276">
        <f t="shared" si="82"/>
        <v>0</v>
      </c>
      <c r="AM75" s="3279">
        <f t="shared" si="82"/>
        <v>0</v>
      </c>
      <c r="AN75" s="448"/>
      <c r="AO75" s="3369"/>
      <c r="AP75" s="3370"/>
      <c r="AQ75" s="3370"/>
      <c r="AR75" s="3370"/>
      <c r="AS75" s="3370"/>
      <c r="AT75" s="3371"/>
      <c r="AU75" s="1429"/>
    </row>
    <row r="76" spans="1:47" s="721" customFormat="1" ht="25.5">
      <c r="A76" s="3226"/>
      <c r="B76" s="2921">
        <v>2030502</v>
      </c>
      <c r="C76" s="3240">
        <v>0.1</v>
      </c>
      <c r="D76" s="3296" t="s">
        <v>702</v>
      </c>
      <c r="E76" s="448">
        <v>4.4909999999999997</v>
      </c>
      <c r="F76" s="3278">
        <f>($E27*$C76)-(F27*$C76)</f>
        <v>10.434100000000001</v>
      </c>
      <c r="G76" s="3276">
        <f t="shared" si="76"/>
        <v>10.434100000000001</v>
      </c>
      <c r="H76" s="3276">
        <f t="shared" si="76"/>
        <v>10.434100000000001</v>
      </c>
      <c r="I76" s="3276">
        <f t="shared" si="76"/>
        <v>10.434100000000001</v>
      </c>
      <c r="J76" s="3276">
        <f t="shared" si="76"/>
        <v>10.434100000000001</v>
      </c>
      <c r="K76" s="3277">
        <f t="shared" si="76"/>
        <v>10.434100000000001</v>
      </c>
      <c r="L76" s="448"/>
      <c r="M76" s="3278">
        <f>($L27*$C76)-(M27*$C76)</f>
        <v>0</v>
      </c>
      <c r="N76" s="3276">
        <f t="shared" si="77"/>
        <v>0</v>
      </c>
      <c r="O76" s="3276">
        <f t="shared" si="77"/>
        <v>0</v>
      </c>
      <c r="P76" s="3276">
        <f t="shared" si="77"/>
        <v>0</v>
      </c>
      <c r="Q76" s="3276">
        <f t="shared" si="77"/>
        <v>0</v>
      </c>
      <c r="R76" s="3279">
        <f t="shared" si="77"/>
        <v>0</v>
      </c>
      <c r="S76" s="448"/>
      <c r="T76" s="3278">
        <f>($S27*$C76)-(T27*$C76)</f>
        <v>0</v>
      </c>
      <c r="U76" s="3276">
        <f t="shared" si="78"/>
        <v>0</v>
      </c>
      <c r="V76" s="3276">
        <f t="shared" si="78"/>
        <v>0</v>
      </c>
      <c r="W76" s="3276">
        <f t="shared" si="78"/>
        <v>0</v>
      </c>
      <c r="X76" s="3276">
        <f t="shared" si="78"/>
        <v>0</v>
      </c>
      <c r="Y76" s="3279">
        <f t="shared" si="78"/>
        <v>0</v>
      </c>
      <c r="Z76" s="448"/>
      <c r="AA76" s="3278">
        <f t="shared" si="79"/>
        <v>0</v>
      </c>
      <c r="AB76" s="3276">
        <f t="shared" si="80"/>
        <v>0</v>
      </c>
      <c r="AC76" s="3276">
        <f t="shared" si="80"/>
        <v>0</v>
      </c>
      <c r="AD76" s="3276">
        <f t="shared" si="80"/>
        <v>0</v>
      </c>
      <c r="AE76" s="3276">
        <f t="shared" si="80"/>
        <v>0</v>
      </c>
      <c r="AF76" s="3279">
        <f t="shared" si="80"/>
        <v>0</v>
      </c>
      <c r="AG76" s="448"/>
      <c r="AH76" s="3278">
        <f t="shared" si="81"/>
        <v>0</v>
      </c>
      <c r="AI76" s="3276">
        <f t="shared" si="82"/>
        <v>0</v>
      </c>
      <c r="AJ76" s="3276">
        <f t="shared" si="82"/>
        <v>0</v>
      </c>
      <c r="AK76" s="3276">
        <f t="shared" si="82"/>
        <v>0</v>
      </c>
      <c r="AL76" s="3276">
        <f t="shared" si="82"/>
        <v>0</v>
      </c>
      <c r="AM76" s="3279">
        <f t="shared" si="82"/>
        <v>0</v>
      </c>
      <c r="AN76" s="448"/>
      <c r="AO76" s="3369"/>
      <c r="AP76" s="3370"/>
      <c r="AQ76" s="3370"/>
      <c r="AR76" s="3370"/>
      <c r="AS76" s="3370"/>
      <c r="AT76" s="3371"/>
      <c r="AU76" s="1429"/>
    </row>
    <row r="77" spans="1:47" s="721" customFormat="1">
      <c r="A77" s="3226"/>
      <c r="B77" s="2921">
        <v>2030503</v>
      </c>
      <c r="C77" s="3240">
        <v>0.1</v>
      </c>
      <c r="D77" s="3296" t="s">
        <v>720</v>
      </c>
      <c r="E77" s="448">
        <v>0.65100000000000002</v>
      </c>
      <c r="F77" s="3278">
        <f>($E28*$C77)-(F28*$C77)</f>
        <v>1.5877000000000001</v>
      </c>
      <c r="G77" s="3276">
        <f t="shared" si="76"/>
        <v>1.5877000000000001</v>
      </c>
      <c r="H77" s="3276">
        <f t="shared" si="76"/>
        <v>1.5877000000000001</v>
      </c>
      <c r="I77" s="3276">
        <f t="shared" si="76"/>
        <v>1.5877000000000001</v>
      </c>
      <c r="J77" s="3276">
        <f t="shared" si="76"/>
        <v>1.5877000000000001</v>
      </c>
      <c r="K77" s="3277">
        <f t="shared" si="76"/>
        <v>1.5877000000000001</v>
      </c>
      <c r="L77" s="448"/>
      <c r="M77" s="3278">
        <f>($L28*$C77)-(M28*$C77)</f>
        <v>0</v>
      </c>
      <c r="N77" s="3276">
        <f t="shared" si="77"/>
        <v>0</v>
      </c>
      <c r="O77" s="3276">
        <f t="shared" si="77"/>
        <v>0</v>
      </c>
      <c r="P77" s="3276">
        <f t="shared" si="77"/>
        <v>0</v>
      </c>
      <c r="Q77" s="3276">
        <f t="shared" si="77"/>
        <v>0</v>
      </c>
      <c r="R77" s="3279">
        <f t="shared" si="77"/>
        <v>0</v>
      </c>
      <c r="S77" s="448"/>
      <c r="T77" s="3278">
        <f>($S28*$C77)-(T28*$C77)</f>
        <v>0</v>
      </c>
      <c r="U77" s="3276">
        <f t="shared" si="78"/>
        <v>0</v>
      </c>
      <c r="V77" s="3276">
        <f t="shared" si="78"/>
        <v>0</v>
      </c>
      <c r="W77" s="3276">
        <f t="shared" si="78"/>
        <v>0</v>
      </c>
      <c r="X77" s="3276">
        <f t="shared" si="78"/>
        <v>0</v>
      </c>
      <c r="Y77" s="3279">
        <f t="shared" si="78"/>
        <v>0</v>
      </c>
      <c r="Z77" s="448"/>
      <c r="AA77" s="3278">
        <f t="shared" si="79"/>
        <v>0</v>
      </c>
      <c r="AB77" s="3276">
        <f t="shared" si="80"/>
        <v>0</v>
      </c>
      <c r="AC77" s="3276">
        <f t="shared" si="80"/>
        <v>0</v>
      </c>
      <c r="AD77" s="3276">
        <f t="shared" si="80"/>
        <v>0</v>
      </c>
      <c r="AE77" s="3276">
        <f t="shared" si="80"/>
        <v>0</v>
      </c>
      <c r="AF77" s="3279">
        <f t="shared" si="80"/>
        <v>0</v>
      </c>
      <c r="AG77" s="448"/>
      <c r="AH77" s="3278">
        <f t="shared" si="81"/>
        <v>0</v>
      </c>
      <c r="AI77" s="3276">
        <f t="shared" si="82"/>
        <v>0</v>
      </c>
      <c r="AJ77" s="3276">
        <f t="shared" si="82"/>
        <v>0</v>
      </c>
      <c r="AK77" s="3276">
        <f t="shared" si="82"/>
        <v>0</v>
      </c>
      <c r="AL77" s="3276">
        <f t="shared" si="82"/>
        <v>0</v>
      </c>
      <c r="AM77" s="3279">
        <f t="shared" si="82"/>
        <v>0</v>
      </c>
      <c r="AN77" s="448"/>
      <c r="AO77" s="3369"/>
      <c r="AP77" s="3370"/>
      <c r="AQ77" s="3370"/>
      <c r="AR77" s="3370"/>
      <c r="AS77" s="3370"/>
      <c r="AT77" s="3371"/>
      <c r="AU77" s="1429"/>
    </row>
    <row r="78" spans="1:47" s="721" customFormat="1">
      <c r="A78" s="3226"/>
      <c r="B78" s="2921">
        <v>20306</v>
      </c>
      <c r="C78" s="3227">
        <v>0.1</v>
      </c>
      <c r="D78" s="3243" t="s">
        <v>414</v>
      </c>
      <c r="E78" s="448">
        <v>0.23100000000000001</v>
      </c>
      <c r="F78" s="3278">
        <f>($E29*$C78)-(F29*$C78)</f>
        <v>0.59599999999999997</v>
      </c>
      <c r="G78" s="3276">
        <f t="shared" si="76"/>
        <v>0.59599999999999997</v>
      </c>
      <c r="H78" s="3276">
        <f t="shared" si="76"/>
        <v>0.59599999999999997</v>
      </c>
      <c r="I78" s="3276">
        <f t="shared" si="76"/>
        <v>0.59599999999999997</v>
      </c>
      <c r="J78" s="3276">
        <f t="shared" si="76"/>
        <v>-11.404</v>
      </c>
      <c r="K78" s="3277">
        <f t="shared" si="76"/>
        <v>-11.404</v>
      </c>
      <c r="L78" s="448"/>
      <c r="M78" s="3278">
        <f>($L29*$C78)-(M29*$C78)</f>
        <v>0</v>
      </c>
      <c r="N78" s="3276">
        <f t="shared" si="77"/>
        <v>0</v>
      </c>
      <c r="O78" s="3276">
        <f t="shared" si="77"/>
        <v>0</v>
      </c>
      <c r="P78" s="3276">
        <f t="shared" si="77"/>
        <v>0</v>
      </c>
      <c r="Q78" s="3276">
        <f t="shared" si="77"/>
        <v>0</v>
      </c>
      <c r="R78" s="3279">
        <f t="shared" si="77"/>
        <v>0</v>
      </c>
      <c r="S78" s="448"/>
      <c r="T78" s="3278">
        <f>($S29*$C78)-(T29*$C78)</f>
        <v>0</v>
      </c>
      <c r="U78" s="3276">
        <f t="shared" si="78"/>
        <v>0</v>
      </c>
      <c r="V78" s="3276">
        <f t="shared" si="78"/>
        <v>0</v>
      </c>
      <c r="W78" s="3276">
        <f t="shared" si="78"/>
        <v>0</v>
      </c>
      <c r="X78" s="3276">
        <f t="shared" si="78"/>
        <v>0</v>
      </c>
      <c r="Y78" s="3279">
        <f t="shared" si="78"/>
        <v>0</v>
      </c>
      <c r="Z78" s="448"/>
      <c r="AA78" s="3278">
        <f t="shared" si="79"/>
        <v>0</v>
      </c>
      <c r="AB78" s="3276">
        <f t="shared" si="80"/>
        <v>0</v>
      </c>
      <c r="AC78" s="3276">
        <f t="shared" si="80"/>
        <v>0</v>
      </c>
      <c r="AD78" s="3276">
        <f t="shared" si="80"/>
        <v>0</v>
      </c>
      <c r="AE78" s="3276">
        <f t="shared" si="80"/>
        <v>0</v>
      </c>
      <c r="AF78" s="3279">
        <f t="shared" si="80"/>
        <v>0</v>
      </c>
      <c r="AG78" s="448"/>
      <c r="AH78" s="3278">
        <f t="shared" si="81"/>
        <v>0</v>
      </c>
      <c r="AI78" s="3276">
        <f t="shared" si="82"/>
        <v>0</v>
      </c>
      <c r="AJ78" s="3276">
        <f t="shared" si="82"/>
        <v>0</v>
      </c>
      <c r="AK78" s="3276">
        <f t="shared" si="82"/>
        <v>0</v>
      </c>
      <c r="AL78" s="3276">
        <f t="shared" si="82"/>
        <v>0</v>
      </c>
      <c r="AM78" s="3279">
        <f t="shared" si="82"/>
        <v>0</v>
      </c>
      <c r="AN78" s="448" t="s">
        <v>1595</v>
      </c>
      <c r="AO78" s="3369"/>
      <c r="AP78" s="3370"/>
      <c r="AQ78" s="3370"/>
      <c r="AR78" s="3370"/>
      <c r="AS78" s="3370"/>
      <c r="AT78" s="3371"/>
      <c r="AU78" s="1429"/>
    </row>
    <row r="79" spans="1:47" s="721" customFormat="1" ht="14.25" customHeight="1">
      <c r="A79" s="3217">
        <v>4</v>
      </c>
      <c r="B79" s="3218">
        <v>204</v>
      </c>
      <c r="C79" s="3219"/>
      <c r="D79" s="3297" t="s">
        <v>216</v>
      </c>
      <c r="E79" s="3283">
        <f>E80+E83+E92+E93</f>
        <v>2.6589999999999998</v>
      </c>
      <c r="F79" s="3283">
        <f t="shared" ref="F79:AN79" si="83">F80+F83+F92+F93</f>
        <v>6.31454</v>
      </c>
      <c r="G79" s="3223">
        <f t="shared" si="83"/>
        <v>6.31454</v>
      </c>
      <c r="H79" s="3223">
        <f t="shared" si="83"/>
        <v>6.31454</v>
      </c>
      <c r="I79" s="3223">
        <f t="shared" si="83"/>
        <v>6.31454</v>
      </c>
      <c r="J79" s="3223">
        <f t="shared" si="83"/>
        <v>6.31454</v>
      </c>
      <c r="K79" s="3224">
        <f t="shared" si="83"/>
        <v>6.31454</v>
      </c>
      <c r="L79" s="3221">
        <f t="shared" si="83"/>
        <v>0.17599999999999999</v>
      </c>
      <c r="M79" s="3284">
        <f t="shared" si="83"/>
        <v>0.44764000000000004</v>
      </c>
      <c r="N79" s="3223">
        <f t="shared" si="83"/>
        <v>0.44764000000000004</v>
      </c>
      <c r="O79" s="3223">
        <f t="shared" si="83"/>
        <v>0.44764000000000004</v>
      </c>
      <c r="P79" s="3223">
        <f t="shared" si="83"/>
        <v>0.44764000000000004</v>
      </c>
      <c r="Q79" s="3223">
        <f t="shared" si="83"/>
        <v>0.44764000000000004</v>
      </c>
      <c r="R79" s="3225">
        <f t="shared" si="83"/>
        <v>0.44764000000000004</v>
      </c>
      <c r="S79" s="3221">
        <f t="shared" si="83"/>
        <v>0</v>
      </c>
      <c r="T79" s="3222">
        <f t="shared" si="83"/>
        <v>-2</v>
      </c>
      <c r="U79" s="3223">
        <f t="shared" si="83"/>
        <v>-2</v>
      </c>
      <c r="V79" s="3223">
        <f t="shared" si="83"/>
        <v>-2</v>
      </c>
      <c r="W79" s="3223">
        <f t="shared" si="83"/>
        <v>-2</v>
      </c>
      <c r="X79" s="3223">
        <f t="shared" si="83"/>
        <v>-2</v>
      </c>
      <c r="Y79" s="3225">
        <f t="shared" si="83"/>
        <v>-2</v>
      </c>
      <c r="Z79" s="3221">
        <f t="shared" si="83"/>
        <v>0</v>
      </c>
      <c r="AA79" s="3222">
        <f t="shared" si="83"/>
        <v>0</v>
      </c>
      <c r="AB79" s="3223">
        <f t="shared" si="83"/>
        <v>0</v>
      </c>
      <c r="AC79" s="3223">
        <f t="shared" si="83"/>
        <v>0</v>
      </c>
      <c r="AD79" s="3223">
        <f t="shared" si="83"/>
        <v>0</v>
      </c>
      <c r="AE79" s="3223">
        <f t="shared" si="83"/>
        <v>0</v>
      </c>
      <c r="AF79" s="3225">
        <f t="shared" si="83"/>
        <v>0</v>
      </c>
      <c r="AG79" s="3221">
        <f t="shared" si="83"/>
        <v>0</v>
      </c>
      <c r="AH79" s="3222">
        <f t="shared" si="81"/>
        <v>0</v>
      </c>
      <c r="AI79" s="3223">
        <f t="shared" si="83"/>
        <v>0</v>
      </c>
      <c r="AJ79" s="3223">
        <f t="shared" si="83"/>
        <v>0</v>
      </c>
      <c r="AK79" s="3223">
        <f t="shared" si="83"/>
        <v>0</v>
      </c>
      <c r="AL79" s="3223">
        <f t="shared" si="83"/>
        <v>0</v>
      </c>
      <c r="AM79" s="3225">
        <f t="shared" si="83"/>
        <v>0</v>
      </c>
      <c r="AN79" s="3221">
        <f t="shared" si="83"/>
        <v>0</v>
      </c>
      <c r="AO79" s="3369"/>
      <c r="AP79" s="3370"/>
      <c r="AQ79" s="3370"/>
      <c r="AR79" s="3370"/>
      <c r="AS79" s="3370"/>
      <c r="AT79" s="3371"/>
      <c r="AU79" s="1429"/>
    </row>
    <row r="80" spans="1:47" s="721" customFormat="1">
      <c r="A80" s="3226"/>
      <c r="B80" s="2921">
        <v>20401</v>
      </c>
      <c r="C80" s="3239"/>
      <c r="D80" s="3298" t="s">
        <v>422</v>
      </c>
      <c r="E80" s="3290">
        <f t="shared" ref="E80" si="84">SUM(E81:E82)</f>
        <v>0</v>
      </c>
      <c r="F80" s="3290">
        <f t="shared" ref="F80:AN80" si="85">SUM(F81:F82)</f>
        <v>0</v>
      </c>
      <c r="G80" s="3233">
        <f t="shared" si="85"/>
        <v>0</v>
      </c>
      <c r="H80" s="3233">
        <f t="shared" si="85"/>
        <v>0</v>
      </c>
      <c r="I80" s="3233">
        <f t="shared" si="85"/>
        <v>0</v>
      </c>
      <c r="J80" s="3233">
        <f t="shared" si="85"/>
        <v>0</v>
      </c>
      <c r="K80" s="3234">
        <f t="shared" si="85"/>
        <v>0</v>
      </c>
      <c r="L80" s="3231">
        <f t="shared" si="85"/>
        <v>0</v>
      </c>
      <c r="M80" s="3291">
        <f t="shared" si="85"/>
        <v>0</v>
      </c>
      <c r="N80" s="3233">
        <f t="shared" si="85"/>
        <v>0</v>
      </c>
      <c r="O80" s="3233">
        <f t="shared" si="85"/>
        <v>0</v>
      </c>
      <c r="P80" s="3233">
        <f t="shared" si="85"/>
        <v>0</v>
      </c>
      <c r="Q80" s="3233">
        <f t="shared" si="85"/>
        <v>0</v>
      </c>
      <c r="R80" s="3235">
        <f t="shared" si="85"/>
        <v>0</v>
      </c>
      <c r="S80" s="3231">
        <f t="shared" si="85"/>
        <v>0</v>
      </c>
      <c r="T80" s="3232">
        <f t="shared" si="85"/>
        <v>0</v>
      </c>
      <c r="U80" s="3233">
        <f t="shared" si="85"/>
        <v>0</v>
      </c>
      <c r="V80" s="3233">
        <f t="shared" si="85"/>
        <v>0</v>
      </c>
      <c r="W80" s="3233">
        <f t="shared" si="85"/>
        <v>0</v>
      </c>
      <c r="X80" s="3233">
        <f t="shared" si="85"/>
        <v>0</v>
      </c>
      <c r="Y80" s="3235">
        <f t="shared" si="85"/>
        <v>0</v>
      </c>
      <c r="Z80" s="3231">
        <f t="shared" si="85"/>
        <v>0</v>
      </c>
      <c r="AA80" s="3232">
        <f t="shared" si="85"/>
        <v>0</v>
      </c>
      <c r="AB80" s="3233">
        <f t="shared" si="85"/>
        <v>0</v>
      </c>
      <c r="AC80" s="3233">
        <f t="shared" si="85"/>
        <v>0</v>
      </c>
      <c r="AD80" s="3233">
        <f t="shared" si="85"/>
        <v>0</v>
      </c>
      <c r="AE80" s="3233">
        <f t="shared" si="85"/>
        <v>0</v>
      </c>
      <c r="AF80" s="3235">
        <f t="shared" si="85"/>
        <v>0</v>
      </c>
      <c r="AG80" s="3231">
        <f t="shared" si="85"/>
        <v>0</v>
      </c>
      <c r="AH80" s="3232">
        <f t="shared" si="85"/>
        <v>0</v>
      </c>
      <c r="AI80" s="3233">
        <f t="shared" si="85"/>
        <v>0</v>
      </c>
      <c r="AJ80" s="3233">
        <f t="shared" si="85"/>
        <v>0</v>
      </c>
      <c r="AK80" s="3233">
        <f t="shared" si="85"/>
        <v>0</v>
      </c>
      <c r="AL80" s="3233">
        <f t="shared" si="85"/>
        <v>0</v>
      </c>
      <c r="AM80" s="3235">
        <f t="shared" si="85"/>
        <v>0</v>
      </c>
      <c r="AN80" s="3231">
        <f t="shared" si="85"/>
        <v>0</v>
      </c>
      <c r="AO80" s="3369"/>
      <c r="AP80" s="3370"/>
      <c r="AQ80" s="3370"/>
      <c r="AR80" s="3370"/>
      <c r="AS80" s="3370"/>
      <c r="AT80" s="3371"/>
      <c r="AU80" s="1429"/>
    </row>
    <row r="81" spans="1:47" s="721" customFormat="1">
      <c r="A81" s="3226"/>
      <c r="B81" s="3236">
        <v>2040101</v>
      </c>
      <c r="C81" s="3237">
        <v>0.1</v>
      </c>
      <c r="D81" s="3299" t="s">
        <v>436</v>
      </c>
      <c r="E81" s="448"/>
      <c r="F81" s="3278">
        <f>($E32*$C81)-(F32*$C81)</f>
        <v>0</v>
      </c>
      <c r="G81" s="3276">
        <f t="shared" ref="G81:K82" si="86">F81-(G32*$C81)</f>
        <v>0</v>
      </c>
      <c r="H81" s="3276">
        <f t="shared" si="86"/>
        <v>0</v>
      </c>
      <c r="I81" s="3276">
        <f t="shared" si="86"/>
        <v>0</v>
      </c>
      <c r="J81" s="3276">
        <f t="shared" si="86"/>
        <v>0</v>
      </c>
      <c r="K81" s="3277">
        <f t="shared" si="86"/>
        <v>0</v>
      </c>
      <c r="L81" s="448"/>
      <c r="M81" s="3278">
        <f>($L32*$C81)-(M32*$C81)</f>
        <v>0</v>
      </c>
      <c r="N81" s="3276">
        <f t="shared" ref="N81:R82" si="87">M81-(N32*$C81)</f>
        <v>0</v>
      </c>
      <c r="O81" s="3276">
        <f t="shared" si="87"/>
        <v>0</v>
      </c>
      <c r="P81" s="3276">
        <f t="shared" si="87"/>
        <v>0</v>
      </c>
      <c r="Q81" s="3276">
        <f t="shared" si="87"/>
        <v>0</v>
      </c>
      <c r="R81" s="3279">
        <f t="shared" si="87"/>
        <v>0</v>
      </c>
      <c r="S81" s="448"/>
      <c r="T81" s="3278">
        <f>($S32*$C81)-(T32*$C81)</f>
        <v>0</v>
      </c>
      <c r="U81" s="3276">
        <f t="shared" ref="U81:Y82" si="88">T81-(U32*$C81)</f>
        <v>0</v>
      </c>
      <c r="V81" s="3276">
        <f t="shared" si="88"/>
        <v>0</v>
      </c>
      <c r="W81" s="3276">
        <f t="shared" si="88"/>
        <v>0</v>
      </c>
      <c r="X81" s="3276">
        <f t="shared" si="88"/>
        <v>0</v>
      </c>
      <c r="Y81" s="3279">
        <f t="shared" si="88"/>
        <v>0</v>
      </c>
      <c r="Z81" s="448"/>
      <c r="AA81" s="3278">
        <f t="shared" ref="AA81:AA82" si="89">($Z32*$C81)-(AA32*$C81)</f>
        <v>0</v>
      </c>
      <c r="AB81" s="3276">
        <f t="shared" ref="AB81:AF82" si="90">AA81-(AB32*$C81)</f>
        <v>0</v>
      </c>
      <c r="AC81" s="3276">
        <f t="shared" si="90"/>
        <v>0</v>
      </c>
      <c r="AD81" s="3276">
        <f t="shared" si="90"/>
        <v>0</v>
      </c>
      <c r="AE81" s="3276">
        <f t="shared" si="90"/>
        <v>0</v>
      </c>
      <c r="AF81" s="3279">
        <f t="shared" si="90"/>
        <v>0</v>
      </c>
      <c r="AG81" s="448"/>
      <c r="AH81" s="3278">
        <f t="shared" ref="AH81:AH82" si="91">($AG32*$C81)-(AH32*$C81)</f>
        <v>0</v>
      </c>
      <c r="AI81" s="3276">
        <f t="shared" ref="AI81:AM82" si="92">AH81-(AI32*$C81)</f>
        <v>0</v>
      </c>
      <c r="AJ81" s="3276">
        <f t="shared" si="92"/>
        <v>0</v>
      </c>
      <c r="AK81" s="3276">
        <f t="shared" si="92"/>
        <v>0</v>
      </c>
      <c r="AL81" s="3276">
        <f t="shared" si="92"/>
        <v>0</v>
      </c>
      <c r="AM81" s="3279">
        <f t="shared" si="92"/>
        <v>0</v>
      </c>
      <c r="AN81" s="448"/>
      <c r="AO81" s="3369"/>
      <c r="AP81" s="3370"/>
      <c r="AQ81" s="3370"/>
      <c r="AR81" s="3370"/>
      <c r="AS81" s="3370"/>
      <c r="AT81" s="3371"/>
      <c r="AU81" s="1429"/>
    </row>
    <row r="82" spans="1:47" s="721" customFormat="1">
      <c r="A82" s="3226"/>
      <c r="B82" s="3236">
        <v>2040102</v>
      </c>
      <c r="C82" s="3237">
        <v>0.04</v>
      </c>
      <c r="D82" s="3299" t="s">
        <v>437</v>
      </c>
      <c r="E82" s="448"/>
      <c r="F82" s="3278">
        <f>($E33*$C82)-(F33*$C82)</f>
        <v>0</v>
      </c>
      <c r="G82" s="3276">
        <f t="shared" si="86"/>
        <v>0</v>
      </c>
      <c r="H82" s="3276">
        <f t="shared" si="86"/>
        <v>0</v>
      </c>
      <c r="I82" s="3276">
        <f t="shared" si="86"/>
        <v>0</v>
      </c>
      <c r="J82" s="3276">
        <f t="shared" si="86"/>
        <v>0</v>
      </c>
      <c r="K82" s="3277">
        <f t="shared" si="86"/>
        <v>0</v>
      </c>
      <c r="L82" s="448"/>
      <c r="M82" s="3278">
        <f>($L33*$C82)-(M33*$C82)</f>
        <v>0</v>
      </c>
      <c r="N82" s="3276">
        <f t="shared" si="87"/>
        <v>0</v>
      </c>
      <c r="O82" s="3276">
        <f t="shared" si="87"/>
        <v>0</v>
      </c>
      <c r="P82" s="3276">
        <f t="shared" si="87"/>
        <v>0</v>
      </c>
      <c r="Q82" s="3276">
        <f t="shared" si="87"/>
        <v>0</v>
      </c>
      <c r="R82" s="3279">
        <f t="shared" si="87"/>
        <v>0</v>
      </c>
      <c r="S82" s="448"/>
      <c r="T82" s="3278">
        <f>($S33*$C82)-(T33*$C82)</f>
        <v>0</v>
      </c>
      <c r="U82" s="3276">
        <f t="shared" si="88"/>
        <v>0</v>
      </c>
      <c r="V82" s="3276">
        <f t="shared" si="88"/>
        <v>0</v>
      </c>
      <c r="W82" s="3276">
        <f t="shared" si="88"/>
        <v>0</v>
      </c>
      <c r="X82" s="3276">
        <f t="shared" si="88"/>
        <v>0</v>
      </c>
      <c r="Y82" s="3279">
        <f t="shared" si="88"/>
        <v>0</v>
      </c>
      <c r="Z82" s="448"/>
      <c r="AA82" s="3278">
        <f t="shared" si="89"/>
        <v>0</v>
      </c>
      <c r="AB82" s="3276">
        <f t="shared" si="90"/>
        <v>0</v>
      </c>
      <c r="AC82" s="3276">
        <f t="shared" si="90"/>
        <v>0</v>
      </c>
      <c r="AD82" s="3276">
        <f t="shared" si="90"/>
        <v>0</v>
      </c>
      <c r="AE82" s="3276">
        <f t="shared" si="90"/>
        <v>0</v>
      </c>
      <c r="AF82" s="3279">
        <f t="shared" si="90"/>
        <v>0</v>
      </c>
      <c r="AG82" s="448"/>
      <c r="AH82" s="3278">
        <f t="shared" si="91"/>
        <v>0</v>
      </c>
      <c r="AI82" s="3276">
        <f t="shared" si="92"/>
        <v>0</v>
      </c>
      <c r="AJ82" s="3276">
        <f t="shared" si="92"/>
        <v>0</v>
      </c>
      <c r="AK82" s="3276">
        <f t="shared" si="92"/>
        <v>0</v>
      </c>
      <c r="AL82" s="3276">
        <f t="shared" si="92"/>
        <v>0</v>
      </c>
      <c r="AM82" s="3279">
        <f t="shared" si="92"/>
        <v>0</v>
      </c>
      <c r="AN82" s="448"/>
      <c r="AO82" s="3369"/>
      <c r="AP82" s="3370"/>
      <c r="AQ82" s="3370"/>
      <c r="AR82" s="3370"/>
      <c r="AS82" s="3370"/>
      <c r="AT82" s="3371"/>
      <c r="AU82" s="1429"/>
    </row>
    <row r="83" spans="1:47" s="721" customFormat="1">
      <c r="A83" s="3226"/>
      <c r="B83" s="2921">
        <v>20402</v>
      </c>
      <c r="C83" s="3239"/>
      <c r="D83" s="3298" t="s">
        <v>438</v>
      </c>
      <c r="E83" s="3290">
        <f>SUM(E84:E91)</f>
        <v>2.633</v>
      </c>
      <c r="F83" s="3290">
        <f t="shared" ref="F83:K83" si="93">SUM(F84:F91)</f>
        <v>6.2062999999999997</v>
      </c>
      <c r="G83" s="3233">
        <f t="shared" si="93"/>
        <v>6.2062999999999997</v>
      </c>
      <c r="H83" s="3233">
        <f t="shared" si="93"/>
        <v>6.2062999999999997</v>
      </c>
      <c r="I83" s="3233">
        <f t="shared" si="93"/>
        <v>6.2062999999999997</v>
      </c>
      <c r="J83" s="3233">
        <f t="shared" si="93"/>
        <v>6.2062999999999997</v>
      </c>
      <c r="K83" s="3234">
        <f t="shared" si="93"/>
        <v>6.2062999999999997</v>
      </c>
      <c r="L83" s="3231">
        <f>SUM(L84:L91)</f>
        <v>0.17599999999999999</v>
      </c>
      <c r="M83" s="3291">
        <f t="shared" ref="M83:R83" si="94">SUM(M84:M91)</f>
        <v>0.44764000000000004</v>
      </c>
      <c r="N83" s="3233">
        <f t="shared" si="94"/>
        <v>0.44764000000000004</v>
      </c>
      <c r="O83" s="3233">
        <f t="shared" si="94"/>
        <v>0.44764000000000004</v>
      </c>
      <c r="P83" s="3233">
        <f t="shared" si="94"/>
        <v>0.44764000000000004</v>
      </c>
      <c r="Q83" s="3233">
        <f t="shared" si="94"/>
        <v>0.44764000000000004</v>
      </c>
      <c r="R83" s="3235">
        <f t="shared" si="94"/>
        <v>0.44764000000000004</v>
      </c>
      <c r="S83" s="3231">
        <f>SUM(S84:S91)</f>
        <v>0</v>
      </c>
      <c r="T83" s="3232">
        <f t="shared" ref="T83:Y83" si="95">SUM(T84:T91)</f>
        <v>0</v>
      </c>
      <c r="U83" s="3233">
        <f t="shared" si="95"/>
        <v>0</v>
      </c>
      <c r="V83" s="3233">
        <f t="shared" si="95"/>
        <v>0</v>
      </c>
      <c r="W83" s="3233">
        <f t="shared" si="95"/>
        <v>0</v>
      </c>
      <c r="X83" s="3233">
        <f t="shared" si="95"/>
        <v>0</v>
      </c>
      <c r="Y83" s="3235">
        <f t="shared" si="95"/>
        <v>0</v>
      </c>
      <c r="Z83" s="3231">
        <f>SUM(Z84:Z91)</f>
        <v>0</v>
      </c>
      <c r="AA83" s="3232">
        <f t="shared" ref="AA83:AF83" si="96">SUM(AA84:AA91)</f>
        <v>0</v>
      </c>
      <c r="AB83" s="3233">
        <f t="shared" si="96"/>
        <v>0</v>
      </c>
      <c r="AC83" s="3233">
        <f t="shared" si="96"/>
        <v>0</v>
      </c>
      <c r="AD83" s="3233">
        <f t="shared" si="96"/>
        <v>0</v>
      </c>
      <c r="AE83" s="3233">
        <f t="shared" si="96"/>
        <v>0</v>
      </c>
      <c r="AF83" s="3235">
        <f t="shared" si="96"/>
        <v>0</v>
      </c>
      <c r="AG83" s="3231">
        <f>SUM(AG84:AG91)</f>
        <v>0</v>
      </c>
      <c r="AH83" s="3232">
        <f t="shared" ref="AH83:AM83" si="97">SUM(AH84:AH91)</f>
        <v>0</v>
      </c>
      <c r="AI83" s="3233">
        <f t="shared" si="97"/>
        <v>0</v>
      </c>
      <c r="AJ83" s="3233">
        <f t="shared" si="97"/>
        <v>0</v>
      </c>
      <c r="AK83" s="3233">
        <f t="shared" si="97"/>
        <v>0</v>
      </c>
      <c r="AL83" s="3233">
        <f t="shared" si="97"/>
        <v>0</v>
      </c>
      <c r="AM83" s="3235">
        <f t="shared" si="97"/>
        <v>0</v>
      </c>
      <c r="AN83" s="3231">
        <f>SUM(AN84:AN91)</f>
        <v>0</v>
      </c>
      <c r="AO83" s="3369"/>
      <c r="AP83" s="3370"/>
      <c r="AQ83" s="3370"/>
      <c r="AR83" s="3370"/>
      <c r="AS83" s="3370"/>
      <c r="AT83" s="3371"/>
      <c r="AU83" s="1429"/>
    </row>
    <row r="84" spans="1:47" s="721" customFormat="1">
      <c r="A84" s="3226"/>
      <c r="B84" s="2921">
        <v>2040201</v>
      </c>
      <c r="C84" s="3227">
        <v>0.02</v>
      </c>
      <c r="D84" s="3296" t="s">
        <v>746</v>
      </c>
      <c r="E84" s="448"/>
      <c r="F84" s="3278">
        <f t="shared" ref="F84:F93" si="98">($E35*$C84)-(F35*$C84)</f>
        <v>0</v>
      </c>
      <c r="G84" s="3276">
        <f t="shared" ref="G84:K93" si="99">F84-(G35*$C84)</f>
        <v>0</v>
      </c>
      <c r="H84" s="3276">
        <f t="shared" si="99"/>
        <v>0</v>
      </c>
      <c r="I84" s="3276">
        <f t="shared" si="99"/>
        <v>0</v>
      </c>
      <c r="J84" s="3276">
        <f t="shared" si="99"/>
        <v>0</v>
      </c>
      <c r="K84" s="3277">
        <f t="shared" si="99"/>
        <v>0</v>
      </c>
      <c r="L84" s="448"/>
      <c r="M84" s="3278">
        <f t="shared" ref="M84:M93" si="100">($L35*$C84)-(M35*$C84)</f>
        <v>0</v>
      </c>
      <c r="N84" s="3276">
        <f t="shared" ref="N84:R93" si="101">M84-(N35*$C84)</f>
        <v>0</v>
      </c>
      <c r="O84" s="3276">
        <f t="shared" si="101"/>
        <v>0</v>
      </c>
      <c r="P84" s="3276">
        <f t="shared" si="101"/>
        <v>0</v>
      </c>
      <c r="Q84" s="3276">
        <f t="shared" si="101"/>
        <v>0</v>
      </c>
      <c r="R84" s="3279">
        <f t="shared" si="101"/>
        <v>0</v>
      </c>
      <c r="S84" s="448"/>
      <c r="T84" s="3278">
        <f t="shared" ref="T84:T93" si="102">($S35*$C84)-(T35*$C84)</f>
        <v>0</v>
      </c>
      <c r="U84" s="3276">
        <f t="shared" ref="U84:Y93" si="103">T84-(U35*$C84)</f>
        <v>0</v>
      </c>
      <c r="V84" s="3276">
        <f t="shared" si="103"/>
        <v>0</v>
      </c>
      <c r="W84" s="3276">
        <f t="shared" si="103"/>
        <v>0</v>
      </c>
      <c r="X84" s="3276">
        <f t="shared" si="103"/>
        <v>0</v>
      </c>
      <c r="Y84" s="3279">
        <f t="shared" si="103"/>
        <v>0</v>
      </c>
      <c r="Z84" s="448"/>
      <c r="AA84" s="3278">
        <f t="shared" ref="AA84:AA108" si="104">($Z35*$C84)-(AA35*$C84)</f>
        <v>0</v>
      </c>
      <c r="AB84" s="3276">
        <f t="shared" ref="AB84:AF93" si="105">AA84-(AB35*$C84)</f>
        <v>0</v>
      </c>
      <c r="AC84" s="3276">
        <f t="shared" si="105"/>
        <v>0</v>
      </c>
      <c r="AD84" s="3276">
        <f t="shared" si="105"/>
        <v>0</v>
      </c>
      <c r="AE84" s="3276">
        <f t="shared" si="105"/>
        <v>0</v>
      </c>
      <c r="AF84" s="3279">
        <f t="shared" si="105"/>
        <v>0</v>
      </c>
      <c r="AG84" s="448"/>
      <c r="AH84" s="3278">
        <f t="shared" ref="AH84:AH93" si="106">($AG35*$C84)-(AH35*$C84)</f>
        <v>0</v>
      </c>
      <c r="AI84" s="3276">
        <f t="shared" ref="AI84:AM93" si="107">AH84-(AI35*$C84)</f>
        <v>0</v>
      </c>
      <c r="AJ84" s="3276">
        <f t="shared" si="107"/>
        <v>0</v>
      </c>
      <c r="AK84" s="3276">
        <f t="shared" si="107"/>
        <v>0</v>
      </c>
      <c r="AL84" s="3276">
        <f t="shared" si="107"/>
        <v>0</v>
      </c>
      <c r="AM84" s="3279">
        <f t="shared" si="107"/>
        <v>0</v>
      </c>
      <c r="AN84" s="448"/>
      <c r="AO84" s="3369"/>
      <c r="AP84" s="3370"/>
      <c r="AQ84" s="3370"/>
      <c r="AR84" s="3370"/>
      <c r="AS84" s="3370"/>
      <c r="AT84" s="3371"/>
      <c r="AU84" s="1429"/>
    </row>
    <row r="85" spans="1:47" s="721" customFormat="1">
      <c r="A85" s="3226"/>
      <c r="B85" s="2921">
        <v>2040202</v>
      </c>
      <c r="C85" s="3227">
        <v>0.02</v>
      </c>
      <c r="D85" s="3296" t="s">
        <v>747</v>
      </c>
      <c r="E85" s="448">
        <v>4.0000000000000001E-3</v>
      </c>
      <c r="F85" s="3278">
        <f t="shared" si="98"/>
        <v>9.0800000000000013E-3</v>
      </c>
      <c r="G85" s="3276">
        <f t="shared" si="99"/>
        <v>9.0800000000000013E-3</v>
      </c>
      <c r="H85" s="3276">
        <f t="shared" si="99"/>
        <v>9.0800000000000013E-3</v>
      </c>
      <c r="I85" s="3276">
        <f t="shared" si="99"/>
        <v>9.0800000000000013E-3</v>
      </c>
      <c r="J85" s="3276">
        <f t="shared" si="99"/>
        <v>9.0800000000000013E-3</v>
      </c>
      <c r="K85" s="3277">
        <f t="shared" si="99"/>
        <v>9.0800000000000013E-3</v>
      </c>
      <c r="L85" s="448"/>
      <c r="M85" s="3278">
        <f t="shared" si="100"/>
        <v>0</v>
      </c>
      <c r="N85" s="3276">
        <f t="shared" si="101"/>
        <v>0</v>
      </c>
      <c r="O85" s="3276">
        <f t="shared" si="101"/>
        <v>0</v>
      </c>
      <c r="P85" s="3276">
        <f t="shared" si="101"/>
        <v>0</v>
      </c>
      <c r="Q85" s="3276">
        <f t="shared" si="101"/>
        <v>0</v>
      </c>
      <c r="R85" s="3279">
        <f t="shared" si="101"/>
        <v>0</v>
      </c>
      <c r="S85" s="448"/>
      <c r="T85" s="3278">
        <f t="shared" si="102"/>
        <v>0</v>
      </c>
      <c r="U85" s="3276">
        <f t="shared" si="103"/>
        <v>0</v>
      </c>
      <c r="V85" s="3276">
        <f t="shared" si="103"/>
        <v>0</v>
      </c>
      <c r="W85" s="3276">
        <f t="shared" si="103"/>
        <v>0</v>
      </c>
      <c r="X85" s="3276">
        <f t="shared" si="103"/>
        <v>0</v>
      </c>
      <c r="Y85" s="3279">
        <f t="shared" si="103"/>
        <v>0</v>
      </c>
      <c r="Z85" s="448"/>
      <c r="AA85" s="3278">
        <f t="shared" si="104"/>
        <v>0</v>
      </c>
      <c r="AB85" s="3276">
        <f t="shared" si="105"/>
        <v>0</v>
      </c>
      <c r="AC85" s="3276">
        <f t="shared" si="105"/>
        <v>0</v>
      </c>
      <c r="AD85" s="3276">
        <f t="shared" si="105"/>
        <v>0</v>
      </c>
      <c r="AE85" s="3276">
        <f t="shared" si="105"/>
        <v>0</v>
      </c>
      <c r="AF85" s="3279">
        <f t="shared" si="105"/>
        <v>0</v>
      </c>
      <c r="AG85" s="448"/>
      <c r="AH85" s="3278">
        <f t="shared" si="106"/>
        <v>0</v>
      </c>
      <c r="AI85" s="3276">
        <f t="shared" si="107"/>
        <v>0</v>
      </c>
      <c r="AJ85" s="3276">
        <f t="shared" si="107"/>
        <v>0</v>
      </c>
      <c r="AK85" s="3276">
        <f t="shared" si="107"/>
        <v>0</v>
      </c>
      <c r="AL85" s="3276">
        <f t="shared" si="107"/>
        <v>0</v>
      </c>
      <c r="AM85" s="3279">
        <f t="shared" si="107"/>
        <v>0</v>
      </c>
      <c r="AN85" s="448"/>
      <c r="AO85" s="3369"/>
      <c r="AP85" s="3370"/>
      <c r="AQ85" s="3370"/>
      <c r="AR85" s="3370"/>
      <c r="AS85" s="3370"/>
      <c r="AT85" s="3371"/>
      <c r="AU85" s="1429"/>
    </row>
    <row r="86" spans="1:47" s="721" customFormat="1">
      <c r="A86" s="3226"/>
      <c r="B86" s="2921">
        <v>2040203</v>
      </c>
      <c r="C86" s="3227">
        <v>0.02</v>
      </c>
      <c r="D86" s="3296" t="s">
        <v>423</v>
      </c>
      <c r="E86" s="448">
        <v>1E-3</v>
      </c>
      <c r="F86" s="3278">
        <f t="shared" si="98"/>
        <v>3.0459999999999997E-2</v>
      </c>
      <c r="G86" s="3276">
        <f t="shared" si="99"/>
        <v>3.0459999999999997E-2</v>
      </c>
      <c r="H86" s="3276">
        <f t="shared" si="99"/>
        <v>3.0459999999999997E-2</v>
      </c>
      <c r="I86" s="3276">
        <f t="shared" si="99"/>
        <v>3.0459999999999997E-2</v>
      </c>
      <c r="J86" s="3276">
        <f t="shared" si="99"/>
        <v>3.0459999999999997E-2</v>
      </c>
      <c r="K86" s="3277">
        <f t="shared" si="99"/>
        <v>3.0459999999999997E-2</v>
      </c>
      <c r="L86" s="448"/>
      <c r="M86" s="3278">
        <f t="shared" si="100"/>
        <v>0</v>
      </c>
      <c r="N86" s="3276">
        <f t="shared" si="101"/>
        <v>0</v>
      </c>
      <c r="O86" s="3276">
        <f t="shared" si="101"/>
        <v>0</v>
      </c>
      <c r="P86" s="3276">
        <f t="shared" si="101"/>
        <v>0</v>
      </c>
      <c r="Q86" s="3276">
        <f t="shared" si="101"/>
        <v>0</v>
      </c>
      <c r="R86" s="3279">
        <f t="shared" si="101"/>
        <v>0</v>
      </c>
      <c r="S86" s="448"/>
      <c r="T86" s="3278">
        <f t="shared" si="102"/>
        <v>0</v>
      </c>
      <c r="U86" s="3276">
        <f t="shared" si="103"/>
        <v>0</v>
      </c>
      <c r="V86" s="3276">
        <f t="shared" si="103"/>
        <v>0</v>
      </c>
      <c r="W86" s="3276">
        <f t="shared" si="103"/>
        <v>0</v>
      </c>
      <c r="X86" s="3276">
        <f t="shared" si="103"/>
        <v>0</v>
      </c>
      <c r="Y86" s="3279">
        <f t="shared" si="103"/>
        <v>0</v>
      </c>
      <c r="Z86" s="448"/>
      <c r="AA86" s="3278">
        <f t="shared" si="104"/>
        <v>0</v>
      </c>
      <c r="AB86" s="3276">
        <f t="shared" si="105"/>
        <v>0</v>
      </c>
      <c r="AC86" s="3276">
        <f t="shared" si="105"/>
        <v>0</v>
      </c>
      <c r="AD86" s="3276">
        <f t="shared" si="105"/>
        <v>0</v>
      </c>
      <c r="AE86" s="3276">
        <f t="shared" si="105"/>
        <v>0</v>
      </c>
      <c r="AF86" s="3279">
        <f t="shared" si="105"/>
        <v>0</v>
      </c>
      <c r="AG86" s="448"/>
      <c r="AH86" s="3278">
        <f t="shared" si="106"/>
        <v>0</v>
      </c>
      <c r="AI86" s="3276">
        <f t="shared" si="107"/>
        <v>0</v>
      </c>
      <c r="AJ86" s="3276">
        <f t="shared" si="107"/>
        <v>0</v>
      </c>
      <c r="AK86" s="3276">
        <f t="shared" si="107"/>
        <v>0</v>
      </c>
      <c r="AL86" s="3276">
        <f t="shared" si="107"/>
        <v>0</v>
      </c>
      <c r="AM86" s="3279">
        <f t="shared" si="107"/>
        <v>0</v>
      </c>
      <c r="AN86" s="448"/>
      <c r="AO86" s="3369"/>
      <c r="AP86" s="3370"/>
      <c r="AQ86" s="3370"/>
      <c r="AR86" s="3370"/>
      <c r="AS86" s="3370"/>
      <c r="AT86" s="3371"/>
      <c r="AU86" s="1429"/>
    </row>
    <row r="87" spans="1:47" s="721" customFormat="1">
      <c r="A87" s="3226"/>
      <c r="B87" s="2921">
        <v>2040204</v>
      </c>
      <c r="C87" s="3227">
        <v>0.02</v>
      </c>
      <c r="D87" s="3299" t="s">
        <v>424</v>
      </c>
      <c r="E87" s="448">
        <v>7.0000000000000001E-3</v>
      </c>
      <c r="F87" s="3278">
        <f t="shared" si="98"/>
        <v>1.034E-2</v>
      </c>
      <c r="G87" s="3276">
        <f t="shared" si="99"/>
        <v>1.034E-2</v>
      </c>
      <c r="H87" s="3276">
        <f t="shared" si="99"/>
        <v>1.034E-2</v>
      </c>
      <c r="I87" s="3276">
        <f t="shared" si="99"/>
        <v>1.034E-2</v>
      </c>
      <c r="J87" s="3276">
        <f t="shared" si="99"/>
        <v>1.034E-2</v>
      </c>
      <c r="K87" s="3277">
        <f t="shared" si="99"/>
        <v>1.034E-2</v>
      </c>
      <c r="L87" s="448"/>
      <c r="M87" s="3278">
        <f t="shared" si="100"/>
        <v>0</v>
      </c>
      <c r="N87" s="3276">
        <f t="shared" si="101"/>
        <v>0</v>
      </c>
      <c r="O87" s="3276">
        <f t="shared" si="101"/>
        <v>0</v>
      </c>
      <c r="P87" s="3276">
        <f t="shared" si="101"/>
        <v>0</v>
      </c>
      <c r="Q87" s="3276">
        <f t="shared" si="101"/>
        <v>0</v>
      </c>
      <c r="R87" s="3279">
        <f t="shared" si="101"/>
        <v>0</v>
      </c>
      <c r="S87" s="448"/>
      <c r="T87" s="3278">
        <f t="shared" si="102"/>
        <v>0</v>
      </c>
      <c r="U87" s="3276">
        <f t="shared" si="103"/>
        <v>0</v>
      </c>
      <c r="V87" s="3276">
        <f t="shared" si="103"/>
        <v>0</v>
      </c>
      <c r="W87" s="3276">
        <f t="shared" si="103"/>
        <v>0</v>
      </c>
      <c r="X87" s="3276">
        <f t="shared" si="103"/>
        <v>0</v>
      </c>
      <c r="Y87" s="3279">
        <f t="shared" si="103"/>
        <v>0</v>
      </c>
      <c r="Z87" s="448"/>
      <c r="AA87" s="3278">
        <f t="shared" si="104"/>
        <v>0</v>
      </c>
      <c r="AB87" s="3276">
        <f t="shared" si="105"/>
        <v>0</v>
      </c>
      <c r="AC87" s="3276">
        <f t="shared" si="105"/>
        <v>0</v>
      </c>
      <c r="AD87" s="3276">
        <f t="shared" si="105"/>
        <v>0</v>
      </c>
      <c r="AE87" s="3276">
        <f t="shared" si="105"/>
        <v>0</v>
      </c>
      <c r="AF87" s="3279">
        <f t="shared" si="105"/>
        <v>0</v>
      </c>
      <c r="AG87" s="448"/>
      <c r="AH87" s="3278">
        <f t="shared" si="106"/>
        <v>0</v>
      </c>
      <c r="AI87" s="3276">
        <f t="shared" si="107"/>
        <v>0</v>
      </c>
      <c r="AJ87" s="3276">
        <f t="shared" si="107"/>
        <v>0</v>
      </c>
      <c r="AK87" s="3276">
        <f t="shared" si="107"/>
        <v>0</v>
      </c>
      <c r="AL87" s="3276">
        <f t="shared" si="107"/>
        <v>0</v>
      </c>
      <c r="AM87" s="3279">
        <f t="shared" si="107"/>
        <v>0</v>
      </c>
      <c r="AN87" s="448"/>
      <c r="AO87" s="3369"/>
      <c r="AP87" s="3370"/>
      <c r="AQ87" s="3370"/>
      <c r="AR87" s="3370"/>
      <c r="AS87" s="3370"/>
      <c r="AT87" s="3371"/>
      <c r="AU87" s="1429"/>
    </row>
    <row r="88" spans="1:47" s="721" customFormat="1">
      <c r="A88" s="3226"/>
      <c r="B88" s="2921">
        <v>2040205</v>
      </c>
      <c r="C88" s="3227">
        <v>0.02</v>
      </c>
      <c r="D88" s="3296" t="s">
        <v>425</v>
      </c>
      <c r="E88" s="448">
        <v>2.4359999999999999</v>
      </c>
      <c r="F88" s="3278">
        <f t="shared" si="98"/>
        <v>5.5715599999999998</v>
      </c>
      <c r="G88" s="3276">
        <f t="shared" si="99"/>
        <v>5.5715599999999998</v>
      </c>
      <c r="H88" s="3276">
        <f t="shared" si="99"/>
        <v>5.5715599999999998</v>
      </c>
      <c r="I88" s="3276">
        <f t="shared" si="99"/>
        <v>5.5715599999999998</v>
      </c>
      <c r="J88" s="3276">
        <f t="shared" si="99"/>
        <v>5.5715599999999998</v>
      </c>
      <c r="K88" s="3277">
        <f t="shared" si="99"/>
        <v>5.5715599999999998</v>
      </c>
      <c r="L88" s="448"/>
      <c r="M88" s="3278">
        <f t="shared" si="100"/>
        <v>0</v>
      </c>
      <c r="N88" s="3276">
        <f t="shared" si="101"/>
        <v>0</v>
      </c>
      <c r="O88" s="3276">
        <f t="shared" si="101"/>
        <v>0</v>
      </c>
      <c r="P88" s="3276">
        <f t="shared" si="101"/>
        <v>0</v>
      </c>
      <c r="Q88" s="3276">
        <f t="shared" si="101"/>
        <v>0</v>
      </c>
      <c r="R88" s="3279">
        <f t="shared" si="101"/>
        <v>0</v>
      </c>
      <c r="S88" s="448"/>
      <c r="T88" s="3278">
        <f t="shared" si="102"/>
        <v>0</v>
      </c>
      <c r="U88" s="3276">
        <f t="shared" si="103"/>
        <v>0</v>
      </c>
      <c r="V88" s="3276">
        <f t="shared" si="103"/>
        <v>0</v>
      </c>
      <c r="W88" s="3276">
        <f t="shared" si="103"/>
        <v>0</v>
      </c>
      <c r="X88" s="3276">
        <f t="shared" si="103"/>
        <v>0</v>
      </c>
      <c r="Y88" s="3279">
        <f t="shared" si="103"/>
        <v>0</v>
      </c>
      <c r="Z88" s="448"/>
      <c r="AA88" s="3278">
        <f t="shared" si="104"/>
        <v>0</v>
      </c>
      <c r="AB88" s="3276">
        <f t="shared" si="105"/>
        <v>0</v>
      </c>
      <c r="AC88" s="3276">
        <f t="shared" si="105"/>
        <v>0</v>
      </c>
      <c r="AD88" s="3276">
        <f t="shared" si="105"/>
        <v>0</v>
      </c>
      <c r="AE88" s="3276">
        <f t="shared" si="105"/>
        <v>0</v>
      </c>
      <c r="AF88" s="3279">
        <f t="shared" si="105"/>
        <v>0</v>
      </c>
      <c r="AG88" s="448"/>
      <c r="AH88" s="3278">
        <f t="shared" si="106"/>
        <v>0</v>
      </c>
      <c r="AI88" s="3276">
        <f t="shared" si="107"/>
        <v>0</v>
      </c>
      <c r="AJ88" s="3276">
        <f t="shared" si="107"/>
        <v>0</v>
      </c>
      <c r="AK88" s="3276">
        <f t="shared" si="107"/>
        <v>0</v>
      </c>
      <c r="AL88" s="3276">
        <f t="shared" si="107"/>
        <v>0</v>
      </c>
      <c r="AM88" s="3279">
        <f t="shared" si="107"/>
        <v>0</v>
      </c>
      <c r="AN88" s="448"/>
      <c r="AO88" s="3369"/>
      <c r="AP88" s="3370"/>
      <c r="AQ88" s="3370"/>
      <c r="AR88" s="3370"/>
      <c r="AS88" s="3370"/>
      <c r="AT88" s="3371"/>
      <c r="AU88" s="1429"/>
    </row>
    <row r="89" spans="1:47" s="721" customFormat="1">
      <c r="A89" s="3226"/>
      <c r="B89" s="2921">
        <v>2040206</v>
      </c>
      <c r="C89" s="3227">
        <v>0.02</v>
      </c>
      <c r="D89" s="3296" t="s">
        <v>426</v>
      </c>
      <c r="E89" s="448">
        <v>5.0000000000000001E-3</v>
      </c>
      <c r="F89" s="3278">
        <f t="shared" si="98"/>
        <v>6.6200000000000009E-3</v>
      </c>
      <c r="G89" s="3276">
        <f t="shared" si="99"/>
        <v>6.6200000000000009E-3</v>
      </c>
      <c r="H89" s="3276">
        <f t="shared" si="99"/>
        <v>6.6200000000000009E-3</v>
      </c>
      <c r="I89" s="3276">
        <f t="shared" si="99"/>
        <v>6.6200000000000009E-3</v>
      </c>
      <c r="J89" s="3276">
        <f t="shared" si="99"/>
        <v>6.6200000000000009E-3</v>
      </c>
      <c r="K89" s="3277">
        <f t="shared" si="99"/>
        <v>6.6200000000000009E-3</v>
      </c>
      <c r="L89" s="448">
        <v>0.17599999999999999</v>
      </c>
      <c r="M89" s="3278">
        <f t="shared" si="100"/>
        <v>0.44764000000000004</v>
      </c>
      <c r="N89" s="3276">
        <f t="shared" si="101"/>
        <v>0.44764000000000004</v>
      </c>
      <c r="O89" s="3276">
        <f t="shared" si="101"/>
        <v>0.44764000000000004</v>
      </c>
      <c r="P89" s="3276">
        <f t="shared" si="101"/>
        <v>0.44764000000000004</v>
      </c>
      <c r="Q89" s="3276">
        <f t="shared" si="101"/>
        <v>0.44764000000000004</v>
      </c>
      <c r="R89" s="3279">
        <f t="shared" si="101"/>
        <v>0.44764000000000004</v>
      </c>
      <c r="S89" s="448"/>
      <c r="T89" s="3278">
        <f t="shared" si="102"/>
        <v>0</v>
      </c>
      <c r="U89" s="3276">
        <f t="shared" si="103"/>
        <v>0</v>
      </c>
      <c r="V89" s="3276">
        <f t="shared" si="103"/>
        <v>0</v>
      </c>
      <c r="W89" s="3276">
        <f t="shared" si="103"/>
        <v>0</v>
      </c>
      <c r="X89" s="3276">
        <f t="shared" si="103"/>
        <v>0</v>
      </c>
      <c r="Y89" s="3279">
        <f t="shared" si="103"/>
        <v>0</v>
      </c>
      <c r="Z89" s="448"/>
      <c r="AA89" s="3278">
        <f t="shared" si="104"/>
        <v>0</v>
      </c>
      <c r="AB89" s="3276">
        <f t="shared" si="105"/>
        <v>0</v>
      </c>
      <c r="AC89" s="3276">
        <f t="shared" si="105"/>
        <v>0</v>
      </c>
      <c r="AD89" s="3276">
        <f t="shared" si="105"/>
        <v>0</v>
      </c>
      <c r="AE89" s="3276">
        <f t="shared" si="105"/>
        <v>0</v>
      </c>
      <c r="AF89" s="3279">
        <f t="shared" si="105"/>
        <v>0</v>
      </c>
      <c r="AG89" s="448"/>
      <c r="AH89" s="3278">
        <f t="shared" si="106"/>
        <v>0</v>
      </c>
      <c r="AI89" s="3276">
        <f t="shared" si="107"/>
        <v>0</v>
      </c>
      <c r="AJ89" s="3276">
        <f t="shared" si="107"/>
        <v>0</v>
      </c>
      <c r="AK89" s="3276">
        <f t="shared" si="107"/>
        <v>0</v>
      </c>
      <c r="AL89" s="3276">
        <f t="shared" si="107"/>
        <v>0</v>
      </c>
      <c r="AM89" s="3279">
        <f t="shared" si="107"/>
        <v>0</v>
      </c>
      <c r="AN89" s="448"/>
      <c r="AO89" s="3369"/>
      <c r="AP89" s="3370"/>
      <c r="AQ89" s="3370"/>
      <c r="AR89" s="3370"/>
      <c r="AS89" s="3370"/>
      <c r="AT89" s="3371"/>
      <c r="AU89" s="1429"/>
    </row>
    <row r="90" spans="1:47" s="721" customFormat="1" ht="25.5">
      <c r="A90" s="3226"/>
      <c r="B90" s="2921">
        <v>2040207</v>
      </c>
      <c r="C90" s="3227">
        <v>0.04</v>
      </c>
      <c r="D90" s="3296" t="s">
        <v>427</v>
      </c>
      <c r="E90" s="448">
        <v>0.18</v>
      </c>
      <c r="F90" s="3278">
        <f t="shared" si="98"/>
        <v>0.57823999999999998</v>
      </c>
      <c r="G90" s="3276">
        <f t="shared" si="99"/>
        <v>0.57823999999999998</v>
      </c>
      <c r="H90" s="3276">
        <f t="shared" si="99"/>
        <v>0.57823999999999998</v>
      </c>
      <c r="I90" s="3276">
        <f t="shared" si="99"/>
        <v>0.57823999999999998</v>
      </c>
      <c r="J90" s="3276">
        <f t="shared" si="99"/>
        <v>0.57823999999999998</v>
      </c>
      <c r="K90" s="3277">
        <f t="shared" si="99"/>
        <v>0.57823999999999998</v>
      </c>
      <c r="L90" s="448"/>
      <c r="M90" s="3278">
        <f t="shared" si="100"/>
        <v>0</v>
      </c>
      <c r="N90" s="3276">
        <f t="shared" si="101"/>
        <v>0</v>
      </c>
      <c r="O90" s="3276">
        <f t="shared" si="101"/>
        <v>0</v>
      </c>
      <c r="P90" s="3276">
        <f t="shared" si="101"/>
        <v>0</v>
      </c>
      <c r="Q90" s="3276">
        <f t="shared" si="101"/>
        <v>0</v>
      </c>
      <c r="R90" s="3279">
        <f t="shared" si="101"/>
        <v>0</v>
      </c>
      <c r="S90" s="448"/>
      <c r="T90" s="3278">
        <f t="shared" si="102"/>
        <v>0</v>
      </c>
      <c r="U90" s="3276">
        <f t="shared" si="103"/>
        <v>0</v>
      </c>
      <c r="V90" s="3276">
        <f t="shared" si="103"/>
        <v>0</v>
      </c>
      <c r="W90" s="3276">
        <f t="shared" si="103"/>
        <v>0</v>
      </c>
      <c r="X90" s="3276">
        <f t="shared" si="103"/>
        <v>0</v>
      </c>
      <c r="Y90" s="3279">
        <f t="shared" si="103"/>
        <v>0</v>
      </c>
      <c r="Z90" s="448"/>
      <c r="AA90" s="3278">
        <f t="shared" si="104"/>
        <v>0</v>
      </c>
      <c r="AB90" s="3276">
        <f t="shared" si="105"/>
        <v>0</v>
      </c>
      <c r="AC90" s="3276">
        <f t="shared" si="105"/>
        <v>0</v>
      </c>
      <c r="AD90" s="3276">
        <f t="shared" si="105"/>
        <v>0</v>
      </c>
      <c r="AE90" s="3276">
        <f t="shared" si="105"/>
        <v>0</v>
      </c>
      <c r="AF90" s="3279">
        <f t="shared" si="105"/>
        <v>0</v>
      </c>
      <c r="AG90" s="448"/>
      <c r="AH90" s="3278">
        <f t="shared" si="106"/>
        <v>0</v>
      </c>
      <c r="AI90" s="3276">
        <f t="shared" si="107"/>
        <v>0</v>
      </c>
      <c r="AJ90" s="3276">
        <f t="shared" si="107"/>
        <v>0</v>
      </c>
      <c r="AK90" s="3276">
        <f t="shared" si="107"/>
        <v>0</v>
      </c>
      <c r="AL90" s="3276">
        <f t="shared" si="107"/>
        <v>0</v>
      </c>
      <c r="AM90" s="3279">
        <f t="shared" si="107"/>
        <v>0</v>
      </c>
      <c r="AN90" s="448"/>
      <c r="AO90" s="3369"/>
      <c r="AP90" s="3370"/>
      <c r="AQ90" s="3370"/>
      <c r="AR90" s="3370"/>
      <c r="AS90" s="3370"/>
      <c r="AT90" s="3371"/>
      <c r="AU90" s="1429"/>
    </row>
    <row r="91" spans="1:47" s="721" customFormat="1">
      <c r="A91" s="3226"/>
      <c r="B91" s="2921">
        <v>2040208</v>
      </c>
      <c r="C91" s="3227">
        <v>0.04</v>
      </c>
      <c r="D91" s="3296" t="s">
        <v>428</v>
      </c>
      <c r="E91" s="448"/>
      <c r="F91" s="3278">
        <f t="shared" si="98"/>
        <v>0</v>
      </c>
      <c r="G91" s="3276">
        <f t="shared" si="99"/>
        <v>0</v>
      </c>
      <c r="H91" s="3276">
        <f t="shared" si="99"/>
        <v>0</v>
      </c>
      <c r="I91" s="3276">
        <f t="shared" si="99"/>
        <v>0</v>
      </c>
      <c r="J91" s="3276">
        <f t="shared" si="99"/>
        <v>0</v>
      </c>
      <c r="K91" s="3277">
        <f t="shared" si="99"/>
        <v>0</v>
      </c>
      <c r="L91" s="448"/>
      <c r="M91" s="3278">
        <f t="shared" si="100"/>
        <v>0</v>
      </c>
      <c r="N91" s="3276">
        <f t="shared" si="101"/>
        <v>0</v>
      </c>
      <c r="O91" s="3276">
        <f t="shared" si="101"/>
        <v>0</v>
      </c>
      <c r="P91" s="3276">
        <f t="shared" si="101"/>
        <v>0</v>
      </c>
      <c r="Q91" s="3276">
        <f t="shared" si="101"/>
        <v>0</v>
      </c>
      <c r="R91" s="3279">
        <f t="shared" si="101"/>
        <v>0</v>
      </c>
      <c r="S91" s="448"/>
      <c r="T91" s="3278">
        <f t="shared" si="102"/>
        <v>0</v>
      </c>
      <c r="U91" s="3276">
        <f t="shared" si="103"/>
        <v>0</v>
      </c>
      <c r="V91" s="3276">
        <f t="shared" si="103"/>
        <v>0</v>
      </c>
      <c r="W91" s="3276">
        <f t="shared" si="103"/>
        <v>0</v>
      </c>
      <c r="X91" s="3276">
        <f t="shared" si="103"/>
        <v>0</v>
      </c>
      <c r="Y91" s="3279">
        <f t="shared" si="103"/>
        <v>0</v>
      </c>
      <c r="Z91" s="448"/>
      <c r="AA91" s="3278">
        <f t="shared" si="104"/>
        <v>0</v>
      </c>
      <c r="AB91" s="3276">
        <f t="shared" si="105"/>
        <v>0</v>
      </c>
      <c r="AC91" s="3276">
        <f t="shared" si="105"/>
        <v>0</v>
      </c>
      <c r="AD91" s="3276">
        <f t="shared" si="105"/>
        <v>0</v>
      </c>
      <c r="AE91" s="3276">
        <f t="shared" si="105"/>
        <v>0</v>
      </c>
      <c r="AF91" s="3279">
        <f t="shared" si="105"/>
        <v>0</v>
      </c>
      <c r="AG91" s="448"/>
      <c r="AH91" s="3278">
        <f t="shared" si="106"/>
        <v>0</v>
      </c>
      <c r="AI91" s="3276">
        <f t="shared" si="107"/>
        <v>0</v>
      </c>
      <c r="AJ91" s="3276">
        <f t="shared" si="107"/>
        <v>0</v>
      </c>
      <c r="AK91" s="3276">
        <f t="shared" si="107"/>
        <v>0</v>
      </c>
      <c r="AL91" s="3276">
        <f t="shared" si="107"/>
        <v>0</v>
      </c>
      <c r="AM91" s="3279">
        <f t="shared" si="107"/>
        <v>0</v>
      </c>
      <c r="AN91" s="448"/>
      <c r="AO91" s="3369"/>
      <c r="AP91" s="3370"/>
      <c r="AQ91" s="3370"/>
      <c r="AR91" s="3370"/>
      <c r="AS91" s="3370"/>
      <c r="AT91" s="3371"/>
      <c r="AU91" s="1429"/>
    </row>
    <row r="92" spans="1:47" s="721" customFormat="1">
      <c r="A92" s="3226"/>
      <c r="B92" s="2921">
        <v>20403</v>
      </c>
      <c r="C92" s="3227">
        <v>0.04</v>
      </c>
      <c r="D92" s="3243" t="s">
        <v>1060</v>
      </c>
      <c r="E92" s="448">
        <v>2.5999999999999999E-2</v>
      </c>
      <c r="F92" s="3278">
        <f t="shared" si="98"/>
        <v>0.10824</v>
      </c>
      <c r="G92" s="3276">
        <f t="shared" si="99"/>
        <v>0.10824</v>
      </c>
      <c r="H92" s="3276">
        <f t="shared" si="99"/>
        <v>0.10824</v>
      </c>
      <c r="I92" s="3276">
        <f t="shared" si="99"/>
        <v>0.10824</v>
      </c>
      <c r="J92" s="3276">
        <f t="shared" si="99"/>
        <v>0.10824</v>
      </c>
      <c r="K92" s="3277">
        <f t="shared" si="99"/>
        <v>0.10824</v>
      </c>
      <c r="L92" s="448"/>
      <c r="M92" s="3278">
        <f t="shared" si="100"/>
        <v>0</v>
      </c>
      <c r="N92" s="3276">
        <f t="shared" si="101"/>
        <v>0</v>
      </c>
      <c r="O92" s="3276">
        <f t="shared" si="101"/>
        <v>0</v>
      </c>
      <c r="P92" s="3276">
        <f t="shared" si="101"/>
        <v>0</v>
      </c>
      <c r="Q92" s="3276">
        <f t="shared" si="101"/>
        <v>0</v>
      </c>
      <c r="R92" s="3279">
        <f t="shared" si="101"/>
        <v>0</v>
      </c>
      <c r="S92" s="448"/>
      <c r="T92" s="3278">
        <f t="shared" si="102"/>
        <v>-2</v>
      </c>
      <c r="U92" s="3276">
        <f t="shared" si="103"/>
        <v>-2</v>
      </c>
      <c r="V92" s="3276">
        <f t="shared" si="103"/>
        <v>-2</v>
      </c>
      <c r="W92" s="3276">
        <f t="shared" si="103"/>
        <v>-2</v>
      </c>
      <c r="X92" s="3276">
        <f t="shared" si="103"/>
        <v>-2</v>
      </c>
      <c r="Y92" s="3279">
        <f t="shared" si="103"/>
        <v>-2</v>
      </c>
      <c r="Z92" s="448"/>
      <c r="AA92" s="3278">
        <f t="shared" si="104"/>
        <v>0</v>
      </c>
      <c r="AB92" s="3276">
        <f t="shared" si="105"/>
        <v>0</v>
      </c>
      <c r="AC92" s="3276">
        <f t="shared" si="105"/>
        <v>0</v>
      </c>
      <c r="AD92" s="3276">
        <f t="shared" si="105"/>
        <v>0</v>
      </c>
      <c r="AE92" s="3276">
        <f t="shared" si="105"/>
        <v>0</v>
      </c>
      <c r="AF92" s="3279">
        <f t="shared" si="105"/>
        <v>0</v>
      </c>
      <c r="AG92" s="448"/>
      <c r="AH92" s="3278">
        <f t="shared" si="106"/>
        <v>0</v>
      </c>
      <c r="AI92" s="3276">
        <f t="shared" si="107"/>
        <v>0</v>
      </c>
      <c r="AJ92" s="3276">
        <f t="shared" si="107"/>
        <v>0</v>
      </c>
      <c r="AK92" s="3276">
        <f t="shared" si="107"/>
        <v>0</v>
      </c>
      <c r="AL92" s="3276">
        <f t="shared" si="107"/>
        <v>0</v>
      </c>
      <c r="AM92" s="3279">
        <f t="shared" si="107"/>
        <v>0</v>
      </c>
      <c r="AN92" s="448"/>
      <c r="AO92" s="3369"/>
      <c r="AP92" s="3370"/>
      <c r="AQ92" s="3370"/>
      <c r="AR92" s="3370"/>
      <c r="AS92" s="3370"/>
      <c r="AT92" s="3371"/>
      <c r="AU92" s="1429"/>
    </row>
    <row r="93" spans="1:47" s="721" customFormat="1" ht="25.5">
      <c r="A93" s="3226"/>
      <c r="B93" s="2921" t="s">
        <v>1061</v>
      </c>
      <c r="C93" s="3227">
        <v>0.04</v>
      </c>
      <c r="D93" s="3243" t="s">
        <v>1062</v>
      </c>
      <c r="E93" s="448"/>
      <c r="F93" s="3278">
        <f t="shared" si="98"/>
        <v>0</v>
      </c>
      <c r="G93" s="3276">
        <f t="shared" si="99"/>
        <v>0</v>
      </c>
      <c r="H93" s="3276">
        <f t="shared" si="99"/>
        <v>0</v>
      </c>
      <c r="I93" s="3276">
        <f t="shared" si="99"/>
        <v>0</v>
      </c>
      <c r="J93" s="3276">
        <f t="shared" si="99"/>
        <v>0</v>
      </c>
      <c r="K93" s="3277">
        <f t="shared" si="99"/>
        <v>0</v>
      </c>
      <c r="L93" s="448"/>
      <c r="M93" s="3278">
        <f t="shared" si="100"/>
        <v>0</v>
      </c>
      <c r="N93" s="3276">
        <f t="shared" si="101"/>
        <v>0</v>
      </c>
      <c r="O93" s="3276">
        <f t="shared" si="101"/>
        <v>0</v>
      </c>
      <c r="P93" s="3276">
        <f t="shared" si="101"/>
        <v>0</v>
      </c>
      <c r="Q93" s="3276">
        <f t="shared" si="101"/>
        <v>0</v>
      </c>
      <c r="R93" s="3279">
        <f t="shared" si="101"/>
        <v>0</v>
      </c>
      <c r="S93" s="448"/>
      <c r="T93" s="3278">
        <f t="shared" si="102"/>
        <v>0</v>
      </c>
      <c r="U93" s="3276">
        <f t="shared" si="103"/>
        <v>0</v>
      </c>
      <c r="V93" s="3276">
        <f t="shared" si="103"/>
        <v>0</v>
      </c>
      <c r="W93" s="3276">
        <f t="shared" si="103"/>
        <v>0</v>
      </c>
      <c r="X93" s="3276">
        <f t="shared" si="103"/>
        <v>0</v>
      </c>
      <c r="Y93" s="3279">
        <f t="shared" si="103"/>
        <v>0</v>
      </c>
      <c r="Z93" s="448"/>
      <c r="AA93" s="3278">
        <f t="shared" si="104"/>
        <v>0</v>
      </c>
      <c r="AB93" s="3276">
        <f t="shared" si="105"/>
        <v>0</v>
      </c>
      <c r="AC93" s="3276">
        <f t="shared" si="105"/>
        <v>0</v>
      </c>
      <c r="AD93" s="3276">
        <f t="shared" si="105"/>
        <v>0</v>
      </c>
      <c r="AE93" s="3276">
        <f t="shared" si="105"/>
        <v>0</v>
      </c>
      <c r="AF93" s="3279">
        <f t="shared" si="105"/>
        <v>0</v>
      </c>
      <c r="AG93" s="448"/>
      <c r="AH93" s="3278">
        <f t="shared" si="106"/>
        <v>0</v>
      </c>
      <c r="AI93" s="3276">
        <f t="shared" si="107"/>
        <v>0</v>
      </c>
      <c r="AJ93" s="3276">
        <f t="shared" si="107"/>
        <v>0</v>
      </c>
      <c r="AK93" s="3276">
        <f t="shared" si="107"/>
        <v>0</v>
      </c>
      <c r="AL93" s="3276">
        <f t="shared" si="107"/>
        <v>0</v>
      </c>
      <c r="AM93" s="3279">
        <f t="shared" si="107"/>
        <v>0</v>
      </c>
      <c r="AN93" s="448"/>
      <c r="AO93" s="3369"/>
      <c r="AP93" s="3370"/>
      <c r="AQ93" s="3370"/>
      <c r="AR93" s="3370"/>
      <c r="AS93" s="3370"/>
      <c r="AT93" s="3371"/>
      <c r="AU93" s="1429"/>
    </row>
    <row r="94" spans="1:47" s="721" customFormat="1">
      <c r="A94" s="3217">
        <v>5</v>
      </c>
      <c r="B94" s="3218">
        <v>205</v>
      </c>
      <c r="C94" s="3218"/>
      <c r="D94" s="3300" t="s">
        <v>217</v>
      </c>
      <c r="E94" s="3301">
        <f>SUM(E95:E98)</f>
        <v>0.83699999999999997</v>
      </c>
      <c r="F94" s="3301">
        <f>SUM(F95:F98)</f>
        <v>2.0344000000000002</v>
      </c>
      <c r="G94" s="3302">
        <f>SUM(G95:G98)</f>
        <v>2.0344000000000002</v>
      </c>
      <c r="H94" s="3302">
        <f t="shared" ref="H94:K94" si="108">SUM(H95:H98)</f>
        <v>2.0344000000000002</v>
      </c>
      <c r="I94" s="3302">
        <f t="shared" si="108"/>
        <v>2.0344000000000002</v>
      </c>
      <c r="J94" s="3302">
        <f t="shared" si="108"/>
        <v>2.0344000000000002</v>
      </c>
      <c r="K94" s="3303">
        <f t="shared" si="108"/>
        <v>2.0344000000000002</v>
      </c>
      <c r="L94" s="3304">
        <f>SUM(L95:L98)</f>
        <v>3.5879999999999996</v>
      </c>
      <c r="M94" s="3305">
        <f>SUM(M95:M98)</f>
        <v>7.2916000000000007</v>
      </c>
      <c r="N94" s="3302">
        <f>SUM(N95:N98)</f>
        <v>7.2916000000000007</v>
      </c>
      <c r="O94" s="3302">
        <f t="shared" ref="O94:R94" si="109">SUM(O95:O98)</f>
        <v>7.2916000000000007</v>
      </c>
      <c r="P94" s="3302">
        <f t="shared" si="109"/>
        <v>4.2916000000000007</v>
      </c>
      <c r="Q94" s="3302">
        <f t="shared" si="109"/>
        <v>-7.7083999999999993</v>
      </c>
      <c r="R94" s="3306">
        <f t="shared" si="109"/>
        <v>-17.708400000000001</v>
      </c>
      <c r="S94" s="3304">
        <f>SUM(S95:S98)</f>
        <v>6.4000000000000001E-2</v>
      </c>
      <c r="T94" s="3307">
        <f>SUM(T95:T98)</f>
        <v>0.17910000000000001</v>
      </c>
      <c r="U94" s="3302">
        <f>SUM(U95:U98)</f>
        <v>0.17910000000000001</v>
      </c>
      <c r="V94" s="3302">
        <f t="shared" ref="V94:Y94" si="110">SUM(V95:V98)</f>
        <v>0.17910000000000001</v>
      </c>
      <c r="W94" s="3302">
        <f t="shared" si="110"/>
        <v>0.17910000000000001</v>
      </c>
      <c r="X94" s="3302">
        <f t="shared" si="110"/>
        <v>0.17910000000000001</v>
      </c>
      <c r="Y94" s="3306">
        <f t="shared" si="110"/>
        <v>0.17910000000000001</v>
      </c>
      <c r="Z94" s="3304">
        <f>SUM(Z95:Z98)</f>
        <v>3.0000000000000001E-3</v>
      </c>
      <c r="AA94" s="3307">
        <f>SUM(AA95:AA98)</f>
        <v>7.6E-3</v>
      </c>
      <c r="AB94" s="3302">
        <f>SUM(AB95:AB98)</f>
        <v>7.6E-3</v>
      </c>
      <c r="AC94" s="3302">
        <f t="shared" ref="AC94:AF94" si="111">SUM(AC95:AC98)</f>
        <v>7.6E-3</v>
      </c>
      <c r="AD94" s="3302">
        <f t="shared" si="111"/>
        <v>-0.79239999999999999</v>
      </c>
      <c r="AE94" s="3302">
        <f t="shared" si="111"/>
        <v>-0.79239999999999999</v>
      </c>
      <c r="AF94" s="3306">
        <f t="shared" si="111"/>
        <v>-0.79239999999999999</v>
      </c>
      <c r="AG94" s="3304">
        <f>SUM(AG95:AG98)</f>
        <v>0</v>
      </c>
      <c r="AH94" s="3307">
        <f>SUM(AH95:AH98)</f>
        <v>0</v>
      </c>
      <c r="AI94" s="3302">
        <f>SUM(AI95:AI98)</f>
        <v>0</v>
      </c>
      <c r="AJ94" s="3302">
        <f t="shared" ref="AJ94:AM94" si="112">SUM(AJ95:AJ98)</f>
        <v>0</v>
      </c>
      <c r="AK94" s="3302">
        <f t="shared" si="112"/>
        <v>0</v>
      </c>
      <c r="AL94" s="3302">
        <f t="shared" si="112"/>
        <v>0</v>
      </c>
      <c r="AM94" s="3306">
        <f t="shared" si="112"/>
        <v>0</v>
      </c>
      <c r="AN94" s="3304">
        <f>SUM(AN95:AN98)</f>
        <v>0</v>
      </c>
      <c r="AO94" s="3369"/>
      <c r="AP94" s="3370"/>
      <c r="AQ94" s="3370"/>
      <c r="AR94" s="3370"/>
      <c r="AS94" s="3370"/>
      <c r="AT94" s="3371"/>
      <c r="AU94" s="1429"/>
    </row>
    <row r="95" spans="1:47" s="721" customFormat="1">
      <c r="A95" s="3249"/>
      <c r="B95" s="3250">
        <v>20501</v>
      </c>
      <c r="C95" s="3251">
        <v>0.08</v>
      </c>
      <c r="D95" s="3308" t="s">
        <v>569</v>
      </c>
      <c r="E95" s="448"/>
      <c r="F95" s="3278">
        <f>($E46*$C95)-(F46*$C95)</f>
        <v>0</v>
      </c>
      <c r="G95" s="3276">
        <f t="shared" ref="G95:K98" si="113">F95-(G46*$C95)</f>
        <v>0</v>
      </c>
      <c r="H95" s="3276">
        <f t="shared" si="113"/>
        <v>0</v>
      </c>
      <c r="I95" s="3276">
        <f t="shared" si="113"/>
        <v>0</v>
      </c>
      <c r="J95" s="3276">
        <f t="shared" si="113"/>
        <v>0</v>
      </c>
      <c r="K95" s="3277">
        <f t="shared" si="113"/>
        <v>0</v>
      </c>
      <c r="L95" s="448"/>
      <c r="M95" s="3278">
        <f>($L46*$C95)-(M46*$C95)</f>
        <v>0</v>
      </c>
      <c r="N95" s="3276">
        <f t="shared" ref="N95:R98" si="114">M95-(N46*$C95)</f>
        <v>0</v>
      </c>
      <c r="O95" s="3276">
        <f t="shared" si="114"/>
        <v>0</v>
      </c>
      <c r="P95" s="3276">
        <f t="shared" si="114"/>
        <v>0</v>
      </c>
      <c r="Q95" s="3276">
        <f t="shared" si="114"/>
        <v>0</v>
      </c>
      <c r="R95" s="3279">
        <f t="shared" si="114"/>
        <v>0</v>
      </c>
      <c r="S95" s="448"/>
      <c r="T95" s="3278">
        <f>($S46*$C95)-(T46*$C95)</f>
        <v>0</v>
      </c>
      <c r="U95" s="3276">
        <f t="shared" ref="U95:Y98" si="115">T95-(U46*$C95)</f>
        <v>0</v>
      </c>
      <c r="V95" s="3276">
        <f t="shared" si="115"/>
        <v>0</v>
      </c>
      <c r="W95" s="3276">
        <f t="shared" si="115"/>
        <v>0</v>
      </c>
      <c r="X95" s="3276">
        <f t="shared" si="115"/>
        <v>0</v>
      </c>
      <c r="Y95" s="3279">
        <f t="shared" si="115"/>
        <v>0</v>
      </c>
      <c r="Z95" s="448"/>
      <c r="AA95" s="3278">
        <f t="shared" si="104"/>
        <v>0</v>
      </c>
      <c r="AB95" s="3276">
        <f t="shared" ref="AB95:AF98" si="116">AA95-(AB46*$C95)</f>
        <v>0</v>
      </c>
      <c r="AC95" s="3276">
        <f t="shared" si="116"/>
        <v>0</v>
      </c>
      <c r="AD95" s="3276">
        <f t="shared" si="116"/>
        <v>-0.8</v>
      </c>
      <c r="AE95" s="3276">
        <f t="shared" si="116"/>
        <v>-0.8</v>
      </c>
      <c r="AF95" s="3279">
        <f t="shared" si="116"/>
        <v>-0.8</v>
      </c>
      <c r="AG95" s="448"/>
      <c r="AH95" s="3278">
        <f t="shared" ref="AH95:AH98" si="117">($AG46*$C95)-(AH46*$C95)</f>
        <v>0</v>
      </c>
      <c r="AI95" s="3276">
        <f t="shared" ref="AI95:AM98" si="118">AH95-(AI46*$C95)</f>
        <v>0</v>
      </c>
      <c r="AJ95" s="3276">
        <f t="shared" si="118"/>
        <v>0</v>
      </c>
      <c r="AK95" s="3276">
        <f t="shared" si="118"/>
        <v>0</v>
      </c>
      <c r="AL95" s="3276">
        <f t="shared" si="118"/>
        <v>0</v>
      </c>
      <c r="AM95" s="3279">
        <f t="shared" si="118"/>
        <v>0</v>
      </c>
      <c r="AN95" s="448"/>
      <c r="AO95" s="3369"/>
      <c r="AP95" s="3370"/>
      <c r="AQ95" s="3370"/>
      <c r="AR95" s="3370"/>
      <c r="AS95" s="3370"/>
      <c r="AT95" s="3371"/>
      <c r="AU95" s="1429"/>
    </row>
    <row r="96" spans="1:47" s="721" customFormat="1">
      <c r="A96" s="3249"/>
      <c r="B96" s="3250">
        <v>20502</v>
      </c>
      <c r="C96" s="3251">
        <v>0.1</v>
      </c>
      <c r="D96" s="3308" t="s">
        <v>416</v>
      </c>
      <c r="E96" s="448">
        <v>0.53100000000000003</v>
      </c>
      <c r="F96" s="3278">
        <f>($E47*$C96)-(F47*$C96)</f>
        <v>1.171</v>
      </c>
      <c r="G96" s="3276">
        <f t="shared" si="113"/>
        <v>1.171</v>
      </c>
      <c r="H96" s="3276">
        <f t="shared" si="113"/>
        <v>1.171</v>
      </c>
      <c r="I96" s="3276">
        <f t="shared" si="113"/>
        <v>1.171</v>
      </c>
      <c r="J96" s="3276">
        <f t="shared" si="113"/>
        <v>1.171</v>
      </c>
      <c r="K96" s="3277">
        <f t="shared" si="113"/>
        <v>1.171</v>
      </c>
      <c r="L96" s="448"/>
      <c r="M96" s="3278">
        <f>($L47*$C96)-(M47*$C96)</f>
        <v>0</v>
      </c>
      <c r="N96" s="3276">
        <f t="shared" si="114"/>
        <v>0</v>
      </c>
      <c r="O96" s="3276">
        <f t="shared" si="114"/>
        <v>0</v>
      </c>
      <c r="P96" s="3276">
        <f t="shared" si="114"/>
        <v>0</v>
      </c>
      <c r="Q96" s="3276">
        <f t="shared" si="114"/>
        <v>0</v>
      </c>
      <c r="R96" s="3279">
        <f t="shared" si="114"/>
        <v>0</v>
      </c>
      <c r="S96" s="448"/>
      <c r="T96" s="3278">
        <f>($S47*$C96)-(T47*$C96)</f>
        <v>0</v>
      </c>
      <c r="U96" s="3276">
        <f t="shared" si="115"/>
        <v>0</v>
      </c>
      <c r="V96" s="3276">
        <f t="shared" si="115"/>
        <v>0</v>
      </c>
      <c r="W96" s="3276">
        <f t="shared" si="115"/>
        <v>0</v>
      </c>
      <c r="X96" s="3276">
        <f t="shared" si="115"/>
        <v>0</v>
      </c>
      <c r="Y96" s="3279">
        <f t="shared" si="115"/>
        <v>0</v>
      </c>
      <c r="Z96" s="448"/>
      <c r="AA96" s="3278">
        <f t="shared" si="104"/>
        <v>0</v>
      </c>
      <c r="AB96" s="3276">
        <f t="shared" si="116"/>
        <v>0</v>
      </c>
      <c r="AC96" s="3276">
        <f t="shared" si="116"/>
        <v>0</v>
      </c>
      <c r="AD96" s="3276">
        <f t="shared" si="116"/>
        <v>0</v>
      </c>
      <c r="AE96" s="3276">
        <f t="shared" si="116"/>
        <v>0</v>
      </c>
      <c r="AF96" s="3279">
        <f t="shared" si="116"/>
        <v>0</v>
      </c>
      <c r="AG96" s="448"/>
      <c r="AH96" s="3278">
        <f t="shared" si="117"/>
        <v>0</v>
      </c>
      <c r="AI96" s="3276">
        <f t="shared" si="118"/>
        <v>0</v>
      </c>
      <c r="AJ96" s="3276">
        <f t="shared" si="118"/>
        <v>0</v>
      </c>
      <c r="AK96" s="3276">
        <f t="shared" si="118"/>
        <v>0</v>
      </c>
      <c r="AL96" s="3276">
        <f t="shared" si="118"/>
        <v>0</v>
      </c>
      <c r="AM96" s="3279">
        <f t="shared" si="118"/>
        <v>0</v>
      </c>
      <c r="AN96" s="448"/>
      <c r="AO96" s="3369"/>
      <c r="AP96" s="3370"/>
      <c r="AQ96" s="3370"/>
      <c r="AR96" s="3370"/>
      <c r="AS96" s="3370"/>
      <c r="AT96" s="3371"/>
      <c r="AU96" s="1429"/>
    </row>
    <row r="97" spans="1:47" s="721" customFormat="1">
      <c r="A97" s="3249"/>
      <c r="B97" s="3250">
        <v>20503</v>
      </c>
      <c r="C97" s="3251">
        <v>0.1</v>
      </c>
      <c r="D97" s="3243" t="s">
        <v>417</v>
      </c>
      <c r="E97" s="448">
        <v>0.30599999999999999</v>
      </c>
      <c r="F97" s="3278">
        <f>($E48*$C97)-(F48*$C97)</f>
        <v>0.86340000000000006</v>
      </c>
      <c r="G97" s="3276">
        <f t="shared" si="113"/>
        <v>0.86340000000000006</v>
      </c>
      <c r="H97" s="3276">
        <f t="shared" si="113"/>
        <v>0.86340000000000006</v>
      </c>
      <c r="I97" s="3276">
        <f t="shared" si="113"/>
        <v>0.86340000000000006</v>
      </c>
      <c r="J97" s="3276">
        <f t="shared" si="113"/>
        <v>0.86340000000000006</v>
      </c>
      <c r="K97" s="3277">
        <f t="shared" si="113"/>
        <v>0.86340000000000006</v>
      </c>
      <c r="L97" s="448">
        <v>0.14299999999999999</v>
      </c>
      <c r="M97" s="3278">
        <f>($L48*$C97)-(M48*$C97)</f>
        <v>0.40160000000000001</v>
      </c>
      <c r="N97" s="3276">
        <f t="shared" si="114"/>
        <v>0.40160000000000001</v>
      </c>
      <c r="O97" s="3276">
        <f t="shared" si="114"/>
        <v>0.40160000000000001</v>
      </c>
      <c r="P97" s="3276">
        <f t="shared" si="114"/>
        <v>0.40160000000000001</v>
      </c>
      <c r="Q97" s="3276">
        <f t="shared" si="114"/>
        <v>0.40160000000000001</v>
      </c>
      <c r="R97" s="3279">
        <f t="shared" si="114"/>
        <v>0.40160000000000001</v>
      </c>
      <c r="S97" s="448">
        <v>6.4000000000000001E-2</v>
      </c>
      <c r="T97" s="3278">
        <f>($S48*$C97)-(T48*$C97)</f>
        <v>0.17910000000000001</v>
      </c>
      <c r="U97" s="3276">
        <f t="shared" si="115"/>
        <v>0.17910000000000001</v>
      </c>
      <c r="V97" s="3276">
        <f t="shared" si="115"/>
        <v>0.17910000000000001</v>
      </c>
      <c r="W97" s="3276">
        <f t="shared" si="115"/>
        <v>0.17910000000000001</v>
      </c>
      <c r="X97" s="3276">
        <f t="shared" si="115"/>
        <v>0.17910000000000001</v>
      </c>
      <c r="Y97" s="3279">
        <f t="shared" si="115"/>
        <v>0.17910000000000001</v>
      </c>
      <c r="Z97" s="448">
        <v>3.0000000000000001E-3</v>
      </c>
      <c r="AA97" s="3278">
        <f t="shared" si="104"/>
        <v>7.6E-3</v>
      </c>
      <c r="AB97" s="3276">
        <f t="shared" si="116"/>
        <v>7.6E-3</v>
      </c>
      <c r="AC97" s="3276">
        <f t="shared" si="116"/>
        <v>7.6E-3</v>
      </c>
      <c r="AD97" s="3276">
        <f t="shared" si="116"/>
        <v>7.6E-3</v>
      </c>
      <c r="AE97" s="3276">
        <f t="shared" si="116"/>
        <v>7.6E-3</v>
      </c>
      <c r="AF97" s="3279">
        <f t="shared" si="116"/>
        <v>7.6E-3</v>
      </c>
      <c r="AG97" s="448"/>
      <c r="AH97" s="3278">
        <f t="shared" si="117"/>
        <v>0</v>
      </c>
      <c r="AI97" s="3276">
        <f t="shared" si="118"/>
        <v>0</v>
      </c>
      <c r="AJ97" s="3276">
        <f t="shared" si="118"/>
        <v>0</v>
      </c>
      <c r="AK97" s="3276">
        <f t="shared" si="118"/>
        <v>0</v>
      </c>
      <c r="AL97" s="3276">
        <f t="shared" si="118"/>
        <v>0</v>
      </c>
      <c r="AM97" s="3279">
        <f t="shared" si="118"/>
        <v>0</v>
      </c>
      <c r="AN97" s="448"/>
      <c r="AO97" s="3369"/>
      <c r="AP97" s="3370"/>
      <c r="AQ97" s="3370"/>
      <c r="AR97" s="3370"/>
      <c r="AS97" s="3370"/>
      <c r="AT97" s="3371"/>
      <c r="AU97" s="1429"/>
    </row>
    <row r="98" spans="1:47" s="721" customFormat="1">
      <c r="A98" s="3249"/>
      <c r="B98" s="3250">
        <v>20504</v>
      </c>
      <c r="C98" s="3251">
        <v>0.1</v>
      </c>
      <c r="D98" s="3243" t="s">
        <v>563</v>
      </c>
      <c r="E98" s="448"/>
      <c r="F98" s="3278">
        <f>($E49*$C98)-(F49*$C98)</f>
        <v>0</v>
      </c>
      <c r="G98" s="3276">
        <f t="shared" si="113"/>
        <v>0</v>
      </c>
      <c r="H98" s="3276">
        <f t="shared" si="113"/>
        <v>0</v>
      </c>
      <c r="I98" s="3276">
        <f t="shared" si="113"/>
        <v>0</v>
      </c>
      <c r="J98" s="3276">
        <f t="shared" si="113"/>
        <v>0</v>
      </c>
      <c r="K98" s="3277">
        <f t="shared" si="113"/>
        <v>0</v>
      </c>
      <c r="L98" s="448">
        <v>3.4449999999999998</v>
      </c>
      <c r="M98" s="3278">
        <f>($L49*$C98)-(M49*$C98)</f>
        <v>6.8900000000000006</v>
      </c>
      <c r="N98" s="3276">
        <f t="shared" si="114"/>
        <v>6.8900000000000006</v>
      </c>
      <c r="O98" s="3276">
        <f t="shared" si="114"/>
        <v>6.8900000000000006</v>
      </c>
      <c r="P98" s="3276">
        <f t="shared" si="114"/>
        <v>3.8900000000000006</v>
      </c>
      <c r="Q98" s="3276">
        <f t="shared" si="114"/>
        <v>-8.11</v>
      </c>
      <c r="R98" s="3279">
        <f t="shared" si="114"/>
        <v>-18.11</v>
      </c>
      <c r="S98" s="448"/>
      <c r="T98" s="3278">
        <f>($S49*$C98)-(T49*$C98)</f>
        <v>0</v>
      </c>
      <c r="U98" s="3276">
        <f t="shared" si="115"/>
        <v>0</v>
      </c>
      <c r="V98" s="3276">
        <f t="shared" si="115"/>
        <v>0</v>
      </c>
      <c r="W98" s="3276">
        <f t="shared" si="115"/>
        <v>0</v>
      </c>
      <c r="X98" s="3276">
        <f t="shared" si="115"/>
        <v>0</v>
      </c>
      <c r="Y98" s="3279">
        <f t="shared" si="115"/>
        <v>0</v>
      </c>
      <c r="Z98" s="448"/>
      <c r="AA98" s="3278">
        <f t="shared" si="104"/>
        <v>0</v>
      </c>
      <c r="AB98" s="3276">
        <f t="shared" si="116"/>
        <v>0</v>
      </c>
      <c r="AC98" s="3276">
        <f t="shared" si="116"/>
        <v>0</v>
      </c>
      <c r="AD98" s="3276">
        <f t="shared" si="116"/>
        <v>0</v>
      </c>
      <c r="AE98" s="3276">
        <f t="shared" si="116"/>
        <v>0</v>
      </c>
      <c r="AF98" s="3279">
        <f t="shared" si="116"/>
        <v>0</v>
      </c>
      <c r="AG98" s="448"/>
      <c r="AH98" s="3278">
        <f t="shared" si="117"/>
        <v>0</v>
      </c>
      <c r="AI98" s="3276">
        <f t="shared" si="118"/>
        <v>0</v>
      </c>
      <c r="AJ98" s="3276">
        <f t="shared" si="118"/>
        <v>0</v>
      </c>
      <c r="AK98" s="3276">
        <f t="shared" si="118"/>
        <v>0</v>
      </c>
      <c r="AL98" s="3276">
        <f t="shared" si="118"/>
        <v>0</v>
      </c>
      <c r="AM98" s="3279">
        <f t="shared" si="118"/>
        <v>0</v>
      </c>
      <c r="AN98" s="448"/>
      <c r="AO98" s="3369"/>
      <c r="AP98" s="3370"/>
      <c r="AQ98" s="3370"/>
      <c r="AR98" s="3370"/>
      <c r="AS98" s="3370"/>
      <c r="AT98" s="3371"/>
      <c r="AU98" s="1429"/>
    </row>
    <row r="99" spans="1:47" s="45" customFormat="1">
      <c r="A99" s="3253">
        <v>6</v>
      </c>
      <c r="B99" s="3254">
        <v>206</v>
      </c>
      <c r="C99" s="3255">
        <v>0.1</v>
      </c>
      <c r="D99" s="3297" t="s">
        <v>399</v>
      </c>
      <c r="E99" s="3301">
        <f>SUM(E100:E102)</f>
        <v>0.55699999999999994</v>
      </c>
      <c r="F99" s="3301">
        <f>SUM(F100:F102)</f>
        <v>1.9458000000000002</v>
      </c>
      <c r="G99" s="3302">
        <f>SUM(G100:G102)</f>
        <v>0.44580000000000009</v>
      </c>
      <c r="H99" s="3302">
        <f t="shared" ref="H99:AN99" si="119">SUM(H100:H102)</f>
        <v>0.44580000000000009</v>
      </c>
      <c r="I99" s="3302">
        <f t="shared" si="119"/>
        <v>0.44580000000000009</v>
      </c>
      <c r="J99" s="3302">
        <f t="shared" si="119"/>
        <v>0.44580000000000009</v>
      </c>
      <c r="K99" s="3303">
        <f t="shared" si="119"/>
        <v>0.44580000000000009</v>
      </c>
      <c r="L99" s="3304">
        <f t="shared" si="119"/>
        <v>0.13500000000000001</v>
      </c>
      <c r="M99" s="3305">
        <f t="shared" si="119"/>
        <v>0.44840000000000002</v>
      </c>
      <c r="N99" s="3302">
        <f t="shared" si="119"/>
        <v>0.44840000000000002</v>
      </c>
      <c r="O99" s="3302">
        <f t="shared" si="119"/>
        <v>0.44840000000000002</v>
      </c>
      <c r="P99" s="3302">
        <f t="shared" si="119"/>
        <v>0.44840000000000002</v>
      </c>
      <c r="Q99" s="3302">
        <f t="shared" si="119"/>
        <v>-0.55159999999999987</v>
      </c>
      <c r="R99" s="3306">
        <f t="shared" si="119"/>
        <v>-0.55159999999999987</v>
      </c>
      <c r="S99" s="3304">
        <f t="shared" si="119"/>
        <v>0.06</v>
      </c>
      <c r="T99" s="3307">
        <f t="shared" si="119"/>
        <v>0.19419999999999998</v>
      </c>
      <c r="U99" s="3302">
        <f t="shared" si="119"/>
        <v>0.19419999999999998</v>
      </c>
      <c r="V99" s="3302">
        <f t="shared" si="119"/>
        <v>0.19419999999999998</v>
      </c>
      <c r="W99" s="3302">
        <f t="shared" si="119"/>
        <v>0.19419999999999998</v>
      </c>
      <c r="X99" s="3302">
        <f t="shared" si="119"/>
        <v>0.19419999999999998</v>
      </c>
      <c r="Y99" s="3306">
        <f t="shared" si="119"/>
        <v>0.19419999999999998</v>
      </c>
      <c r="Z99" s="3304">
        <f t="shared" si="119"/>
        <v>2E-3</v>
      </c>
      <c r="AA99" s="3307">
        <f t="shared" si="119"/>
        <v>5.8999999999999999E-3</v>
      </c>
      <c r="AB99" s="3302">
        <f t="shared" si="119"/>
        <v>5.8999999999999999E-3</v>
      </c>
      <c r="AC99" s="3302">
        <f t="shared" si="119"/>
        <v>5.8999999999999999E-3</v>
      </c>
      <c r="AD99" s="3302">
        <f t="shared" si="119"/>
        <v>5.8999999999999999E-3</v>
      </c>
      <c r="AE99" s="3302">
        <f t="shared" si="119"/>
        <v>5.8999999999999999E-3</v>
      </c>
      <c r="AF99" s="3306">
        <f t="shared" si="119"/>
        <v>5.8999999999999999E-3</v>
      </c>
      <c r="AG99" s="3304">
        <f t="shared" si="119"/>
        <v>0</v>
      </c>
      <c r="AH99" s="3307">
        <f t="shared" si="119"/>
        <v>0</v>
      </c>
      <c r="AI99" s="3302">
        <f t="shared" si="119"/>
        <v>0</v>
      </c>
      <c r="AJ99" s="3302">
        <f t="shared" si="119"/>
        <v>0</v>
      </c>
      <c r="AK99" s="3302">
        <f t="shared" si="119"/>
        <v>0</v>
      </c>
      <c r="AL99" s="3302">
        <f t="shared" si="119"/>
        <v>0</v>
      </c>
      <c r="AM99" s="3306">
        <f t="shared" si="119"/>
        <v>0</v>
      </c>
      <c r="AN99" s="3304">
        <f t="shared" si="119"/>
        <v>0</v>
      </c>
      <c r="AO99" s="3369"/>
      <c r="AP99" s="3370"/>
      <c r="AQ99" s="3370"/>
      <c r="AR99" s="3370"/>
      <c r="AS99" s="3370"/>
      <c r="AT99" s="3371"/>
      <c r="AU99" s="1429"/>
    </row>
    <row r="100" spans="1:47" s="721" customFormat="1">
      <c r="A100" s="3253"/>
      <c r="B100" s="3250">
        <v>20601</v>
      </c>
      <c r="C100" s="3251">
        <v>0.1</v>
      </c>
      <c r="D100" s="3243" t="s">
        <v>570</v>
      </c>
      <c r="E100" s="448">
        <f>0.047+0.049</f>
        <v>9.6000000000000002E-2</v>
      </c>
      <c r="F100" s="3278">
        <f t="shared" ref="F100:F108" si="120">($E51*$C100)-(F51*$C100)</f>
        <v>0.39100000000000001</v>
      </c>
      <c r="G100" s="3276">
        <f t="shared" ref="G100:K108" si="121">F100-(G51*$C100)</f>
        <v>0.39100000000000001</v>
      </c>
      <c r="H100" s="3276">
        <f t="shared" si="121"/>
        <v>0.39100000000000001</v>
      </c>
      <c r="I100" s="3276">
        <f t="shared" si="121"/>
        <v>0.39100000000000001</v>
      </c>
      <c r="J100" s="3276">
        <f t="shared" si="121"/>
        <v>0.39100000000000001</v>
      </c>
      <c r="K100" s="3277">
        <f t="shared" si="121"/>
        <v>0.39100000000000001</v>
      </c>
      <c r="L100" s="448">
        <f>0.002+0.023</f>
        <v>2.5000000000000001E-2</v>
      </c>
      <c r="M100" s="3309">
        <f t="shared" ref="M100:M108" si="122">($L51*$C100)-(M51*$C100)</f>
        <v>8.0500000000000016E-2</v>
      </c>
      <c r="N100" s="3276">
        <f t="shared" ref="N100:R108" si="123">M100-(N51*$C100)</f>
        <v>8.0500000000000016E-2</v>
      </c>
      <c r="O100" s="3276">
        <f t="shared" si="123"/>
        <v>8.0500000000000016E-2</v>
      </c>
      <c r="P100" s="3276">
        <f t="shared" si="123"/>
        <v>8.0500000000000016E-2</v>
      </c>
      <c r="Q100" s="3276">
        <f t="shared" si="123"/>
        <v>8.0500000000000016E-2</v>
      </c>
      <c r="R100" s="3279">
        <f t="shared" si="123"/>
        <v>8.0500000000000016E-2</v>
      </c>
      <c r="S100" s="448">
        <v>1.0999999999999999E-2</v>
      </c>
      <c r="T100" s="3309">
        <f t="shared" ref="T100:T108" si="124">($S51*$C100)-(T51*$C100)</f>
        <v>0.03</v>
      </c>
      <c r="U100" s="3276">
        <f t="shared" ref="U100:Y108" si="125">T100-(U51*$C100)</f>
        <v>0.03</v>
      </c>
      <c r="V100" s="3276">
        <f t="shared" si="125"/>
        <v>0.03</v>
      </c>
      <c r="W100" s="3276">
        <f t="shared" si="125"/>
        <v>0.03</v>
      </c>
      <c r="X100" s="3276">
        <f t="shared" si="125"/>
        <v>0.03</v>
      </c>
      <c r="Y100" s="3279">
        <f t="shared" si="125"/>
        <v>0.03</v>
      </c>
      <c r="Z100" s="448"/>
      <c r="AA100" s="3309">
        <f t="shared" si="104"/>
        <v>1.2000000000000001E-3</v>
      </c>
      <c r="AB100" s="3276">
        <f t="shared" ref="AB100:AF108" si="126">AA100-(AB51*$C100)</f>
        <v>1.2000000000000001E-3</v>
      </c>
      <c r="AC100" s="3276">
        <f t="shared" si="126"/>
        <v>1.2000000000000001E-3</v>
      </c>
      <c r="AD100" s="3276">
        <f t="shared" si="126"/>
        <v>1.2000000000000001E-3</v>
      </c>
      <c r="AE100" s="3276">
        <f t="shared" si="126"/>
        <v>1.2000000000000001E-3</v>
      </c>
      <c r="AF100" s="3279">
        <f t="shared" si="126"/>
        <v>1.2000000000000001E-3</v>
      </c>
      <c r="AG100" s="448"/>
      <c r="AH100" s="3309">
        <f t="shared" ref="AH100:AH108" si="127">($AG51*$C100)-(AH51*$C100)</f>
        <v>0</v>
      </c>
      <c r="AI100" s="3276">
        <f t="shared" ref="AI100:AM108" si="128">AH100-(AI51*$C100)</f>
        <v>0</v>
      </c>
      <c r="AJ100" s="3276">
        <f t="shared" si="128"/>
        <v>0</v>
      </c>
      <c r="AK100" s="3276">
        <f t="shared" si="128"/>
        <v>0</v>
      </c>
      <c r="AL100" s="3276">
        <f t="shared" si="128"/>
        <v>0</v>
      </c>
      <c r="AM100" s="3279">
        <f t="shared" si="128"/>
        <v>0</v>
      </c>
      <c r="AN100" s="448"/>
      <c r="AO100" s="3369"/>
      <c r="AP100" s="3370"/>
      <c r="AQ100" s="3370"/>
      <c r="AR100" s="3370"/>
      <c r="AS100" s="3370"/>
      <c r="AT100" s="3371"/>
      <c r="AU100" s="1429"/>
    </row>
    <row r="101" spans="1:47" s="721" customFormat="1">
      <c r="A101" s="3253"/>
      <c r="B101" s="3250">
        <v>20602</v>
      </c>
      <c r="C101" s="3251">
        <v>0.1</v>
      </c>
      <c r="D101" s="3243" t="s">
        <v>440</v>
      </c>
      <c r="E101" s="448">
        <f>0.077+0.072</f>
        <v>0.14899999999999999</v>
      </c>
      <c r="F101" s="3278">
        <f t="shared" si="120"/>
        <v>0.5928000000000001</v>
      </c>
      <c r="G101" s="3276">
        <f t="shared" si="121"/>
        <v>0.5928000000000001</v>
      </c>
      <c r="H101" s="3276">
        <f t="shared" si="121"/>
        <v>0.5928000000000001</v>
      </c>
      <c r="I101" s="3276">
        <f t="shared" si="121"/>
        <v>0.5928000000000001</v>
      </c>
      <c r="J101" s="3276">
        <f t="shared" si="121"/>
        <v>0.5928000000000001</v>
      </c>
      <c r="K101" s="3277">
        <f t="shared" si="121"/>
        <v>0.5928000000000001</v>
      </c>
      <c r="L101" s="448">
        <v>3.3000000000000002E-2</v>
      </c>
      <c r="M101" s="3309">
        <f t="shared" si="122"/>
        <v>0.11040000000000001</v>
      </c>
      <c r="N101" s="3276">
        <f t="shared" si="123"/>
        <v>0.11040000000000001</v>
      </c>
      <c r="O101" s="3276">
        <f t="shared" si="123"/>
        <v>0.11040000000000001</v>
      </c>
      <c r="P101" s="3276">
        <f t="shared" si="123"/>
        <v>0.11040000000000001</v>
      </c>
      <c r="Q101" s="3276">
        <f t="shared" si="123"/>
        <v>-0.88959999999999995</v>
      </c>
      <c r="R101" s="3279">
        <f t="shared" si="123"/>
        <v>-0.88959999999999995</v>
      </c>
      <c r="S101" s="448">
        <v>1.4999999999999999E-2</v>
      </c>
      <c r="T101" s="3309">
        <f t="shared" si="124"/>
        <v>4.9200000000000001E-2</v>
      </c>
      <c r="U101" s="3276">
        <f t="shared" si="125"/>
        <v>4.9200000000000001E-2</v>
      </c>
      <c r="V101" s="3276">
        <f t="shared" si="125"/>
        <v>4.9200000000000001E-2</v>
      </c>
      <c r="W101" s="3276">
        <f t="shared" si="125"/>
        <v>4.9200000000000001E-2</v>
      </c>
      <c r="X101" s="3276">
        <f t="shared" si="125"/>
        <v>4.9200000000000001E-2</v>
      </c>
      <c r="Y101" s="3279">
        <f t="shared" si="125"/>
        <v>4.9200000000000001E-2</v>
      </c>
      <c r="Z101" s="448"/>
      <c r="AA101" s="3309">
        <f t="shared" si="104"/>
        <v>2.0000000000000001E-4</v>
      </c>
      <c r="AB101" s="3276">
        <f t="shared" si="126"/>
        <v>2.0000000000000001E-4</v>
      </c>
      <c r="AC101" s="3276">
        <f t="shared" si="126"/>
        <v>2.0000000000000001E-4</v>
      </c>
      <c r="AD101" s="3276">
        <f t="shared" si="126"/>
        <v>2.0000000000000001E-4</v>
      </c>
      <c r="AE101" s="3276">
        <f t="shared" si="126"/>
        <v>2.0000000000000001E-4</v>
      </c>
      <c r="AF101" s="3279">
        <f t="shared" si="126"/>
        <v>2.0000000000000001E-4</v>
      </c>
      <c r="AG101" s="448"/>
      <c r="AH101" s="3309">
        <f t="shared" si="127"/>
        <v>0</v>
      </c>
      <c r="AI101" s="3276">
        <f t="shared" si="128"/>
        <v>0</v>
      </c>
      <c r="AJ101" s="3276">
        <f t="shared" si="128"/>
        <v>0</v>
      </c>
      <c r="AK101" s="3276">
        <f t="shared" si="128"/>
        <v>0</v>
      </c>
      <c r="AL101" s="3276">
        <f t="shared" si="128"/>
        <v>0</v>
      </c>
      <c r="AM101" s="3279">
        <f t="shared" si="128"/>
        <v>0</v>
      </c>
      <c r="AN101" s="448"/>
      <c r="AO101" s="3369"/>
      <c r="AP101" s="3370"/>
      <c r="AQ101" s="3370"/>
      <c r="AR101" s="3370"/>
      <c r="AS101" s="3370"/>
      <c r="AT101" s="3371"/>
      <c r="AU101" s="1429"/>
    </row>
    <row r="102" spans="1:47" s="721" customFormat="1">
      <c r="A102" s="3253"/>
      <c r="B102" s="3250">
        <v>20603</v>
      </c>
      <c r="C102" s="3251">
        <v>0.5</v>
      </c>
      <c r="D102" s="3243" t="s">
        <v>1023</v>
      </c>
      <c r="E102" s="448">
        <f>0.147+0.165</f>
        <v>0.312</v>
      </c>
      <c r="F102" s="3278">
        <f t="shared" si="120"/>
        <v>0.96199999999999997</v>
      </c>
      <c r="G102" s="3276">
        <f t="shared" si="121"/>
        <v>-0.53800000000000003</v>
      </c>
      <c r="H102" s="3276">
        <f t="shared" si="121"/>
        <v>-0.53800000000000003</v>
      </c>
      <c r="I102" s="3276">
        <f t="shared" si="121"/>
        <v>-0.53800000000000003</v>
      </c>
      <c r="J102" s="3276">
        <f t="shared" si="121"/>
        <v>-0.53800000000000003</v>
      </c>
      <c r="K102" s="3277">
        <f t="shared" si="121"/>
        <v>-0.53800000000000003</v>
      </c>
      <c r="L102" s="448">
        <v>7.6999999999999999E-2</v>
      </c>
      <c r="M102" s="3309">
        <f t="shared" si="122"/>
        <v>0.25750000000000001</v>
      </c>
      <c r="N102" s="3276">
        <f t="shared" si="123"/>
        <v>0.25750000000000001</v>
      </c>
      <c r="O102" s="3276">
        <f t="shared" si="123"/>
        <v>0.25750000000000001</v>
      </c>
      <c r="P102" s="3276">
        <f t="shared" si="123"/>
        <v>0.25750000000000001</v>
      </c>
      <c r="Q102" s="3276">
        <f t="shared" si="123"/>
        <v>0.25750000000000001</v>
      </c>
      <c r="R102" s="3279">
        <f t="shared" si="123"/>
        <v>0.25750000000000001</v>
      </c>
      <c r="S102" s="448">
        <v>3.4000000000000002E-2</v>
      </c>
      <c r="T102" s="3309">
        <f t="shared" si="124"/>
        <v>0.115</v>
      </c>
      <c r="U102" s="3276">
        <f t="shared" si="125"/>
        <v>0.115</v>
      </c>
      <c r="V102" s="3276">
        <f t="shared" si="125"/>
        <v>0.115</v>
      </c>
      <c r="W102" s="3276">
        <f t="shared" si="125"/>
        <v>0.115</v>
      </c>
      <c r="X102" s="3276">
        <f t="shared" si="125"/>
        <v>0.115</v>
      </c>
      <c r="Y102" s="3279">
        <f t="shared" si="125"/>
        <v>0.115</v>
      </c>
      <c r="Z102" s="448">
        <v>2E-3</v>
      </c>
      <c r="AA102" s="3309">
        <f t="shared" si="104"/>
        <v>4.4999999999999997E-3</v>
      </c>
      <c r="AB102" s="3276">
        <f t="shared" si="126"/>
        <v>4.4999999999999997E-3</v>
      </c>
      <c r="AC102" s="3276">
        <f t="shared" si="126"/>
        <v>4.4999999999999997E-3</v>
      </c>
      <c r="AD102" s="3276">
        <f t="shared" si="126"/>
        <v>4.4999999999999997E-3</v>
      </c>
      <c r="AE102" s="3276">
        <f t="shared" si="126"/>
        <v>4.4999999999999997E-3</v>
      </c>
      <c r="AF102" s="3279">
        <f t="shared" si="126"/>
        <v>4.4999999999999997E-3</v>
      </c>
      <c r="AG102" s="448"/>
      <c r="AH102" s="3309">
        <f t="shared" si="127"/>
        <v>0</v>
      </c>
      <c r="AI102" s="3276">
        <f t="shared" si="128"/>
        <v>0</v>
      </c>
      <c r="AJ102" s="3276">
        <f t="shared" si="128"/>
        <v>0</v>
      </c>
      <c r="AK102" s="3276">
        <f t="shared" si="128"/>
        <v>0</v>
      </c>
      <c r="AL102" s="3276">
        <f t="shared" si="128"/>
        <v>0</v>
      </c>
      <c r="AM102" s="3279">
        <f t="shared" si="128"/>
        <v>0</v>
      </c>
      <c r="AN102" s="448"/>
      <c r="AO102" s="3369"/>
      <c r="AP102" s="3370"/>
      <c r="AQ102" s="3370"/>
      <c r="AR102" s="3370"/>
      <c r="AS102" s="3370"/>
      <c r="AT102" s="3371"/>
      <c r="AU102" s="1429"/>
    </row>
    <row r="103" spans="1:47" s="45" customFormat="1">
      <c r="A103" s="3253">
        <v>7</v>
      </c>
      <c r="B103" s="3254">
        <v>208</v>
      </c>
      <c r="C103" s="3255">
        <v>0.2</v>
      </c>
      <c r="D103" s="3297" t="s">
        <v>418</v>
      </c>
      <c r="E103" s="448">
        <v>2.1999999999999999E-2</v>
      </c>
      <c r="F103" s="3310">
        <f t="shared" si="120"/>
        <v>8.6199999999999999E-2</v>
      </c>
      <c r="G103" s="3311">
        <f t="shared" si="121"/>
        <v>8.6199999999999999E-2</v>
      </c>
      <c r="H103" s="3311">
        <f t="shared" si="121"/>
        <v>8.6199999999999999E-2</v>
      </c>
      <c r="I103" s="3311">
        <f t="shared" si="121"/>
        <v>-1.9137999999999999</v>
      </c>
      <c r="J103" s="3311">
        <f t="shared" si="121"/>
        <v>-7.9138000000000002</v>
      </c>
      <c r="K103" s="3312">
        <f t="shared" si="121"/>
        <v>-7.9138000000000002</v>
      </c>
      <c r="L103" s="448">
        <v>0.01</v>
      </c>
      <c r="M103" s="3313">
        <f t="shared" si="122"/>
        <v>4.0000000000000008E-2</v>
      </c>
      <c r="N103" s="3311">
        <f t="shared" si="123"/>
        <v>-1.96</v>
      </c>
      <c r="O103" s="3311">
        <f t="shared" si="123"/>
        <v>-1.96</v>
      </c>
      <c r="P103" s="3311">
        <f t="shared" si="123"/>
        <v>-1.96</v>
      </c>
      <c r="Q103" s="3311">
        <f t="shared" si="123"/>
        <v>-1.96</v>
      </c>
      <c r="R103" s="3314">
        <f t="shared" si="123"/>
        <v>-1.96</v>
      </c>
      <c r="S103" s="448">
        <v>4.0000000000000001E-3</v>
      </c>
      <c r="T103" s="3315">
        <f t="shared" si="124"/>
        <v>1.78E-2</v>
      </c>
      <c r="U103" s="3311">
        <f t="shared" si="125"/>
        <v>-1.9822</v>
      </c>
      <c r="V103" s="3311">
        <f t="shared" si="125"/>
        <v>-1.9822</v>
      </c>
      <c r="W103" s="3311">
        <f t="shared" si="125"/>
        <v>-1.9822</v>
      </c>
      <c r="X103" s="3311">
        <f t="shared" si="125"/>
        <v>-1.9822</v>
      </c>
      <c r="Y103" s="3314">
        <f t="shared" si="125"/>
        <v>-1.9822</v>
      </c>
      <c r="Z103" s="448"/>
      <c r="AA103" s="3315">
        <f t="shared" si="104"/>
        <v>6.0000000000000006E-4</v>
      </c>
      <c r="AB103" s="3311">
        <f t="shared" si="126"/>
        <v>6.0000000000000006E-4</v>
      </c>
      <c r="AC103" s="3311">
        <f t="shared" si="126"/>
        <v>6.0000000000000006E-4</v>
      </c>
      <c r="AD103" s="3311">
        <f t="shared" si="126"/>
        <v>6.0000000000000006E-4</v>
      </c>
      <c r="AE103" s="3311">
        <f t="shared" si="126"/>
        <v>6.0000000000000006E-4</v>
      </c>
      <c r="AF103" s="3314">
        <f t="shared" si="126"/>
        <v>6.0000000000000006E-4</v>
      </c>
      <c r="AG103" s="448"/>
      <c r="AH103" s="3315">
        <f t="shared" si="127"/>
        <v>0</v>
      </c>
      <c r="AI103" s="3311">
        <f t="shared" si="128"/>
        <v>0</v>
      </c>
      <c r="AJ103" s="3311">
        <f t="shared" si="128"/>
        <v>0</v>
      </c>
      <c r="AK103" s="3311">
        <f t="shared" si="128"/>
        <v>0</v>
      </c>
      <c r="AL103" s="3311">
        <f t="shared" si="128"/>
        <v>0</v>
      </c>
      <c r="AM103" s="3314">
        <f t="shared" si="128"/>
        <v>0</v>
      </c>
      <c r="AN103" s="448"/>
      <c r="AO103" s="3369"/>
      <c r="AP103" s="3370"/>
      <c r="AQ103" s="3370"/>
      <c r="AR103" s="3370"/>
      <c r="AS103" s="3370"/>
      <c r="AT103" s="3371"/>
      <c r="AU103" s="1429"/>
    </row>
    <row r="104" spans="1:47" s="45" customFormat="1">
      <c r="A104" s="3253">
        <v>8</v>
      </c>
      <c r="B104" s="3254">
        <v>209</v>
      </c>
      <c r="C104" s="3255">
        <v>0.1</v>
      </c>
      <c r="D104" s="3297" t="s">
        <v>218</v>
      </c>
      <c r="E104" s="448"/>
      <c r="F104" s="3310">
        <f t="shared" si="120"/>
        <v>0</v>
      </c>
      <c r="G104" s="3311">
        <f t="shared" si="121"/>
        <v>0</v>
      </c>
      <c r="H104" s="3311">
        <f t="shared" si="121"/>
        <v>0</v>
      </c>
      <c r="I104" s="3311">
        <f t="shared" si="121"/>
        <v>0</v>
      </c>
      <c r="J104" s="3311">
        <f t="shared" si="121"/>
        <v>-1</v>
      </c>
      <c r="K104" s="3312">
        <f t="shared" si="121"/>
        <v>-1</v>
      </c>
      <c r="L104" s="448"/>
      <c r="M104" s="3313">
        <f t="shared" si="122"/>
        <v>0</v>
      </c>
      <c r="N104" s="3311">
        <f t="shared" si="123"/>
        <v>0</v>
      </c>
      <c r="O104" s="3311">
        <f t="shared" si="123"/>
        <v>0</v>
      </c>
      <c r="P104" s="3311">
        <f t="shared" si="123"/>
        <v>0</v>
      </c>
      <c r="Q104" s="3311">
        <f t="shared" si="123"/>
        <v>0</v>
      </c>
      <c r="R104" s="3314">
        <f t="shared" si="123"/>
        <v>0</v>
      </c>
      <c r="S104" s="448"/>
      <c r="T104" s="3315">
        <f t="shared" si="124"/>
        <v>0</v>
      </c>
      <c r="U104" s="3311">
        <f t="shared" si="125"/>
        <v>0</v>
      </c>
      <c r="V104" s="3311">
        <f t="shared" si="125"/>
        <v>0</v>
      </c>
      <c r="W104" s="3311">
        <f t="shared" si="125"/>
        <v>0</v>
      </c>
      <c r="X104" s="3311">
        <f t="shared" si="125"/>
        <v>0</v>
      </c>
      <c r="Y104" s="3314">
        <f t="shared" si="125"/>
        <v>0</v>
      </c>
      <c r="Z104" s="448"/>
      <c r="AA104" s="3315">
        <f t="shared" si="104"/>
        <v>0</v>
      </c>
      <c r="AB104" s="3311">
        <f t="shared" si="126"/>
        <v>0</v>
      </c>
      <c r="AC104" s="3311">
        <f t="shared" si="126"/>
        <v>0</v>
      </c>
      <c r="AD104" s="3311">
        <f t="shared" si="126"/>
        <v>0</v>
      </c>
      <c r="AE104" s="3311">
        <f t="shared" si="126"/>
        <v>0</v>
      </c>
      <c r="AF104" s="3314">
        <f t="shared" si="126"/>
        <v>0</v>
      </c>
      <c r="AG104" s="448"/>
      <c r="AH104" s="3315">
        <f t="shared" si="127"/>
        <v>0</v>
      </c>
      <c r="AI104" s="3311">
        <f t="shared" si="128"/>
        <v>0</v>
      </c>
      <c r="AJ104" s="3311">
        <f t="shared" si="128"/>
        <v>0</v>
      </c>
      <c r="AK104" s="3311">
        <f t="shared" si="128"/>
        <v>0</v>
      </c>
      <c r="AL104" s="3311">
        <f t="shared" si="128"/>
        <v>0</v>
      </c>
      <c r="AM104" s="3314">
        <f t="shared" si="128"/>
        <v>0</v>
      </c>
      <c r="AN104" s="448"/>
      <c r="AO104" s="3369"/>
      <c r="AP104" s="3370"/>
      <c r="AQ104" s="3370"/>
      <c r="AR104" s="3370"/>
      <c r="AS104" s="3370"/>
      <c r="AT104" s="3371"/>
      <c r="AU104" s="1429"/>
    </row>
    <row r="105" spans="1:47" s="45" customFormat="1">
      <c r="A105" s="3253">
        <v>9</v>
      </c>
      <c r="B105" s="3254">
        <v>212</v>
      </c>
      <c r="C105" s="3255">
        <v>0.2</v>
      </c>
      <c r="D105" s="3316" t="s">
        <v>219</v>
      </c>
      <c r="E105" s="448">
        <v>0.23400000000000001</v>
      </c>
      <c r="F105" s="3310">
        <f t="shared" si="120"/>
        <v>1.7530000000000001</v>
      </c>
      <c r="G105" s="3311">
        <f t="shared" si="121"/>
        <v>1.7530000000000001</v>
      </c>
      <c r="H105" s="3311">
        <f t="shared" si="121"/>
        <v>1.7530000000000001</v>
      </c>
      <c r="I105" s="3311">
        <f t="shared" si="121"/>
        <v>0.75300000000000011</v>
      </c>
      <c r="J105" s="3311">
        <f t="shared" si="121"/>
        <v>0.15300000000000002</v>
      </c>
      <c r="K105" s="3312">
        <f t="shared" si="121"/>
        <v>0.15300000000000002</v>
      </c>
      <c r="L105" s="448">
        <v>0.109</v>
      </c>
      <c r="M105" s="3313">
        <f t="shared" si="122"/>
        <v>0.81540000000000001</v>
      </c>
      <c r="N105" s="3311">
        <f t="shared" si="123"/>
        <v>0.81540000000000001</v>
      </c>
      <c r="O105" s="3311">
        <f t="shared" si="123"/>
        <v>0.81540000000000001</v>
      </c>
      <c r="P105" s="3311">
        <f t="shared" si="123"/>
        <v>0.81540000000000001</v>
      </c>
      <c r="Q105" s="3311">
        <f t="shared" si="123"/>
        <v>0.81540000000000001</v>
      </c>
      <c r="R105" s="3314">
        <f t="shared" si="123"/>
        <v>0.81540000000000001</v>
      </c>
      <c r="S105" s="448">
        <v>4.8000000000000001E-2</v>
      </c>
      <c r="T105" s="3315">
        <f t="shared" si="124"/>
        <v>0.23620000000000002</v>
      </c>
      <c r="U105" s="3311">
        <f t="shared" si="125"/>
        <v>0.23620000000000002</v>
      </c>
      <c r="V105" s="3311">
        <f t="shared" si="125"/>
        <v>0.23620000000000002</v>
      </c>
      <c r="W105" s="3311">
        <f t="shared" si="125"/>
        <v>0.23620000000000002</v>
      </c>
      <c r="X105" s="3311">
        <f t="shared" si="125"/>
        <v>0.23620000000000002</v>
      </c>
      <c r="Y105" s="3314">
        <f t="shared" si="125"/>
        <v>0.23620000000000002</v>
      </c>
      <c r="Z105" s="448">
        <v>2E-3</v>
      </c>
      <c r="AA105" s="3315">
        <f t="shared" si="104"/>
        <v>1.54E-2</v>
      </c>
      <c r="AB105" s="3311">
        <f t="shared" si="126"/>
        <v>1.54E-2</v>
      </c>
      <c r="AC105" s="3311">
        <f t="shared" si="126"/>
        <v>1.54E-2</v>
      </c>
      <c r="AD105" s="3311">
        <f t="shared" si="126"/>
        <v>1.54E-2</v>
      </c>
      <c r="AE105" s="3311">
        <f t="shared" si="126"/>
        <v>1.54E-2</v>
      </c>
      <c r="AF105" s="3314">
        <f t="shared" si="126"/>
        <v>1.54E-2</v>
      </c>
      <c r="AG105" s="448"/>
      <c r="AH105" s="3315">
        <f t="shared" si="127"/>
        <v>0</v>
      </c>
      <c r="AI105" s="3311">
        <f t="shared" si="128"/>
        <v>0</v>
      </c>
      <c r="AJ105" s="3311">
        <f t="shared" si="128"/>
        <v>0</v>
      </c>
      <c r="AK105" s="3311">
        <f t="shared" si="128"/>
        <v>0</v>
      </c>
      <c r="AL105" s="3311">
        <f t="shared" si="128"/>
        <v>0</v>
      </c>
      <c r="AM105" s="3314">
        <f t="shared" si="128"/>
        <v>0</v>
      </c>
      <c r="AN105" s="448"/>
      <c r="AO105" s="3369"/>
      <c r="AP105" s="3370"/>
      <c r="AQ105" s="3370"/>
      <c r="AR105" s="3370"/>
      <c r="AS105" s="3370"/>
      <c r="AT105" s="3371"/>
      <c r="AU105" s="1429"/>
    </row>
    <row r="106" spans="1:47" s="45" customFormat="1">
      <c r="A106" s="3253">
        <v>10</v>
      </c>
      <c r="B106" s="3254">
        <v>213</v>
      </c>
      <c r="C106" s="3255">
        <v>0.2</v>
      </c>
      <c r="D106" s="3300" t="s">
        <v>220</v>
      </c>
      <c r="E106" s="448"/>
      <c r="F106" s="3310">
        <f t="shared" si="120"/>
        <v>0</v>
      </c>
      <c r="G106" s="3311">
        <f t="shared" si="121"/>
        <v>0</v>
      </c>
      <c r="H106" s="3311">
        <f t="shared" si="121"/>
        <v>0</v>
      </c>
      <c r="I106" s="3311">
        <f t="shared" si="121"/>
        <v>0</v>
      </c>
      <c r="J106" s="3311">
        <f t="shared" si="121"/>
        <v>0</v>
      </c>
      <c r="K106" s="3312">
        <f t="shared" si="121"/>
        <v>0</v>
      </c>
      <c r="L106" s="448"/>
      <c r="M106" s="3313">
        <f t="shared" si="122"/>
        <v>0</v>
      </c>
      <c r="N106" s="3311">
        <f t="shared" si="123"/>
        <v>0</v>
      </c>
      <c r="O106" s="3311">
        <f t="shared" si="123"/>
        <v>0</v>
      </c>
      <c r="P106" s="3311">
        <f t="shared" si="123"/>
        <v>0</v>
      </c>
      <c r="Q106" s="3311">
        <f t="shared" si="123"/>
        <v>0</v>
      </c>
      <c r="R106" s="3314">
        <f t="shared" si="123"/>
        <v>0</v>
      </c>
      <c r="S106" s="448"/>
      <c r="T106" s="3315">
        <f t="shared" si="124"/>
        <v>0</v>
      </c>
      <c r="U106" s="3311">
        <f t="shared" si="125"/>
        <v>0</v>
      </c>
      <c r="V106" s="3311">
        <f t="shared" si="125"/>
        <v>0</v>
      </c>
      <c r="W106" s="3311">
        <f t="shared" si="125"/>
        <v>0</v>
      </c>
      <c r="X106" s="3311">
        <f t="shared" si="125"/>
        <v>0</v>
      </c>
      <c r="Y106" s="3314">
        <f t="shared" si="125"/>
        <v>0</v>
      </c>
      <c r="Z106" s="448"/>
      <c r="AA106" s="3315">
        <f t="shared" si="104"/>
        <v>0</v>
      </c>
      <c r="AB106" s="3311">
        <f t="shared" si="126"/>
        <v>0</v>
      </c>
      <c r="AC106" s="3311">
        <f t="shared" si="126"/>
        <v>0</v>
      </c>
      <c r="AD106" s="3311">
        <f t="shared" si="126"/>
        <v>0</v>
      </c>
      <c r="AE106" s="3311">
        <f t="shared" si="126"/>
        <v>0</v>
      </c>
      <c r="AF106" s="3314">
        <f t="shared" si="126"/>
        <v>0</v>
      </c>
      <c r="AG106" s="448"/>
      <c r="AH106" s="3315">
        <f t="shared" si="127"/>
        <v>0</v>
      </c>
      <c r="AI106" s="3311">
        <f t="shared" si="128"/>
        <v>0</v>
      </c>
      <c r="AJ106" s="3311">
        <f t="shared" si="128"/>
        <v>0</v>
      </c>
      <c r="AK106" s="3311">
        <f t="shared" si="128"/>
        <v>0</v>
      </c>
      <c r="AL106" s="3311">
        <f t="shared" si="128"/>
        <v>0</v>
      </c>
      <c r="AM106" s="3314">
        <f t="shared" si="128"/>
        <v>0</v>
      </c>
      <c r="AN106" s="448"/>
      <c r="AO106" s="3369"/>
      <c r="AP106" s="3370"/>
      <c r="AQ106" s="3370"/>
      <c r="AR106" s="3370"/>
      <c r="AS106" s="3370"/>
      <c r="AT106" s="3371"/>
      <c r="AU106" s="1429"/>
    </row>
    <row r="107" spans="1:47" s="45" customFormat="1" ht="25.5">
      <c r="A107" s="3317">
        <v>11</v>
      </c>
      <c r="B107" s="3254">
        <v>215</v>
      </c>
      <c r="C107" s="3255">
        <v>0.2</v>
      </c>
      <c r="D107" s="3300" t="s">
        <v>685</v>
      </c>
      <c r="E107" s="448"/>
      <c r="F107" s="3310">
        <f t="shared" si="120"/>
        <v>0</v>
      </c>
      <c r="G107" s="3311">
        <f t="shared" si="121"/>
        <v>0</v>
      </c>
      <c r="H107" s="3311">
        <f t="shared" si="121"/>
        <v>0</v>
      </c>
      <c r="I107" s="3311">
        <f t="shared" si="121"/>
        <v>-4</v>
      </c>
      <c r="J107" s="3311">
        <f t="shared" si="121"/>
        <v>-4</v>
      </c>
      <c r="K107" s="3312">
        <f t="shared" si="121"/>
        <v>-14</v>
      </c>
      <c r="L107" s="448"/>
      <c r="M107" s="3313">
        <f t="shared" si="122"/>
        <v>0</v>
      </c>
      <c r="N107" s="3311">
        <f t="shared" si="123"/>
        <v>0</v>
      </c>
      <c r="O107" s="3311">
        <f t="shared" si="123"/>
        <v>0</v>
      </c>
      <c r="P107" s="3311">
        <f t="shared" si="123"/>
        <v>0</v>
      </c>
      <c r="Q107" s="3311">
        <f t="shared" si="123"/>
        <v>0</v>
      </c>
      <c r="R107" s="3314">
        <f t="shared" si="123"/>
        <v>0</v>
      </c>
      <c r="S107" s="448"/>
      <c r="T107" s="3315">
        <f t="shared" si="124"/>
        <v>0</v>
      </c>
      <c r="U107" s="3311">
        <f t="shared" si="125"/>
        <v>0</v>
      </c>
      <c r="V107" s="3311">
        <f t="shared" si="125"/>
        <v>0</v>
      </c>
      <c r="W107" s="3311">
        <f t="shared" si="125"/>
        <v>0</v>
      </c>
      <c r="X107" s="3311">
        <f t="shared" si="125"/>
        <v>0</v>
      </c>
      <c r="Y107" s="3314">
        <f t="shared" si="125"/>
        <v>0</v>
      </c>
      <c r="Z107" s="448"/>
      <c r="AA107" s="3315">
        <f t="shared" si="104"/>
        <v>0</v>
      </c>
      <c r="AB107" s="3311">
        <f t="shared" si="126"/>
        <v>0</v>
      </c>
      <c r="AC107" s="3311">
        <f t="shared" si="126"/>
        <v>0</v>
      </c>
      <c r="AD107" s="3311">
        <f t="shared" si="126"/>
        <v>0</v>
      </c>
      <c r="AE107" s="3311">
        <f t="shared" si="126"/>
        <v>0</v>
      </c>
      <c r="AF107" s="3314">
        <f t="shared" si="126"/>
        <v>0</v>
      </c>
      <c r="AG107" s="448"/>
      <c r="AH107" s="3315">
        <f t="shared" si="127"/>
        <v>0</v>
      </c>
      <c r="AI107" s="3311">
        <f t="shared" si="128"/>
        <v>0</v>
      </c>
      <c r="AJ107" s="3311">
        <f t="shared" si="128"/>
        <v>0</v>
      </c>
      <c r="AK107" s="3311">
        <f t="shared" si="128"/>
        <v>0</v>
      </c>
      <c r="AL107" s="3311">
        <f t="shared" si="128"/>
        <v>0</v>
      </c>
      <c r="AM107" s="3314">
        <f t="shared" si="128"/>
        <v>0</v>
      </c>
      <c r="AN107" s="448"/>
      <c r="AO107" s="3369"/>
      <c r="AP107" s="3370"/>
      <c r="AQ107" s="3370"/>
      <c r="AR107" s="3370"/>
      <c r="AS107" s="3370"/>
      <c r="AT107" s="3371"/>
      <c r="AU107" s="1429"/>
    </row>
    <row r="108" spans="1:47" s="45" customFormat="1" ht="13.5" thickBot="1">
      <c r="A108" s="3257">
        <v>12</v>
      </c>
      <c r="B108" s="3257">
        <v>219</v>
      </c>
      <c r="C108" s="3258">
        <v>0.1</v>
      </c>
      <c r="D108" s="3318" t="s">
        <v>221</v>
      </c>
      <c r="E108" s="449"/>
      <c r="F108" s="3319">
        <f t="shared" si="120"/>
        <v>0</v>
      </c>
      <c r="G108" s="3320">
        <f t="shared" si="121"/>
        <v>0</v>
      </c>
      <c r="H108" s="3320">
        <f t="shared" si="121"/>
        <v>0</v>
      </c>
      <c r="I108" s="3320">
        <f t="shared" si="121"/>
        <v>0</v>
      </c>
      <c r="J108" s="3320">
        <f t="shared" si="121"/>
        <v>-1</v>
      </c>
      <c r="K108" s="3321">
        <f t="shared" si="121"/>
        <v>-1</v>
      </c>
      <c r="L108" s="449"/>
      <c r="M108" s="3322">
        <f t="shared" si="122"/>
        <v>0</v>
      </c>
      <c r="N108" s="3320">
        <f t="shared" si="123"/>
        <v>0</v>
      </c>
      <c r="O108" s="3320">
        <f t="shared" si="123"/>
        <v>0</v>
      </c>
      <c r="P108" s="3320">
        <f t="shared" si="123"/>
        <v>0</v>
      </c>
      <c r="Q108" s="3320">
        <f t="shared" si="123"/>
        <v>0</v>
      </c>
      <c r="R108" s="3323">
        <f t="shared" si="123"/>
        <v>0</v>
      </c>
      <c r="S108" s="449"/>
      <c r="T108" s="3324">
        <f t="shared" si="124"/>
        <v>0</v>
      </c>
      <c r="U108" s="3320">
        <f t="shared" si="125"/>
        <v>0</v>
      </c>
      <c r="V108" s="3320">
        <f t="shared" si="125"/>
        <v>0</v>
      </c>
      <c r="W108" s="3320">
        <f t="shared" si="125"/>
        <v>0</v>
      </c>
      <c r="X108" s="3320">
        <f t="shared" si="125"/>
        <v>0</v>
      </c>
      <c r="Y108" s="3323">
        <f t="shared" si="125"/>
        <v>0</v>
      </c>
      <c r="Z108" s="449"/>
      <c r="AA108" s="3324">
        <f t="shared" si="104"/>
        <v>0</v>
      </c>
      <c r="AB108" s="3320">
        <f t="shared" si="126"/>
        <v>0</v>
      </c>
      <c r="AC108" s="3320">
        <f t="shared" si="126"/>
        <v>0</v>
      </c>
      <c r="AD108" s="3320">
        <f t="shared" si="126"/>
        <v>0</v>
      </c>
      <c r="AE108" s="3320">
        <f t="shared" si="126"/>
        <v>0</v>
      </c>
      <c r="AF108" s="3323">
        <f t="shared" si="126"/>
        <v>0</v>
      </c>
      <c r="AG108" s="449"/>
      <c r="AH108" s="3324">
        <f t="shared" si="127"/>
        <v>0</v>
      </c>
      <c r="AI108" s="3320">
        <f t="shared" si="128"/>
        <v>0</v>
      </c>
      <c r="AJ108" s="3320">
        <f t="shared" si="128"/>
        <v>0</v>
      </c>
      <c r="AK108" s="3320">
        <f t="shared" si="128"/>
        <v>0</v>
      </c>
      <c r="AL108" s="3320">
        <f t="shared" si="128"/>
        <v>0</v>
      </c>
      <c r="AM108" s="3323">
        <f t="shared" si="128"/>
        <v>0</v>
      </c>
      <c r="AN108" s="449"/>
      <c r="AO108" s="3372"/>
      <c r="AP108" s="3373"/>
      <c r="AQ108" s="3373"/>
      <c r="AR108" s="3373"/>
      <c r="AS108" s="3373"/>
      <c r="AT108" s="3374"/>
      <c r="AU108" s="1429"/>
    </row>
    <row r="109" spans="1:47" s="45" customFormat="1" ht="40.5" customHeight="1" thickBot="1">
      <c r="A109" s="3194" t="s">
        <v>429</v>
      </c>
      <c r="B109" s="3194"/>
      <c r="C109" s="3194"/>
      <c r="D109" s="3325" t="s">
        <v>651</v>
      </c>
      <c r="E109" s="3376"/>
      <c r="F109" s="3377"/>
      <c r="G109" s="3377"/>
      <c r="H109" s="3377"/>
      <c r="I109" s="3377"/>
      <c r="J109" s="3377"/>
      <c r="K109" s="3377"/>
      <c r="L109" s="3376"/>
      <c r="M109" s="3377"/>
      <c r="N109" s="3377"/>
      <c r="O109" s="3377"/>
      <c r="P109" s="3377"/>
      <c r="Q109" s="3377"/>
      <c r="R109" s="3378"/>
      <c r="S109" s="3376"/>
      <c r="T109" s="3377"/>
      <c r="U109" s="3377"/>
      <c r="V109" s="3377"/>
      <c r="W109" s="3377"/>
      <c r="X109" s="3377"/>
      <c r="Y109" s="3378"/>
      <c r="Z109" s="3376"/>
      <c r="AA109" s="3377"/>
      <c r="AB109" s="3377"/>
      <c r="AC109" s="3377"/>
      <c r="AD109" s="3377"/>
      <c r="AE109" s="3377"/>
      <c r="AF109" s="3378"/>
      <c r="AG109" s="3376"/>
      <c r="AH109" s="3377"/>
      <c r="AI109" s="3377"/>
      <c r="AJ109" s="3377"/>
      <c r="AK109" s="3377"/>
      <c r="AL109" s="3377"/>
      <c r="AM109" s="3378"/>
      <c r="AN109" s="3376"/>
      <c r="AO109" s="3377"/>
      <c r="AP109" s="3377"/>
      <c r="AQ109" s="3377"/>
      <c r="AR109" s="3377"/>
      <c r="AS109" s="3377"/>
      <c r="AT109" s="3378"/>
      <c r="AU109" s="1429"/>
    </row>
    <row r="110" spans="1:47" s="45" customFormat="1" ht="19.5" customHeight="1" thickBot="1">
      <c r="A110" s="3197" t="s">
        <v>469</v>
      </c>
      <c r="B110" s="3198"/>
      <c r="C110" s="3198"/>
      <c r="D110" s="3198" t="s">
        <v>1063</v>
      </c>
      <c r="E110" s="3202">
        <f>SUM(E111:E131)</f>
        <v>0</v>
      </c>
      <c r="F110" s="3199">
        <f>SUM(F111:F131)</f>
        <v>0</v>
      </c>
      <c r="G110" s="3200">
        <f t="shared" ref="G110:AT110" si="129">SUM(G111:G131)</f>
        <v>0</v>
      </c>
      <c r="H110" s="3200">
        <f t="shared" si="129"/>
        <v>0</v>
      </c>
      <c r="I110" s="3200">
        <f t="shared" si="129"/>
        <v>26165.828999999998</v>
      </c>
      <c r="J110" s="3200">
        <f t="shared" si="129"/>
        <v>0</v>
      </c>
      <c r="K110" s="3201">
        <f t="shared" si="129"/>
        <v>0</v>
      </c>
      <c r="L110" s="3202">
        <f t="shared" si="129"/>
        <v>0</v>
      </c>
      <c r="M110" s="3199">
        <f t="shared" si="129"/>
        <v>0</v>
      </c>
      <c r="N110" s="3200">
        <f t="shared" si="129"/>
        <v>0</v>
      </c>
      <c r="O110" s="3200">
        <f t="shared" si="129"/>
        <v>0</v>
      </c>
      <c r="P110" s="3200">
        <f t="shared" si="129"/>
        <v>30770.197</v>
      </c>
      <c r="Q110" s="3200">
        <f t="shared" si="129"/>
        <v>0</v>
      </c>
      <c r="R110" s="3203">
        <f t="shared" si="129"/>
        <v>0</v>
      </c>
      <c r="S110" s="3202">
        <f t="shared" si="129"/>
        <v>0</v>
      </c>
      <c r="T110" s="3199">
        <f t="shared" si="129"/>
        <v>0</v>
      </c>
      <c r="U110" s="3200">
        <f t="shared" si="129"/>
        <v>0</v>
      </c>
      <c r="V110" s="3200">
        <f t="shared" si="129"/>
        <v>0</v>
      </c>
      <c r="W110" s="3200">
        <f t="shared" si="129"/>
        <v>18658.84</v>
      </c>
      <c r="X110" s="3200">
        <f t="shared" si="129"/>
        <v>0</v>
      </c>
      <c r="Y110" s="3203">
        <f t="shared" si="129"/>
        <v>0</v>
      </c>
      <c r="Z110" s="3202">
        <f t="shared" si="129"/>
        <v>0</v>
      </c>
      <c r="AA110" s="3199">
        <f t="shared" si="129"/>
        <v>0</v>
      </c>
      <c r="AB110" s="3200">
        <f t="shared" si="129"/>
        <v>0</v>
      </c>
      <c r="AC110" s="3200">
        <f t="shared" si="129"/>
        <v>0</v>
      </c>
      <c r="AD110" s="3200">
        <f t="shared" si="129"/>
        <v>0</v>
      </c>
      <c r="AE110" s="3200">
        <f t="shared" si="129"/>
        <v>0</v>
      </c>
      <c r="AF110" s="3203">
        <f t="shared" si="129"/>
        <v>0</v>
      </c>
      <c r="AG110" s="3202">
        <f t="shared" si="129"/>
        <v>0</v>
      </c>
      <c r="AH110" s="3199">
        <f t="shared" si="129"/>
        <v>0</v>
      </c>
      <c r="AI110" s="3200">
        <f t="shared" si="129"/>
        <v>0</v>
      </c>
      <c r="AJ110" s="3200">
        <f t="shared" si="129"/>
        <v>0</v>
      </c>
      <c r="AK110" s="3200">
        <f t="shared" si="129"/>
        <v>0</v>
      </c>
      <c r="AL110" s="3200">
        <f t="shared" si="129"/>
        <v>0</v>
      </c>
      <c r="AM110" s="3203">
        <f t="shared" si="129"/>
        <v>0</v>
      </c>
      <c r="AN110" s="3202">
        <f t="shared" si="129"/>
        <v>0</v>
      </c>
      <c r="AO110" s="3199">
        <f t="shared" si="129"/>
        <v>0</v>
      </c>
      <c r="AP110" s="3200">
        <f t="shared" si="129"/>
        <v>0</v>
      </c>
      <c r="AQ110" s="3200">
        <f t="shared" si="129"/>
        <v>0</v>
      </c>
      <c r="AR110" s="3200">
        <f t="shared" si="129"/>
        <v>0</v>
      </c>
      <c r="AS110" s="3200">
        <f t="shared" si="129"/>
        <v>0</v>
      </c>
      <c r="AT110" s="3203">
        <f t="shared" si="129"/>
        <v>0</v>
      </c>
      <c r="AU110" s="1429"/>
    </row>
    <row r="111" spans="1:47" s="45" customFormat="1">
      <c r="A111" s="3326">
        <v>1</v>
      </c>
      <c r="B111" s="3327" t="s">
        <v>703</v>
      </c>
      <c r="C111" s="3328">
        <v>0</v>
      </c>
      <c r="D111" s="2893" t="s">
        <v>564</v>
      </c>
      <c r="E111" s="3379"/>
      <c r="F111" s="452"/>
      <c r="G111" s="450"/>
      <c r="H111" s="450"/>
      <c r="I111" s="450"/>
      <c r="J111" s="450"/>
      <c r="K111" s="287"/>
      <c r="L111" s="3379"/>
      <c r="M111" s="452"/>
      <c r="N111" s="450"/>
      <c r="O111" s="450"/>
      <c r="P111" s="450"/>
      <c r="Q111" s="450"/>
      <c r="R111" s="287"/>
      <c r="S111" s="3379"/>
      <c r="T111" s="452"/>
      <c r="U111" s="450"/>
      <c r="V111" s="450"/>
      <c r="W111" s="450"/>
      <c r="X111" s="450"/>
      <c r="Y111" s="451"/>
      <c r="Z111" s="3379"/>
      <c r="AA111" s="452"/>
      <c r="AB111" s="450"/>
      <c r="AC111" s="450"/>
      <c r="AD111" s="450"/>
      <c r="AE111" s="450"/>
      <c r="AF111" s="451"/>
      <c r="AG111" s="3379"/>
      <c r="AH111" s="452"/>
      <c r="AI111" s="450"/>
      <c r="AJ111" s="450"/>
      <c r="AK111" s="450"/>
      <c r="AL111" s="450"/>
      <c r="AM111" s="451"/>
      <c r="AN111" s="3380"/>
      <c r="AO111" s="3381"/>
      <c r="AP111" s="3382"/>
      <c r="AQ111" s="3382"/>
      <c r="AR111" s="3382"/>
      <c r="AS111" s="3382"/>
      <c r="AT111" s="3383"/>
      <c r="AU111" s="1429"/>
    </row>
    <row r="112" spans="1:47" s="45" customFormat="1">
      <c r="A112" s="3326">
        <v>2</v>
      </c>
      <c r="B112" s="3329" t="s">
        <v>704</v>
      </c>
      <c r="C112" s="3328">
        <v>0.03</v>
      </c>
      <c r="D112" s="3330" t="s">
        <v>431</v>
      </c>
      <c r="E112" s="3379"/>
      <c r="F112" s="452"/>
      <c r="G112" s="450"/>
      <c r="H112" s="450"/>
      <c r="I112" s="450"/>
      <c r="J112" s="450"/>
      <c r="K112" s="287"/>
      <c r="L112" s="3379"/>
      <c r="M112" s="452"/>
      <c r="N112" s="450"/>
      <c r="O112" s="450"/>
      <c r="P112" s="450">
        <v>2012.17</v>
      </c>
      <c r="Q112" s="450"/>
      <c r="R112" s="287"/>
      <c r="S112" s="3379"/>
      <c r="T112" s="452"/>
      <c r="U112" s="450"/>
      <c r="V112" s="450"/>
      <c r="W112" s="450"/>
      <c r="X112" s="450"/>
      <c r="Y112" s="451"/>
      <c r="Z112" s="3379"/>
      <c r="AA112" s="452"/>
      <c r="AB112" s="450"/>
      <c r="AC112" s="450"/>
      <c r="AD112" s="450"/>
      <c r="AE112" s="450"/>
      <c r="AF112" s="451"/>
      <c r="AG112" s="3379"/>
      <c r="AH112" s="452"/>
      <c r="AI112" s="450"/>
      <c r="AJ112" s="450"/>
      <c r="AK112" s="450"/>
      <c r="AL112" s="450"/>
      <c r="AM112" s="451"/>
      <c r="AN112" s="3379"/>
      <c r="AO112" s="3384"/>
      <c r="AP112" s="3385"/>
      <c r="AQ112" s="3385"/>
      <c r="AR112" s="3385"/>
      <c r="AS112" s="3385"/>
      <c r="AT112" s="3386"/>
      <c r="AU112" s="1429"/>
    </row>
    <row r="113" spans="1:47" s="45" customFormat="1">
      <c r="A113" s="3326">
        <v>3</v>
      </c>
      <c r="B113" s="3329">
        <v>911301</v>
      </c>
      <c r="C113" s="3331">
        <v>0.1</v>
      </c>
      <c r="D113" s="3330" t="s">
        <v>432</v>
      </c>
      <c r="E113" s="3379"/>
      <c r="F113" s="452"/>
      <c r="G113" s="450"/>
      <c r="H113" s="450"/>
      <c r="I113" s="450"/>
      <c r="J113" s="450"/>
      <c r="K113" s="287"/>
      <c r="L113" s="3379"/>
      <c r="M113" s="452"/>
      <c r="N113" s="450"/>
      <c r="O113" s="450"/>
      <c r="P113" s="450"/>
      <c r="Q113" s="450"/>
      <c r="R113" s="287"/>
      <c r="S113" s="3379"/>
      <c r="T113" s="452"/>
      <c r="U113" s="450"/>
      <c r="V113" s="450"/>
      <c r="W113" s="450"/>
      <c r="X113" s="450"/>
      <c r="Y113" s="451"/>
      <c r="Z113" s="3379"/>
      <c r="AA113" s="452"/>
      <c r="AB113" s="450"/>
      <c r="AC113" s="450"/>
      <c r="AD113" s="450"/>
      <c r="AE113" s="450"/>
      <c r="AF113" s="451"/>
      <c r="AG113" s="3379"/>
      <c r="AH113" s="452"/>
      <c r="AI113" s="450"/>
      <c r="AJ113" s="450"/>
      <c r="AK113" s="450"/>
      <c r="AL113" s="450"/>
      <c r="AM113" s="451"/>
      <c r="AN113" s="3379"/>
      <c r="AO113" s="3384"/>
      <c r="AP113" s="3385"/>
      <c r="AQ113" s="3385"/>
      <c r="AR113" s="3385"/>
      <c r="AS113" s="3385"/>
      <c r="AT113" s="3386"/>
      <c r="AU113" s="1429"/>
    </row>
    <row r="114" spans="1:47" s="45" customFormat="1">
      <c r="A114" s="3326">
        <v>4</v>
      </c>
      <c r="B114" s="3329">
        <v>911302</v>
      </c>
      <c r="C114" s="3331">
        <v>0.1</v>
      </c>
      <c r="D114" s="3330" t="s">
        <v>433</v>
      </c>
      <c r="E114" s="3379"/>
      <c r="F114" s="452"/>
      <c r="G114" s="450"/>
      <c r="H114" s="450"/>
      <c r="I114" s="450"/>
      <c r="J114" s="450"/>
      <c r="K114" s="287"/>
      <c r="L114" s="3379"/>
      <c r="M114" s="452"/>
      <c r="N114" s="450"/>
      <c r="O114" s="450"/>
      <c r="P114" s="450"/>
      <c r="Q114" s="450"/>
      <c r="R114" s="287"/>
      <c r="S114" s="3379"/>
      <c r="T114" s="452"/>
      <c r="U114" s="450"/>
      <c r="V114" s="450"/>
      <c r="W114" s="450"/>
      <c r="X114" s="450"/>
      <c r="Y114" s="451"/>
      <c r="Z114" s="3379"/>
      <c r="AA114" s="452"/>
      <c r="AB114" s="450"/>
      <c r="AC114" s="450"/>
      <c r="AD114" s="450"/>
      <c r="AE114" s="450"/>
      <c r="AF114" s="451"/>
      <c r="AG114" s="3379"/>
      <c r="AH114" s="452"/>
      <c r="AI114" s="450"/>
      <c r="AJ114" s="450"/>
      <c r="AK114" s="450"/>
      <c r="AL114" s="450"/>
      <c r="AM114" s="451"/>
      <c r="AN114" s="3379"/>
      <c r="AO114" s="3384"/>
      <c r="AP114" s="3385"/>
      <c r="AQ114" s="3385"/>
      <c r="AR114" s="3385"/>
      <c r="AS114" s="3385"/>
      <c r="AT114" s="3386"/>
      <c r="AU114" s="1429"/>
    </row>
    <row r="115" spans="1:47" s="45" customFormat="1">
      <c r="A115" s="3326">
        <v>5</v>
      </c>
      <c r="B115" s="3329" t="s">
        <v>721</v>
      </c>
      <c r="C115" s="3331">
        <v>0.1</v>
      </c>
      <c r="D115" s="2899" t="s">
        <v>412</v>
      </c>
      <c r="E115" s="3379"/>
      <c r="F115" s="452"/>
      <c r="G115" s="450"/>
      <c r="H115" s="450"/>
      <c r="I115" s="450"/>
      <c r="J115" s="450"/>
      <c r="K115" s="287"/>
      <c r="L115" s="3379"/>
      <c r="M115" s="452"/>
      <c r="N115" s="450"/>
      <c r="O115" s="450"/>
      <c r="P115" s="450"/>
      <c r="Q115" s="450"/>
      <c r="R115" s="287"/>
      <c r="S115" s="3379"/>
      <c r="T115" s="452"/>
      <c r="U115" s="450"/>
      <c r="V115" s="450"/>
      <c r="W115" s="450">
        <v>10</v>
      </c>
      <c r="X115" s="450"/>
      <c r="Y115" s="451"/>
      <c r="Z115" s="3379"/>
      <c r="AA115" s="452"/>
      <c r="AB115" s="450"/>
      <c r="AC115" s="450"/>
      <c r="AD115" s="450"/>
      <c r="AE115" s="450"/>
      <c r="AF115" s="451"/>
      <c r="AG115" s="3379"/>
      <c r="AH115" s="452"/>
      <c r="AI115" s="450"/>
      <c r="AJ115" s="450"/>
      <c r="AK115" s="450"/>
      <c r="AL115" s="450"/>
      <c r="AM115" s="451"/>
      <c r="AN115" s="3379"/>
      <c r="AO115" s="3384"/>
      <c r="AP115" s="3385"/>
      <c r="AQ115" s="3385"/>
      <c r="AR115" s="3385"/>
      <c r="AS115" s="3385"/>
      <c r="AT115" s="3386"/>
      <c r="AU115" s="1429"/>
    </row>
    <row r="116" spans="1:47" s="45" customFormat="1">
      <c r="A116" s="3326">
        <v>6</v>
      </c>
      <c r="B116" s="3329" t="s">
        <v>722</v>
      </c>
      <c r="C116" s="3331">
        <v>0.1</v>
      </c>
      <c r="D116" s="2899" t="s">
        <v>413</v>
      </c>
      <c r="E116" s="3379"/>
      <c r="F116" s="452"/>
      <c r="G116" s="450"/>
      <c r="H116" s="450"/>
      <c r="I116" s="450"/>
      <c r="J116" s="450"/>
      <c r="K116" s="287"/>
      <c r="L116" s="3379"/>
      <c r="M116" s="452"/>
      <c r="N116" s="450"/>
      <c r="O116" s="450"/>
      <c r="P116" s="450"/>
      <c r="Q116" s="450"/>
      <c r="R116" s="287"/>
      <c r="S116" s="3379"/>
      <c r="T116" s="452"/>
      <c r="U116" s="450"/>
      <c r="V116" s="450"/>
      <c r="W116" s="450"/>
      <c r="X116" s="450"/>
      <c r="Y116" s="451"/>
      <c r="Z116" s="3379"/>
      <c r="AA116" s="452"/>
      <c r="AB116" s="450"/>
      <c r="AC116" s="450"/>
      <c r="AD116" s="450"/>
      <c r="AE116" s="450"/>
      <c r="AF116" s="451"/>
      <c r="AG116" s="3379"/>
      <c r="AH116" s="452"/>
      <c r="AI116" s="450"/>
      <c r="AJ116" s="450"/>
      <c r="AK116" s="450"/>
      <c r="AL116" s="450"/>
      <c r="AM116" s="451"/>
      <c r="AN116" s="3379"/>
      <c r="AO116" s="3384"/>
      <c r="AP116" s="3385"/>
      <c r="AQ116" s="3385"/>
      <c r="AR116" s="3385"/>
      <c r="AS116" s="3385"/>
      <c r="AT116" s="3386"/>
      <c r="AU116" s="1429"/>
    </row>
    <row r="117" spans="1:47" s="45" customFormat="1" ht="24">
      <c r="A117" s="3326">
        <v>7</v>
      </c>
      <c r="B117" s="3329" t="s">
        <v>713</v>
      </c>
      <c r="C117" s="3331">
        <v>0.1</v>
      </c>
      <c r="D117" s="2899" t="s">
        <v>702</v>
      </c>
      <c r="E117" s="3379"/>
      <c r="F117" s="452"/>
      <c r="G117" s="450"/>
      <c r="H117" s="450"/>
      <c r="I117" s="450"/>
      <c r="J117" s="450"/>
      <c r="K117" s="287"/>
      <c r="L117" s="3379"/>
      <c r="M117" s="452"/>
      <c r="N117" s="450"/>
      <c r="O117" s="450"/>
      <c r="P117" s="450"/>
      <c r="Q117" s="450"/>
      <c r="R117" s="287"/>
      <c r="S117" s="3379"/>
      <c r="T117" s="452"/>
      <c r="U117" s="450"/>
      <c r="V117" s="450"/>
      <c r="W117" s="450"/>
      <c r="X117" s="450"/>
      <c r="Y117" s="451"/>
      <c r="Z117" s="3379"/>
      <c r="AA117" s="452"/>
      <c r="AB117" s="450"/>
      <c r="AC117" s="450"/>
      <c r="AD117" s="450"/>
      <c r="AE117" s="450"/>
      <c r="AF117" s="451"/>
      <c r="AG117" s="3379"/>
      <c r="AH117" s="452"/>
      <c r="AI117" s="450"/>
      <c r="AJ117" s="450"/>
      <c r="AK117" s="450"/>
      <c r="AL117" s="450"/>
      <c r="AM117" s="451"/>
      <c r="AN117" s="3379"/>
      <c r="AO117" s="3384"/>
      <c r="AP117" s="3385"/>
      <c r="AQ117" s="3385"/>
      <c r="AR117" s="3385"/>
      <c r="AS117" s="3385"/>
      <c r="AT117" s="3386"/>
      <c r="AU117" s="1429"/>
    </row>
    <row r="118" spans="1:47" s="45" customFormat="1">
      <c r="A118" s="3326">
        <v>8</v>
      </c>
      <c r="B118" s="3329" t="s">
        <v>723</v>
      </c>
      <c r="C118" s="3331">
        <v>0.1</v>
      </c>
      <c r="D118" s="2899" t="s">
        <v>720</v>
      </c>
      <c r="E118" s="3379"/>
      <c r="F118" s="452"/>
      <c r="G118" s="450"/>
      <c r="H118" s="450"/>
      <c r="I118" s="450"/>
      <c r="J118" s="450"/>
      <c r="K118" s="287"/>
      <c r="L118" s="3379"/>
      <c r="M118" s="452"/>
      <c r="N118" s="450"/>
      <c r="O118" s="450"/>
      <c r="P118" s="450"/>
      <c r="Q118" s="450"/>
      <c r="R118" s="287"/>
      <c r="S118" s="3379"/>
      <c r="T118" s="452"/>
      <c r="U118" s="450"/>
      <c r="V118" s="450"/>
      <c r="W118" s="450"/>
      <c r="X118" s="450"/>
      <c r="Y118" s="451"/>
      <c r="Z118" s="3379"/>
      <c r="AA118" s="452"/>
      <c r="AB118" s="450"/>
      <c r="AC118" s="450"/>
      <c r="AD118" s="450"/>
      <c r="AE118" s="450"/>
      <c r="AF118" s="451"/>
      <c r="AG118" s="3379"/>
      <c r="AH118" s="452"/>
      <c r="AI118" s="450"/>
      <c r="AJ118" s="450"/>
      <c r="AK118" s="450"/>
      <c r="AL118" s="450"/>
      <c r="AM118" s="451"/>
      <c r="AN118" s="3379"/>
      <c r="AO118" s="3384"/>
      <c r="AP118" s="3385"/>
      <c r="AQ118" s="3385"/>
      <c r="AR118" s="3385"/>
      <c r="AS118" s="3385"/>
      <c r="AT118" s="3386"/>
      <c r="AU118" s="1429"/>
    </row>
    <row r="119" spans="1:47" s="45" customFormat="1">
      <c r="A119" s="3332">
        <v>9</v>
      </c>
      <c r="B119" s="3329">
        <v>911306</v>
      </c>
      <c r="C119" s="3331">
        <v>0.1</v>
      </c>
      <c r="D119" s="3330" t="s">
        <v>1040</v>
      </c>
      <c r="E119" s="3379"/>
      <c r="F119" s="452"/>
      <c r="G119" s="450"/>
      <c r="H119" s="450"/>
      <c r="I119" s="450"/>
      <c r="J119" s="450"/>
      <c r="K119" s="287"/>
      <c r="L119" s="3379"/>
      <c r="M119" s="452"/>
      <c r="N119" s="450"/>
      <c r="O119" s="450"/>
      <c r="P119" s="450"/>
      <c r="Q119" s="450"/>
      <c r="R119" s="287"/>
      <c r="S119" s="3379"/>
      <c r="T119" s="452"/>
      <c r="U119" s="450"/>
      <c r="V119" s="450"/>
      <c r="W119" s="450"/>
      <c r="X119" s="450"/>
      <c r="Y119" s="451"/>
      <c r="Z119" s="3379"/>
      <c r="AA119" s="452"/>
      <c r="AB119" s="450"/>
      <c r="AC119" s="450"/>
      <c r="AD119" s="450"/>
      <c r="AE119" s="450"/>
      <c r="AF119" s="451"/>
      <c r="AG119" s="3379"/>
      <c r="AH119" s="452"/>
      <c r="AI119" s="450"/>
      <c r="AJ119" s="450"/>
      <c r="AK119" s="450"/>
      <c r="AL119" s="450"/>
      <c r="AM119" s="451"/>
      <c r="AN119" s="3379"/>
      <c r="AO119" s="3384"/>
      <c r="AP119" s="3385"/>
      <c r="AQ119" s="3385"/>
      <c r="AR119" s="3385"/>
      <c r="AS119" s="3385"/>
      <c r="AT119" s="3386"/>
      <c r="AU119" s="1429"/>
    </row>
    <row r="120" spans="1:47" s="45" customFormat="1">
      <c r="A120" s="3332">
        <v>10</v>
      </c>
      <c r="B120" s="3329">
        <v>91140101</v>
      </c>
      <c r="C120" s="3333">
        <v>0.1</v>
      </c>
      <c r="D120" s="2893" t="s">
        <v>1024</v>
      </c>
      <c r="E120" s="3379"/>
      <c r="F120" s="452"/>
      <c r="G120" s="450"/>
      <c r="H120" s="450"/>
      <c r="I120" s="450"/>
      <c r="J120" s="450"/>
      <c r="K120" s="287"/>
      <c r="L120" s="3379"/>
      <c r="M120" s="452"/>
      <c r="N120" s="450"/>
      <c r="O120" s="450"/>
      <c r="P120" s="450"/>
      <c r="Q120" s="450"/>
      <c r="R120" s="287"/>
      <c r="S120" s="3379"/>
      <c r="T120" s="452"/>
      <c r="U120" s="450"/>
      <c r="V120" s="450"/>
      <c r="W120" s="450"/>
      <c r="X120" s="450"/>
      <c r="Y120" s="451"/>
      <c r="Z120" s="3379"/>
      <c r="AA120" s="452"/>
      <c r="AB120" s="450"/>
      <c r="AC120" s="450"/>
      <c r="AD120" s="450"/>
      <c r="AE120" s="450"/>
      <c r="AF120" s="451"/>
      <c r="AG120" s="3379"/>
      <c r="AH120" s="452"/>
      <c r="AI120" s="450"/>
      <c r="AJ120" s="450"/>
      <c r="AK120" s="450"/>
      <c r="AL120" s="450"/>
      <c r="AM120" s="451"/>
      <c r="AN120" s="3379"/>
      <c r="AO120" s="3384"/>
      <c r="AP120" s="3385"/>
      <c r="AQ120" s="3385"/>
      <c r="AR120" s="3385"/>
      <c r="AS120" s="3385"/>
      <c r="AT120" s="3386"/>
      <c r="AU120" s="1429"/>
    </row>
    <row r="121" spans="1:47" s="45" customFormat="1">
      <c r="A121" s="3332">
        <v>11</v>
      </c>
      <c r="B121" s="3329">
        <v>91140102</v>
      </c>
      <c r="C121" s="3333">
        <v>0.04</v>
      </c>
      <c r="D121" s="2893" t="s">
        <v>437</v>
      </c>
      <c r="E121" s="3379"/>
      <c r="F121" s="452"/>
      <c r="G121" s="450"/>
      <c r="H121" s="450"/>
      <c r="I121" s="450"/>
      <c r="J121" s="450"/>
      <c r="K121" s="287"/>
      <c r="L121" s="3379"/>
      <c r="M121" s="452"/>
      <c r="N121" s="450"/>
      <c r="O121" s="450"/>
      <c r="P121" s="450"/>
      <c r="Q121" s="450"/>
      <c r="R121" s="287"/>
      <c r="S121" s="3379"/>
      <c r="T121" s="452"/>
      <c r="U121" s="450"/>
      <c r="V121" s="450"/>
      <c r="W121" s="450"/>
      <c r="X121" s="450"/>
      <c r="Y121" s="451"/>
      <c r="Z121" s="3379"/>
      <c r="AA121" s="452"/>
      <c r="AB121" s="450"/>
      <c r="AC121" s="450"/>
      <c r="AD121" s="450"/>
      <c r="AE121" s="450"/>
      <c r="AF121" s="451"/>
      <c r="AG121" s="3379"/>
      <c r="AH121" s="452"/>
      <c r="AI121" s="450"/>
      <c r="AJ121" s="450"/>
      <c r="AK121" s="450"/>
      <c r="AL121" s="450"/>
      <c r="AM121" s="451"/>
      <c r="AN121" s="3379"/>
      <c r="AO121" s="3384"/>
      <c r="AP121" s="3385"/>
      <c r="AQ121" s="3385"/>
      <c r="AR121" s="3385"/>
      <c r="AS121" s="3385"/>
      <c r="AT121" s="3386"/>
      <c r="AU121" s="1429"/>
    </row>
    <row r="122" spans="1:47" s="45" customFormat="1">
      <c r="A122" s="3332">
        <v>12</v>
      </c>
      <c r="B122" s="3329" t="s">
        <v>705</v>
      </c>
      <c r="C122" s="3331">
        <v>0.02</v>
      </c>
      <c r="D122" s="2894" t="s">
        <v>746</v>
      </c>
      <c r="E122" s="3379"/>
      <c r="F122" s="452"/>
      <c r="G122" s="450"/>
      <c r="H122" s="450"/>
      <c r="I122" s="450"/>
      <c r="J122" s="450"/>
      <c r="K122" s="287"/>
      <c r="L122" s="3379"/>
      <c r="M122" s="452"/>
      <c r="N122" s="450"/>
      <c r="O122" s="450"/>
      <c r="P122" s="450"/>
      <c r="Q122" s="450"/>
      <c r="R122" s="287"/>
      <c r="S122" s="3379"/>
      <c r="T122" s="452"/>
      <c r="U122" s="450"/>
      <c r="V122" s="450"/>
      <c r="W122" s="450"/>
      <c r="X122" s="450"/>
      <c r="Y122" s="451"/>
      <c r="Z122" s="3379"/>
      <c r="AA122" s="452"/>
      <c r="AB122" s="450"/>
      <c r="AC122" s="450"/>
      <c r="AD122" s="450"/>
      <c r="AE122" s="450"/>
      <c r="AF122" s="451"/>
      <c r="AG122" s="3379"/>
      <c r="AH122" s="452"/>
      <c r="AI122" s="450"/>
      <c r="AJ122" s="450"/>
      <c r="AK122" s="450"/>
      <c r="AL122" s="450"/>
      <c r="AM122" s="451"/>
      <c r="AN122" s="3379"/>
      <c r="AO122" s="3384"/>
      <c r="AP122" s="3385"/>
      <c r="AQ122" s="3385"/>
      <c r="AR122" s="3385"/>
      <c r="AS122" s="3385"/>
      <c r="AT122" s="3386"/>
      <c r="AU122" s="1429"/>
    </row>
    <row r="123" spans="1:47" s="45" customFormat="1">
      <c r="A123" s="3332">
        <v>13</v>
      </c>
      <c r="B123" s="3329" t="s">
        <v>706</v>
      </c>
      <c r="C123" s="3331">
        <v>0.02</v>
      </c>
      <c r="D123" s="2894" t="s">
        <v>747</v>
      </c>
      <c r="E123" s="3379"/>
      <c r="F123" s="452"/>
      <c r="G123" s="450"/>
      <c r="H123" s="450"/>
      <c r="I123" s="450">
        <v>4367.9859999999999</v>
      </c>
      <c r="J123" s="450"/>
      <c r="K123" s="287"/>
      <c r="L123" s="3379"/>
      <c r="M123" s="452"/>
      <c r="N123" s="450"/>
      <c r="O123" s="450"/>
      <c r="P123" s="450"/>
      <c r="Q123" s="450"/>
      <c r="R123" s="287"/>
      <c r="S123" s="3379"/>
      <c r="T123" s="452"/>
      <c r="U123" s="450"/>
      <c r="V123" s="450"/>
      <c r="W123" s="450"/>
      <c r="X123" s="450"/>
      <c r="Y123" s="451"/>
      <c r="Z123" s="3379"/>
      <c r="AA123" s="452"/>
      <c r="AB123" s="450"/>
      <c r="AC123" s="450"/>
      <c r="AD123" s="450"/>
      <c r="AE123" s="450"/>
      <c r="AF123" s="451"/>
      <c r="AG123" s="3379"/>
      <c r="AH123" s="452"/>
      <c r="AI123" s="450"/>
      <c r="AJ123" s="450"/>
      <c r="AK123" s="450"/>
      <c r="AL123" s="450"/>
      <c r="AM123" s="451"/>
      <c r="AN123" s="3379"/>
      <c r="AO123" s="3384"/>
      <c r="AP123" s="3385"/>
      <c r="AQ123" s="3385"/>
      <c r="AR123" s="3385"/>
      <c r="AS123" s="3385"/>
      <c r="AT123" s="3386"/>
      <c r="AU123" s="1429"/>
    </row>
    <row r="124" spans="1:47" s="45" customFormat="1">
      <c r="A124" s="3332">
        <v>14</v>
      </c>
      <c r="B124" s="3329" t="s">
        <v>707</v>
      </c>
      <c r="C124" s="3331">
        <v>0.02</v>
      </c>
      <c r="D124" s="2894" t="s">
        <v>423</v>
      </c>
      <c r="E124" s="3379"/>
      <c r="F124" s="452"/>
      <c r="G124" s="450"/>
      <c r="H124" s="450"/>
      <c r="I124" s="450"/>
      <c r="J124" s="450"/>
      <c r="K124" s="287"/>
      <c r="L124" s="3379"/>
      <c r="M124" s="452"/>
      <c r="N124" s="450"/>
      <c r="O124" s="450"/>
      <c r="P124" s="450"/>
      <c r="Q124" s="450"/>
      <c r="R124" s="287"/>
      <c r="S124" s="3379"/>
      <c r="T124" s="452"/>
      <c r="U124" s="450"/>
      <c r="V124" s="450"/>
      <c r="W124" s="450"/>
      <c r="X124" s="450"/>
      <c r="Y124" s="451"/>
      <c r="Z124" s="3379"/>
      <c r="AA124" s="452"/>
      <c r="AB124" s="450"/>
      <c r="AC124" s="450"/>
      <c r="AD124" s="450"/>
      <c r="AE124" s="450"/>
      <c r="AF124" s="451"/>
      <c r="AG124" s="3379"/>
      <c r="AH124" s="452"/>
      <c r="AI124" s="450"/>
      <c r="AJ124" s="450"/>
      <c r="AK124" s="450"/>
      <c r="AL124" s="450"/>
      <c r="AM124" s="451"/>
      <c r="AN124" s="3379"/>
      <c r="AO124" s="3384"/>
      <c r="AP124" s="3385"/>
      <c r="AQ124" s="3385"/>
      <c r="AR124" s="3385"/>
      <c r="AS124" s="3385"/>
      <c r="AT124" s="3386"/>
      <c r="AU124" s="1429"/>
    </row>
    <row r="125" spans="1:47" s="45" customFormat="1">
      <c r="A125" s="3332">
        <v>15</v>
      </c>
      <c r="B125" s="3329" t="s">
        <v>708</v>
      </c>
      <c r="C125" s="3331">
        <v>0.02</v>
      </c>
      <c r="D125" s="2893" t="s">
        <v>424</v>
      </c>
      <c r="E125" s="3379"/>
      <c r="F125" s="452"/>
      <c r="G125" s="450"/>
      <c r="H125" s="450"/>
      <c r="I125" s="450"/>
      <c r="J125" s="450"/>
      <c r="K125" s="287"/>
      <c r="L125" s="3379"/>
      <c r="M125" s="452"/>
      <c r="N125" s="450"/>
      <c r="O125" s="450"/>
      <c r="P125" s="450"/>
      <c r="Q125" s="450"/>
      <c r="R125" s="287"/>
      <c r="S125" s="3379"/>
      <c r="T125" s="452"/>
      <c r="U125" s="450"/>
      <c r="V125" s="450"/>
      <c r="W125" s="450"/>
      <c r="X125" s="450"/>
      <c r="Y125" s="451"/>
      <c r="Z125" s="3379"/>
      <c r="AA125" s="452"/>
      <c r="AB125" s="450"/>
      <c r="AC125" s="450"/>
      <c r="AD125" s="450"/>
      <c r="AE125" s="450"/>
      <c r="AF125" s="451"/>
      <c r="AG125" s="3379"/>
      <c r="AH125" s="452"/>
      <c r="AI125" s="450"/>
      <c r="AJ125" s="450"/>
      <c r="AK125" s="450"/>
      <c r="AL125" s="450"/>
      <c r="AM125" s="451"/>
      <c r="AN125" s="3379"/>
      <c r="AO125" s="3384"/>
      <c r="AP125" s="3385"/>
      <c r="AQ125" s="3385"/>
      <c r="AR125" s="3385"/>
      <c r="AS125" s="3385"/>
      <c r="AT125" s="3386"/>
      <c r="AU125" s="1429"/>
    </row>
    <row r="126" spans="1:47" s="45" customFormat="1">
      <c r="A126" s="3332">
        <v>16</v>
      </c>
      <c r="B126" s="3329" t="s">
        <v>709</v>
      </c>
      <c r="C126" s="3331">
        <v>0.02</v>
      </c>
      <c r="D126" s="2894" t="s">
        <v>425</v>
      </c>
      <c r="E126" s="3379"/>
      <c r="F126" s="452"/>
      <c r="G126" s="450"/>
      <c r="H126" s="450"/>
      <c r="I126" s="450">
        <f>20752+114</f>
        <v>20866</v>
      </c>
      <c r="J126" s="450"/>
      <c r="K126" s="287"/>
      <c r="L126" s="3379"/>
      <c r="M126" s="452"/>
      <c r="N126" s="450"/>
      <c r="O126" s="450"/>
      <c r="P126" s="450"/>
      <c r="Q126" s="450"/>
      <c r="R126" s="287"/>
      <c r="S126" s="3379"/>
      <c r="T126" s="452"/>
      <c r="U126" s="450"/>
      <c r="V126" s="450"/>
      <c r="W126" s="450"/>
      <c r="X126" s="450"/>
      <c r="Y126" s="451"/>
      <c r="Z126" s="3379"/>
      <c r="AA126" s="452"/>
      <c r="AB126" s="450"/>
      <c r="AC126" s="450"/>
      <c r="AD126" s="450"/>
      <c r="AE126" s="450"/>
      <c r="AF126" s="451"/>
      <c r="AG126" s="3379"/>
      <c r="AH126" s="452"/>
      <c r="AI126" s="450"/>
      <c r="AJ126" s="450"/>
      <c r="AK126" s="450"/>
      <c r="AL126" s="450"/>
      <c r="AM126" s="451"/>
      <c r="AN126" s="3379"/>
      <c r="AO126" s="3384"/>
      <c r="AP126" s="3385"/>
      <c r="AQ126" s="3385"/>
      <c r="AR126" s="3385"/>
      <c r="AS126" s="3385"/>
      <c r="AT126" s="3386"/>
      <c r="AU126" s="1429"/>
    </row>
    <row r="127" spans="1:47" s="45" customFormat="1">
      <c r="A127" s="3332">
        <v>17</v>
      </c>
      <c r="B127" s="3329" t="s">
        <v>710</v>
      </c>
      <c r="C127" s="3331">
        <v>0.02</v>
      </c>
      <c r="D127" s="2899" t="s">
        <v>426</v>
      </c>
      <c r="E127" s="3379"/>
      <c r="F127" s="452"/>
      <c r="G127" s="450"/>
      <c r="H127" s="450"/>
      <c r="I127" s="450"/>
      <c r="J127" s="450"/>
      <c r="K127" s="287"/>
      <c r="L127" s="3379"/>
      <c r="M127" s="452"/>
      <c r="N127" s="450"/>
      <c r="O127" s="450"/>
      <c r="P127" s="450">
        <f>17298.023+194</f>
        <v>17492.023000000001</v>
      </c>
      <c r="Q127" s="450"/>
      <c r="R127" s="287"/>
      <c r="S127" s="3379"/>
      <c r="T127" s="452"/>
      <c r="U127" s="450"/>
      <c r="V127" s="450"/>
      <c r="W127" s="450"/>
      <c r="X127" s="450"/>
      <c r="Y127" s="451"/>
      <c r="Z127" s="3379"/>
      <c r="AA127" s="452"/>
      <c r="AB127" s="450"/>
      <c r="AC127" s="450"/>
      <c r="AD127" s="450"/>
      <c r="AE127" s="450"/>
      <c r="AF127" s="451"/>
      <c r="AG127" s="3379"/>
      <c r="AH127" s="452"/>
      <c r="AI127" s="450"/>
      <c r="AJ127" s="450"/>
      <c r="AK127" s="450"/>
      <c r="AL127" s="450"/>
      <c r="AM127" s="451"/>
      <c r="AN127" s="3379"/>
      <c r="AO127" s="3384"/>
      <c r="AP127" s="3385"/>
      <c r="AQ127" s="3385"/>
      <c r="AR127" s="3385"/>
      <c r="AS127" s="3385"/>
      <c r="AT127" s="3386"/>
      <c r="AU127" s="1429"/>
    </row>
    <row r="128" spans="1:47" s="45" customFormat="1" ht="24">
      <c r="A128" s="3332">
        <v>18</v>
      </c>
      <c r="B128" s="3329" t="s">
        <v>711</v>
      </c>
      <c r="C128" s="3331">
        <v>0.04</v>
      </c>
      <c r="D128" s="2899" t="s">
        <v>427</v>
      </c>
      <c r="E128" s="3379"/>
      <c r="F128" s="452"/>
      <c r="G128" s="450"/>
      <c r="H128" s="450"/>
      <c r="I128" s="4875">
        <v>590.47500000000002</v>
      </c>
      <c r="J128" s="4875"/>
      <c r="K128" s="4876"/>
      <c r="L128" s="4877"/>
      <c r="M128" s="4878"/>
      <c r="N128" s="4875"/>
      <c r="O128" s="4875"/>
      <c r="P128" s="4875">
        <v>10686</v>
      </c>
      <c r="Q128" s="4875"/>
      <c r="R128" s="4876"/>
      <c r="S128" s="4877"/>
      <c r="T128" s="4878"/>
      <c r="U128" s="4875"/>
      <c r="V128" s="4875"/>
      <c r="W128" s="4875">
        <v>18648.84</v>
      </c>
      <c r="X128" s="450"/>
      <c r="Y128" s="451"/>
      <c r="Z128" s="3379"/>
      <c r="AA128" s="452"/>
      <c r="AB128" s="450"/>
      <c r="AC128" s="450"/>
      <c r="AD128" s="450"/>
      <c r="AE128" s="450"/>
      <c r="AF128" s="451"/>
      <c r="AG128" s="3379"/>
      <c r="AH128" s="452"/>
      <c r="AI128" s="450"/>
      <c r="AJ128" s="450"/>
      <c r="AK128" s="450"/>
      <c r="AL128" s="450"/>
      <c r="AM128" s="451"/>
      <c r="AN128" s="3379"/>
      <c r="AO128" s="3384"/>
      <c r="AP128" s="3385"/>
      <c r="AQ128" s="3385"/>
      <c r="AR128" s="3385"/>
      <c r="AS128" s="3385"/>
      <c r="AT128" s="3386"/>
      <c r="AU128" s="1429"/>
    </row>
    <row r="129" spans="1:47" s="45" customFormat="1">
      <c r="A129" s="3332">
        <v>19</v>
      </c>
      <c r="B129" s="3329" t="s">
        <v>712</v>
      </c>
      <c r="C129" s="3331">
        <v>0.04</v>
      </c>
      <c r="D129" s="2899" t="s">
        <v>428</v>
      </c>
      <c r="E129" s="3379"/>
      <c r="F129" s="452"/>
      <c r="G129" s="450"/>
      <c r="H129" s="450"/>
      <c r="I129" s="4875"/>
      <c r="J129" s="4875"/>
      <c r="K129" s="4876"/>
      <c r="L129" s="4877"/>
      <c r="M129" s="4878"/>
      <c r="N129" s="4875"/>
      <c r="O129" s="4875"/>
      <c r="P129" s="4875"/>
      <c r="Q129" s="4875"/>
      <c r="R129" s="4876"/>
      <c r="S129" s="4877"/>
      <c r="T129" s="4878"/>
      <c r="U129" s="4875"/>
      <c r="V129" s="4875"/>
      <c r="W129" s="4875"/>
      <c r="X129" s="450"/>
      <c r="Y129" s="451"/>
      <c r="Z129" s="3379"/>
      <c r="AA129" s="452"/>
      <c r="AB129" s="450"/>
      <c r="AC129" s="450"/>
      <c r="AD129" s="450"/>
      <c r="AE129" s="450"/>
      <c r="AF129" s="451"/>
      <c r="AG129" s="3379"/>
      <c r="AH129" s="452"/>
      <c r="AI129" s="450"/>
      <c r="AJ129" s="450"/>
      <c r="AK129" s="450"/>
      <c r="AL129" s="450"/>
      <c r="AM129" s="451"/>
      <c r="AN129" s="3379"/>
      <c r="AO129" s="3384"/>
      <c r="AP129" s="3385"/>
      <c r="AQ129" s="3385"/>
      <c r="AR129" s="3385"/>
      <c r="AS129" s="3385"/>
      <c r="AT129" s="3386"/>
      <c r="AU129" s="1429"/>
    </row>
    <row r="130" spans="1:47" s="45" customFormat="1">
      <c r="A130" s="3332">
        <v>20</v>
      </c>
      <c r="B130" s="3329" t="s">
        <v>724</v>
      </c>
      <c r="C130" s="3331">
        <v>0.04</v>
      </c>
      <c r="D130" s="3330" t="s">
        <v>439</v>
      </c>
      <c r="E130" s="3379"/>
      <c r="F130" s="452"/>
      <c r="G130" s="450"/>
      <c r="H130" s="450"/>
      <c r="I130" s="4875"/>
      <c r="J130" s="4875"/>
      <c r="K130" s="4876"/>
      <c r="L130" s="4877"/>
      <c r="M130" s="4878"/>
      <c r="N130" s="4875"/>
      <c r="O130" s="4875"/>
      <c r="P130" s="4875"/>
      <c r="Q130" s="4875"/>
      <c r="R130" s="4876"/>
      <c r="S130" s="4877"/>
      <c r="T130" s="4878"/>
      <c r="U130" s="4875"/>
      <c r="V130" s="4875"/>
      <c r="W130" s="4875"/>
      <c r="X130" s="450"/>
      <c r="Y130" s="451"/>
      <c r="Z130" s="3379"/>
      <c r="AA130" s="452"/>
      <c r="AB130" s="450"/>
      <c r="AC130" s="450"/>
      <c r="AD130" s="450"/>
      <c r="AE130" s="450"/>
      <c r="AF130" s="451"/>
      <c r="AG130" s="3379"/>
      <c r="AH130" s="452"/>
      <c r="AI130" s="450"/>
      <c r="AJ130" s="450"/>
      <c r="AK130" s="450"/>
      <c r="AL130" s="450"/>
      <c r="AM130" s="451"/>
      <c r="AN130" s="3379"/>
      <c r="AO130" s="3384"/>
      <c r="AP130" s="3385"/>
      <c r="AQ130" s="3385"/>
      <c r="AR130" s="3385"/>
      <c r="AS130" s="3385"/>
      <c r="AT130" s="3386"/>
      <c r="AU130" s="1429"/>
    </row>
    <row r="131" spans="1:47" s="45" customFormat="1" ht="24.75" thickBot="1">
      <c r="A131" s="3332">
        <v>21</v>
      </c>
      <c r="B131" s="3329" t="s">
        <v>714</v>
      </c>
      <c r="C131" s="3255">
        <v>0.2</v>
      </c>
      <c r="D131" s="2899" t="s">
        <v>685</v>
      </c>
      <c r="E131" s="3379"/>
      <c r="F131" s="452"/>
      <c r="G131" s="450"/>
      <c r="H131" s="450"/>
      <c r="I131" s="4875">
        <v>341.36799999999999</v>
      </c>
      <c r="J131" s="4875"/>
      <c r="K131" s="4876"/>
      <c r="L131" s="4877"/>
      <c r="M131" s="4878"/>
      <c r="N131" s="4875"/>
      <c r="O131" s="4875"/>
      <c r="P131" s="4875">
        <v>580.00400000000002</v>
      </c>
      <c r="Q131" s="4875"/>
      <c r="R131" s="4876"/>
      <c r="S131" s="4877"/>
      <c r="T131" s="4878"/>
      <c r="U131" s="4875"/>
      <c r="V131" s="4875"/>
      <c r="W131" s="4875"/>
      <c r="X131" s="450"/>
      <c r="Y131" s="451"/>
      <c r="Z131" s="3379"/>
      <c r="AA131" s="452"/>
      <c r="AB131" s="450"/>
      <c r="AC131" s="450"/>
      <c r="AD131" s="450"/>
      <c r="AE131" s="450"/>
      <c r="AF131" s="451"/>
      <c r="AG131" s="3379"/>
      <c r="AH131" s="452"/>
      <c r="AI131" s="450"/>
      <c r="AJ131" s="450"/>
      <c r="AK131" s="450"/>
      <c r="AL131" s="450"/>
      <c r="AM131" s="451"/>
      <c r="AN131" s="3387"/>
      <c r="AO131" s="3388"/>
      <c r="AP131" s="3389"/>
      <c r="AQ131" s="3389"/>
      <c r="AR131" s="3389"/>
      <c r="AS131" s="3389"/>
      <c r="AT131" s="3390"/>
      <c r="AU131" s="1429"/>
    </row>
    <row r="132" spans="1:47" s="45" customFormat="1" ht="30" customHeight="1" thickBot="1">
      <c r="A132" s="3197" t="s">
        <v>471</v>
      </c>
      <c r="B132" s="3198"/>
      <c r="C132" s="3198"/>
      <c r="D132" s="3334" t="s">
        <v>1064</v>
      </c>
      <c r="E132" s="3202">
        <f>SUM(E133:E153)</f>
        <v>0</v>
      </c>
      <c r="F132" s="3199">
        <f>SUM(F133:F153)</f>
        <v>0</v>
      </c>
      <c r="G132" s="3200">
        <f t="shared" ref="G132:AT132" si="130">SUM(G133:G153)</f>
        <v>30</v>
      </c>
      <c r="H132" s="3200">
        <f t="shared" si="130"/>
        <v>130</v>
      </c>
      <c r="I132" s="3200">
        <f t="shared" si="130"/>
        <v>30</v>
      </c>
      <c r="J132" s="3200">
        <f t="shared" si="130"/>
        <v>30</v>
      </c>
      <c r="K132" s="3201">
        <f t="shared" si="130"/>
        <v>0</v>
      </c>
      <c r="L132" s="3202">
        <f t="shared" si="130"/>
        <v>0</v>
      </c>
      <c r="M132" s="3199">
        <f t="shared" si="130"/>
        <v>0</v>
      </c>
      <c r="N132" s="3200">
        <f t="shared" si="130"/>
        <v>0</v>
      </c>
      <c r="O132" s="3200">
        <f t="shared" si="130"/>
        <v>0</v>
      </c>
      <c r="P132" s="3200">
        <f t="shared" si="130"/>
        <v>0</v>
      </c>
      <c r="Q132" s="3200">
        <f t="shared" si="130"/>
        <v>0</v>
      </c>
      <c r="R132" s="3203">
        <f t="shared" si="130"/>
        <v>0</v>
      </c>
      <c r="S132" s="3202">
        <f t="shared" si="130"/>
        <v>0</v>
      </c>
      <c r="T132" s="3199">
        <f t="shared" si="130"/>
        <v>0</v>
      </c>
      <c r="U132" s="3200">
        <f t="shared" si="130"/>
        <v>0</v>
      </c>
      <c r="V132" s="3200">
        <f t="shared" si="130"/>
        <v>40</v>
      </c>
      <c r="W132" s="3200">
        <f t="shared" si="130"/>
        <v>0</v>
      </c>
      <c r="X132" s="3200">
        <f t="shared" si="130"/>
        <v>0</v>
      </c>
      <c r="Y132" s="3203">
        <f t="shared" si="130"/>
        <v>0</v>
      </c>
      <c r="Z132" s="3202">
        <f t="shared" si="130"/>
        <v>0</v>
      </c>
      <c r="AA132" s="3199">
        <f t="shared" si="130"/>
        <v>0</v>
      </c>
      <c r="AB132" s="3200">
        <f t="shared" si="130"/>
        <v>0</v>
      </c>
      <c r="AC132" s="3200">
        <f t="shared" si="130"/>
        <v>0</v>
      </c>
      <c r="AD132" s="3200">
        <f t="shared" si="130"/>
        <v>0</v>
      </c>
      <c r="AE132" s="3200">
        <f t="shared" si="130"/>
        <v>0</v>
      </c>
      <c r="AF132" s="3203">
        <f t="shared" si="130"/>
        <v>0</v>
      </c>
      <c r="AG132" s="3202">
        <f t="shared" si="130"/>
        <v>0</v>
      </c>
      <c r="AH132" s="3199">
        <f t="shared" si="130"/>
        <v>0</v>
      </c>
      <c r="AI132" s="3200">
        <f t="shared" si="130"/>
        <v>0</v>
      </c>
      <c r="AJ132" s="3200">
        <f t="shared" si="130"/>
        <v>0</v>
      </c>
      <c r="AK132" s="3200">
        <f t="shared" si="130"/>
        <v>0</v>
      </c>
      <c r="AL132" s="3200">
        <f t="shared" si="130"/>
        <v>0</v>
      </c>
      <c r="AM132" s="3203">
        <f t="shared" si="130"/>
        <v>0</v>
      </c>
      <c r="AN132" s="3202">
        <f t="shared" si="130"/>
        <v>0</v>
      </c>
      <c r="AO132" s="3199">
        <f t="shared" si="130"/>
        <v>0</v>
      </c>
      <c r="AP132" s="3200">
        <f t="shared" si="130"/>
        <v>0</v>
      </c>
      <c r="AQ132" s="3200">
        <f t="shared" si="130"/>
        <v>0</v>
      </c>
      <c r="AR132" s="3200">
        <f t="shared" si="130"/>
        <v>0</v>
      </c>
      <c r="AS132" s="3200">
        <f t="shared" si="130"/>
        <v>0</v>
      </c>
      <c r="AT132" s="3203">
        <f t="shared" si="130"/>
        <v>0</v>
      </c>
      <c r="AU132" s="1429"/>
    </row>
    <row r="133" spans="1:47" s="45" customFormat="1">
      <c r="A133" s="3326">
        <v>1</v>
      </c>
      <c r="B133" s="3327" t="s">
        <v>703</v>
      </c>
      <c r="C133" s="3328">
        <v>0</v>
      </c>
      <c r="D133" s="2893" t="s">
        <v>564</v>
      </c>
      <c r="E133" s="3379"/>
      <c r="F133" s="452"/>
      <c r="G133" s="450"/>
      <c r="H133" s="450"/>
      <c r="I133" s="450"/>
      <c r="J133" s="450"/>
      <c r="K133" s="287"/>
      <c r="L133" s="3379"/>
      <c r="M133" s="452"/>
      <c r="N133" s="450"/>
      <c r="O133" s="450"/>
      <c r="P133" s="450"/>
      <c r="Q133" s="450"/>
      <c r="R133" s="287"/>
      <c r="S133" s="3379"/>
      <c r="T133" s="452"/>
      <c r="U133" s="450"/>
      <c r="V133" s="450"/>
      <c r="W133" s="450"/>
      <c r="X133" s="450"/>
      <c r="Y133" s="451"/>
      <c r="Z133" s="3379"/>
      <c r="AA133" s="452"/>
      <c r="AB133" s="450"/>
      <c r="AC133" s="450"/>
      <c r="AD133" s="450"/>
      <c r="AE133" s="450"/>
      <c r="AF133" s="451"/>
      <c r="AG133" s="3379"/>
      <c r="AH133" s="452"/>
      <c r="AI133" s="450"/>
      <c r="AJ133" s="450"/>
      <c r="AK133" s="450"/>
      <c r="AL133" s="450"/>
      <c r="AM133" s="451"/>
      <c r="AN133" s="3380"/>
      <c r="AO133" s="3381"/>
      <c r="AP133" s="3382"/>
      <c r="AQ133" s="3382"/>
      <c r="AR133" s="3382"/>
      <c r="AS133" s="3382"/>
      <c r="AT133" s="3383"/>
      <c r="AU133" s="1429"/>
    </row>
    <row r="134" spans="1:47" s="45" customFormat="1">
      <c r="A134" s="3326">
        <v>2</v>
      </c>
      <c r="B134" s="3329" t="s">
        <v>704</v>
      </c>
      <c r="C134" s="3328">
        <v>0.03</v>
      </c>
      <c r="D134" s="3330" t="s">
        <v>431</v>
      </c>
      <c r="E134" s="3379"/>
      <c r="F134" s="452"/>
      <c r="G134" s="450"/>
      <c r="H134" s="450"/>
      <c r="I134" s="450"/>
      <c r="J134" s="450"/>
      <c r="K134" s="287"/>
      <c r="L134" s="3379"/>
      <c r="M134" s="452"/>
      <c r="N134" s="450"/>
      <c r="O134" s="450"/>
      <c r="P134" s="450"/>
      <c r="Q134" s="450"/>
      <c r="R134" s="287"/>
      <c r="S134" s="3379"/>
      <c r="T134" s="452"/>
      <c r="U134" s="450"/>
      <c r="V134" s="450"/>
      <c r="W134" s="450"/>
      <c r="X134" s="450"/>
      <c r="Y134" s="451"/>
      <c r="Z134" s="3379"/>
      <c r="AA134" s="452"/>
      <c r="AB134" s="450"/>
      <c r="AC134" s="450"/>
      <c r="AD134" s="450"/>
      <c r="AE134" s="450"/>
      <c r="AF134" s="451"/>
      <c r="AG134" s="3379"/>
      <c r="AH134" s="452"/>
      <c r="AI134" s="450"/>
      <c r="AJ134" s="450"/>
      <c r="AK134" s="450"/>
      <c r="AL134" s="450"/>
      <c r="AM134" s="451"/>
      <c r="AN134" s="3379"/>
      <c r="AO134" s="3384"/>
      <c r="AP134" s="3385"/>
      <c r="AQ134" s="3385"/>
      <c r="AR134" s="3385"/>
      <c r="AS134" s="3385"/>
      <c r="AT134" s="3386"/>
      <c r="AU134" s="1429"/>
    </row>
    <row r="135" spans="1:47" s="45" customFormat="1">
      <c r="A135" s="3326">
        <v>3</v>
      </c>
      <c r="B135" s="3329">
        <v>911301</v>
      </c>
      <c r="C135" s="3331">
        <v>0.1</v>
      </c>
      <c r="D135" s="3330" t="s">
        <v>432</v>
      </c>
      <c r="E135" s="3379"/>
      <c r="F135" s="452"/>
      <c r="G135" s="450"/>
      <c r="H135" s="450"/>
      <c r="I135" s="450"/>
      <c r="J135" s="450"/>
      <c r="K135" s="287"/>
      <c r="L135" s="3379"/>
      <c r="M135" s="452"/>
      <c r="N135" s="450"/>
      <c r="O135" s="450"/>
      <c r="P135" s="450"/>
      <c r="Q135" s="450"/>
      <c r="R135" s="287"/>
      <c r="S135" s="3379"/>
      <c r="T135" s="452"/>
      <c r="U135" s="450"/>
      <c r="V135" s="450"/>
      <c r="W135" s="450"/>
      <c r="X135" s="450"/>
      <c r="Y135" s="451"/>
      <c r="Z135" s="3379"/>
      <c r="AA135" s="452"/>
      <c r="AB135" s="450"/>
      <c r="AC135" s="450"/>
      <c r="AD135" s="450"/>
      <c r="AE135" s="450"/>
      <c r="AF135" s="451"/>
      <c r="AG135" s="3379"/>
      <c r="AH135" s="452"/>
      <c r="AI135" s="450"/>
      <c r="AJ135" s="450"/>
      <c r="AK135" s="450"/>
      <c r="AL135" s="450"/>
      <c r="AM135" s="451"/>
      <c r="AN135" s="3379"/>
      <c r="AO135" s="3384"/>
      <c r="AP135" s="3385"/>
      <c r="AQ135" s="3385"/>
      <c r="AR135" s="3385"/>
      <c r="AS135" s="3385"/>
      <c r="AT135" s="3386"/>
      <c r="AU135" s="1429"/>
    </row>
    <row r="136" spans="1:47" s="45" customFormat="1">
      <c r="A136" s="3326">
        <v>4</v>
      </c>
      <c r="B136" s="3329">
        <v>911302</v>
      </c>
      <c r="C136" s="3331">
        <v>0.1</v>
      </c>
      <c r="D136" s="3330" t="s">
        <v>433</v>
      </c>
      <c r="E136" s="3379"/>
      <c r="F136" s="452"/>
      <c r="G136" s="450"/>
      <c r="H136" s="450"/>
      <c r="I136" s="450"/>
      <c r="J136" s="450"/>
      <c r="K136" s="287"/>
      <c r="L136" s="3379"/>
      <c r="M136" s="452"/>
      <c r="N136" s="450"/>
      <c r="O136" s="450"/>
      <c r="P136" s="450"/>
      <c r="Q136" s="450"/>
      <c r="R136" s="287"/>
      <c r="S136" s="3379"/>
      <c r="T136" s="452"/>
      <c r="U136" s="450"/>
      <c r="V136" s="450"/>
      <c r="W136" s="450"/>
      <c r="X136" s="450"/>
      <c r="Y136" s="451"/>
      <c r="Z136" s="3379"/>
      <c r="AA136" s="452"/>
      <c r="AB136" s="450"/>
      <c r="AC136" s="450"/>
      <c r="AD136" s="450"/>
      <c r="AE136" s="450"/>
      <c r="AF136" s="451"/>
      <c r="AG136" s="3379"/>
      <c r="AH136" s="452"/>
      <c r="AI136" s="450"/>
      <c r="AJ136" s="450"/>
      <c r="AK136" s="450"/>
      <c r="AL136" s="450"/>
      <c r="AM136" s="451"/>
      <c r="AN136" s="3379"/>
      <c r="AO136" s="3384"/>
      <c r="AP136" s="3385"/>
      <c r="AQ136" s="3385"/>
      <c r="AR136" s="3385"/>
      <c r="AS136" s="3385"/>
      <c r="AT136" s="3386"/>
      <c r="AU136" s="1429"/>
    </row>
    <row r="137" spans="1:47" s="45" customFormat="1">
      <c r="A137" s="3326">
        <v>5</v>
      </c>
      <c r="B137" s="3329" t="s">
        <v>721</v>
      </c>
      <c r="C137" s="3331">
        <v>0.1</v>
      </c>
      <c r="D137" s="2899" t="s">
        <v>412</v>
      </c>
      <c r="E137" s="3379"/>
      <c r="F137" s="452"/>
      <c r="G137" s="450">
        <v>30</v>
      </c>
      <c r="H137" s="450">
        <v>130</v>
      </c>
      <c r="I137" s="450"/>
      <c r="J137" s="450"/>
      <c r="K137" s="287"/>
      <c r="L137" s="3379"/>
      <c r="M137" s="452"/>
      <c r="N137" s="450"/>
      <c r="O137" s="450"/>
      <c r="P137" s="450"/>
      <c r="Q137" s="450"/>
      <c r="R137" s="287"/>
      <c r="S137" s="3379"/>
      <c r="T137" s="452"/>
      <c r="U137" s="450"/>
      <c r="V137" s="450">
        <v>40</v>
      </c>
      <c r="W137" s="450"/>
      <c r="X137" s="450"/>
      <c r="Y137" s="451"/>
      <c r="Z137" s="3379"/>
      <c r="AA137" s="452"/>
      <c r="AB137" s="450"/>
      <c r="AC137" s="450"/>
      <c r="AD137" s="450"/>
      <c r="AE137" s="450"/>
      <c r="AF137" s="451"/>
      <c r="AG137" s="3379"/>
      <c r="AH137" s="452"/>
      <c r="AI137" s="450"/>
      <c r="AJ137" s="450"/>
      <c r="AK137" s="450"/>
      <c r="AL137" s="450"/>
      <c r="AM137" s="451"/>
      <c r="AN137" s="3379"/>
      <c r="AO137" s="3384"/>
      <c r="AP137" s="3385"/>
      <c r="AQ137" s="3385"/>
      <c r="AR137" s="3385"/>
      <c r="AS137" s="3385"/>
      <c r="AT137" s="3386"/>
      <c r="AU137" s="1429"/>
    </row>
    <row r="138" spans="1:47" s="45" customFormat="1">
      <c r="A138" s="3326">
        <v>6</v>
      </c>
      <c r="B138" s="3329" t="s">
        <v>722</v>
      </c>
      <c r="C138" s="3331">
        <v>0.1</v>
      </c>
      <c r="D138" s="2899" t="s">
        <v>413</v>
      </c>
      <c r="E138" s="3379"/>
      <c r="F138" s="452"/>
      <c r="G138" s="450"/>
      <c r="H138" s="450"/>
      <c r="I138" s="450">
        <v>20</v>
      </c>
      <c r="J138" s="450">
        <v>20</v>
      </c>
      <c r="K138" s="287"/>
      <c r="L138" s="3379"/>
      <c r="M138" s="452"/>
      <c r="N138" s="450"/>
      <c r="O138" s="450"/>
      <c r="P138" s="450"/>
      <c r="Q138" s="450"/>
      <c r="R138" s="287"/>
      <c r="S138" s="3379"/>
      <c r="T138" s="452"/>
      <c r="U138" s="450"/>
      <c r="V138" s="450"/>
      <c r="W138" s="450"/>
      <c r="X138" s="450"/>
      <c r="Y138" s="451"/>
      <c r="Z138" s="3379"/>
      <c r="AA138" s="452"/>
      <c r="AB138" s="450"/>
      <c r="AC138" s="450"/>
      <c r="AD138" s="450"/>
      <c r="AE138" s="450"/>
      <c r="AF138" s="451"/>
      <c r="AG138" s="3379"/>
      <c r="AH138" s="452"/>
      <c r="AI138" s="450"/>
      <c r="AJ138" s="450"/>
      <c r="AK138" s="450"/>
      <c r="AL138" s="450"/>
      <c r="AM138" s="451"/>
      <c r="AN138" s="3379"/>
      <c r="AO138" s="3384"/>
      <c r="AP138" s="3385"/>
      <c r="AQ138" s="3385"/>
      <c r="AR138" s="3385"/>
      <c r="AS138" s="3385"/>
      <c r="AT138" s="3386"/>
      <c r="AU138" s="1429"/>
    </row>
    <row r="139" spans="1:47" s="45" customFormat="1" ht="24">
      <c r="A139" s="3326">
        <v>7</v>
      </c>
      <c r="B139" s="3329" t="s">
        <v>713</v>
      </c>
      <c r="C139" s="3331">
        <v>0.1</v>
      </c>
      <c r="D139" s="2899" t="s">
        <v>702</v>
      </c>
      <c r="E139" s="3379"/>
      <c r="F139" s="452"/>
      <c r="G139" s="450"/>
      <c r="H139" s="450"/>
      <c r="I139" s="450">
        <v>10</v>
      </c>
      <c r="J139" s="450">
        <v>10</v>
      </c>
      <c r="K139" s="287"/>
      <c r="L139" s="3379"/>
      <c r="M139" s="452"/>
      <c r="N139" s="450"/>
      <c r="O139" s="450"/>
      <c r="P139" s="450"/>
      <c r="Q139" s="450"/>
      <c r="R139" s="287"/>
      <c r="S139" s="3379"/>
      <c r="T139" s="452"/>
      <c r="U139" s="450"/>
      <c r="V139" s="450"/>
      <c r="W139" s="450"/>
      <c r="X139" s="450"/>
      <c r="Y139" s="451"/>
      <c r="Z139" s="3379"/>
      <c r="AA139" s="452"/>
      <c r="AB139" s="450"/>
      <c r="AC139" s="450"/>
      <c r="AD139" s="450"/>
      <c r="AE139" s="450"/>
      <c r="AF139" s="451"/>
      <c r="AG139" s="3379"/>
      <c r="AH139" s="452"/>
      <c r="AI139" s="450"/>
      <c r="AJ139" s="450"/>
      <c r="AK139" s="450"/>
      <c r="AL139" s="450"/>
      <c r="AM139" s="451"/>
      <c r="AN139" s="3379"/>
      <c r="AO139" s="3384"/>
      <c r="AP139" s="3385"/>
      <c r="AQ139" s="3385"/>
      <c r="AR139" s="3385"/>
      <c r="AS139" s="3385"/>
      <c r="AT139" s="3386"/>
      <c r="AU139" s="1429"/>
    </row>
    <row r="140" spans="1:47" s="45" customFormat="1">
      <c r="A140" s="3326">
        <v>8</v>
      </c>
      <c r="B140" s="3329" t="s">
        <v>723</v>
      </c>
      <c r="C140" s="3331">
        <v>0.1</v>
      </c>
      <c r="D140" s="2899" t="s">
        <v>720</v>
      </c>
      <c r="E140" s="3379"/>
      <c r="F140" s="452"/>
      <c r="G140" s="450"/>
      <c r="H140" s="450"/>
      <c r="I140" s="450"/>
      <c r="J140" s="450"/>
      <c r="K140" s="287"/>
      <c r="L140" s="3379"/>
      <c r="M140" s="452"/>
      <c r="N140" s="450"/>
      <c r="O140" s="450"/>
      <c r="P140" s="450"/>
      <c r="Q140" s="450"/>
      <c r="R140" s="287"/>
      <c r="S140" s="3379"/>
      <c r="T140" s="452"/>
      <c r="U140" s="450"/>
      <c r="V140" s="450"/>
      <c r="W140" s="450"/>
      <c r="X140" s="450"/>
      <c r="Y140" s="451"/>
      <c r="Z140" s="3379"/>
      <c r="AA140" s="452"/>
      <c r="AB140" s="450"/>
      <c r="AC140" s="450"/>
      <c r="AD140" s="450"/>
      <c r="AE140" s="450"/>
      <c r="AF140" s="451"/>
      <c r="AG140" s="3379"/>
      <c r="AH140" s="452"/>
      <c r="AI140" s="450"/>
      <c r="AJ140" s="450"/>
      <c r="AK140" s="450"/>
      <c r="AL140" s="450"/>
      <c r="AM140" s="451"/>
      <c r="AN140" s="3379"/>
      <c r="AO140" s="3384"/>
      <c r="AP140" s="3385"/>
      <c r="AQ140" s="3385"/>
      <c r="AR140" s="3385"/>
      <c r="AS140" s="3385"/>
      <c r="AT140" s="3386"/>
      <c r="AU140" s="1429"/>
    </row>
    <row r="141" spans="1:47" s="45" customFormat="1">
      <c r="A141" s="3332">
        <v>9</v>
      </c>
      <c r="B141" s="3329">
        <v>911306</v>
      </c>
      <c r="C141" s="3331">
        <v>0.1</v>
      </c>
      <c r="D141" s="3330" t="s">
        <v>1040</v>
      </c>
      <c r="E141" s="3379"/>
      <c r="F141" s="452"/>
      <c r="G141" s="450"/>
      <c r="H141" s="450"/>
      <c r="I141" s="450"/>
      <c r="J141" s="450"/>
      <c r="K141" s="287"/>
      <c r="L141" s="3379"/>
      <c r="M141" s="452"/>
      <c r="N141" s="450"/>
      <c r="O141" s="450"/>
      <c r="P141" s="450"/>
      <c r="Q141" s="450"/>
      <c r="R141" s="287"/>
      <c r="S141" s="3379"/>
      <c r="T141" s="452"/>
      <c r="U141" s="450"/>
      <c r="V141" s="450"/>
      <c r="W141" s="450"/>
      <c r="X141" s="450"/>
      <c r="Y141" s="451"/>
      <c r="Z141" s="3379"/>
      <c r="AA141" s="452"/>
      <c r="AB141" s="450"/>
      <c r="AC141" s="450"/>
      <c r="AD141" s="450"/>
      <c r="AE141" s="450"/>
      <c r="AF141" s="451"/>
      <c r="AG141" s="3379"/>
      <c r="AH141" s="452"/>
      <c r="AI141" s="450"/>
      <c r="AJ141" s="450"/>
      <c r="AK141" s="450"/>
      <c r="AL141" s="450"/>
      <c r="AM141" s="451"/>
      <c r="AN141" s="3379"/>
      <c r="AO141" s="3384"/>
      <c r="AP141" s="3385"/>
      <c r="AQ141" s="3385"/>
      <c r="AR141" s="3385"/>
      <c r="AS141" s="3385"/>
      <c r="AT141" s="3386"/>
      <c r="AU141" s="1429"/>
    </row>
    <row r="142" spans="1:47" s="45" customFormat="1">
      <c r="A142" s="3332">
        <v>10</v>
      </c>
      <c r="B142" s="3329">
        <v>91140101</v>
      </c>
      <c r="C142" s="3333">
        <v>0.1</v>
      </c>
      <c r="D142" s="2893" t="s">
        <v>1024</v>
      </c>
      <c r="E142" s="3379"/>
      <c r="F142" s="452"/>
      <c r="G142" s="450"/>
      <c r="H142" s="450"/>
      <c r="I142" s="450"/>
      <c r="J142" s="450"/>
      <c r="K142" s="287"/>
      <c r="L142" s="3379"/>
      <c r="M142" s="452"/>
      <c r="N142" s="450"/>
      <c r="O142" s="450"/>
      <c r="P142" s="450"/>
      <c r="Q142" s="450"/>
      <c r="R142" s="287"/>
      <c r="S142" s="3379"/>
      <c r="T142" s="452"/>
      <c r="U142" s="450"/>
      <c r="V142" s="450"/>
      <c r="W142" s="450"/>
      <c r="X142" s="450"/>
      <c r="Y142" s="451"/>
      <c r="Z142" s="3379"/>
      <c r="AA142" s="452"/>
      <c r="AB142" s="450"/>
      <c r="AC142" s="450"/>
      <c r="AD142" s="450"/>
      <c r="AE142" s="450"/>
      <c r="AF142" s="451"/>
      <c r="AG142" s="3379"/>
      <c r="AH142" s="452"/>
      <c r="AI142" s="450"/>
      <c r="AJ142" s="450"/>
      <c r="AK142" s="450"/>
      <c r="AL142" s="450"/>
      <c r="AM142" s="451"/>
      <c r="AN142" s="3379"/>
      <c r="AO142" s="3384"/>
      <c r="AP142" s="3385"/>
      <c r="AQ142" s="3385"/>
      <c r="AR142" s="3385"/>
      <c r="AS142" s="3385"/>
      <c r="AT142" s="3386"/>
      <c r="AU142" s="1429"/>
    </row>
    <row r="143" spans="1:47" s="45" customFormat="1">
      <c r="A143" s="3332">
        <v>11</v>
      </c>
      <c r="B143" s="3329">
        <v>91140102</v>
      </c>
      <c r="C143" s="3333">
        <v>0.04</v>
      </c>
      <c r="D143" s="2893" t="s">
        <v>437</v>
      </c>
      <c r="E143" s="3379"/>
      <c r="F143" s="452"/>
      <c r="G143" s="450"/>
      <c r="H143" s="450"/>
      <c r="I143" s="450"/>
      <c r="J143" s="450"/>
      <c r="K143" s="287"/>
      <c r="L143" s="3379"/>
      <c r="M143" s="452"/>
      <c r="N143" s="450"/>
      <c r="O143" s="450"/>
      <c r="P143" s="450"/>
      <c r="Q143" s="450"/>
      <c r="R143" s="287"/>
      <c r="S143" s="3379"/>
      <c r="T143" s="452"/>
      <c r="U143" s="450"/>
      <c r="V143" s="450"/>
      <c r="W143" s="450"/>
      <c r="X143" s="450"/>
      <c r="Y143" s="451"/>
      <c r="Z143" s="3379"/>
      <c r="AA143" s="452"/>
      <c r="AB143" s="450"/>
      <c r="AC143" s="450"/>
      <c r="AD143" s="450"/>
      <c r="AE143" s="450"/>
      <c r="AF143" s="451"/>
      <c r="AG143" s="3379"/>
      <c r="AH143" s="452"/>
      <c r="AI143" s="450"/>
      <c r="AJ143" s="450"/>
      <c r="AK143" s="450"/>
      <c r="AL143" s="450"/>
      <c r="AM143" s="451"/>
      <c r="AN143" s="3379"/>
      <c r="AO143" s="3384"/>
      <c r="AP143" s="3385"/>
      <c r="AQ143" s="3385"/>
      <c r="AR143" s="3385"/>
      <c r="AS143" s="3385"/>
      <c r="AT143" s="3386"/>
      <c r="AU143" s="1429"/>
    </row>
    <row r="144" spans="1:47" s="45" customFormat="1">
      <c r="A144" s="3332">
        <v>12</v>
      </c>
      <c r="B144" s="3329" t="s">
        <v>705</v>
      </c>
      <c r="C144" s="3331">
        <v>0.02</v>
      </c>
      <c r="D144" s="2894" t="s">
        <v>746</v>
      </c>
      <c r="E144" s="3379"/>
      <c r="F144" s="452"/>
      <c r="G144" s="450"/>
      <c r="H144" s="450"/>
      <c r="I144" s="450"/>
      <c r="J144" s="450"/>
      <c r="K144" s="287"/>
      <c r="L144" s="3379"/>
      <c r="M144" s="452"/>
      <c r="N144" s="450"/>
      <c r="O144" s="450"/>
      <c r="P144" s="450"/>
      <c r="Q144" s="450"/>
      <c r="R144" s="287"/>
      <c r="S144" s="3379"/>
      <c r="T144" s="452"/>
      <c r="U144" s="450"/>
      <c r="V144" s="450"/>
      <c r="W144" s="450"/>
      <c r="X144" s="450"/>
      <c r="Y144" s="451"/>
      <c r="Z144" s="3379"/>
      <c r="AA144" s="452"/>
      <c r="AB144" s="450"/>
      <c r="AC144" s="450"/>
      <c r="AD144" s="450"/>
      <c r="AE144" s="450"/>
      <c r="AF144" s="451"/>
      <c r="AG144" s="3379"/>
      <c r="AH144" s="452"/>
      <c r="AI144" s="450"/>
      <c r="AJ144" s="450"/>
      <c r="AK144" s="450"/>
      <c r="AL144" s="450"/>
      <c r="AM144" s="451"/>
      <c r="AN144" s="3379"/>
      <c r="AO144" s="3384"/>
      <c r="AP144" s="3385"/>
      <c r="AQ144" s="3385"/>
      <c r="AR144" s="3385"/>
      <c r="AS144" s="3385"/>
      <c r="AT144" s="3386"/>
      <c r="AU144" s="1429"/>
    </row>
    <row r="145" spans="1:47" s="45" customFormat="1">
      <c r="A145" s="3332">
        <v>13</v>
      </c>
      <c r="B145" s="3329" t="s">
        <v>706</v>
      </c>
      <c r="C145" s="3331">
        <v>0.02</v>
      </c>
      <c r="D145" s="2894" t="s">
        <v>747</v>
      </c>
      <c r="E145" s="3379"/>
      <c r="F145" s="452"/>
      <c r="G145" s="450"/>
      <c r="H145" s="450"/>
      <c r="I145" s="450"/>
      <c r="J145" s="450"/>
      <c r="K145" s="287"/>
      <c r="L145" s="3379"/>
      <c r="M145" s="452"/>
      <c r="N145" s="450"/>
      <c r="O145" s="450"/>
      <c r="P145" s="450"/>
      <c r="Q145" s="450"/>
      <c r="R145" s="287"/>
      <c r="S145" s="3379"/>
      <c r="T145" s="452"/>
      <c r="U145" s="450"/>
      <c r="V145" s="450"/>
      <c r="W145" s="450"/>
      <c r="X145" s="450"/>
      <c r="Y145" s="451"/>
      <c r="Z145" s="3379"/>
      <c r="AA145" s="452"/>
      <c r="AB145" s="450"/>
      <c r="AC145" s="450"/>
      <c r="AD145" s="450"/>
      <c r="AE145" s="450"/>
      <c r="AF145" s="451"/>
      <c r="AG145" s="3379"/>
      <c r="AH145" s="452"/>
      <c r="AI145" s="450"/>
      <c r="AJ145" s="450"/>
      <c r="AK145" s="450"/>
      <c r="AL145" s="450"/>
      <c r="AM145" s="451"/>
      <c r="AN145" s="3379"/>
      <c r="AO145" s="3384"/>
      <c r="AP145" s="3385"/>
      <c r="AQ145" s="3385"/>
      <c r="AR145" s="3385"/>
      <c r="AS145" s="3385"/>
      <c r="AT145" s="3386"/>
      <c r="AU145" s="1429"/>
    </row>
    <row r="146" spans="1:47" s="45" customFormat="1">
      <c r="A146" s="3332">
        <v>14</v>
      </c>
      <c r="B146" s="3329" t="s">
        <v>707</v>
      </c>
      <c r="C146" s="3331">
        <v>0.02</v>
      </c>
      <c r="D146" s="2894" t="s">
        <v>423</v>
      </c>
      <c r="E146" s="3379"/>
      <c r="F146" s="452"/>
      <c r="G146" s="450"/>
      <c r="H146" s="450"/>
      <c r="I146" s="450"/>
      <c r="J146" s="450"/>
      <c r="K146" s="287"/>
      <c r="L146" s="3379"/>
      <c r="M146" s="452"/>
      <c r="N146" s="450"/>
      <c r="O146" s="450"/>
      <c r="P146" s="450"/>
      <c r="Q146" s="450"/>
      <c r="R146" s="287"/>
      <c r="S146" s="3379"/>
      <c r="T146" s="452"/>
      <c r="U146" s="450"/>
      <c r="V146" s="450"/>
      <c r="W146" s="450"/>
      <c r="X146" s="450"/>
      <c r="Y146" s="451"/>
      <c r="Z146" s="3379"/>
      <c r="AA146" s="452"/>
      <c r="AB146" s="450"/>
      <c r="AC146" s="450"/>
      <c r="AD146" s="450"/>
      <c r="AE146" s="450"/>
      <c r="AF146" s="451"/>
      <c r="AG146" s="3379"/>
      <c r="AH146" s="452"/>
      <c r="AI146" s="450"/>
      <c r="AJ146" s="450"/>
      <c r="AK146" s="450"/>
      <c r="AL146" s="450"/>
      <c r="AM146" s="451"/>
      <c r="AN146" s="3379"/>
      <c r="AO146" s="3384"/>
      <c r="AP146" s="3385"/>
      <c r="AQ146" s="3385"/>
      <c r="AR146" s="3385"/>
      <c r="AS146" s="3385"/>
      <c r="AT146" s="3386"/>
      <c r="AU146" s="1429"/>
    </row>
    <row r="147" spans="1:47" s="45" customFormat="1">
      <c r="A147" s="3332">
        <v>15</v>
      </c>
      <c r="B147" s="3329" t="s">
        <v>708</v>
      </c>
      <c r="C147" s="3331">
        <v>0.02</v>
      </c>
      <c r="D147" s="2893" t="s">
        <v>424</v>
      </c>
      <c r="E147" s="3379"/>
      <c r="F147" s="452"/>
      <c r="G147" s="450"/>
      <c r="H147" s="450"/>
      <c r="I147" s="450"/>
      <c r="J147" s="450"/>
      <c r="K147" s="287"/>
      <c r="L147" s="3379"/>
      <c r="M147" s="452"/>
      <c r="N147" s="450"/>
      <c r="O147" s="450"/>
      <c r="P147" s="450"/>
      <c r="Q147" s="450"/>
      <c r="R147" s="287"/>
      <c r="S147" s="3379"/>
      <c r="T147" s="452"/>
      <c r="U147" s="450"/>
      <c r="V147" s="450"/>
      <c r="W147" s="450"/>
      <c r="X147" s="450"/>
      <c r="Y147" s="451"/>
      <c r="Z147" s="3379"/>
      <c r="AA147" s="452"/>
      <c r="AB147" s="450"/>
      <c r="AC147" s="450"/>
      <c r="AD147" s="450"/>
      <c r="AE147" s="450"/>
      <c r="AF147" s="451"/>
      <c r="AG147" s="3379"/>
      <c r="AH147" s="452"/>
      <c r="AI147" s="450"/>
      <c r="AJ147" s="450"/>
      <c r="AK147" s="450"/>
      <c r="AL147" s="450"/>
      <c r="AM147" s="451"/>
      <c r="AN147" s="3379"/>
      <c r="AO147" s="3384"/>
      <c r="AP147" s="3385"/>
      <c r="AQ147" s="3385"/>
      <c r="AR147" s="3385"/>
      <c r="AS147" s="3385"/>
      <c r="AT147" s="3386"/>
      <c r="AU147" s="1429"/>
    </row>
    <row r="148" spans="1:47" s="45" customFormat="1">
      <c r="A148" s="3332">
        <v>16</v>
      </c>
      <c r="B148" s="3329" t="s">
        <v>709</v>
      </c>
      <c r="C148" s="3331">
        <v>0.02</v>
      </c>
      <c r="D148" s="2894" t="s">
        <v>425</v>
      </c>
      <c r="E148" s="3379"/>
      <c r="F148" s="452"/>
      <c r="G148" s="450"/>
      <c r="H148" s="450"/>
      <c r="I148" s="450"/>
      <c r="J148" s="450"/>
      <c r="K148" s="287"/>
      <c r="L148" s="3379"/>
      <c r="M148" s="452"/>
      <c r="N148" s="450"/>
      <c r="O148" s="450"/>
      <c r="P148" s="450"/>
      <c r="Q148" s="450"/>
      <c r="R148" s="287"/>
      <c r="S148" s="3379"/>
      <c r="T148" s="452"/>
      <c r="U148" s="450"/>
      <c r="V148" s="450"/>
      <c r="W148" s="450"/>
      <c r="X148" s="450"/>
      <c r="Y148" s="451"/>
      <c r="Z148" s="3379"/>
      <c r="AA148" s="452"/>
      <c r="AB148" s="450"/>
      <c r="AC148" s="450"/>
      <c r="AD148" s="450"/>
      <c r="AE148" s="450"/>
      <c r="AF148" s="451"/>
      <c r="AG148" s="3379"/>
      <c r="AH148" s="452"/>
      <c r="AI148" s="450"/>
      <c r="AJ148" s="450"/>
      <c r="AK148" s="450"/>
      <c r="AL148" s="450"/>
      <c r="AM148" s="451"/>
      <c r="AN148" s="3379"/>
      <c r="AO148" s="3384"/>
      <c r="AP148" s="3385"/>
      <c r="AQ148" s="3385"/>
      <c r="AR148" s="3385"/>
      <c r="AS148" s="3385"/>
      <c r="AT148" s="3386"/>
      <c r="AU148" s="1429"/>
    </row>
    <row r="149" spans="1:47" s="45" customFormat="1">
      <c r="A149" s="3332">
        <v>17</v>
      </c>
      <c r="B149" s="3329" t="s">
        <v>710</v>
      </c>
      <c r="C149" s="3331">
        <v>0.02</v>
      </c>
      <c r="D149" s="2899" t="s">
        <v>426</v>
      </c>
      <c r="E149" s="3379"/>
      <c r="F149" s="452"/>
      <c r="G149" s="450"/>
      <c r="H149" s="450"/>
      <c r="I149" s="450"/>
      <c r="J149" s="450"/>
      <c r="K149" s="287"/>
      <c r="L149" s="3379"/>
      <c r="M149" s="452"/>
      <c r="N149" s="450"/>
      <c r="O149" s="450"/>
      <c r="P149" s="450"/>
      <c r="Q149" s="450"/>
      <c r="R149" s="287"/>
      <c r="S149" s="3379"/>
      <c r="T149" s="452"/>
      <c r="U149" s="450"/>
      <c r="V149" s="450"/>
      <c r="W149" s="450"/>
      <c r="X149" s="450"/>
      <c r="Y149" s="451"/>
      <c r="Z149" s="3379"/>
      <c r="AA149" s="452"/>
      <c r="AB149" s="450"/>
      <c r="AC149" s="450"/>
      <c r="AD149" s="450"/>
      <c r="AE149" s="450"/>
      <c r="AF149" s="451"/>
      <c r="AG149" s="3379"/>
      <c r="AH149" s="452"/>
      <c r="AI149" s="450"/>
      <c r="AJ149" s="450"/>
      <c r="AK149" s="450"/>
      <c r="AL149" s="450"/>
      <c r="AM149" s="451"/>
      <c r="AN149" s="3379"/>
      <c r="AO149" s="3384"/>
      <c r="AP149" s="3385"/>
      <c r="AQ149" s="3385"/>
      <c r="AR149" s="3385"/>
      <c r="AS149" s="3385"/>
      <c r="AT149" s="3386"/>
      <c r="AU149" s="1429"/>
    </row>
    <row r="150" spans="1:47" s="45" customFormat="1" ht="24">
      <c r="A150" s="3332">
        <v>18</v>
      </c>
      <c r="B150" s="3329" t="s">
        <v>711</v>
      </c>
      <c r="C150" s="3331">
        <v>0.04</v>
      </c>
      <c r="D150" s="2899" t="s">
        <v>427</v>
      </c>
      <c r="E150" s="3379"/>
      <c r="F150" s="452"/>
      <c r="G150" s="450"/>
      <c r="H150" s="450"/>
      <c r="I150" s="450"/>
      <c r="J150" s="450"/>
      <c r="K150" s="287"/>
      <c r="L150" s="3379"/>
      <c r="M150" s="452"/>
      <c r="N150" s="450"/>
      <c r="O150" s="450"/>
      <c r="P150" s="450"/>
      <c r="Q150" s="450"/>
      <c r="R150" s="287"/>
      <c r="S150" s="3379"/>
      <c r="T150" s="452"/>
      <c r="U150" s="450"/>
      <c r="V150" s="450"/>
      <c r="W150" s="450"/>
      <c r="X150" s="450"/>
      <c r="Y150" s="451"/>
      <c r="Z150" s="3379"/>
      <c r="AA150" s="452"/>
      <c r="AB150" s="450"/>
      <c r="AC150" s="450"/>
      <c r="AD150" s="450"/>
      <c r="AE150" s="450"/>
      <c r="AF150" s="451"/>
      <c r="AG150" s="3379"/>
      <c r="AH150" s="452"/>
      <c r="AI150" s="450"/>
      <c r="AJ150" s="450"/>
      <c r="AK150" s="450"/>
      <c r="AL150" s="450"/>
      <c r="AM150" s="451"/>
      <c r="AN150" s="3379"/>
      <c r="AO150" s="3384"/>
      <c r="AP150" s="3385"/>
      <c r="AQ150" s="3385"/>
      <c r="AR150" s="3385"/>
      <c r="AS150" s="3385"/>
      <c r="AT150" s="3386"/>
      <c r="AU150" s="1429"/>
    </row>
    <row r="151" spans="1:47" s="45" customFormat="1">
      <c r="A151" s="3332">
        <v>19</v>
      </c>
      <c r="B151" s="3329" t="s">
        <v>712</v>
      </c>
      <c r="C151" s="3331">
        <v>0.04</v>
      </c>
      <c r="D151" s="2899" t="s">
        <v>428</v>
      </c>
      <c r="E151" s="3379"/>
      <c r="F151" s="452"/>
      <c r="G151" s="450"/>
      <c r="H151" s="450"/>
      <c r="I151" s="450"/>
      <c r="J151" s="450"/>
      <c r="K151" s="287"/>
      <c r="L151" s="3379"/>
      <c r="M151" s="452"/>
      <c r="N151" s="450"/>
      <c r="O151" s="450"/>
      <c r="P151" s="450"/>
      <c r="Q151" s="450"/>
      <c r="R151" s="287"/>
      <c r="S151" s="3379"/>
      <c r="T151" s="452"/>
      <c r="U151" s="450"/>
      <c r="V151" s="450"/>
      <c r="W151" s="450"/>
      <c r="X151" s="450"/>
      <c r="Y151" s="451"/>
      <c r="Z151" s="3379"/>
      <c r="AA151" s="452"/>
      <c r="AB151" s="450"/>
      <c r="AC151" s="450"/>
      <c r="AD151" s="450"/>
      <c r="AE151" s="450"/>
      <c r="AF151" s="451"/>
      <c r="AG151" s="3379"/>
      <c r="AH151" s="452"/>
      <c r="AI151" s="450"/>
      <c r="AJ151" s="450"/>
      <c r="AK151" s="450"/>
      <c r="AL151" s="450"/>
      <c r="AM151" s="451"/>
      <c r="AN151" s="3379"/>
      <c r="AO151" s="3384"/>
      <c r="AP151" s="3385"/>
      <c r="AQ151" s="3385"/>
      <c r="AR151" s="3385"/>
      <c r="AS151" s="3385"/>
      <c r="AT151" s="3386"/>
      <c r="AU151" s="1429"/>
    </row>
    <row r="152" spans="1:47" s="45" customFormat="1">
      <c r="A152" s="3332">
        <v>20</v>
      </c>
      <c r="B152" s="3329" t="s">
        <v>724</v>
      </c>
      <c r="C152" s="3331">
        <v>0.04</v>
      </c>
      <c r="D152" s="3330" t="s">
        <v>439</v>
      </c>
      <c r="E152" s="3379"/>
      <c r="F152" s="452"/>
      <c r="G152" s="450"/>
      <c r="H152" s="450"/>
      <c r="I152" s="450"/>
      <c r="J152" s="450"/>
      <c r="K152" s="287"/>
      <c r="L152" s="3379"/>
      <c r="M152" s="452"/>
      <c r="N152" s="450"/>
      <c r="O152" s="450"/>
      <c r="P152" s="450"/>
      <c r="Q152" s="450"/>
      <c r="R152" s="287"/>
      <c r="S152" s="3379"/>
      <c r="T152" s="452"/>
      <c r="U152" s="450"/>
      <c r="V152" s="450"/>
      <c r="W152" s="450"/>
      <c r="X152" s="450"/>
      <c r="Y152" s="451"/>
      <c r="Z152" s="3379"/>
      <c r="AA152" s="452"/>
      <c r="AB152" s="450"/>
      <c r="AC152" s="450"/>
      <c r="AD152" s="450"/>
      <c r="AE152" s="450"/>
      <c r="AF152" s="451"/>
      <c r="AG152" s="3379"/>
      <c r="AH152" s="452"/>
      <c r="AI152" s="450"/>
      <c r="AJ152" s="450"/>
      <c r="AK152" s="450"/>
      <c r="AL152" s="450"/>
      <c r="AM152" s="451"/>
      <c r="AN152" s="3379"/>
      <c r="AO152" s="3384"/>
      <c r="AP152" s="3385"/>
      <c r="AQ152" s="3385"/>
      <c r="AR152" s="3385"/>
      <c r="AS152" s="3385"/>
      <c r="AT152" s="3386"/>
      <c r="AU152" s="1429"/>
    </row>
    <row r="153" spans="1:47" s="45" customFormat="1" ht="24.75" thickBot="1">
      <c r="A153" s="3332">
        <v>21</v>
      </c>
      <c r="B153" s="3329" t="s">
        <v>714</v>
      </c>
      <c r="C153" s="3255">
        <v>0.2</v>
      </c>
      <c r="D153" s="2899" t="s">
        <v>685</v>
      </c>
      <c r="E153" s="3379"/>
      <c r="F153" s="452"/>
      <c r="G153" s="450"/>
      <c r="H153" s="450"/>
      <c r="I153" s="450"/>
      <c r="J153" s="450"/>
      <c r="K153" s="287"/>
      <c r="L153" s="3379"/>
      <c r="M153" s="452"/>
      <c r="N153" s="450"/>
      <c r="O153" s="450"/>
      <c r="P153" s="450"/>
      <c r="Q153" s="450"/>
      <c r="R153" s="287"/>
      <c r="S153" s="3379"/>
      <c r="T153" s="452"/>
      <c r="U153" s="450"/>
      <c r="V153" s="450"/>
      <c r="W153" s="450"/>
      <c r="X153" s="450"/>
      <c r="Y153" s="451"/>
      <c r="Z153" s="3379"/>
      <c r="AA153" s="452"/>
      <c r="AB153" s="450"/>
      <c r="AC153" s="450"/>
      <c r="AD153" s="450"/>
      <c r="AE153" s="450"/>
      <c r="AF153" s="451"/>
      <c r="AG153" s="3379"/>
      <c r="AH153" s="452"/>
      <c r="AI153" s="450"/>
      <c r="AJ153" s="450"/>
      <c r="AK153" s="450"/>
      <c r="AL153" s="450"/>
      <c r="AM153" s="451"/>
      <c r="AN153" s="3387"/>
      <c r="AO153" s="3388"/>
      <c r="AP153" s="3389"/>
      <c r="AQ153" s="3389"/>
      <c r="AR153" s="3389"/>
      <c r="AS153" s="3389"/>
      <c r="AT153" s="3390"/>
      <c r="AU153" s="1429"/>
    </row>
    <row r="154" spans="1:47" s="45" customFormat="1" ht="21.75" customHeight="1" thickBot="1">
      <c r="A154" s="3335">
        <v>2</v>
      </c>
      <c r="B154" s="3336"/>
      <c r="C154" s="3336"/>
      <c r="D154" s="3198" t="s">
        <v>223</v>
      </c>
      <c r="E154" s="3202">
        <f>SUM(E155:E175)</f>
        <v>0</v>
      </c>
      <c r="F154" s="3199">
        <f>SUM(F155:F175)</f>
        <v>0</v>
      </c>
      <c r="G154" s="3200">
        <f t="shared" ref="G154:AT154" si="131">SUM(G155:G175)</f>
        <v>-3</v>
      </c>
      <c r="H154" s="3200">
        <f t="shared" si="131"/>
        <v>-16</v>
      </c>
      <c r="I154" s="3200">
        <f t="shared" si="131"/>
        <v>577.57231999999999</v>
      </c>
      <c r="J154" s="3200">
        <f t="shared" si="131"/>
        <v>574.57231999999999</v>
      </c>
      <c r="K154" s="3201">
        <f t="shared" si="131"/>
        <v>574.57231999999999</v>
      </c>
      <c r="L154" s="3202">
        <f t="shared" si="131"/>
        <v>0</v>
      </c>
      <c r="M154" s="3199">
        <f t="shared" si="131"/>
        <v>0</v>
      </c>
      <c r="N154" s="3200">
        <f t="shared" si="131"/>
        <v>0</v>
      </c>
      <c r="O154" s="3200">
        <f t="shared" si="131"/>
        <v>0</v>
      </c>
      <c r="P154" s="3200">
        <f t="shared" si="131"/>
        <v>953.64635999999996</v>
      </c>
      <c r="Q154" s="3200">
        <f t="shared" si="131"/>
        <v>953.64635999999996</v>
      </c>
      <c r="R154" s="3203">
        <f t="shared" si="131"/>
        <v>953.64635999999996</v>
      </c>
      <c r="S154" s="3202">
        <f t="shared" si="131"/>
        <v>0</v>
      </c>
      <c r="T154" s="3199">
        <f t="shared" si="131"/>
        <v>0</v>
      </c>
      <c r="U154" s="3200">
        <f t="shared" si="131"/>
        <v>0</v>
      </c>
      <c r="V154" s="3200">
        <f t="shared" si="131"/>
        <v>-4</v>
      </c>
      <c r="W154" s="3200">
        <f t="shared" si="131"/>
        <v>742.95360000000005</v>
      </c>
      <c r="X154" s="3200">
        <f t="shared" si="131"/>
        <v>742.95360000000005</v>
      </c>
      <c r="Y154" s="3203">
        <f t="shared" si="131"/>
        <v>742.95360000000005</v>
      </c>
      <c r="Z154" s="3202">
        <f t="shared" si="131"/>
        <v>0</v>
      </c>
      <c r="AA154" s="3199">
        <f t="shared" si="131"/>
        <v>0</v>
      </c>
      <c r="AB154" s="3200">
        <f t="shared" si="131"/>
        <v>0</v>
      </c>
      <c r="AC154" s="3200">
        <f t="shared" si="131"/>
        <v>0</v>
      </c>
      <c r="AD154" s="3200">
        <f t="shared" si="131"/>
        <v>0</v>
      </c>
      <c r="AE154" s="3200">
        <f t="shared" si="131"/>
        <v>0</v>
      </c>
      <c r="AF154" s="3203">
        <f t="shared" si="131"/>
        <v>0</v>
      </c>
      <c r="AG154" s="3202">
        <f t="shared" si="131"/>
        <v>0</v>
      </c>
      <c r="AH154" s="3199">
        <f t="shared" si="131"/>
        <v>0</v>
      </c>
      <c r="AI154" s="3200">
        <f t="shared" si="131"/>
        <v>0</v>
      </c>
      <c r="AJ154" s="3200">
        <f t="shared" si="131"/>
        <v>0</v>
      </c>
      <c r="AK154" s="3200">
        <f t="shared" si="131"/>
        <v>0</v>
      </c>
      <c r="AL154" s="3200">
        <f t="shared" si="131"/>
        <v>0</v>
      </c>
      <c r="AM154" s="3203">
        <f t="shared" si="131"/>
        <v>0</v>
      </c>
      <c r="AN154" s="3202">
        <f t="shared" si="131"/>
        <v>0</v>
      </c>
      <c r="AO154" s="3199">
        <f t="shared" si="131"/>
        <v>0</v>
      </c>
      <c r="AP154" s="3200">
        <f t="shared" si="131"/>
        <v>0</v>
      </c>
      <c r="AQ154" s="3200">
        <f t="shared" si="131"/>
        <v>0</v>
      </c>
      <c r="AR154" s="3200">
        <f t="shared" si="131"/>
        <v>0</v>
      </c>
      <c r="AS154" s="3200">
        <f t="shared" si="131"/>
        <v>0</v>
      </c>
      <c r="AT154" s="3203">
        <f t="shared" si="131"/>
        <v>0</v>
      </c>
      <c r="AU154" s="1429"/>
    </row>
    <row r="155" spans="1:47" s="45" customFormat="1">
      <c r="A155" s="3326">
        <v>1</v>
      </c>
      <c r="B155" s="3327" t="s">
        <v>703</v>
      </c>
      <c r="C155" s="3328">
        <v>0</v>
      </c>
      <c r="D155" s="2893" t="s">
        <v>564</v>
      </c>
      <c r="E155" s="3379"/>
      <c r="F155" s="3337">
        <f>(E111*$C111)+(F111*$C111)-(F133*$C111)</f>
        <v>0</v>
      </c>
      <c r="G155" s="3338">
        <f>F155+(G111*$C111)-(G133*$C111)</f>
        <v>0</v>
      </c>
      <c r="H155" s="3338">
        <f t="shared" ref="H155:K155" si="132">G155+(H111*$C111)-(H133*$C111)</f>
        <v>0</v>
      </c>
      <c r="I155" s="3338">
        <f t="shared" si="132"/>
        <v>0</v>
      </c>
      <c r="J155" s="3338">
        <f t="shared" si="132"/>
        <v>0</v>
      </c>
      <c r="K155" s="3339">
        <f t="shared" si="132"/>
        <v>0</v>
      </c>
      <c r="L155" s="3379"/>
      <c r="M155" s="3337">
        <f>(L111*$C111)+(M111*$C111)-(M133*$C111)</f>
        <v>0</v>
      </c>
      <c r="N155" s="3338">
        <f>M155+(N111*$C111)-(N133*$C111)</f>
        <v>0</v>
      </c>
      <c r="O155" s="3338">
        <f t="shared" ref="O155:R155" si="133">N155+(O111*$C111)-(O133*$C111)</f>
        <v>0</v>
      </c>
      <c r="P155" s="3338">
        <f t="shared" si="133"/>
        <v>0</v>
      </c>
      <c r="Q155" s="3338">
        <f t="shared" si="133"/>
        <v>0</v>
      </c>
      <c r="R155" s="3339">
        <f t="shared" si="133"/>
        <v>0</v>
      </c>
      <c r="S155" s="3379"/>
      <c r="T155" s="3337">
        <f>(S111*$C111)+(T111*$C111)-(T133*$C111)</f>
        <v>0</v>
      </c>
      <c r="U155" s="3338">
        <f>T155+(U111*$C111)-(U133*$C111)</f>
        <v>0</v>
      </c>
      <c r="V155" s="3338">
        <f t="shared" ref="V155:Y155" si="134">U155+(V111*$C111)-(V133*$C111)</f>
        <v>0</v>
      </c>
      <c r="W155" s="3338">
        <f t="shared" si="134"/>
        <v>0</v>
      </c>
      <c r="X155" s="3338">
        <f t="shared" si="134"/>
        <v>0</v>
      </c>
      <c r="Y155" s="3339">
        <f t="shared" si="134"/>
        <v>0</v>
      </c>
      <c r="Z155" s="3379"/>
      <c r="AA155" s="3337">
        <f>(Z111*$C111)+(AA111*$C111)-(AA133*$C111)</f>
        <v>0</v>
      </c>
      <c r="AB155" s="3338">
        <f>AA155+(AB111*$C111)-(AB133*$C111)</f>
        <v>0</v>
      </c>
      <c r="AC155" s="3338">
        <f t="shared" ref="AC155:AF170" si="135">AB155+(AC111*$C111)-(AC133*$C111)</f>
        <v>0</v>
      </c>
      <c r="AD155" s="3338">
        <f t="shared" si="135"/>
        <v>0</v>
      </c>
      <c r="AE155" s="3338">
        <f t="shared" si="135"/>
        <v>0</v>
      </c>
      <c r="AF155" s="3339">
        <f t="shared" si="135"/>
        <v>0</v>
      </c>
      <c r="AG155" s="3379"/>
      <c r="AH155" s="3337">
        <f>(AG111*$C111)+(AH111*$C111)-(AH133*$C111)</f>
        <v>0</v>
      </c>
      <c r="AI155" s="3338">
        <f>AH155+(AI111*$C111)-(AI133*$C111)</f>
        <v>0</v>
      </c>
      <c r="AJ155" s="3338">
        <f t="shared" ref="AJ155:AM170" si="136">AI155+(AJ111*$C111)-(AJ133*$C111)</f>
        <v>0</v>
      </c>
      <c r="AK155" s="3338">
        <f t="shared" si="136"/>
        <v>0</v>
      </c>
      <c r="AL155" s="3338">
        <f t="shared" si="136"/>
        <v>0</v>
      </c>
      <c r="AM155" s="3339">
        <f t="shared" si="136"/>
        <v>0</v>
      </c>
      <c r="AN155" s="3380"/>
      <c r="AO155" s="3381"/>
      <c r="AP155" s="3382"/>
      <c r="AQ155" s="3382"/>
      <c r="AR155" s="3382"/>
      <c r="AS155" s="3382"/>
      <c r="AT155" s="3383"/>
      <c r="AU155" s="1429"/>
    </row>
    <row r="156" spans="1:47" s="45" customFormat="1">
      <c r="A156" s="3326">
        <v>2</v>
      </c>
      <c r="B156" s="3329" t="s">
        <v>704</v>
      </c>
      <c r="C156" s="3328">
        <v>0.03</v>
      </c>
      <c r="D156" s="3330" t="s">
        <v>431</v>
      </c>
      <c r="E156" s="3379"/>
      <c r="F156" s="3340">
        <f t="shared" ref="F156:F175" si="137">(E112*$C112)+(F112*$C112)-(F134*$C112)</f>
        <v>0</v>
      </c>
      <c r="G156" s="3275">
        <f t="shared" ref="G156:K171" si="138">F156+(G112*$C112)-(G134*$C112)</f>
        <v>0</v>
      </c>
      <c r="H156" s="3275">
        <f t="shared" si="138"/>
        <v>0</v>
      </c>
      <c r="I156" s="3275">
        <f t="shared" si="138"/>
        <v>0</v>
      </c>
      <c r="J156" s="3275">
        <f t="shared" si="138"/>
        <v>0</v>
      </c>
      <c r="K156" s="3341">
        <f t="shared" si="138"/>
        <v>0</v>
      </c>
      <c r="L156" s="3379"/>
      <c r="M156" s="3340">
        <f t="shared" ref="M156:M175" si="139">(L112*$C112)+(M112*$C112)-(M134*$C112)</f>
        <v>0</v>
      </c>
      <c r="N156" s="3275">
        <f t="shared" ref="N156:R171" si="140">M156+(N112*$C112)-(N134*$C112)</f>
        <v>0</v>
      </c>
      <c r="O156" s="3275">
        <f t="shared" si="140"/>
        <v>0</v>
      </c>
      <c r="P156" s="3275">
        <f t="shared" si="140"/>
        <v>60.365099999999998</v>
      </c>
      <c r="Q156" s="3275">
        <f t="shared" si="140"/>
        <v>60.365099999999998</v>
      </c>
      <c r="R156" s="3341">
        <f t="shared" si="140"/>
        <v>60.365099999999998</v>
      </c>
      <c r="S156" s="3379"/>
      <c r="T156" s="3340">
        <f t="shared" ref="T156:T175" si="141">(S112*$C112)+(T112*$C112)-(T134*$C112)</f>
        <v>0</v>
      </c>
      <c r="U156" s="3275">
        <f t="shared" ref="U156:Y171" si="142">T156+(U112*$C112)-(U134*$C112)</f>
        <v>0</v>
      </c>
      <c r="V156" s="3275">
        <f t="shared" si="142"/>
        <v>0</v>
      </c>
      <c r="W156" s="3275">
        <f t="shared" si="142"/>
        <v>0</v>
      </c>
      <c r="X156" s="3275">
        <f t="shared" si="142"/>
        <v>0</v>
      </c>
      <c r="Y156" s="3341">
        <f t="shared" si="142"/>
        <v>0</v>
      </c>
      <c r="Z156" s="3379"/>
      <c r="AA156" s="3340">
        <f t="shared" ref="AA156:AA175" si="143">(Z112*$C112)+(AA112*$C112)-(AA134*$C112)</f>
        <v>0</v>
      </c>
      <c r="AB156" s="3275">
        <f t="shared" ref="AB156:AF171" si="144">AA156+(AB112*$C112)-(AB134*$C112)</f>
        <v>0</v>
      </c>
      <c r="AC156" s="3275">
        <f t="shared" si="135"/>
        <v>0</v>
      </c>
      <c r="AD156" s="3275">
        <f t="shared" si="135"/>
        <v>0</v>
      </c>
      <c r="AE156" s="3275">
        <f t="shared" si="135"/>
        <v>0</v>
      </c>
      <c r="AF156" s="3341">
        <f t="shared" si="135"/>
        <v>0</v>
      </c>
      <c r="AG156" s="3379"/>
      <c r="AH156" s="3340">
        <f t="shared" ref="AH156:AH175" si="145">(AG112*$C112)+(AH112*$C112)-(AH134*$C112)</f>
        <v>0</v>
      </c>
      <c r="AI156" s="3275">
        <f t="shared" ref="AI156:AM171" si="146">AH156+(AI112*$C112)-(AI134*$C112)</f>
        <v>0</v>
      </c>
      <c r="AJ156" s="3275">
        <f t="shared" si="136"/>
        <v>0</v>
      </c>
      <c r="AK156" s="3275">
        <f t="shared" si="136"/>
        <v>0</v>
      </c>
      <c r="AL156" s="3275">
        <f t="shared" si="136"/>
        <v>0</v>
      </c>
      <c r="AM156" s="3341">
        <f t="shared" si="136"/>
        <v>0</v>
      </c>
      <c r="AN156" s="3379"/>
      <c r="AO156" s="3384"/>
      <c r="AP156" s="3385"/>
      <c r="AQ156" s="3385"/>
      <c r="AR156" s="3385"/>
      <c r="AS156" s="3385"/>
      <c r="AT156" s="3386"/>
      <c r="AU156" s="1429"/>
    </row>
    <row r="157" spans="1:47" s="45" customFormat="1">
      <c r="A157" s="3326">
        <v>3</v>
      </c>
      <c r="B157" s="3329">
        <v>911301</v>
      </c>
      <c r="C157" s="3331">
        <v>0.1</v>
      </c>
      <c r="D157" s="3330" t="s">
        <v>432</v>
      </c>
      <c r="E157" s="4655"/>
      <c r="F157" s="3340">
        <f t="shared" si="137"/>
        <v>0</v>
      </c>
      <c r="G157" s="3275">
        <f t="shared" si="138"/>
        <v>0</v>
      </c>
      <c r="H157" s="3275">
        <f t="shared" si="138"/>
        <v>0</v>
      </c>
      <c r="I157" s="3275">
        <f t="shared" si="138"/>
        <v>0</v>
      </c>
      <c r="J157" s="3275">
        <f t="shared" si="138"/>
        <v>0</v>
      </c>
      <c r="K157" s="3341">
        <f t="shared" si="138"/>
        <v>0</v>
      </c>
      <c r="L157" s="4655"/>
      <c r="M157" s="3340">
        <f t="shared" si="139"/>
        <v>0</v>
      </c>
      <c r="N157" s="3275">
        <f t="shared" si="140"/>
        <v>0</v>
      </c>
      <c r="O157" s="3275">
        <f t="shared" si="140"/>
        <v>0</v>
      </c>
      <c r="P157" s="3275">
        <f t="shared" si="140"/>
        <v>0</v>
      </c>
      <c r="Q157" s="3275">
        <f t="shared" si="140"/>
        <v>0</v>
      </c>
      <c r="R157" s="3341">
        <f t="shared" si="140"/>
        <v>0</v>
      </c>
      <c r="S157" s="4655"/>
      <c r="T157" s="3340">
        <f t="shared" si="141"/>
        <v>0</v>
      </c>
      <c r="U157" s="3275">
        <f t="shared" si="142"/>
        <v>0</v>
      </c>
      <c r="V157" s="3275">
        <f t="shared" si="142"/>
        <v>0</v>
      </c>
      <c r="W157" s="3275">
        <f t="shared" si="142"/>
        <v>0</v>
      </c>
      <c r="X157" s="3275">
        <f t="shared" si="142"/>
        <v>0</v>
      </c>
      <c r="Y157" s="3341">
        <f t="shared" si="142"/>
        <v>0</v>
      </c>
      <c r="Z157" s="4655"/>
      <c r="AA157" s="3340">
        <f t="shared" si="143"/>
        <v>0</v>
      </c>
      <c r="AB157" s="3275">
        <f t="shared" si="144"/>
        <v>0</v>
      </c>
      <c r="AC157" s="3275">
        <f t="shared" si="135"/>
        <v>0</v>
      </c>
      <c r="AD157" s="3275">
        <f t="shared" si="135"/>
        <v>0</v>
      </c>
      <c r="AE157" s="3275">
        <f t="shared" si="135"/>
        <v>0</v>
      </c>
      <c r="AF157" s="3341">
        <f t="shared" si="135"/>
        <v>0</v>
      </c>
      <c r="AG157" s="4655"/>
      <c r="AH157" s="3340">
        <f t="shared" si="145"/>
        <v>0</v>
      </c>
      <c r="AI157" s="3275">
        <f t="shared" si="146"/>
        <v>0</v>
      </c>
      <c r="AJ157" s="3275">
        <f t="shared" si="136"/>
        <v>0</v>
      </c>
      <c r="AK157" s="3275">
        <f t="shared" si="136"/>
        <v>0</v>
      </c>
      <c r="AL157" s="3275">
        <f t="shared" si="136"/>
        <v>0</v>
      </c>
      <c r="AM157" s="3341">
        <f t="shared" si="136"/>
        <v>0</v>
      </c>
      <c r="AN157" s="4655"/>
      <c r="AO157" s="4656"/>
      <c r="AP157" s="4657"/>
      <c r="AQ157" s="4657"/>
      <c r="AR157" s="4657"/>
      <c r="AS157" s="4657"/>
      <c r="AT157" s="4658"/>
      <c r="AU157" s="1429"/>
    </row>
    <row r="158" spans="1:47" s="45" customFormat="1">
      <c r="A158" s="4649">
        <v>4</v>
      </c>
      <c r="B158" s="3327">
        <v>911302</v>
      </c>
      <c r="C158" s="4650">
        <v>0.1</v>
      </c>
      <c r="D158" s="4659" t="s">
        <v>433</v>
      </c>
      <c r="E158" s="4655"/>
      <c r="F158" s="4652">
        <f t="shared" si="137"/>
        <v>0</v>
      </c>
      <c r="G158" s="4653">
        <f t="shared" si="138"/>
        <v>0</v>
      </c>
      <c r="H158" s="4653">
        <f t="shared" si="138"/>
        <v>0</v>
      </c>
      <c r="I158" s="4653">
        <f t="shared" si="138"/>
        <v>0</v>
      </c>
      <c r="J158" s="4653">
        <f t="shared" si="138"/>
        <v>0</v>
      </c>
      <c r="K158" s="4654">
        <f t="shared" si="138"/>
        <v>0</v>
      </c>
      <c r="L158" s="4655"/>
      <c r="M158" s="4652">
        <f t="shared" si="139"/>
        <v>0</v>
      </c>
      <c r="N158" s="4653">
        <f t="shared" si="140"/>
        <v>0</v>
      </c>
      <c r="O158" s="4653">
        <f t="shared" si="140"/>
        <v>0</v>
      </c>
      <c r="P158" s="4653">
        <f t="shared" si="140"/>
        <v>0</v>
      </c>
      <c r="Q158" s="4653">
        <f t="shared" si="140"/>
        <v>0</v>
      </c>
      <c r="R158" s="4654">
        <f t="shared" si="140"/>
        <v>0</v>
      </c>
      <c r="S158" s="4655"/>
      <c r="T158" s="4652">
        <f t="shared" si="141"/>
        <v>0</v>
      </c>
      <c r="U158" s="4653">
        <f t="shared" si="142"/>
        <v>0</v>
      </c>
      <c r="V158" s="4653">
        <f t="shared" si="142"/>
        <v>0</v>
      </c>
      <c r="W158" s="4653">
        <f t="shared" si="142"/>
        <v>0</v>
      </c>
      <c r="X158" s="4653">
        <f t="shared" si="142"/>
        <v>0</v>
      </c>
      <c r="Y158" s="4654">
        <f t="shared" si="142"/>
        <v>0</v>
      </c>
      <c r="Z158" s="4655"/>
      <c r="AA158" s="4652">
        <f t="shared" si="143"/>
        <v>0</v>
      </c>
      <c r="AB158" s="4653">
        <f t="shared" si="144"/>
        <v>0</v>
      </c>
      <c r="AC158" s="4653">
        <f t="shared" si="135"/>
        <v>0</v>
      </c>
      <c r="AD158" s="4653">
        <f t="shared" si="135"/>
        <v>0</v>
      </c>
      <c r="AE158" s="4653">
        <f t="shared" si="135"/>
        <v>0</v>
      </c>
      <c r="AF158" s="4654">
        <f t="shared" si="135"/>
        <v>0</v>
      </c>
      <c r="AG158" s="4655"/>
      <c r="AH158" s="4652">
        <f t="shared" si="145"/>
        <v>0</v>
      </c>
      <c r="AI158" s="4653">
        <f t="shared" si="146"/>
        <v>0</v>
      </c>
      <c r="AJ158" s="4653">
        <f t="shared" si="136"/>
        <v>0</v>
      </c>
      <c r="AK158" s="4653">
        <f t="shared" si="136"/>
        <v>0</v>
      </c>
      <c r="AL158" s="4653">
        <f t="shared" si="136"/>
        <v>0</v>
      </c>
      <c r="AM158" s="4654">
        <f t="shared" si="136"/>
        <v>0</v>
      </c>
      <c r="AN158" s="4655"/>
      <c r="AO158" s="4656"/>
      <c r="AP158" s="4657"/>
      <c r="AQ158" s="4657"/>
      <c r="AR158" s="4657"/>
      <c r="AS158" s="4657"/>
      <c r="AT158" s="4658"/>
      <c r="AU158" s="1429"/>
    </row>
    <row r="159" spans="1:47" s="45" customFormat="1">
      <c r="A159" s="4649">
        <v>5</v>
      </c>
      <c r="B159" s="3327" t="s">
        <v>721</v>
      </c>
      <c r="C159" s="4650">
        <v>0.1</v>
      </c>
      <c r="D159" s="4651" t="s">
        <v>412</v>
      </c>
      <c r="E159" s="3379"/>
      <c r="F159" s="4652">
        <f t="shared" si="137"/>
        <v>0</v>
      </c>
      <c r="G159" s="4653">
        <f t="shared" si="138"/>
        <v>-3</v>
      </c>
      <c r="H159" s="4653">
        <f t="shared" si="138"/>
        <v>-16</v>
      </c>
      <c r="I159" s="4653">
        <f t="shared" si="138"/>
        <v>-16</v>
      </c>
      <c r="J159" s="4653">
        <f t="shared" si="138"/>
        <v>-16</v>
      </c>
      <c r="K159" s="4654">
        <f t="shared" si="138"/>
        <v>-16</v>
      </c>
      <c r="L159" s="3379"/>
      <c r="M159" s="4652">
        <f t="shared" si="139"/>
        <v>0</v>
      </c>
      <c r="N159" s="4653">
        <f t="shared" si="140"/>
        <v>0</v>
      </c>
      <c r="O159" s="4653">
        <f t="shared" si="140"/>
        <v>0</v>
      </c>
      <c r="P159" s="4653">
        <f t="shared" si="140"/>
        <v>0</v>
      </c>
      <c r="Q159" s="4653">
        <f t="shared" si="140"/>
        <v>0</v>
      </c>
      <c r="R159" s="4654">
        <f t="shared" si="140"/>
        <v>0</v>
      </c>
      <c r="S159" s="3379"/>
      <c r="T159" s="4652">
        <f t="shared" si="141"/>
        <v>0</v>
      </c>
      <c r="U159" s="4653">
        <f t="shared" si="142"/>
        <v>0</v>
      </c>
      <c r="V159" s="4653">
        <f t="shared" si="142"/>
        <v>-4</v>
      </c>
      <c r="W159" s="4653">
        <f t="shared" si="142"/>
        <v>-3</v>
      </c>
      <c r="X159" s="4653">
        <f t="shared" si="142"/>
        <v>-3</v>
      </c>
      <c r="Y159" s="4654">
        <f t="shared" si="142"/>
        <v>-3</v>
      </c>
      <c r="Z159" s="3379"/>
      <c r="AA159" s="4652">
        <f t="shared" si="143"/>
        <v>0</v>
      </c>
      <c r="AB159" s="4653">
        <f t="shared" si="144"/>
        <v>0</v>
      </c>
      <c r="AC159" s="4653">
        <f t="shared" si="135"/>
        <v>0</v>
      </c>
      <c r="AD159" s="4653">
        <f t="shared" si="135"/>
        <v>0</v>
      </c>
      <c r="AE159" s="4653">
        <f t="shared" si="135"/>
        <v>0</v>
      </c>
      <c r="AF159" s="4654">
        <f t="shared" si="135"/>
        <v>0</v>
      </c>
      <c r="AG159" s="3379"/>
      <c r="AH159" s="4652">
        <f t="shared" si="145"/>
        <v>0</v>
      </c>
      <c r="AI159" s="4653">
        <f t="shared" si="146"/>
        <v>0</v>
      </c>
      <c r="AJ159" s="4653">
        <f t="shared" si="136"/>
        <v>0</v>
      </c>
      <c r="AK159" s="4653">
        <f t="shared" si="136"/>
        <v>0</v>
      </c>
      <c r="AL159" s="4653">
        <f t="shared" si="136"/>
        <v>0</v>
      </c>
      <c r="AM159" s="4654">
        <f t="shared" si="136"/>
        <v>0</v>
      </c>
      <c r="AN159" s="3379"/>
      <c r="AO159" s="3384"/>
      <c r="AP159" s="3385"/>
      <c r="AQ159" s="3385"/>
      <c r="AR159" s="3385"/>
      <c r="AS159" s="3385"/>
      <c r="AT159" s="3386"/>
      <c r="AU159" s="1429"/>
    </row>
    <row r="160" spans="1:47" s="45" customFormat="1">
      <c r="A160" s="3326">
        <v>6</v>
      </c>
      <c r="B160" s="3329" t="s">
        <v>722</v>
      </c>
      <c r="C160" s="3331">
        <v>0.1</v>
      </c>
      <c r="D160" s="2899" t="s">
        <v>413</v>
      </c>
      <c r="E160" s="3379"/>
      <c r="F160" s="3340">
        <f t="shared" si="137"/>
        <v>0</v>
      </c>
      <c r="G160" s="3275">
        <f t="shared" si="138"/>
        <v>0</v>
      </c>
      <c r="H160" s="3275">
        <f t="shared" si="138"/>
        <v>0</v>
      </c>
      <c r="I160" s="3275">
        <f t="shared" si="138"/>
        <v>-2</v>
      </c>
      <c r="J160" s="3275">
        <f t="shared" si="138"/>
        <v>-4</v>
      </c>
      <c r="K160" s="3341">
        <f t="shared" si="138"/>
        <v>-4</v>
      </c>
      <c r="L160" s="3379"/>
      <c r="M160" s="3340">
        <f t="shared" si="139"/>
        <v>0</v>
      </c>
      <c r="N160" s="3275">
        <f t="shared" si="140"/>
        <v>0</v>
      </c>
      <c r="O160" s="3275">
        <f t="shared" si="140"/>
        <v>0</v>
      </c>
      <c r="P160" s="3275">
        <f t="shared" si="140"/>
        <v>0</v>
      </c>
      <c r="Q160" s="3275">
        <f t="shared" si="140"/>
        <v>0</v>
      </c>
      <c r="R160" s="3341">
        <f t="shared" si="140"/>
        <v>0</v>
      </c>
      <c r="S160" s="3379"/>
      <c r="T160" s="3340">
        <f t="shared" si="141"/>
        <v>0</v>
      </c>
      <c r="U160" s="3275">
        <f t="shared" si="142"/>
        <v>0</v>
      </c>
      <c r="V160" s="3275">
        <f t="shared" si="142"/>
        <v>0</v>
      </c>
      <c r="W160" s="3275">
        <f t="shared" si="142"/>
        <v>0</v>
      </c>
      <c r="X160" s="3275">
        <f t="shared" si="142"/>
        <v>0</v>
      </c>
      <c r="Y160" s="3341">
        <f t="shared" si="142"/>
        <v>0</v>
      </c>
      <c r="Z160" s="3379"/>
      <c r="AA160" s="3340">
        <f t="shared" si="143"/>
        <v>0</v>
      </c>
      <c r="AB160" s="3275">
        <f t="shared" si="144"/>
        <v>0</v>
      </c>
      <c r="AC160" s="3275">
        <f t="shared" si="135"/>
        <v>0</v>
      </c>
      <c r="AD160" s="3275">
        <f t="shared" si="135"/>
        <v>0</v>
      </c>
      <c r="AE160" s="3275">
        <f t="shared" si="135"/>
        <v>0</v>
      </c>
      <c r="AF160" s="3341">
        <f t="shared" si="135"/>
        <v>0</v>
      </c>
      <c r="AG160" s="3379"/>
      <c r="AH160" s="3340">
        <f t="shared" si="145"/>
        <v>0</v>
      </c>
      <c r="AI160" s="3275">
        <f t="shared" si="146"/>
        <v>0</v>
      </c>
      <c r="AJ160" s="3275">
        <f t="shared" si="136"/>
        <v>0</v>
      </c>
      <c r="AK160" s="3275">
        <f t="shared" si="136"/>
        <v>0</v>
      </c>
      <c r="AL160" s="3275">
        <f t="shared" si="136"/>
        <v>0</v>
      </c>
      <c r="AM160" s="3341">
        <f t="shared" si="136"/>
        <v>0</v>
      </c>
      <c r="AN160" s="3379"/>
      <c r="AO160" s="3384"/>
      <c r="AP160" s="3385"/>
      <c r="AQ160" s="3385"/>
      <c r="AR160" s="3385"/>
      <c r="AS160" s="3385"/>
      <c r="AT160" s="3386"/>
      <c r="AU160" s="1429"/>
    </row>
    <row r="161" spans="1:47" s="45" customFormat="1" ht="21.75" customHeight="1">
      <c r="A161" s="3326">
        <v>7</v>
      </c>
      <c r="B161" s="3329" t="s">
        <v>713</v>
      </c>
      <c r="C161" s="3331">
        <v>0.1</v>
      </c>
      <c r="D161" s="2899" t="s">
        <v>702</v>
      </c>
      <c r="E161" s="3379"/>
      <c r="F161" s="3340">
        <f t="shared" si="137"/>
        <v>0</v>
      </c>
      <c r="G161" s="3275">
        <f t="shared" si="138"/>
        <v>0</v>
      </c>
      <c r="H161" s="3275">
        <f t="shared" si="138"/>
        <v>0</v>
      </c>
      <c r="I161" s="3275">
        <f t="shared" si="138"/>
        <v>-1</v>
      </c>
      <c r="J161" s="3275">
        <f t="shared" si="138"/>
        <v>-2</v>
      </c>
      <c r="K161" s="3341">
        <f t="shared" si="138"/>
        <v>-2</v>
      </c>
      <c r="L161" s="3379"/>
      <c r="M161" s="3340">
        <f t="shared" si="139"/>
        <v>0</v>
      </c>
      <c r="N161" s="3275">
        <f t="shared" si="140"/>
        <v>0</v>
      </c>
      <c r="O161" s="3275">
        <f t="shared" si="140"/>
        <v>0</v>
      </c>
      <c r="P161" s="3275">
        <f t="shared" si="140"/>
        <v>0</v>
      </c>
      <c r="Q161" s="3275">
        <f t="shared" si="140"/>
        <v>0</v>
      </c>
      <c r="R161" s="3341">
        <f t="shared" si="140"/>
        <v>0</v>
      </c>
      <c r="S161" s="3379"/>
      <c r="T161" s="3340">
        <f t="shared" si="141"/>
        <v>0</v>
      </c>
      <c r="U161" s="3275">
        <f t="shared" si="142"/>
        <v>0</v>
      </c>
      <c r="V161" s="3275">
        <f t="shared" si="142"/>
        <v>0</v>
      </c>
      <c r="W161" s="3275">
        <f t="shared" si="142"/>
        <v>0</v>
      </c>
      <c r="X161" s="3275">
        <f t="shared" si="142"/>
        <v>0</v>
      </c>
      <c r="Y161" s="3341">
        <f t="shared" si="142"/>
        <v>0</v>
      </c>
      <c r="Z161" s="3379"/>
      <c r="AA161" s="3340">
        <f t="shared" si="143"/>
        <v>0</v>
      </c>
      <c r="AB161" s="3275">
        <f t="shared" si="144"/>
        <v>0</v>
      </c>
      <c r="AC161" s="3275">
        <f t="shared" si="135"/>
        <v>0</v>
      </c>
      <c r="AD161" s="3275">
        <f t="shared" si="135"/>
        <v>0</v>
      </c>
      <c r="AE161" s="3275">
        <f t="shared" si="135"/>
        <v>0</v>
      </c>
      <c r="AF161" s="3341">
        <f t="shared" si="135"/>
        <v>0</v>
      </c>
      <c r="AG161" s="3379"/>
      <c r="AH161" s="3340">
        <f t="shared" si="145"/>
        <v>0</v>
      </c>
      <c r="AI161" s="3275">
        <f t="shared" si="146"/>
        <v>0</v>
      </c>
      <c r="AJ161" s="3275">
        <f t="shared" si="136"/>
        <v>0</v>
      </c>
      <c r="AK161" s="3275">
        <f t="shared" si="136"/>
        <v>0</v>
      </c>
      <c r="AL161" s="3275">
        <f t="shared" si="136"/>
        <v>0</v>
      </c>
      <c r="AM161" s="3341">
        <f t="shared" si="136"/>
        <v>0</v>
      </c>
      <c r="AN161" s="3379"/>
      <c r="AO161" s="3384"/>
      <c r="AP161" s="3385"/>
      <c r="AQ161" s="3385"/>
      <c r="AR161" s="3385"/>
      <c r="AS161" s="3385"/>
      <c r="AT161" s="3386"/>
      <c r="AU161" s="1429"/>
    </row>
    <row r="162" spans="1:47" s="45" customFormat="1">
      <c r="A162" s="3326">
        <v>8</v>
      </c>
      <c r="B162" s="3329" t="s">
        <v>723</v>
      </c>
      <c r="C162" s="3331">
        <v>0.1</v>
      </c>
      <c r="D162" s="2899" t="s">
        <v>720</v>
      </c>
      <c r="E162" s="3379"/>
      <c r="F162" s="3340">
        <f t="shared" si="137"/>
        <v>0</v>
      </c>
      <c r="G162" s="3275">
        <f t="shared" si="138"/>
        <v>0</v>
      </c>
      <c r="H162" s="3275">
        <f t="shared" si="138"/>
        <v>0</v>
      </c>
      <c r="I162" s="3275">
        <f t="shared" si="138"/>
        <v>0</v>
      </c>
      <c r="J162" s="3275">
        <f t="shared" si="138"/>
        <v>0</v>
      </c>
      <c r="K162" s="3341">
        <f t="shared" si="138"/>
        <v>0</v>
      </c>
      <c r="L162" s="3379"/>
      <c r="M162" s="3340">
        <f t="shared" si="139"/>
        <v>0</v>
      </c>
      <c r="N162" s="3275">
        <f t="shared" si="140"/>
        <v>0</v>
      </c>
      <c r="O162" s="3275">
        <f t="shared" si="140"/>
        <v>0</v>
      </c>
      <c r="P162" s="3275">
        <f t="shared" si="140"/>
        <v>0</v>
      </c>
      <c r="Q162" s="3275">
        <f t="shared" si="140"/>
        <v>0</v>
      </c>
      <c r="R162" s="3341">
        <f t="shared" si="140"/>
        <v>0</v>
      </c>
      <c r="S162" s="3379"/>
      <c r="T162" s="3340">
        <f t="shared" si="141"/>
        <v>0</v>
      </c>
      <c r="U162" s="3275">
        <f t="shared" si="142"/>
        <v>0</v>
      </c>
      <c r="V162" s="3275">
        <f t="shared" si="142"/>
        <v>0</v>
      </c>
      <c r="W162" s="3275">
        <f t="shared" si="142"/>
        <v>0</v>
      </c>
      <c r="X162" s="3275">
        <f t="shared" si="142"/>
        <v>0</v>
      </c>
      <c r="Y162" s="3341">
        <f t="shared" si="142"/>
        <v>0</v>
      </c>
      <c r="Z162" s="3379"/>
      <c r="AA162" s="3340">
        <f t="shared" si="143"/>
        <v>0</v>
      </c>
      <c r="AB162" s="3275">
        <f t="shared" si="144"/>
        <v>0</v>
      </c>
      <c r="AC162" s="3275">
        <f t="shared" si="135"/>
        <v>0</v>
      </c>
      <c r="AD162" s="3275">
        <f t="shared" si="135"/>
        <v>0</v>
      </c>
      <c r="AE162" s="3275">
        <f t="shared" si="135"/>
        <v>0</v>
      </c>
      <c r="AF162" s="3341">
        <f t="shared" si="135"/>
        <v>0</v>
      </c>
      <c r="AG162" s="3379"/>
      <c r="AH162" s="3340">
        <f t="shared" si="145"/>
        <v>0</v>
      </c>
      <c r="AI162" s="3275">
        <f t="shared" si="146"/>
        <v>0</v>
      </c>
      <c r="AJ162" s="3275">
        <f t="shared" si="136"/>
        <v>0</v>
      </c>
      <c r="AK162" s="3275">
        <f t="shared" si="136"/>
        <v>0</v>
      </c>
      <c r="AL162" s="3275">
        <f t="shared" si="136"/>
        <v>0</v>
      </c>
      <c r="AM162" s="3341">
        <f t="shared" si="136"/>
        <v>0</v>
      </c>
      <c r="AN162" s="3379"/>
      <c r="AO162" s="3384"/>
      <c r="AP162" s="3385"/>
      <c r="AQ162" s="3385"/>
      <c r="AR162" s="3385"/>
      <c r="AS162" s="3385"/>
      <c r="AT162" s="3386"/>
      <c r="AU162" s="1429"/>
    </row>
    <row r="163" spans="1:47" s="45" customFormat="1">
      <c r="A163" s="3332">
        <v>9</v>
      </c>
      <c r="B163" s="3329">
        <v>911306</v>
      </c>
      <c r="C163" s="3331">
        <v>0.1</v>
      </c>
      <c r="D163" s="3330" t="s">
        <v>1040</v>
      </c>
      <c r="E163" s="3379"/>
      <c r="F163" s="3340">
        <f t="shared" si="137"/>
        <v>0</v>
      </c>
      <c r="G163" s="3275">
        <f t="shared" si="138"/>
        <v>0</v>
      </c>
      <c r="H163" s="3275">
        <f t="shared" si="138"/>
        <v>0</v>
      </c>
      <c r="I163" s="3275">
        <f t="shared" si="138"/>
        <v>0</v>
      </c>
      <c r="J163" s="3275">
        <f t="shared" si="138"/>
        <v>0</v>
      </c>
      <c r="K163" s="3341">
        <f t="shared" si="138"/>
        <v>0</v>
      </c>
      <c r="L163" s="3379"/>
      <c r="M163" s="3340">
        <f t="shared" si="139"/>
        <v>0</v>
      </c>
      <c r="N163" s="3275">
        <f t="shared" si="140"/>
        <v>0</v>
      </c>
      <c r="O163" s="3275">
        <f t="shared" si="140"/>
        <v>0</v>
      </c>
      <c r="P163" s="3275">
        <f t="shared" si="140"/>
        <v>0</v>
      </c>
      <c r="Q163" s="3275">
        <f t="shared" si="140"/>
        <v>0</v>
      </c>
      <c r="R163" s="3341">
        <f t="shared" si="140"/>
        <v>0</v>
      </c>
      <c r="S163" s="3379"/>
      <c r="T163" s="3340">
        <f t="shared" si="141"/>
        <v>0</v>
      </c>
      <c r="U163" s="3275">
        <f t="shared" si="142"/>
        <v>0</v>
      </c>
      <c r="V163" s="3275">
        <f t="shared" si="142"/>
        <v>0</v>
      </c>
      <c r="W163" s="3275">
        <f t="shared" si="142"/>
        <v>0</v>
      </c>
      <c r="X163" s="3275">
        <f t="shared" si="142"/>
        <v>0</v>
      </c>
      <c r="Y163" s="3341">
        <f t="shared" si="142"/>
        <v>0</v>
      </c>
      <c r="Z163" s="3379"/>
      <c r="AA163" s="3340">
        <f t="shared" si="143"/>
        <v>0</v>
      </c>
      <c r="AB163" s="3275">
        <f t="shared" si="144"/>
        <v>0</v>
      </c>
      <c r="AC163" s="3275">
        <f t="shared" si="135"/>
        <v>0</v>
      </c>
      <c r="AD163" s="3275">
        <f t="shared" si="135"/>
        <v>0</v>
      </c>
      <c r="AE163" s="3275">
        <f t="shared" si="135"/>
        <v>0</v>
      </c>
      <c r="AF163" s="3341">
        <f t="shared" si="135"/>
        <v>0</v>
      </c>
      <c r="AG163" s="3379"/>
      <c r="AH163" s="3340">
        <f t="shared" si="145"/>
        <v>0</v>
      </c>
      <c r="AI163" s="3275">
        <f t="shared" si="146"/>
        <v>0</v>
      </c>
      <c r="AJ163" s="3275">
        <f t="shared" si="136"/>
        <v>0</v>
      </c>
      <c r="AK163" s="3275">
        <f t="shared" si="136"/>
        <v>0</v>
      </c>
      <c r="AL163" s="3275">
        <f t="shared" si="136"/>
        <v>0</v>
      </c>
      <c r="AM163" s="3341">
        <f t="shared" si="136"/>
        <v>0</v>
      </c>
      <c r="AN163" s="3379"/>
      <c r="AO163" s="3384"/>
      <c r="AP163" s="3385"/>
      <c r="AQ163" s="3385"/>
      <c r="AR163" s="3385"/>
      <c r="AS163" s="3385"/>
      <c r="AT163" s="3386"/>
      <c r="AU163" s="1429"/>
    </row>
    <row r="164" spans="1:47" s="45" customFormat="1">
      <c r="A164" s="3332">
        <v>10</v>
      </c>
      <c r="B164" s="3329">
        <v>91140101</v>
      </c>
      <c r="C164" s="3333">
        <v>0.1</v>
      </c>
      <c r="D164" s="2893" t="s">
        <v>1024</v>
      </c>
      <c r="E164" s="3379"/>
      <c r="F164" s="3340">
        <f t="shared" si="137"/>
        <v>0</v>
      </c>
      <c r="G164" s="3275">
        <f t="shared" si="138"/>
        <v>0</v>
      </c>
      <c r="H164" s="3275">
        <f t="shared" si="138"/>
        <v>0</v>
      </c>
      <c r="I164" s="3275">
        <f t="shared" si="138"/>
        <v>0</v>
      </c>
      <c r="J164" s="3275">
        <f t="shared" si="138"/>
        <v>0</v>
      </c>
      <c r="K164" s="3341">
        <f t="shared" si="138"/>
        <v>0</v>
      </c>
      <c r="L164" s="3379"/>
      <c r="M164" s="3340">
        <f t="shared" si="139"/>
        <v>0</v>
      </c>
      <c r="N164" s="3275">
        <f t="shared" si="140"/>
        <v>0</v>
      </c>
      <c r="O164" s="3275">
        <f t="shared" si="140"/>
        <v>0</v>
      </c>
      <c r="P164" s="3275">
        <f t="shared" si="140"/>
        <v>0</v>
      </c>
      <c r="Q164" s="3275">
        <f t="shared" si="140"/>
        <v>0</v>
      </c>
      <c r="R164" s="3341">
        <f t="shared" si="140"/>
        <v>0</v>
      </c>
      <c r="S164" s="3379"/>
      <c r="T164" s="3340">
        <f t="shared" si="141"/>
        <v>0</v>
      </c>
      <c r="U164" s="3275">
        <f t="shared" si="142"/>
        <v>0</v>
      </c>
      <c r="V164" s="3275">
        <f t="shared" si="142"/>
        <v>0</v>
      </c>
      <c r="W164" s="3275">
        <f t="shared" si="142"/>
        <v>0</v>
      </c>
      <c r="X164" s="3275">
        <f t="shared" si="142"/>
        <v>0</v>
      </c>
      <c r="Y164" s="3341">
        <f t="shared" si="142"/>
        <v>0</v>
      </c>
      <c r="Z164" s="3379"/>
      <c r="AA164" s="3340">
        <f t="shared" si="143"/>
        <v>0</v>
      </c>
      <c r="AB164" s="3275">
        <f t="shared" si="144"/>
        <v>0</v>
      </c>
      <c r="AC164" s="3275">
        <f t="shared" si="135"/>
        <v>0</v>
      </c>
      <c r="AD164" s="3275">
        <f t="shared" si="135"/>
        <v>0</v>
      </c>
      <c r="AE164" s="3275">
        <f t="shared" si="135"/>
        <v>0</v>
      </c>
      <c r="AF164" s="3341">
        <f t="shared" si="135"/>
        <v>0</v>
      </c>
      <c r="AG164" s="3379"/>
      <c r="AH164" s="3340">
        <f t="shared" si="145"/>
        <v>0</v>
      </c>
      <c r="AI164" s="3275">
        <f t="shared" si="146"/>
        <v>0</v>
      </c>
      <c r="AJ164" s="3275">
        <f t="shared" si="136"/>
        <v>0</v>
      </c>
      <c r="AK164" s="3275">
        <f t="shared" si="136"/>
        <v>0</v>
      </c>
      <c r="AL164" s="3275">
        <f t="shared" si="136"/>
        <v>0</v>
      </c>
      <c r="AM164" s="3341">
        <f t="shared" si="136"/>
        <v>0</v>
      </c>
      <c r="AN164" s="3379"/>
      <c r="AO164" s="3384"/>
      <c r="AP164" s="3385"/>
      <c r="AQ164" s="3385"/>
      <c r="AR164" s="3385"/>
      <c r="AS164" s="3385"/>
      <c r="AT164" s="3386"/>
      <c r="AU164" s="1429"/>
    </row>
    <row r="165" spans="1:47" s="45" customFormat="1">
      <c r="A165" s="3332">
        <v>11</v>
      </c>
      <c r="B165" s="3329">
        <v>91140102</v>
      </c>
      <c r="C165" s="3333">
        <v>0.04</v>
      </c>
      <c r="D165" s="2893" t="s">
        <v>437</v>
      </c>
      <c r="E165" s="3379"/>
      <c r="F165" s="3340">
        <f t="shared" si="137"/>
        <v>0</v>
      </c>
      <c r="G165" s="3275">
        <f t="shared" si="138"/>
        <v>0</v>
      </c>
      <c r="H165" s="3275">
        <f t="shared" si="138"/>
        <v>0</v>
      </c>
      <c r="I165" s="3275">
        <f t="shared" si="138"/>
        <v>0</v>
      </c>
      <c r="J165" s="3275">
        <f t="shared" si="138"/>
        <v>0</v>
      </c>
      <c r="K165" s="3341">
        <f t="shared" si="138"/>
        <v>0</v>
      </c>
      <c r="L165" s="3379"/>
      <c r="M165" s="3340">
        <f t="shared" si="139"/>
        <v>0</v>
      </c>
      <c r="N165" s="3275">
        <f t="shared" si="140"/>
        <v>0</v>
      </c>
      <c r="O165" s="3275">
        <f t="shared" si="140"/>
        <v>0</v>
      </c>
      <c r="P165" s="3275">
        <f t="shared" si="140"/>
        <v>0</v>
      </c>
      <c r="Q165" s="3275">
        <f t="shared" si="140"/>
        <v>0</v>
      </c>
      <c r="R165" s="3341">
        <f t="shared" si="140"/>
        <v>0</v>
      </c>
      <c r="S165" s="3379"/>
      <c r="T165" s="3340">
        <f t="shared" si="141"/>
        <v>0</v>
      </c>
      <c r="U165" s="3275">
        <f t="shared" si="142"/>
        <v>0</v>
      </c>
      <c r="V165" s="3275">
        <f t="shared" si="142"/>
        <v>0</v>
      </c>
      <c r="W165" s="3275">
        <f t="shared" si="142"/>
        <v>0</v>
      </c>
      <c r="X165" s="3275">
        <f t="shared" si="142"/>
        <v>0</v>
      </c>
      <c r="Y165" s="3341">
        <f t="shared" si="142"/>
        <v>0</v>
      </c>
      <c r="Z165" s="3379"/>
      <c r="AA165" s="3340">
        <f t="shared" si="143"/>
        <v>0</v>
      </c>
      <c r="AB165" s="3275">
        <f t="shared" si="144"/>
        <v>0</v>
      </c>
      <c r="AC165" s="3275">
        <f t="shared" si="135"/>
        <v>0</v>
      </c>
      <c r="AD165" s="3275">
        <f t="shared" si="135"/>
        <v>0</v>
      </c>
      <c r="AE165" s="3275">
        <f t="shared" si="135"/>
        <v>0</v>
      </c>
      <c r="AF165" s="3341">
        <f t="shared" si="135"/>
        <v>0</v>
      </c>
      <c r="AG165" s="3379"/>
      <c r="AH165" s="3340">
        <f t="shared" si="145"/>
        <v>0</v>
      </c>
      <c r="AI165" s="3275">
        <f t="shared" si="146"/>
        <v>0</v>
      </c>
      <c r="AJ165" s="3275">
        <f t="shared" si="136"/>
        <v>0</v>
      </c>
      <c r="AK165" s="3275">
        <f t="shared" si="136"/>
        <v>0</v>
      </c>
      <c r="AL165" s="3275">
        <f t="shared" si="136"/>
        <v>0</v>
      </c>
      <c r="AM165" s="3341">
        <f t="shared" si="136"/>
        <v>0</v>
      </c>
      <c r="AN165" s="3379"/>
      <c r="AO165" s="3384"/>
      <c r="AP165" s="3385"/>
      <c r="AQ165" s="3385"/>
      <c r="AR165" s="3385"/>
      <c r="AS165" s="3385"/>
      <c r="AT165" s="3386"/>
      <c r="AU165" s="1429"/>
    </row>
    <row r="166" spans="1:47" s="45" customFormat="1">
      <c r="A166" s="3332">
        <v>12</v>
      </c>
      <c r="B166" s="3329" t="s">
        <v>705</v>
      </c>
      <c r="C166" s="3331">
        <v>0.02</v>
      </c>
      <c r="D166" s="2894" t="s">
        <v>746</v>
      </c>
      <c r="E166" s="3379"/>
      <c r="F166" s="3340">
        <f t="shared" si="137"/>
        <v>0</v>
      </c>
      <c r="G166" s="3275">
        <f t="shared" si="138"/>
        <v>0</v>
      </c>
      <c r="H166" s="3275">
        <f t="shared" si="138"/>
        <v>0</v>
      </c>
      <c r="I166" s="3275">
        <f t="shared" si="138"/>
        <v>0</v>
      </c>
      <c r="J166" s="3275">
        <f t="shared" si="138"/>
        <v>0</v>
      </c>
      <c r="K166" s="3341">
        <f t="shared" si="138"/>
        <v>0</v>
      </c>
      <c r="L166" s="3379"/>
      <c r="M166" s="3340">
        <f t="shared" si="139"/>
        <v>0</v>
      </c>
      <c r="N166" s="3275">
        <f t="shared" si="140"/>
        <v>0</v>
      </c>
      <c r="O166" s="3275">
        <f t="shared" si="140"/>
        <v>0</v>
      </c>
      <c r="P166" s="3275">
        <f t="shared" si="140"/>
        <v>0</v>
      </c>
      <c r="Q166" s="3275">
        <f t="shared" si="140"/>
        <v>0</v>
      </c>
      <c r="R166" s="3341">
        <f t="shared" si="140"/>
        <v>0</v>
      </c>
      <c r="S166" s="3379"/>
      <c r="T166" s="3340">
        <f t="shared" si="141"/>
        <v>0</v>
      </c>
      <c r="U166" s="3275">
        <f t="shared" si="142"/>
        <v>0</v>
      </c>
      <c r="V166" s="3275">
        <f t="shared" si="142"/>
        <v>0</v>
      </c>
      <c r="W166" s="3275">
        <f t="shared" si="142"/>
        <v>0</v>
      </c>
      <c r="X166" s="3275">
        <f t="shared" si="142"/>
        <v>0</v>
      </c>
      <c r="Y166" s="3341">
        <f t="shared" si="142"/>
        <v>0</v>
      </c>
      <c r="Z166" s="3379"/>
      <c r="AA166" s="3340">
        <f t="shared" si="143"/>
        <v>0</v>
      </c>
      <c r="AB166" s="3275">
        <f t="shared" si="144"/>
        <v>0</v>
      </c>
      <c r="AC166" s="3275">
        <f t="shared" si="135"/>
        <v>0</v>
      </c>
      <c r="AD166" s="3275">
        <f t="shared" si="135"/>
        <v>0</v>
      </c>
      <c r="AE166" s="3275">
        <f t="shared" si="135"/>
        <v>0</v>
      </c>
      <c r="AF166" s="3341">
        <f t="shared" si="135"/>
        <v>0</v>
      </c>
      <c r="AG166" s="3379"/>
      <c r="AH166" s="3340">
        <f t="shared" si="145"/>
        <v>0</v>
      </c>
      <c r="AI166" s="3275">
        <f t="shared" si="146"/>
        <v>0</v>
      </c>
      <c r="AJ166" s="3275">
        <f t="shared" si="136"/>
        <v>0</v>
      </c>
      <c r="AK166" s="3275">
        <f t="shared" si="136"/>
        <v>0</v>
      </c>
      <c r="AL166" s="3275">
        <f t="shared" si="136"/>
        <v>0</v>
      </c>
      <c r="AM166" s="3341">
        <f t="shared" si="136"/>
        <v>0</v>
      </c>
      <c r="AN166" s="3379"/>
      <c r="AO166" s="3384"/>
      <c r="AP166" s="3385"/>
      <c r="AQ166" s="3385"/>
      <c r="AR166" s="3385"/>
      <c r="AS166" s="3385"/>
      <c r="AT166" s="3386"/>
      <c r="AU166" s="1429"/>
    </row>
    <row r="167" spans="1:47" s="45" customFormat="1">
      <c r="A167" s="3332">
        <v>13</v>
      </c>
      <c r="B167" s="3329" t="s">
        <v>706</v>
      </c>
      <c r="C167" s="3331">
        <v>0.02</v>
      </c>
      <c r="D167" s="2894" t="s">
        <v>747</v>
      </c>
      <c r="E167" s="3379"/>
      <c r="F167" s="3340">
        <f t="shared" si="137"/>
        <v>0</v>
      </c>
      <c r="G167" s="3275">
        <f t="shared" si="138"/>
        <v>0</v>
      </c>
      <c r="H167" s="3275">
        <f t="shared" si="138"/>
        <v>0</v>
      </c>
      <c r="I167" s="3275">
        <f t="shared" si="138"/>
        <v>87.359719999999996</v>
      </c>
      <c r="J167" s="3275">
        <f t="shared" si="138"/>
        <v>87.359719999999996</v>
      </c>
      <c r="K167" s="3341">
        <f t="shared" si="138"/>
        <v>87.359719999999996</v>
      </c>
      <c r="L167" s="3379"/>
      <c r="M167" s="3340">
        <f t="shared" si="139"/>
        <v>0</v>
      </c>
      <c r="N167" s="3275">
        <f t="shared" si="140"/>
        <v>0</v>
      </c>
      <c r="O167" s="3275">
        <f t="shared" si="140"/>
        <v>0</v>
      </c>
      <c r="P167" s="3275">
        <f t="shared" si="140"/>
        <v>0</v>
      </c>
      <c r="Q167" s="3275">
        <f t="shared" si="140"/>
        <v>0</v>
      </c>
      <c r="R167" s="3341">
        <f t="shared" si="140"/>
        <v>0</v>
      </c>
      <c r="S167" s="3379"/>
      <c r="T167" s="3340">
        <f t="shared" si="141"/>
        <v>0</v>
      </c>
      <c r="U167" s="3275">
        <f t="shared" si="142"/>
        <v>0</v>
      </c>
      <c r="V167" s="3275">
        <f t="shared" si="142"/>
        <v>0</v>
      </c>
      <c r="W167" s="3275">
        <f t="shared" si="142"/>
        <v>0</v>
      </c>
      <c r="X167" s="3275">
        <f t="shared" si="142"/>
        <v>0</v>
      </c>
      <c r="Y167" s="3341">
        <f t="shared" si="142"/>
        <v>0</v>
      </c>
      <c r="Z167" s="3379"/>
      <c r="AA167" s="3340">
        <f t="shared" si="143"/>
        <v>0</v>
      </c>
      <c r="AB167" s="3275">
        <f t="shared" si="144"/>
        <v>0</v>
      </c>
      <c r="AC167" s="3275">
        <f t="shared" si="135"/>
        <v>0</v>
      </c>
      <c r="AD167" s="3275">
        <f t="shared" si="135"/>
        <v>0</v>
      </c>
      <c r="AE167" s="3275">
        <f t="shared" si="135"/>
        <v>0</v>
      </c>
      <c r="AF167" s="3341">
        <f t="shared" si="135"/>
        <v>0</v>
      </c>
      <c r="AG167" s="3379"/>
      <c r="AH167" s="3340">
        <f t="shared" si="145"/>
        <v>0</v>
      </c>
      <c r="AI167" s="3275">
        <f t="shared" si="146"/>
        <v>0</v>
      </c>
      <c r="AJ167" s="3275">
        <f t="shared" si="136"/>
        <v>0</v>
      </c>
      <c r="AK167" s="3275">
        <f t="shared" si="136"/>
        <v>0</v>
      </c>
      <c r="AL167" s="3275">
        <f t="shared" si="136"/>
        <v>0</v>
      </c>
      <c r="AM167" s="3341">
        <f t="shared" si="136"/>
        <v>0</v>
      </c>
      <c r="AN167" s="3379"/>
      <c r="AO167" s="3384"/>
      <c r="AP167" s="3385"/>
      <c r="AQ167" s="3385"/>
      <c r="AR167" s="3385"/>
      <c r="AS167" s="3385"/>
      <c r="AT167" s="3386"/>
      <c r="AU167" s="1429"/>
    </row>
    <row r="168" spans="1:47" s="45" customFormat="1">
      <c r="A168" s="3332">
        <v>14</v>
      </c>
      <c r="B168" s="3329" t="s">
        <v>707</v>
      </c>
      <c r="C168" s="3331">
        <v>0.02</v>
      </c>
      <c r="D168" s="2894" t="s">
        <v>423</v>
      </c>
      <c r="E168" s="3379"/>
      <c r="F168" s="3340">
        <f t="shared" si="137"/>
        <v>0</v>
      </c>
      <c r="G168" s="3275">
        <f t="shared" si="138"/>
        <v>0</v>
      </c>
      <c r="H168" s="3275">
        <f t="shared" si="138"/>
        <v>0</v>
      </c>
      <c r="I168" s="3275">
        <f t="shared" si="138"/>
        <v>0</v>
      </c>
      <c r="J168" s="3275">
        <f t="shared" si="138"/>
        <v>0</v>
      </c>
      <c r="K168" s="3341">
        <f t="shared" si="138"/>
        <v>0</v>
      </c>
      <c r="L168" s="3379"/>
      <c r="M168" s="3340">
        <f t="shared" si="139"/>
        <v>0</v>
      </c>
      <c r="N168" s="3275">
        <f t="shared" si="140"/>
        <v>0</v>
      </c>
      <c r="O168" s="3275">
        <f t="shared" si="140"/>
        <v>0</v>
      </c>
      <c r="P168" s="3275">
        <f t="shared" si="140"/>
        <v>0</v>
      </c>
      <c r="Q168" s="3275">
        <f t="shared" si="140"/>
        <v>0</v>
      </c>
      <c r="R168" s="3341">
        <f t="shared" si="140"/>
        <v>0</v>
      </c>
      <c r="S168" s="3379"/>
      <c r="T168" s="3340">
        <f t="shared" si="141"/>
        <v>0</v>
      </c>
      <c r="U168" s="3275">
        <f t="shared" si="142"/>
        <v>0</v>
      </c>
      <c r="V168" s="3275">
        <f t="shared" si="142"/>
        <v>0</v>
      </c>
      <c r="W168" s="3275">
        <f t="shared" si="142"/>
        <v>0</v>
      </c>
      <c r="X168" s="3275">
        <f t="shared" si="142"/>
        <v>0</v>
      </c>
      <c r="Y168" s="3341">
        <f t="shared" si="142"/>
        <v>0</v>
      </c>
      <c r="Z168" s="3379"/>
      <c r="AA168" s="3340">
        <f t="shared" si="143"/>
        <v>0</v>
      </c>
      <c r="AB168" s="3275">
        <f t="shared" si="144"/>
        <v>0</v>
      </c>
      <c r="AC168" s="3275">
        <f t="shared" si="135"/>
        <v>0</v>
      </c>
      <c r="AD168" s="3275">
        <f t="shared" si="135"/>
        <v>0</v>
      </c>
      <c r="AE168" s="3275">
        <f t="shared" si="135"/>
        <v>0</v>
      </c>
      <c r="AF168" s="3341">
        <f t="shared" si="135"/>
        <v>0</v>
      </c>
      <c r="AG168" s="3379"/>
      <c r="AH168" s="3340">
        <f t="shared" si="145"/>
        <v>0</v>
      </c>
      <c r="AI168" s="3275">
        <f t="shared" si="146"/>
        <v>0</v>
      </c>
      <c r="AJ168" s="3275">
        <f t="shared" si="136"/>
        <v>0</v>
      </c>
      <c r="AK168" s="3275">
        <f t="shared" si="136"/>
        <v>0</v>
      </c>
      <c r="AL168" s="3275">
        <f t="shared" si="136"/>
        <v>0</v>
      </c>
      <c r="AM168" s="3341">
        <f t="shared" si="136"/>
        <v>0</v>
      </c>
      <c r="AN168" s="3379"/>
      <c r="AO168" s="3384"/>
      <c r="AP168" s="3385"/>
      <c r="AQ168" s="3385"/>
      <c r="AR168" s="3385"/>
      <c r="AS168" s="3385"/>
      <c r="AT168" s="3386"/>
      <c r="AU168" s="1429"/>
    </row>
    <row r="169" spans="1:47" s="45" customFormat="1">
      <c r="A169" s="3332">
        <v>15</v>
      </c>
      <c r="B169" s="3329" t="s">
        <v>708</v>
      </c>
      <c r="C169" s="3331">
        <v>0.02</v>
      </c>
      <c r="D169" s="2893" t="s">
        <v>424</v>
      </c>
      <c r="E169" s="3379"/>
      <c r="F169" s="3340">
        <f t="shared" si="137"/>
        <v>0</v>
      </c>
      <c r="G169" s="3275">
        <f t="shared" si="138"/>
        <v>0</v>
      </c>
      <c r="H169" s="3275">
        <f t="shared" si="138"/>
        <v>0</v>
      </c>
      <c r="I169" s="3275">
        <f t="shared" si="138"/>
        <v>0</v>
      </c>
      <c r="J169" s="3275">
        <f t="shared" si="138"/>
        <v>0</v>
      </c>
      <c r="K169" s="3341">
        <f t="shared" si="138"/>
        <v>0</v>
      </c>
      <c r="L169" s="3379"/>
      <c r="M169" s="3340">
        <f t="shared" si="139"/>
        <v>0</v>
      </c>
      <c r="N169" s="3275">
        <f t="shared" si="140"/>
        <v>0</v>
      </c>
      <c r="O169" s="3275">
        <f t="shared" si="140"/>
        <v>0</v>
      </c>
      <c r="P169" s="3275">
        <f t="shared" si="140"/>
        <v>0</v>
      </c>
      <c r="Q169" s="3275">
        <f t="shared" si="140"/>
        <v>0</v>
      </c>
      <c r="R169" s="3341">
        <f t="shared" si="140"/>
        <v>0</v>
      </c>
      <c r="S169" s="3379"/>
      <c r="T169" s="3340">
        <f t="shared" si="141"/>
        <v>0</v>
      </c>
      <c r="U169" s="3275">
        <f t="shared" si="142"/>
        <v>0</v>
      </c>
      <c r="V169" s="3275">
        <f t="shared" si="142"/>
        <v>0</v>
      </c>
      <c r="W169" s="3275">
        <f t="shared" si="142"/>
        <v>0</v>
      </c>
      <c r="X169" s="3275">
        <f t="shared" si="142"/>
        <v>0</v>
      </c>
      <c r="Y169" s="3341">
        <f t="shared" si="142"/>
        <v>0</v>
      </c>
      <c r="Z169" s="3379"/>
      <c r="AA169" s="3340">
        <f t="shared" si="143"/>
        <v>0</v>
      </c>
      <c r="AB169" s="3275">
        <f t="shared" si="144"/>
        <v>0</v>
      </c>
      <c r="AC169" s="3275">
        <f t="shared" si="135"/>
        <v>0</v>
      </c>
      <c r="AD169" s="3275">
        <f t="shared" si="135"/>
        <v>0</v>
      </c>
      <c r="AE169" s="3275">
        <f t="shared" si="135"/>
        <v>0</v>
      </c>
      <c r="AF169" s="3341">
        <f t="shared" si="135"/>
        <v>0</v>
      </c>
      <c r="AG169" s="3379"/>
      <c r="AH169" s="3340">
        <f t="shared" si="145"/>
        <v>0</v>
      </c>
      <c r="AI169" s="3275">
        <f t="shared" si="146"/>
        <v>0</v>
      </c>
      <c r="AJ169" s="3275">
        <f t="shared" si="136"/>
        <v>0</v>
      </c>
      <c r="AK169" s="3275">
        <f t="shared" si="136"/>
        <v>0</v>
      </c>
      <c r="AL169" s="3275">
        <f t="shared" si="136"/>
        <v>0</v>
      </c>
      <c r="AM169" s="3341">
        <f t="shared" si="136"/>
        <v>0</v>
      </c>
      <c r="AN169" s="3379"/>
      <c r="AO169" s="3384"/>
      <c r="AP169" s="3385"/>
      <c r="AQ169" s="3385"/>
      <c r="AR169" s="3385"/>
      <c r="AS169" s="3385"/>
      <c r="AT169" s="3386"/>
      <c r="AU169" s="1429"/>
    </row>
    <row r="170" spans="1:47" s="45" customFormat="1">
      <c r="A170" s="3332">
        <v>16</v>
      </c>
      <c r="B170" s="3329" t="s">
        <v>709</v>
      </c>
      <c r="C170" s="3331">
        <v>0.02</v>
      </c>
      <c r="D170" s="2894" t="s">
        <v>425</v>
      </c>
      <c r="E170" s="3379"/>
      <c r="F170" s="3340">
        <f t="shared" si="137"/>
        <v>0</v>
      </c>
      <c r="G170" s="3275">
        <f t="shared" si="138"/>
        <v>0</v>
      </c>
      <c r="H170" s="3275">
        <f t="shared" si="138"/>
        <v>0</v>
      </c>
      <c r="I170" s="3275">
        <f t="shared" si="138"/>
        <v>417.32</v>
      </c>
      <c r="J170" s="3275">
        <f t="shared" si="138"/>
        <v>417.32</v>
      </c>
      <c r="K170" s="3341">
        <f t="shared" si="138"/>
        <v>417.32</v>
      </c>
      <c r="L170" s="3379"/>
      <c r="M170" s="3340">
        <f t="shared" si="139"/>
        <v>0</v>
      </c>
      <c r="N170" s="3275">
        <f t="shared" si="140"/>
        <v>0</v>
      </c>
      <c r="O170" s="3275">
        <f t="shared" si="140"/>
        <v>0</v>
      </c>
      <c r="P170" s="3275">
        <f t="shared" si="140"/>
        <v>0</v>
      </c>
      <c r="Q170" s="3275">
        <f t="shared" si="140"/>
        <v>0</v>
      </c>
      <c r="R170" s="3341">
        <f t="shared" si="140"/>
        <v>0</v>
      </c>
      <c r="S170" s="3379"/>
      <c r="T170" s="3340">
        <f t="shared" si="141"/>
        <v>0</v>
      </c>
      <c r="U170" s="3275">
        <f t="shared" si="142"/>
        <v>0</v>
      </c>
      <c r="V170" s="3275">
        <f t="shared" si="142"/>
        <v>0</v>
      </c>
      <c r="W170" s="3275">
        <f t="shared" si="142"/>
        <v>0</v>
      </c>
      <c r="X170" s="3275">
        <f t="shared" si="142"/>
        <v>0</v>
      </c>
      <c r="Y170" s="3341">
        <f t="shared" si="142"/>
        <v>0</v>
      </c>
      <c r="Z170" s="3379"/>
      <c r="AA170" s="3340">
        <f t="shared" si="143"/>
        <v>0</v>
      </c>
      <c r="AB170" s="3275">
        <f t="shared" si="144"/>
        <v>0</v>
      </c>
      <c r="AC170" s="3275">
        <f t="shared" si="135"/>
        <v>0</v>
      </c>
      <c r="AD170" s="3275">
        <f t="shared" si="135"/>
        <v>0</v>
      </c>
      <c r="AE170" s="3275">
        <f t="shared" si="135"/>
        <v>0</v>
      </c>
      <c r="AF170" s="3341">
        <f t="shared" si="135"/>
        <v>0</v>
      </c>
      <c r="AG170" s="3379"/>
      <c r="AH170" s="3340">
        <f t="shared" si="145"/>
        <v>0</v>
      </c>
      <c r="AI170" s="3275">
        <f t="shared" si="146"/>
        <v>0</v>
      </c>
      <c r="AJ170" s="3275">
        <f t="shared" si="136"/>
        <v>0</v>
      </c>
      <c r="AK170" s="3275">
        <f t="shared" si="136"/>
        <v>0</v>
      </c>
      <c r="AL170" s="3275">
        <f t="shared" si="136"/>
        <v>0</v>
      </c>
      <c r="AM170" s="3341">
        <f t="shared" si="136"/>
        <v>0</v>
      </c>
      <c r="AN170" s="3379"/>
      <c r="AO170" s="3384"/>
      <c r="AP170" s="3385"/>
      <c r="AQ170" s="3385"/>
      <c r="AR170" s="3385"/>
      <c r="AS170" s="3385"/>
      <c r="AT170" s="3386"/>
      <c r="AU170" s="1429"/>
    </row>
    <row r="171" spans="1:47" s="45" customFormat="1">
      <c r="A171" s="3332">
        <v>17</v>
      </c>
      <c r="B171" s="3329" t="s">
        <v>710</v>
      </c>
      <c r="C171" s="3331">
        <v>0.02</v>
      </c>
      <c r="D171" s="2899" t="s">
        <v>426</v>
      </c>
      <c r="E171" s="3379"/>
      <c r="F171" s="3340">
        <f t="shared" si="137"/>
        <v>0</v>
      </c>
      <c r="G171" s="3275">
        <f t="shared" si="138"/>
        <v>0</v>
      </c>
      <c r="H171" s="3275">
        <f t="shared" si="138"/>
        <v>0</v>
      </c>
      <c r="I171" s="3275">
        <f t="shared" si="138"/>
        <v>0</v>
      </c>
      <c r="J171" s="3275">
        <f t="shared" si="138"/>
        <v>0</v>
      </c>
      <c r="K171" s="3341">
        <f t="shared" si="138"/>
        <v>0</v>
      </c>
      <c r="L171" s="3379"/>
      <c r="M171" s="3340">
        <f t="shared" si="139"/>
        <v>0</v>
      </c>
      <c r="N171" s="3275">
        <f t="shared" si="140"/>
        <v>0</v>
      </c>
      <c r="O171" s="3275">
        <f t="shared" si="140"/>
        <v>0</v>
      </c>
      <c r="P171" s="3275">
        <f t="shared" si="140"/>
        <v>349.84046000000001</v>
      </c>
      <c r="Q171" s="3275">
        <f t="shared" si="140"/>
        <v>349.84046000000001</v>
      </c>
      <c r="R171" s="3341">
        <f t="shared" si="140"/>
        <v>349.84046000000001</v>
      </c>
      <c r="S171" s="3379"/>
      <c r="T171" s="3340">
        <f t="shared" si="141"/>
        <v>0</v>
      </c>
      <c r="U171" s="3275">
        <f t="shared" si="142"/>
        <v>0</v>
      </c>
      <c r="V171" s="3275">
        <f t="shared" si="142"/>
        <v>0</v>
      </c>
      <c r="W171" s="3275">
        <f t="shared" si="142"/>
        <v>0</v>
      </c>
      <c r="X171" s="3275">
        <f t="shared" si="142"/>
        <v>0</v>
      </c>
      <c r="Y171" s="3341">
        <f t="shared" si="142"/>
        <v>0</v>
      </c>
      <c r="Z171" s="3379"/>
      <c r="AA171" s="3340">
        <f t="shared" si="143"/>
        <v>0</v>
      </c>
      <c r="AB171" s="3275">
        <f t="shared" si="144"/>
        <v>0</v>
      </c>
      <c r="AC171" s="3275">
        <f t="shared" si="144"/>
        <v>0</v>
      </c>
      <c r="AD171" s="3275">
        <f t="shared" si="144"/>
        <v>0</v>
      </c>
      <c r="AE171" s="3275">
        <f t="shared" si="144"/>
        <v>0</v>
      </c>
      <c r="AF171" s="3341">
        <f t="shared" si="144"/>
        <v>0</v>
      </c>
      <c r="AG171" s="3379"/>
      <c r="AH171" s="3340">
        <f t="shared" si="145"/>
        <v>0</v>
      </c>
      <c r="AI171" s="3275">
        <f t="shared" si="146"/>
        <v>0</v>
      </c>
      <c r="AJ171" s="3275">
        <f t="shared" si="146"/>
        <v>0</v>
      </c>
      <c r="AK171" s="3275">
        <f t="shared" si="146"/>
        <v>0</v>
      </c>
      <c r="AL171" s="3275">
        <f t="shared" si="146"/>
        <v>0</v>
      </c>
      <c r="AM171" s="3341">
        <f t="shared" si="146"/>
        <v>0</v>
      </c>
      <c r="AN171" s="3379"/>
      <c r="AO171" s="3384"/>
      <c r="AP171" s="3385"/>
      <c r="AQ171" s="3385"/>
      <c r="AR171" s="3385"/>
      <c r="AS171" s="3385"/>
      <c r="AT171" s="3386"/>
      <c r="AU171" s="1429"/>
    </row>
    <row r="172" spans="1:47" s="45" customFormat="1" ht="24">
      <c r="A172" s="3332">
        <v>18</v>
      </c>
      <c r="B172" s="3329" t="s">
        <v>711</v>
      </c>
      <c r="C172" s="3331">
        <v>0.04</v>
      </c>
      <c r="D172" s="2899" t="s">
        <v>427</v>
      </c>
      <c r="E172" s="3379"/>
      <c r="F172" s="3340">
        <f t="shared" si="137"/>
        <v>0</v>
      </c>
      <c r="G172" s="3275">
        <f t="shared" ref="G172:K175" si="147">F172+(G128*$C128)-(G150*$C128)</f>
        <v>0</v>
      </c>
      <c r="H172" s="3275">
        <f t="shared" si="147"/>
        <v>0</v>
      </c>
      <c r="I172" s="3275">
        <f t="shared" si="147"/>
        <v>23.619</v>
      </c>
      <c r="J172" s="3275">
        <f t="shared" si="147"/>
        <v>23.619</v>
      </c>
      <c r="K172" s="3341">
        <f t="shared" si="147"/>
        <v>23.619</v>
      </c>
      <c r="L172" s="3379"/>
      <c r="M172" s="3340">
        <f t="shared" si="139"/>
        <v>0</v>
      </c>
      <c r="N172" s="3275">
        <f t="shared" ref="N172:R175" si="148">M172+(N128*$C128)-(N150*$C128)</f>
        <v>0</v>
      </c>
      <c r="O172" s="3275">
        <f t="shared" si="148"/>
        <v>0</v>
      </c>
      <c r="P172" s="3275">
        <f t="shared" si="148"/>
        <v>427.44</v>
      </c>
      <c r="Q172" s="3275">
        <f t="shared" si="148"/>
        <v>427.44</v>
      </c>
      <c r="R172" s="3341">
        <f t="shared" si="148"/>
        <v>427.44</v>
      </c>
      <c r="S172" s="3379"/>
      <c r="T172" s="3340">
        <f t="shared" si="141"/>
        <v>0</v>
      </c>
      <c r="U172" s="3275">
        <f t="shared" ref="U172:Y175" si="149">T172+(U128*$C128)-(U150*$C128)</f>
        <v>0</v>
      </c>
      <c r="V172" s="3275">
        <f t="shared" si="149"/>
        <v>0</v>
      </c>
      <c r="W172" s="3275">
        <f t="shared" si="149"/>
        <v>745.95360000000005</v>
      </c>
      <c r="X172" s="3275">
        <f t="shared" si="149"/>
        <v>745.95360000000005</v>
      </c>
      <c r="Y172" s="3341">
        <f t="shared" si="149"/>
        <v>745.95360000000005</v>
      </c>
      <c r="Z172" s="3379"/>
      <c r="AA172" s="3340">
        <f t="shared" si="143"/>
        <v>0</v>
      </c>
      <c r="AB172" s="3275">
        <f t="shared" ref="AB172:AF175" si="150">AA172+(AB128*$C128)-(AB150*$C128)</f>
        <v>0</v>
      </c>
      <c r="AC172" s="3275">
        <f t="shared" si="150"/>
        <v>0</v>
      </c>
      <c r="AD172" s="3275">
        <f t="shared" si="150"/>
        <v>0</v>
      </c>
      <c r="AE172" s="3275">
        <f t="shared" si="150"/>
        <v>0</v>
      </c>
      <c r="AF172" s="3341">
        <f t="shared" si="150"/>
        <v>0</v>
      </c>
      <c r="AG172" s="3379"/>
      <c r="AH172" s="3340">
        <f t="shared" si="145"/>
        <v>0</v>
      </c>
      <c r="AI172" s="3275">
        <f t="shared" ref="AI172:AM175" si="151">AH172+(AI128*$C128)-(AI150*$C128)</f>
        <v>0</v>
      </c>
      <c r="AJ172" s="3275">
        <f t="shared" si="151"/>
        <v>0</v>
      </c>
      <c r="AK172" s="3275">
        <f t="shared" si="151"/>
        <v>0</v>
      </c>
      <c r="AL172" s="3275">
        <f t="shared" si="151"/>
        <v>0</v>
      </c>
      <c r="AM172" s="3341">
        <f t="shared" si="151"/>
        <v>0</v>
      </c>
      <c r="AN172" s="3379"/>
      <c r="AO172" s="3384"/>
      <c r="AP172" s="3385"/>
      <c r="AQ172" s="3385"/>
      <c r="AR172" s="3385"/>
      <c r="AS172" s="3385"/>
      <c r="AT172" s="3386"/>
      <c r="AU172" s="1429"/>
    </row>
    <row r="173" spans="1:47" s="45" customFormat="1">
      <c r="A173" s="3332">
        <v>19</v>
      </c>
      <c r="B173" s="3329" t="s">
        <v>712</v>
      </c>
      <c r="C173" s="3331">
        <v>0.04</v>
      </c>
      <c r="D173" s="2899" t="s">
        <v>428</v>
      </c>
      <c r="E173" s="3379"/>
      <c r="F173" s="3340">
        <f t="shared" si="137"/>
        <v>0</v>
      </c>
      <c r="G173" s="3275">
        <f t="shared" si="147"/>
        <v>0</v>
      </c>
      <c r="H173" s="3275">
        <f t="shared" si="147"/>
        <v>0</v>
      </c>
      <c r="I173" s="3275">
        <f t="shared" si="147"/>
        <v>0</v>
      </c>
      <c r="J173" s="3275">
        <f t="shared" si="147"/>
        <v>0</v>
      </c>
      <c r="K173" s="3341">
        <f t="shared" si="147"/>
        <v>0</v>
      </c>
      <c r="L173" s="3379"/>
      <c r="M173" s="3340">
        <f t="shared" si="139"/>
        <v>0</v>
      </c>
      <c r="N173" s="3275">
        <f t="shared" si="148"/>
        <v>0</v>
      </c>
      <c r="O173" s="3275">
        <f t="shared" si="148"/>
        <v>0</v>
      </c>
      <c r="P173" s="3275">
        <f t="shared" si="148"/>
        <v>0</v>
      </c>
      <c r="Q173" s="3275">
        <f t="shared" si="148"/>
        <v>0</v>
      </c>
      <c r="R173" s="3341">
        <f t="shared" si="148"/>
        <v>0</v>
      </c>
      <c r="S173" s="3379"/>
      <c r="T173" s="3340">
        <f t="shared" si="141"/>
        <v>0</v>
      </c>
      <c r="U173" s="3275">
        <f t="shared" si="149"/>
        <v>0</v>
      </c>
      <c r="V173" s="3275">
        <f t="shared" si="149"/>
        <v>0</v>
      </c>
      <c r="W173" s="3275">
        <f t="shared" si="149"/>
        <v>0</v>
      </c>
      <c r="X173" s="3275">
        <f t="shared" si="149"/>
        <v>0</v>
      </c>
      <c r="Y173" s="3341">
        <f t="shared" si="149"/>
        <v>0</v>
      </c>
      <c r="Z173" s="3379"/>
      <c r="AA173" s="3340">
        <f t="shared" si="143"/>
        <v>0</v>
      </c>
      <c r="AB173" s="3275">
        <f t="shared" si="150"/>
        <v>0</v>
      </c>
      <c r="AC173" s="3275">
        <f t="shared" si="150"/>
        <v>0</v>
      </c>
      <c r="AD173" s="3275">
        <f t="shared" si="150"/>
        <v>0</v>
      </c>
      <c r="AE173" s="3275">
        <f t="shared" si="150"/>
        <v>0</v>
      </c>
      <c r="AF173" s="3341">
        <f t="shared" si="150"/>
        <v>0</v>
      </c>
      <c r="AG173" s="3379"/>
      <c r="AH173" s="3340">
        <f t="shared" si="145"/>
        <v>0</v>
      </c>
      <c r="AI173" s="3275">
        <f t="shared" si="151"/>
        <v>0</v>
      </c>
      <c r="AJ173" s="3275">
        <f t="shared" si="151"/>
        <v>0</v>
      </c>
      <c r="AK173" s="3275">
        <f t="shared" si="151"/>
        <v>0</v>
      </c>
      <c r="AL173" s="3275">
        <f t="shared" si="151"/>
        <v>0</v>
      </c>
      <c r="AM173" s="3341">
        <f t="shared" si="151"/>
        <v>0</v>
      </c>
      <c r="AN173" s="3379"/>
      <c r="AO173" s="3384"/>
      <c r="AP173" s="3385"/>
      <c r="AQ173" s="3385"/>
      <c r="AR173" s="3385"/>
      <c r="AS173" s="3385"/>
      <c r="AT173" s="3386"/>
      <c r="AU173" s="1429"/>
    </row>
    <row r="174" spans="1:47" s="45" customFormat="1">
      <c r="A174" s="3332">
        <v>20</v>
      </c>
      <c r="B174" s="3329" t="s">
        <v>724</v>
      </c>
      <c r="C174" s="3331">
        <v>0.04</v>
      </c>
      <c r="D174" s="3330" t="s">
        <v>439</v>
      </c>
      <c r="E174" s="3379"/>
      <c r="F174" s="3340">
        <f t="shared" si="137"/>
        <v>0</v>
      </c>
      <c r="G174" s="3275">
        <f t="shared" si="147"/>
        <v>0</v>
      </c>
      <c r="H174" s="3275">
        <f t="shared" si="147"/>
        <v>0</v>
      </c>
      <c r="I174" s="3275">
        <f t="shared" si="147"/>
        <v>0</v>
      </c>
      <c r="J174" s="3275">
        <f t="shared" si="147"/>
        <v>0</v>
      </c>
      <c r="K174" s="3341">
        <f t="shared" si="147"/>
        <v>0</v>
      </c>
      <c r="L174" s="3379"/>
      <c r="M174" s="3340">
        <f t="shared" si="139"/>
        <v>0</v>
      </c>
      <c r="N174" s="3275">
        <f t="shared" si="148"/>
        <v>0</v>
      </c>
      <c r="O174" s="3275">
        <f t="shared" si="148"/>
        <v>0</v>
      </c>
      <c r="P174" s="3275">
        <f t="shared" si="148"/>
        <v>0</v>
      </c>
      <c r="Q174" s="3275">
        <f t="shared" si="148"/>
        <v>0</v>
      </c>
      <c r="R174" s="3341">
        <f t="shared" si="148"/>
        <v>0</v>
      </c>
      <c r="S174" s="3379"/>
      <c r="T174" s="3340">
        <f t="shared" si="141"/>
        <v>0</v>
      </c>
      <c r="U174" s="3275">
        <f t="shared" si="149"/>
        <v>0</v>
      </c>
      <c r="V174" s="3275">
        <f t="shared" si="149"/>
        <v>0</v>
      </c>
      <c r="W174" s="3275">
        <f t="shared" si="149"/>
        <v>0</v>
      </c>
      <c r="X174" s="3275">
        <f t="shared" si="149"/>
        <v>0</v>
      </c>
      <c r="Y174" s="3341">
        <f t="shared" si="149"/>
        <v>0</v>
      </c>
      <c r="Z174" s="3379"/>
      <c r="AA174" s="3340">
        <f t="shared" si="143"/>
        <v>0</v>
      </c>
      <c r="AB174" s="3275">
        <f t="shared" si="150"/>
        <v>0</v>
      </c>
      <c r="AC174" s="3275">
        <f t="shared" si="150"/>
        <v>0</v>
      </c>
      <c r="AD174" s="3275">
        <f t="shared" si="150"/>
        <v>0</v>
      </c>
      <c r="AE174" s="3275">
        <f t="shared" si="150"/>
        <v>0</v>
      </c>
      <c r="AF174" s="3341">
        <f t="shared" si="150"/>
        <v>0</v>
      </c>
      <c r="AG174" s="3379"/>
      <c r="AH174" s="3340">
        <f t="shared" si="145"/>
        <v>0</v>
      </c>
      <c r="AI174" s="3275">
        <f t="shared" si="151"/>
        <v>0</v>
      </c>
      <c r="AJ174" s="3275">
        <f t="shared" si="151"/>
        <v>0</v>
      </c>
      <c r="AK174" s="3275">
        <f t="shared" si="151"/>
        <v>0</v>
      </c>
      <c r="AL174" s="3275">
        <f t="shared" si="151"/>
        <v>0</v>
      </c>
      <c r="AM174" s="3341">
        <f t="shared" si="151"/>
        <v>0</v>
      </c>
      <c r="AN174" s="3379"/>
      <c r="AO174" s="3384"/>
      <c r="AP174" s="3385"/>
      <c r="AQ174" s="3385"/>
      <c r="AR174" s="3385"/>
      <c r="AS174" s="3385"/>
      <c r="AT174" s="3386"/>
      <c r="AU174" s="1429"/>
    </row>
    <row r="175" spans="1:47" s="45" customFormat="1" ht="24.75" thickBot="1">
      <c r="A175" s="3342">
        <v>21</v>
      </c>
      <c r="B175" s="3343" t="s">
        <v>714</v>
      </c>
      <c r="C175" s="3344">
        <v>0.2</v>
      </c>
      <c r="D175" s="3345" t="s">
        <v>685</v>
      </c>
      <c r="E175" s="3387"/>
      <c r="F175" s="3346">
        <f t="shared" si="137"/>
        <v>0</v>
      </c>
      <c r="G175" s="3347">
        <f t="shared" si="147"/>
        <v>0</v>
      </c>
      <c r="H175" s="3347">
        <f t="shared" si="147"/>
        <v>0</v>
      </c>
      <c r="I175" s="3347">
        <f t="shared" si="147"/>
        <v>68.273600000000002</v>
      </c>
      <c r="J175" s="3347">
        <f t="shared" si="147"/>
        <v>68.273600000000002</v>
      </c>
      <c r="K175" s="3348">
        <f t="shared" si="147"/>
        <v>68.273600000000002</v>
      </c>
      <c r="L175" s="3387"/>
      <c r="M175" s="3346">
        <f t="shared" si="139"/>
        <v>0</v>
      </c>
      <c r="N175" s="3347">
        <f t="shared" si="148"/>
        <v>0</v>
      </c>
      <c r="O175" s="3347">
        <f t="shared" si="148"/>
        <v>0</v>
      </c>
      <c r="P175" s="3347">
        <f t="shared" si="148"/>
        <v>116.00080000000001</v>
      </c>
      <c r="Q175" s="3347">
        <f t="shared" si="148"/>
        <v>116.00080000000001</v>
      </c>
      <c r="R175" s="3348">
        <f t="shared" si="148"/>
        <v>116.00080000000001</v>
      </c>
      <c r="S175" s="3387"/>
      <c r="T175" s="3346">
        <f t="shared" si="141"/>
        <v>0</v>
      </c>
      <c r="U175" s="3347">
        <f t="shared" si="149"/>
        <v>0</v>
      </c>
      <c r="V175" s="3347">
        <f t="shared" si="149"/>
        <v>0</v>
      </c>
      <c r="W175" s="3347">
        <f t="shared" si="149"/>
        <v>0</v>
      </c>
      <c r="X175" s="3347">
        <f t="shared" si="149"/>
        <v>0</v>
      </c>
      <c r="Y175" s="3348">
        <f t="shared" si="149"/>
        <v>0</v>
      </c>
      <c r="Z175" s="3387"/>
      <c r="AA175" s="3346">
        <f t="shared" si="143"/>
        <v>0</v>
      </c>
      <c r="AB175" s="3347">
        <f t="shared" si="150"/>
        <v>0</v>
      </c>
      <c r="AC175" s="3347">
        <f t="shared" si="150"/>
        <v>0</v>
      </c>
      <c r="AD175" s="3347">
        <f t="shared" si="150"/>
        <v>0</v>
      </c>
      <c r="AE175" s="3347">
        <f t="shared" si="150"/>
        <v>0</v>
      </c>
      <c r="AF175" s="3348">
        <f t="shared" si="150"/>
        <v>0</v>
      </c>
      <c r="AG175" s="3387"/>
      <c r="AH175" s="3346">
        <f t="shared" si="145"/>
        <v>0</v>
      </c>
      <c r="AI175" s="3347">
        <f t="shared" si="151"/>
        <v>0</v>
      </c>
      <c r="AJ175" s="3347">
        <f t="shared" si="151"/>
        <v>0</v>
      </c>
      <c r="AK175" s="3347">
        <f t="shared" si="151"/>
        <v>0</v>
      </c>
      <c r="AL175" s="3347">
        <f t="shared" si="151"/>
        <v>0</v>
      </c>
      <c r="AM175" s="3348">
        <f t="shared" si="151"/>
        <v>0</v>
      </c>
      <c r="AN175" s="3387"/>
      <c r="AO175" s="3388"/>
      <c r="AP175" s="3389"/>
      <c r="AQ175" s="3389"/>
      <c r="AR175" s="3389"/>
      <c r="AS175" s="3389"/>
      <c r="AT175" s="3390"/>
      <c r="AU175" s="1429"/>
    </row>
    <row r="176" spans="1:47" ht="15.75">
      <c r="A176" s="3186"/>
      <c r="B176" s="3186"/>
      <c r="C176" s="3186"/>
      <c r="D176" s="3186"/>
      <c r="E176" s="3186"/>
      <c r="F176" s="3186"/>
      <c r="G176" s="3186"/>
      <c r="H176" s="3186"/>
      <c r="I176" s="3186"/>
      <c r="J176" s="3186"/>
      <c r="K176" s="3186"/>
      <c r="L176" s="3186"/>
      <c r="M176" s="3181"/>
      <c r="N176" s="3184"/>
      <c r="O176" s="3181"/>
      <c r="P176" s="2150"/>
      <c r="Q176" s="2150"/>
      <c r="R176" s="2150"/>
      <c r="S176" s="2150"/>
      <c r="T176" s="2150"/>
      <c r="U176" s="2150"/>
      <c r="V176" s="2150"/>
      <c r="W176" s="2150"/>
      <c r="X176" s="2150"/>
      <c r="Y176" s="2150"/>
      <c r="Z176" s="2150"/>
      <c r="AA176" s="2150"/>
      <c r="AB176" s="2150"/>
      <c r="AC176" s="2150"/>
      <c r="AD176" s="2150"/>
      <c r="AE176" s="2150"/>
      <c r="AF176" s="2150"/>
      <c r="AG176" s="2150"/>
      <c r="AH176" s="2150"/>
      <c r="AI176" s="2150"/>
      <c r="AJ176" s="2150"/>
      <c r="AK176" s="2150"/>
      <c r="AL176" s="2150"/>
      <c r="AM176" s="2150"/>
      <c r="AN176" s="2150"/>
      <c r="AO176" s="2150"/>
      <c r="AP176" s="2150"/>
      <c r="AQ176" s="2150"/>
      <c r="AR176" s="2150"/>
      <c r="AS176" s="2150"/>
      <c r="AT176" s="2150"/>
    </row>
    <row r="177" spans="1:46">
      <c r="A177" s="3349"/>
      <c r="B177" s="3350"/>
      <c r="C177" s="3350"/>
      <c r="D177" s="3350"/>
      <c r="E177" s="3351"/>
      <c r="F177" s="3351"/>
      <c r="G177" s="3351"/>
      <c r="H177" s="3351"/>
      <c r="I177" s="3351"/>
      <c r="J177" s="3351"/>
      <c r="K177" s="3351"/>
      <c r="L177" s="3351"/>
      <c r="M177" s="3181"/>
      <c r="N177" s="3184"/>
      <c r="O177" s="3181"/>
      <c r="P177" s="2150"/>
      <c r="Q177" s="2150"/>
      <c r="R177" s="2150"/>
      <c r="S177" s="2150"/>
      <c r="T177" s="2150"/>
      <c r="U177" s="2150"/>
      <c r="V177" s="2150"/>
      <c r="W177" s="2150"/>
      <c r="X177" s="2150"/>
      <c r="Y177" s="2150"/>
      <c r="Z177" s="2150"/>
      <c r="AA177" s="2150"/>
      <c r="AB177" s="2150"/>
      <c r="AC177" s="2150"/>
      <c r="AD177" s="2150"/>
      <c r="AE177" s="2150"/>
      <c r="AF177" s="2150"/>
      <c r="AG177" s="2150"/>
      <c r="AH177" s="2150"/>
      <c r="AI177" s="2150"/>
      <c r="AJ177" s="2150"/>
      <c r="AK177" s="2150"/>
      <c r="AL177" s="2150"/>
      <c r="AM177" s="2150"/>
      <c r="AN177" s="2150"/>
      <c r="AO177" s="2150"/>
      <c r="AP177" s="2150"/>
      <c r="AQ177" s="2150"/>
      <c r="AR177" s="2150"/>
      <c r="AS177" s="2150"/>
      <c r="AT177" s="2150"/>
    </row>
    <row r="178" spans="1:46">
      <c r="A178" s="3349"/>
      <c r="B178" s="3350"/>
      <c r="C178" s="3350"/>
      <c r="D178" s="3350"/>
      <c r="E178" s="3351"/>
      <c r="F178" s="3351"/>
      <c r="G178" s="3351"/>
      <c r="H178" s="3351"/>
      <c r="I178" s="3351"/>
      <c r="J178" s="3351"/>
      <c r="K178" s="3351"/>
      <c r="L178" s="3351"/>
      <c r="M178" s="3181"/>
      <c r="N178" s="3184"/>
      <c r="O178" s="3181"/>
      <c r="P178" s="2150"/>
      <c r="Q178" s="2150"/>
      <c r="R178" s="2150"/>
      <c r="S178" s="2150"/>
      <c r="T178" s="2150"/>
      <c r="U178" s="2150"/>
      <c r="V178" s="2150"/>
      <c r="W178" s="2150"/>
      <c r="X178" s="2150"/>
      <c r="Y178" s="2150"/>
      <c r="Z178" s="2150"/>
      <c r="AA178" s="2150"/>
      <c r="AB178" s="2150"/>
      <c r="AC178" s="2150"/>
      <c r="AD178" s="2150"/>
      <c r="AE178" s="2150"/>
      <c r="AF178" s="2150"/>
      <c r="AG178" s="2150"/>
      <c r="AH178" s="2150"/>
      <c r="AI178" s="2150"/>
      <c r="AJ178" s="2150"/>
      <c r="AK178" s="2150"/>
      <c r="AL178" s="2150"/>
      <c r="AM178" s="2150"/>
      <c r="AN178" s="2150"/>
      <c r="AO178" s="2150"/>
      <c r="AP178" s="2150"/>
      <c r="AQ178" s="2150"/>
      <c r="AR178" s="2150"/>
      <c r="AS178" s="2150"/>
      <c r="AT178" s="2150"/>
    </row>
    <row r="179" spans="1:46">
      <c r="A179" s="2939"/>
      <c r="B179" s="2944"/>
      <c r="C179" s="3352"/>
      <c r="D179" s="2944"/>
      <c r="E179" s="2944"/>
      <c r="F179" s="2944"/>
      <c r="G179" s="2944"/>
      <c r="H179" s="2944"/>
      <c r="I179" s="2944"/>
      <c r="J179" s="3353"/>
      <c r="K179" s="3354"/>
      <c r="L179" s="2944"/>
      <c r="M179" s="3181"/>
      <c r="N179" s="3184"/>
      <c r="O179" s="3181"/>
      <c r="P179" s="2150"/>
      <c r="Q179" s="2150"/>
      <c r="R179" s="2150"/>
      <c r="S179" s="2150"/>
      <c r="T179" s="2150"/>
      <c r="U179" s="2150"/>
      <c r="V179" s="2150"/>
      <c r="W179" s="2150"/>
      <c r="X179" s="2150"/>
      <c r="Y179" s="2150"/>
      <c r="Z179" s="2150"/>
      <c r="AA179" s="2150"/>
      <c r="AB179" s="2150"/>
      <c r="AC179" s="2150"/>
      <c r="AD179" s="2150"/>
      <c r="AE179" s="2150"/>
      <c r="AF179" s="2150"/>
      <c r="AG179" s="2150"/>
      <c r="AH179" s="2150"/>
      <c r="AI179" s="2150"/>
      <c r="AJ179" s="2150"/>
      <c r="AK179" s="2150"/>
      <c r="AL179" s="2150"/>
      <c r="AM179" s="2150"/>
      <c r="AN179" s="2150"/>
      <c r="AO179" s="2150"/>
      <c r="AP179" s="2150"/>
      <c r="AQ179" s="2150"/>
      <c r="AR179" s="2150"/>
      <c r="AS179" s="2150"/>
      <c r="AT179" s="2150"/>
    </row>
    <row r="180" spans="1:46">
      <c r="A180" s="2939"/>
      <c r="B180" s="2944"/>
      <c r="C180" s="2944"/>
      <c r="D180" s="2944"/>
      <c r="E180" s="2944"/>
      <c r="F180" s="2944"/>
      <c r="G180" s="2944"/>
      <c r="H180" s="2944"/>
      <c r="I180" s="2944"/>
      <c r="J180" s="3355"/>
      <c r="K180" s="3354"/>
      <c r="L180" s="2944"/>
      <c r="M180" s="3181"/>
      <c r="N180" s="3184"/>
      <c r="O180" s="3181"/>
      <c r="P180" s="2150"/>
      <c r="Q180" s="2150"/>
      <c r="R180" s="2150"/>
      <c r="S180" s="2150"/>
      <c r="T180" s="2150"/>
      <c r="U180" s="2150"/>
      <c r="V180" s="2150"/>
      <c r="W180" s="2150"/>
      <c r="X180" s="2150"/>
      <c r="Y180" s="2150"/>
      <c r="Z180" s="2150"/>
      <c r="AA180" s="2188" t="str">
        <f>'Приложение '!B81</f>
        <v>Дата: 24 юни 2021 година</v>
      </c>
      <c r="AB180" s="2150"/>
      <c r="AC180" s="2150"/>
      <c r="AD180" s="2150"/>
      <c r="AE180" s="2150"/>
      <c r="AF180" s="2150"/>
      <c r="AG180" s="2150"/>
      <c r="AH180" s="2150"/>
      <c r="AI180" s="2150"/>
      <c r="AJ180" s="3356" t="str">
        <f>'Приложение '!C81</f>
        <v xml:space="preserve">Гл. счетоводител/Фин.директор: </v>
      </c>
      <c r="AK180" s="3357" t="str">
        <f>'Приложение '!D81</f>
        <v>..............................................</v>
      </c>
      <c r="AL180" s="2150"/>
      <c r="AM180" s="2150"/>
      <c r="AN180" s="2150"/>
      <c r="AO180" s="2150"/>
      <c r="AP180" s="2150"/>
      <c r="AQ180" s="2150"/>
      <c r="AR180" s="2150"/>
      <c r="AS180" s="2150"/>
      <c r="AT180" s="2150"/>
    </row>
    <row r="181" spans="1:46">
      <c r="A181" s="2939"/>
      <c r="B181" s="2944"/>
      <c r="C181" s="2944"/>
      <c r="D181" s="2944"/>
      <c r="E181" s="2944"/>
      <c r="F181" s="2944"/>
      <c r="G181" s="2944"/>
      <c r="H181" s="2944"/>
      <c r="I181" s="2944"/>
      <c r="J181" s="3355"/>
      <c r="K181" s="3354"/>
      <c r="L181" s="3358"/>
      <c r="M181" s="3181"/>
      <c r="N181" s="3184"/>
      <c r="O181" s="3181"/>
      <c r="P181" s="2150"/>
      <c r="Q181" s="2150"/>
      <c r="R181" s="2150"/>
      <c r="S181" s="2150"/>
      <c r="T181" s="2150"/>
      <c r="U181" s="2150"/>
      <c r="V181" s="2150"/>
      <c r="W181" s="2150"/>
      <c r="X181" s="2150"/>
      <c r="Y181" s="3359"/>
      <c r="Z181" s="2150"/>
      <c r="AA181" s="2150"/>
      <c r="AB181" s="2150"/>
      <c r="AC181" s="2150"/>
      <c r="AD181" s="3360"/>
      <c r="AE181" s="3181"/>
      <c r="AF181" s="3359"/>
      <c r="AG181" s="2150"/>
      <c r="AH181" s="2150"/>
      <c r="AI181" s="2150"/>
      <c r="AJ181" s="3356"/>
      <c r="AK181" s="3361" t="str">
        <f>'Приложение '!D82</f>
        <v>(подпис)</v>
      </c>
      <c r="AL181" s="2150"/>
      <c r="AM181" s="2150"/>
      <c r="AN181" s="3360"/>
      <c r="AO181" s="3181"/>
      <c r="AP181" s="3354"/>
      <c r="AQ181" s="3181"/>
      <c r="AR181" s="2150"/>
      <c r="AS181" s="2150"/>
      <c r="AT181" s="2150"/>
    </row>
    <row r="182" spans="1:46">
      <c r="A182" s="2939"/>
      <c r="B182" s="2944"/>
      <c r="C182" s="2944"/>
      <c r="D182" s="2944"/>
      <c r="E182" s="2944"/>
      <c r="F182" s="2944"/>
      <c r="G182" s="2944"/>
      <c r="H182" s="2944"/>
      <c r="I182" s="2944"/>
      <c r="J182" s="3355"/>
      <c r="K182" s="3354"/>
      <c r="L182" s="2944"/>
      <c r="M182" s="3181"/>
      <c r="N182" s="3184"/>
      <c r="O182" s="3181"/>
      <c r="P182" s="2150"/>
      <c r="Q182" s="2150"/>
      <c r="R182" s="2150"/>
      <c r="S182" s="2150"/>
      <c r="T182" s="2150"/>
      <c r="U182" s="2150"/>
      <c r="V182" s="2150"/>
      <c r="W182" s="2150"/>
      <c r="X182" s="2150"/>
      <c r="Y182" s="3362"/>
      <c r="Z182" s="2150"/>
      <c r="AA182" s="2150"/>
      <c r="AB182" s="2150"/>
      <c r="AC182" s="2150"/>
      <c r="AD182" s="2944"/>
      <c r="AE182" s="3353"/>
      <c r="AF182" s="3362"/>
      <c r="AG182" s="2150"/>
      <c r="AH182" s="2150"/>
      <c r="AI182" s="2150"/>
      <c r="AJ182" s="3356"/>
      <c r="AK182" s="3356"/>
      <c r="AL182" s="2150"/>
      <c r="AM182" s="2150"/>
      <c r="AN182" s="2944"/>
      <c r="AO182" s="3353"/>
      <c r="AP182" s="3354"/>
      <c r="AQ182" s="3181"/>
      <c r="AR182" s="2150"/>
      <c r="AS182" s="2150"/>
      <c r="AT182" s="2150"/>
    </row>
    <row r="183" spans="1:46">
      <c r="A183" s="2939"/>
      <c r="B183" s="2944"/>
      <c r="C183" s="2944"/>
      <c r="D183" s="2944"/>
      <c r="E183" s="2937" t="s">
        <v>191</v>
      </c>
      <c r="F183" s="2944"/>
      <c r="G183" s="2944"/>
      <c r="H183" s="2944"/>
      <c r="I183" s="2944"/>
      <c r="J183" s="3355"/>
      <c r="K183" s="3354"/>
      <c r="L183" s="2944"/>
      <c r="M183" s="3181"/>
      <c r="N183" s="3184"/>
      <c r="O183" s="3181"/>
      <c r="P183" s="2150"/>
      <c r="Q183" s="2150"/>
      <c r="R183" s="2150"/>
      <c r="S183" s="2150"/>
      <c r="T183" s="2150"/>
      <c r="U183" s="2150"/>
      <c r="V183" s="2150"/>
      <c r="W183" s="2150"/>
      <c r="X183" s="2150"/>
      <c r="Y183" s="3362"/>
      <c r="Z183" s="2150"/>
      <c r="AA183" s="2150"/>
      <c r="AB183" s="2150"/>
      <c r="AC183" s="2150"/>
      <c r="AD183" s="2944"/>
      <c r="AE183" s="3353"/>
      <c r="AF183" s="3362"/>
      <c r="AG183" s="2150"/>
      <c r="AH183" s="2150"/>
      <c r="AI183" s="2150"/>
      <c r="AJ183" s="3356"/>
      <c r="AK183" s="3356"/>
      <c r="AL183" s="2150"/>
      <c r="AM183" s="2150"/>
      <c r="AN183" s="2944"/>
      <c r="AO183" s="3353"/>
      <c r="AP183" s="3354"/>
      <c r="AQ183" s="3181"/>
      <c r="AR183" s="2150"/>
      <c r="AS183" s="2150"/>
      <c r="AT183" s="2150"/>
    </row>
    <row r="184" spans="1:46">
      <c r="A184" s="2939"/>
      <c r="B184" s="2944"/>
      <c r="C184" s="2944"/>
      <c r="D184" s="2944"/>
      <c r="E184" s="2942" t="s">
        <v>571</v>
      </c>
      <c r="F184" s="2944"/>
      <c r="G184" s="2944"/>
      <c r="H184" s="2944"/>
      <c r="I184" s="2944"/>
      <c r="J184" s="3355"/>
      <c r="K184" s="3354"/>
      <c r="L184" s="2944"/>
      <c r="M184" s="3181"/>
      <c r="N184" s="3184"/>
      <c r="O184" s="3181"/>
      <c r="P184" s="2150"/>
      <c r="Q184" s="2150"/>
      <c r="R184" s="2150"/>
      <c r="S184" s="2150"/>
      <c r="T184" s="2150"/>
      <c r="U184" s="2150"/>
      <c r="V184" s="2150"/>
      <c r="W184" s="2150"/>
      <c r="X184" s="2150"/>
      <c r="Y184" s="3362"/>
      <c r="Z184" s="2150"/>
      <c r="AA184" s="2150"/>
      <c r="AB184" s="2150"/>
      <c r="AC184" s="2150"/>
      <c r="AD184" s="2944"/>
      <c r="AE184" s="3353"/>
      <c r="AF184" s="3362"/>
      <c r="AG184" s="2150"/>
      <c r="AH184" s="2150"/>
      <c r="AI184" s="2150"/>
      <c r="AJ184" s="3356" t="str">
        <f>'Приложение '!C85</f>
        <v xml:space="preserve">Управител/Изп.директор: </v>
      </c>
      <c r="AK184" s="3357" t="str">
        <f>'Приложение '!D85</f>
        <v>.............................................</v>
      </c>
      <c r="AL184" s="2150"/>
      <c r="AM184" s="2150"/>
      <c r="AN184" s="2944"/>
      <c r="AO184" s="3353"/>
      <c r="AP184" s="3354"/>
      <c r="AQ184" s="3181"/>
      <c r="AR184" s="2150"/>
      <c r="AS184" s="2150"/>
      <c r="AT184" s="2150"/>
    </row>
    <row r="185" spans="1:46" ht="28.5" customHeight="1">
      <c r="A185" s="2939"/>
      <c r="B185" s="2944"/>
      <c r="C185" s="2944"/>
      <c r="D185" s="2944"/>
      <c r="E185" s="5433" t="s">
        <v>1555</v>
      </c>
      <c r="F185" s="5433"/>
      <c r="G185" s="5433"/>
      <c r="H185" s="5433"/>
      <c r="I185" s="5433"/>
      <c r="J185" s="5433"/>
      <c r="K185" s="5433"/>
      <c r="L185" s="5433"/>
      <c r="M185" s="5433"/>
      <c r="N185" s="5433"/>
      <c r="O185" s="5433"/>
      <c r="P185" s="5433"/>
      <c r="Q185" s="5433"/>
      <c r="R185" s="5433"/>
      <c r="S185" s="5433"/>
      <c r="T185" s="5433"/>
      <c r="U185" s="5433"/>
      <c r="V185" s="5433"/>
      <c r="W185" s="5433"/>
      <c r="X185" s="5433"/>
      <c r="Y185" s="5433"/>
      <c r="Z185" s="2150"/>
      <c r="AA185" s="2150"/>
      <c r="AB185" s="2150"/>
      <c r="AC185" s="2150"/>
      <c r="AD185" s="2944"/>
      <c r="AE185" s="3353"/>
      <c r="AF185" s="3362"/>
      <c r="AG185" s="2150"/>
      <c r="AH185" s="2150"/>
      <c r="AI185" s="2150"/>
      <c r="AJ185" s="2150"/>
      <c r="AK185" s="3361" t="str">
        <f>'Приложение '!D86</f>
        <v>(подпис и печат)</v>
      </c>
      <c r="AL185" s="2150"/>
      <c r="AM185" s="2150"/>
      <c r="AN185" s="2944"/>
      <c r="AO185" s="3353"/>
      <c r="AP185" s="3354"/>
      <c r="AQ185" s="3181"/>
      <c r="AR185" s="2150"/>
      <c r="AS185" s="2150"/>
      <c r="AT185" s="2150"/>
    </row>
    <row r="186" spans="1:46" ht="28.5" customHeight="1">
      <c r="B186" s="2937"/>
      <c r="C186" s="2937"/>
      <c r="D186" s="2937"/>
      <c r="E186" s="5433" t="s">
        <v>1545</v>
      </c>
      <c r="F186" s="5433"/>
      <c r="G186" s="5433"/>
      <c r="H186" s="5433"/>
      <c r="I186" s="5433"/>
      <c r="J186" s="5433"/>
      <c r="K186" s="5433"/>
      <c r="L186" s="5433"/>
      <c r="M186" s="5433"/>
      <c r="N186" s="5433"/>
      <c r="O186" s="5433"/>
      <c r="P186" s="5433"/>
      <c r="Q186" s="5433"/>
      <c r="R186" s="5433"/>
      <c r="S186" s="5433"/>
      <c r="T186" s="5433"/>
      <c r="U186" s="5433"/>
      <c r="V186" s="5433"/>
      <c r="W186" s="5433"/>
      <c r="X186" s="5433"/>
      <c r="Y186" s="5433"/>
      <c r="Z186" s="2150"/>
      <c r="AA186" s="2150"/>
      <c r="AB186" s="2150"/>
      <c r="AC186" s="2150"/>
      <c r="AD186" s="2937"/>
      <c r="AE186" s="3353"/>
      <c r="AF186" s="3362"/>
      <c r="AG186" s="2150"/>
      <c r="AH186" s="2150"/>
      <c r="AI186" s="2150"/>
      <c r="AJ186" s="2150"/>
      <c r="AK186" s="2150"/>
      <c r="AL186" s="2150"/>
      <c r="AM186" s="2150"/>
      <c r="AN186" s="2937"/>
      <c r="AO186" s="3353"/>
      <c r="AP186" s="3354"/>
      <c r="AQ186" s="3181"/>
      <c r="AR186" s="2150"/>
      <c r="AS186" s="2150"/>
      <c r="AT186" s="2150"/>
    </row>
    <row r="187" spans="1:46" ht="59.25" customHeight="1">
      <c r="B187" s="4525"/>
      <c r="C187" s="4525"/>
      <c r="D187" s="4525"/>
      <c r="E187" s="5433" t="s">
        <v>1546</v>
      </c>
      <c r="F187" s="5433"/>
      <c r="G187" s="5433"/>
      <c r="H187" s="5433"/>
      <c r="I187" s="5433"/>
      <c r="J187" s="5433"/>
      <c r="K187" s="5433"/>
      <c r="L187" s="5433"/>
      <c r="M187" s="5433"/>
      <c r="N187" s="5433"/>
      <c r="O187" s="5433"/>
      <c r="P187" s="5433"/>
      <c r="Q187" s="5433"/>
      <c r="R187" s="5433"/>
      <c r="S187" s="5433"/>
      <c r="T187" s="5433"/>
      <c r="U187" s="5433"/>
      <c r="V187" s="5433"/>
      <c r="W187" s="5433"/>
      <c r="X187" s="5433"/>
      <c r="Y187" s="5433"/>
      <c r="Z187" s="2150"/>
      <c r="AA187" s="2150"/>
      <c r="AB187" s="2150"/>
      <c r="AC187" s="2150"/>
      <c r="AD187" s="2944"/>
      <c r="AE187" s="2945"/>
      <c r="AF187" s="2944"/>
      <c r="AG187" s="2150"/>
      <c r="AH187" s="2150"/>
      <c r="AI187" s="2150"/>
      <c r="AJ187" s="2150"/>
      <c r="AK187" s="2944"/>
      <c r="AL187" s="2945"/>
      <c r="AM187" s="2944"/>
      <c r="AN187" s="3354"/>
      <c r="AO187" s="3363"/>
      <c r="AP187" s="3354"/>
      <c r="AQ187" s="3181"/>
      <c r="AR187" s="2150"/>
      <c r="AS187" s="2150"/>
      <c r="AT187" s="2150"/>
    </row>
    <row r="188" spans="1:46" ht="20.25" customHeight="1">
      <c r="B188" s="4525"/>
      <c r="C188" s="4525"/>
      <c r="D188" s="4525"/>
      <c r="E188" s="2942" t="s">
        <v>1069</v>
      </c>
      <c r="F188" s="4525"/>
      <c r="G188" s="4525"/>
      <c r="H188" s="4525"/>
      <c r="I188" s="4525"/>
      <c r="J188" s="4525"/>
      <c r="K188" s="4525"/>
      <c r="L188" s="4525"/>
      <c r="M188" s="4525"/>
      <c r="N188" s="4525"/>
      <c r="O188" s="4525"/>
      <c r="P188" s="4525"/>
      <c r="Q188" s="4525"/>
      <c r="R188" s="4525"/>
      <c r="S188" s="2150"/>
      <c r="T188" s="2150"/>
      <c r="U188" s="2150"/>
      <c r="V188" s="2150"/>
      <c r="W188" s="2944"/>
      <c r="X188" s="2944"/>
      <c r="Y188" s="3354"/>
      <c r="Z188" s="2150"/>
      <c r="AA188" s="2150"/>
      <c r="AB188" s="2150"/>
      <c r="AC188" s="2150"/>
      <c r="AD188" s="2944"/>
      <c r="AE188" s="2944"/>
      <c r="AF188" s="3354"/>
      <c r="AG188" s="2150"/>
      <c r="AH188" s="2150"/>
      <c r="AI188" s="2150"/>
      <c r="AJ188" s="2150"/>
      <c r="AK188" s="2944"/>
      <c r="AL188" s="2944"/>
      <c r="AM188" s="3354"/>
      <c r="AN188" s="3364"/>
      <c r="AO188" s="3181"/>
      <c r="AP188" s="2150"/>
      <c r="AQ188" s="2150"/>
      <c r="AR188" s="2150"/>
      <c r="AS188" s="2150"/>
      <c r="AT188" s="2150"/>
    </row>
    <row r="189" spans="1:46" ht="25.5" customHeight="1">
      <c r="B189" s="4525"/>
      <c r="C189" s="4525"/>
      <c r="D189" s="4525"/>
      <c r="E189" s="4525"/>
      <c r="F189" s="4525"/>
      <c r="G189" s="4525"/>
      <c r="H189" s="4525"/>
      <c r="I189" s="4525"/>
      <c r="J189" s="4525"/>
      <c r="K189" s="4525"/>
      <c r="L189" s="4525"/>
      <c r="M189" s="4525"/>
      <c r="N189" s="4525"/>
      <c r="O189" s="4525"/>
      <c r="P189" s="4525"/>
      <c r="Q189" s="4525"/>
      <c r="R189" s="4525"/>
      <c r="S189" s="3365"/>
      <c r="T189" s="2150"/>
      <c r="U189" s="2150"/>
      <c r="V189" s="2150"/>
      <c r="W189" s="2150"/>
      <c r="X189" s="2150"/>
      <c r="Y189" s="2150"/>
      <c r="Z189" s="2150"/>
      <c r="AA189" s="2150"/>
      <c r="AB189" s="2150"/>
      <c r="AC189" s="2150"/>
      <c r="AD189" s="2150"/>
      <c r="AE189" s="2150"/>
      <c r="AF189" s="2150"/>
      <c r="AG189" s="2150"/>
      <c r="AH189" s="2150"/>
      <c r="AI189" s="2150"/>
      <c r="AJ189" s="2150"/>
      <c r="AK189" s="2150"/>
      <c r="AL189" s="2150"/>
      <c r="AM189" s="2150"/>
      <c r="AN189" s="2150"/>
      <c r="AO189" s="2150"/>
      <c r="AP189" s="2150"/>
      <c r="AQ189" s="2150"/>
      <c r="AR189" s="2150"/>
      <c r="AS189" s="2150"/>
      <c r="AT189" s="2150"/>
    </row>
    <row r="190" spans="1:46" ht="54.75" customHeight="1">
      <c r="B190" s="4525"/>
      <c r="C190" s="4525"/>
      <c r="D190" s="4525"/>
      <c r="E190" s="4525"/>
      <c r="F190" s="4525"/>
      <c r="G190" s="4525"/>
      <c r="H190" s="4525"/>
      <c r="I190" s="4525"/>
      <c r="J190" s="4525"/>
      <c r="K190" s="4525"/>
      <c r="L190" s="4525"/>
      <c r="M190" s="4525"/>
      <c r="N190" s="4525"/>
      <c r="O190" s="4525"/>
      <c r="P190" s="4525"/>
      <c r="Q190" s="4525"/>
      <c r="R190" s="4525"/>
      <c r="S190" s="2150"/>
      <c r="T190" s="2150"/>
      <c r="U190" s="2150"/>
      <c r="V190" s="2150"/>
      <c r="W190" s="2150"/>
      <c r="X190" s="2150"/>
      <c r="Y190" s="2150"/>
      <c r="Z190" s="2150"/>
      <c r="AA190" s="2150"/>
      <c r="AB190" s="2150"/>
      <c r="AC190" s="2150"/>
      <c r="AD190" s="2150"/>
      <c r="AE190" s="2150"/>
      <c r="AF190" s="2150"/>
      <c r="AG190" s="2150"/>
      <c r="AH190" s="2150"/>
      <c r="AI190" s="2150"/>
      <c r="AJ190" s="2150"/>
      <c r="AK190" s="2150"/>
      <c r="AL190" s="2150"/>
      <c r="AM190" s="2150"/>
      <c r="AN190" s="2150"/>
      <c r="AO190" s="2150"/>
      <c r="AP190" s="2150"/>
      <c r="AQ190" s="2150"/>
      <c r="AR190" s="2150"/>
      <c r="AS190" s="2150"/>
      <c r="AT190" s="2150"/>
    </row>
    <row r="191" spans="1:46" ht="14.25" customHeight="1">
      <c r="B191" s="4525"/>
      <c r="C191" s="4525"/>
      <c r="D191" s="4525"/>
      <c r="E191" s="4525"/>
      <c r="F191" s="4525"/>
      <c r="G191" s="4525"/>
      <c r="H191" s="4525"/>
      <c r="I191" s="4525"/>
      <c r="J191" s="4525"/>
      <c r="K191" s="4525"/>
      <c r="L191" s="4525"/>
      <c r="M191" s="4525"/>
      <c r="N191" s="4525"/>
      <c r="O191" s="4525"/>
      <c r="P191" s="4525"/>
      <c r="Q191" s="4525"/>
      <c r="R191" s="4525"/>
      <c r="S191" s="2150"/>
      <c r="T191" s="2150"/>
      <c r="U191" s="2150"/>
      <c r="V191" s="2150"/>
      <c r="W191" s="2150"/>
      <c r="X191" s="2150"/>
      <c r="Y191" s="2150"/>
      <c r="Z191" s="2150"/>
      <c r="AA191" s="2150"/>
      <c r="AB191" s="2150"/>
      <c r="AC191" s="2150"/>
      <c r="AD191" s="2150"/>
      <c r="AE191" s="2150"/>
      <c r="AF191" s="2150"/>
      <c r="AG191" s="2150"/>
      <c r="AH191" s="2150"/>
      <c r="AI191" s="2150"/>
      <c r="AJ191" s="2150"/>
      <c r="AK191" s="2150"/>
      <c r="AL191" s="2150"/>
      <c r="AM191" s="2150"/>
      <c r="AN191" s="2150"/>
      <c r="AO191" s="2150"/>
      <c r="AP191" s="2150"/>
      <c r="AQ191" s="2150"/>
      <c r="AR191" s="2150"/>
      <c r="AS191" s="2150"/>
      <c r="AT191" s="2150"/>
    </row>
    <row r="192" spans="1:46" ht="60.75" customHeight="1"/>
    <row r="193" ht="20.25" customHeight="1"/>
  </sheetData>
  <sheetProtection algorithmName="SHA-512" hashValue="KlVSz9o+Hi0iqatg0cn83YCeNc5OqztHZ4lBxJ0RYGrkU0jhRayaFavJeUMEN02xuaVGz9+iAXeT3RqNfi1tig==" saltValue="XkQdAtpdvxEACylqsvH63w==" spinCount="100000" sheet="1" objects="1" scenarios="1" formatCells="0" formatColumns="0" formatRows="0"/>
  <mergeCells count="23">
    <mergeCell ref="E185:Y185"/>
    <mergeCell ref="E186:Y186"/>
    <mergeCell ref="E187:Y187"/>
    <mergeCell ref="A2:Y2"/>
    <mergeCell ref="A3:Y3"/>
    <mergeCell ref="T10:Y10"/>
    <mergeCell ref="A4:Y4"/>
    <mergeCell ref="A5:Y5"/>
    <mergeCell ref="AA10:AF10"/>
    <mergeCell ref="AH10:AM10"/>
    <mergeCell ref="AO10:AT10"/>
    <mergeCell ref="F10:K10"/>
    <mergeCell ref="M10:R10"/>
    <mergeCell ref="AN8:AT8"/>
    <mergeCell ref="D8:D9"/>
    <mergeCell ref="A8:A9"/>
    <mergeCell ref="E8:K8"/>
    <mergeCell ref="L8:R8"/>
    <mergeCell ref="S8:Y8"/>
    <mergeCell ref="B8:B9"/>
    <mergeCell ref="C8:C9"/>
    <mergeCell ref="Z8:AF8"/>
    <mergeCell ref="AG8:AM8"/>
  </mergeCells>
  <printOptions horizontalCentered="1"/>
  <pageMargins left="0" right="0" top="0.47244094488188981" bottom="0.23622047244094491" header="0.31496062992125984" footer="0.11811023622047245"/>
  <pageSetup paperSize="9" scale="67" orientation="landscape" r:id="rId1"/>
  <headerFooter alignWithMargins="0">
    <oddFooter>&amp;C&amp;A&amp;RСтр. &amp;P от &amp;N</oddFooter>
  </headerFooter>
  <rowBreaks count="3" manualBreakCount="3">
    <brk id="55" max="45" man="1"/>
    <brk id="108" max="45" man="1"/>
    <brk id="157" max="45" man="1"/>
  </rowBreaks>
  <colBreaks count="1" manualBreakCount="1">
    <brk id="25" max="190"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H501"/>
  <sheetViews>
    <sheetView view="pageBreakPreview" zoomScale="90" zoomScaleNormal="90" zoomScaleSheetLayoutView="90" workbookViewId="0">
      <pane xSplit="2" ySplit="10" topLeftCell="L11" activePane="bottomRight" state="frozen"/>
      <selection pane="topRight" activeCell="C1" sqref="C1"/>
      <selection pane="bottomLeft" activeCell="A11" sqref="A11"/>
      <selection pane="bottomRight" activeCell="AF24" sqref="AF24"/>
    </sheetView>
  </sheetViews>
  <sheetFormatPr defaultColWidth="9.140625" defaultRowHeight="15"/>
  <cols>
    <col min="1" max="1" width="5.85546875" style="49" customWidth="1"/>
    <col min="2" max="2" width="40" style="49" customWidth="1"/>
    <col min="3" max="3" width="6.85546875" style="50" customWidth="1"/>
    <col min="4" max="8" width="7" style="50" customWidth="1"/>
    <col min="9" max="9" width="8.140625" style="922" customWidth="1"/>
    <col min="10" max="10" width="8.7109375" style="50" customWidth="1"/>
    <col min="11" max="16" width="7" style="50" customWidth="1"/>
    <col min="17" max="17" width="8.28515625" style="922" customWidth="1"/>
    <col min="18" max="18" width="9.140625" style="50" customWidth="1"/>
    <col min="19" max="24" width="7" style="50" customWidth="1"/>
    <col min="25" max="25" width="8" style="922" customWidth="1"/>
    <col min="26" max="26" width="9.140625" style="50" customWidth="1"/>
    <col min="27" max="32" width="6.85546875" style="50" customWidth="1"/>
    <col min="33" max="33" width="8.28515625" style="922" customWidth="1"/>
    <col min="34" max="34" width="9.140625" style="50" customWidth="1"/>
    <col min="35" max="40" width="7" style="50" customWidth="1"/>
    <col min="41" max="41" width="7.7109375" style="922" customWidth="1"/>
    <col min="42" max="42" width="9.140625" style="50" customWidth="1"/>
    <col min="43" max="60" width="7" style="50" customWidth="1"/>
    <col min="61" max="16384" width="9.140625" style="721"/>
  </cols>
  <sheetData>
    <row r="1" spans="1:60">
      <c r="A1" s="772"/>
      <c r="B1" s="772"/>
      <c r="C1" s="3391"/>
      <c r="D1" s="3391"/>
      <c r="E1" s="3391"/>
      <c r="F1" s="3391"/>
      <c r="G1" s="3391"/>
      <c r="H1" s="3391"/>
      <c r="I1" s="3392"/>
      <c r="J1" s="3391"/>
      <c r="K1" s="3391"/>
      <c r="L1" s="3391"/>
      <c r="M1" s="3391"/>
      <c r="N1" s="3391"/>
      <c r="O1" s="3391"/>
      <c r="P1" s="3391"/>
      <c r="Q1" s="3392"/>
      <c r="R1" s="3391"/>
      <c r="S1" s="3391"/>
      <c r="T1" s="3391"/>
      <c r="U1" s="3391"/>
      <c r="V1" s="3391"/>
      <c r="W1" s="3391"/>
      <c r="X1" s="3391"/>
      <c r="Y1" s="3185" t="s">
        <v>193</v>
      </c>
      <c r="Z1" s="3391"/>
      <c r="AA1" s="3391"/>
      <c r="AB1" s="3391"/>
      <c r="AC1" s="3391"/>
      <c r="AD1" s="3391"/>
      <c r="AE1" s="3391"/>
      <c r="AF1" s="3391"/>
      <c r="AG1" s="3392"/>
      <c r="AH1" s="3391"/>
      <c r="AI1" s="3391"/>
      <c r="AJ1" s="3391"/>
      <c r="AK1" s="3391"/>
      <c r="AL1" s="3391"/>
      <c r="AM1" s="3391"/>
      <c r="AN1" s="3391"/>
      <c r="AO1" s="3392"/>
      <c r="AP1" s="3391"/>
      <c r="AQ1" s="3391"/>
      <c r="AR1" s="3391"/>
      <c r="AS1" s="3391"/>
      <c r="AT1" s="3391"/>
      <c r="AU1" s="3393"/>
      <c r="AV1" s="3394"/>
      <c r="AW1" s="3391"/>
      <c r="AX1" s="3391"/>
      <c r="AY1" s="3391"/>
      <c r="AZ1" s="3391"/>
      <c r="BA1" s="3391"/>
      <c r="BB1" s="3391"/>
      <c r="BC1" s="3391"/>
      <c r="BD1" s="3391"/>
      <c r="BE1" s="3391"/>
      <c r="BF1" s="3391"/>
      <c r="BG1" s="3391"/>
      <c r="BH1" s="3391"/>
    </row>
    <row r="2" spans="1:60" ht="18.75">
      <c r="A2" s="5411" t="s">
        <v>1412</v>
      </c>
      <c r="B2" s="5411"/>
      <c r="C2" s="5411"/>
      <c r="D2" s="5411"/>
      <c r="E2" s="5411"/>
      <c r="F2" s="5411"/>
      <c r="G2" s="5411"/>
      <c r="H2" s="5411"/>
      <c r="I2" s="5411"/>
      <c r="J2" s="5411"/>
      <c r="K2" s="5411"/>
      <c r="L2" s="5411"/>
      <c r="M2" s="5411"/>
      <c r="N2" s="5411"/>
      <c r="O2" s="5411"/>
      <c r="P2" s="5411"/>
      <c r="Q2" s="5411"/>
      <c r="R2" s="5411"/>
      <c r="S2" s="5411"/>
      <c r="T2" s="5411"/>
      <c r="U2" s="5411"/>
      <c r="V2" s="5411"/>
      <c r="W2" s="5411"/>
      <c r="X2" s="5411"/>
      <c r="Y2" s="5411"/>
      <c r="Z2" s="5411"/>
      <c r="AA2" s="722"/>
      <c r="AB2" s="722"/>
      <c r="AC2" s="722"/>
      <c r="AD2" s="722"/>
      <c r="AE2" s="722"/>
      <c r="AF2" s="722"/>
      <c r="AG2" s="941"/>
      <c r="AH2" s="722"/>
      <c r="AI2" s="722"/>
      <c r="AJ2" s="722"/>
      <c r="AK2" s="722"/>
      <c r="AL2" s="722"/>
      <c r="AM2" s="722"/>
      <c r="AN2" s="722"/>
      <c r="AO2" s="941"/>
      <c r="AP2" s="722"/>
      <c r="AQ2" s="722"/>
      <c r="AR2" s="722"/>
      <c r="AS2" s="722"/>
      <c r="AT2" s="722"/>
      <c r="AU2" s="722"/>
      <c r="AV2" s="722"/>
      <c r="AW2" s="722"/>
      <c r="AX2" s="722"/>
      <c r="AY2" s="722"/>
      <c r="AZ2" s="722"/>
      <c r="BA2" s="722"/>
      <c r="BB2" s="722"/>
      <c r="BC2" s="722"/>
      <c r="BD2" s="722"/>
      <c r="BE2" s="722"/>
      <c r="BF2" s="722"/>
      <c r="BG2" s="722"/>
      <c r="BH2" s="722"/>
    </row>
    <row r="3" spans="1:60" ht="18.75">
      <c r="A3" s="5411" t="s">
        <v>1413</v>
      </c>
      <c r="B3" s="5411"/>
      <c r="C3" s="5411"/>
      <c r="D3" s="5411"/>
      <c r="E3" s="5411"/>
      <c r="F3" s="5411"/>
      <c r="G3" s="5411"/>
      <c r="H3" s="5411"/>
      <c r="I3" s="5411"/>
      <c r="J3" s="5411"/>
      <c r="K3" s="5411"/>
      <c r="L3" s="5411"/>
      <c r="M3" s="5411"/>
      <c r="N3" s="5411"/>
      <c r="O3" s="5411"/>
      <c r="P3" s="5411"/>
      <c r="Q3" s="5411"/>
      <c r="R3" s="5411"/>
      <c r="S3" s="5411"/>
      <c r="T3" s="5411"/>
      <c r="U3" s="5411"/>
      <c r="V3" s="5411"/>
      <c r="W3" s="5411"/>
      <c r="X3" s="5411"/>
      <c r="Y3" s="5411"/>
      <c r="Z3" s="5411"/>
      <c r="AA3" s="3395"/>
      <c r="AB3" s="3395"/>
      <c r="AC3" s="3395"/>
      <c r="AD3" s="3395"/>
      <c r="AE3" s="3395"/>
      <c r="AF3" s="3395"/>
      <c r="AG3" s="3396"/>
      <c r="AH3" s="3395"/>
      <c r="AI3" s="3395"/>
      <c r="AJ3" s="3395"/>
      <c r="AK3" s="3395"/>
      <c r="AL3" s="3395"/>
      <c r="AM3" s="3395"/>
      <c r="AN3" s="3395"/>
      <c r="AO3" s="3396"/>
      <c r="AP3" s="3395"/>
      <c r="AQ3" s="3395"/>
      <c r="AR3" s="3395"/>
      <c r="AS3" s="3395"/>
      <c r="AT3" s="3395"/>
      <c r="AU3" s="3395"/>
      <c r="AV3" s="3395"/>
      <c r="AW3" s="3395"/>
      <c r="AX3" s="3395"/>
      <c r="AY3" s="3395"/>
      <c r="AZ3" s="3395"/>
      <c r="BA3" s="3395"/>
      <c r="BB3" s="3395"/>
      <c r="BC3" s="3395"/>
      <c r="BD3" s="3395"/>
      <c r="BE3" s="3395"/>
      <c r="BF3" s="3395"/>
      <c r="BG3" s="3395"/>
      <c r="BH3" s="3395"/>
    </row>
    <row r="4" spans="1:60" ht="15.75">
      <c r="A4" s="5435" t="str">
        <f>'1. Обща информация'!A4:D4</f>
        <v>на "Водоснабдяване и канализаиця"ООД, гр. Перник</v>
      </c>
      <c r="B4" s="5435"/>
      <c r="C4" s="5435"/>
      <c r="D4" s="5435"/>
      <c r="E4" s="5435"/>
      <c r="F4" s="5435"/>
      <c r="G4" s="5435"/>
      <c r="H4" s="5435"/>
      <c r="I4" s="5435"/>
      <c r="J4" s="5435"/>
      <c r="K4" s="5435"/>
      <c r="L4" s="5435"/>
      <c r="M4" s="5435"/>
      <c r="N4" s="5435"/>
      <c r="O4" s="5435"/>
      <c r="P4" s="5435"/>
      <c r="Q4" s="5435"/>
      <c r="R4" s="5435"/>
      <c r="S4" s="5435"/>
      <c r="T4" s="5435"/>
      <c r="U4" s="5435"/>
      <c r="V4" s="5435"/>
      <c r="W4" s="5435"/>
      <c r="X4" s="5435"/>
      <c r="Y4" s="5435"/>
      <c r="Z4" s="5435"/>
      <c r="AA4" s="3395"/>
      <c r="AB4" s="3395"/>
      <c r="AC4" s="3395"/>
      <c r="AD4" s="3395"/>
      <c r="AE4" s="3395"/>
      <c r="AF4" s="3395"/>
      <c r="AG4" s="3396"/>
      <c r="AH4" s="3395"/>
      <c r="AI4" s="3397"/>
      <c r="AJ4" s="3397"/>
      <c r="AK4" s="3397"/>
      <c r="AL4" s="3397"/>
      <c r="AM4" s="3397"/>
      <c r="AN4" s="3397"/>
      <c r="AO4" s="3396"/>
      <c r="AP4" s="3395"/>
      <c r="AQ4" s="3395"/>
      <c r="AR4" s="3395"/>
      <c r="AS4" s="3395"/>
      <c r="AT4" s="3395"/>
      <c r="AU4" s="3395"/>
      <c r="AV4" s="3395"/>
      <c r="AW4" s="3397"/>
      <c r="AX4" s="3397"/>
      <c r="AY4" s="3397"/>
      <c r="AZ4" s="3397"/>
      <c r="BA4" s="3397"/>
      <c r="BB4" s="3397"/>
      <c r="BC4" s="3397"/>
      <c r="BD4" s="3397"/>
      <c r="BE4" s="3397"/>
      <c r="BF4" s="3397"/>
      <c r="BG4" s="3397"/>
      <c r="BH4" s="3397"/>
    </row>
    <row r="5" spans="1:60" ht="15.75">
      <c r="A5" s="5435" t="str">
        <f>'1. Обща информация'!A5:D5</f>
        <v>ЕИК по БУЛСТАТ: 823073638</v>
      </c>
      <c r="B5" s="5435"/>
      <c r="C5" s="5435"/>
      <c r="D5" s="5435"/>
      <c r="E5" s="5435"/>
      <c r="F5" s="5435"/>
      <c r="G5" s="5435"/>
      <c r="H5" s="5435"/>
      <c r="I5" s="5435"/>
      <c r="J5" s="5435"/>
      <c r="K5" s="5435"/>
      <c r="L5" s="5435"/>
      <c r="M5" s="5435"/>
      <c r="N5" s="5435"/>
      <c r="O5" s="5435"/>
      <c r="P5" s="5435"/>
      <c r="Q5" s="5435"/>
      <c r="R5" s="5435"/>
      <c r="S5" s="5435"/>
      <c r="T5" s="5435"/>
      <c r="U5" s="5435"/>
      <c r="V5" s="5435"/>
      <c r="W5" s="5435"/>
      <c r="X5" s="5435"/>
      <c r="Y5" s="5435"/>
      <c r="Z5" s="5435"/>
      <c r="AA5" s="3186"/>
      <c r="AB5" s="3186"/>
      <c r="AC5" s="3186"/>
      <c r="AD5" s="3186"/>
      <c r="AE5" s="3186"/>
      <c r="AF5" s="3186"/>
      <c r="AG5" s="3398"/>
      <c r="AH5" s="3186"/>
      <c r="AI5" s="3399"/>
      <c r="AJ5" s="3399"/>
      <c r="AK5" s="3399"/>
      <c r="AL5" s="3399"/>
      <c r="AM5" s="3399"/>
      <c r="AN5" s="3399"/>
      <c r="AO5" s="3398"/>
      <c r="AP5" s="3186"/>
      <c r="AQ5" s="3186"/>
      <c r="AR5" s="3186"/>
      <c r="AS5" s="3186"/>
      <c r="AT5" s="3186"/>
      <c r="AU5" s="3186"/>
      <c r="AV5" s="3186"/>
      <c r="AW5" s="3399"/>
      <c r="AX5" s="3399"/>
      <c r="AY5" s="3399"/>
      <c r="AZ5" s="3399"/>
      <c r="BA5" s="3399"/>
      <c r="BB5" s="3399"/>
      <c r="BC5" s="3399"/>
      <c r="BD5" s="3399"/>
      <c r="BE5" s="3399"/>
      <c r="BF5" s="3399"/>
      <c r="BG5" s="3399"/>
      <c r="BH5" s="3399"/>
    </row>
    <row r="6" spans="1:60">
      <c r="A6" s="725"/>
      <c r="B6" s="725"/>
      <c r="C6" s="725"/>
      <c r="D6" s="725"/>
      <c r="E6" s="725"/>
      <c r="F6" s="725"/>
      <c r="G6" s="725"/>
      <c r="H6" s="725"/>
      <c r="I6" s="3400"/>
      <c r="J6" s="3401"/>
      <c r="K6" s="725"/>
      <c r="L6" s="3401"/>
      <c r="M6" s="3401"/>
      <c r="N6" s="3401"/>
      <c r="O6" s="3401"/>
      <c r="P6" s="3401"/>
      <c r="Q6" s="3400"/>
      <c r="R6" s="3401"/>
      <c r="S6" s="3401"/>
      <c r="T6" s="3401"/>
      <c r="U6" s="3401"/>
      <c r="V6" s="3401"/>
      <c r="W6" s="3401"/>
      <c r="X6" s="3401"/>
      <c r="Y6" s="3400"/>
      <c r="Z6" s="3401"/>
      <c r="AA6" s="3401"/>
      <c r="AB6" s="3401"/>
      <c r="AC6" s="3401"/>
      <c r="AD6" s="3401"/>
      <c r="AE6" s="3401"/>
      <c r="AF6" s="3401"/>
      <c r="AG6" s="3400"/>
      <c r="AH6" s="3401"/>
      <c r="AI6" s="3402"/>
      <c r="AJ6" s="3402"/>
      <c r="AK6" s="3402"/>
      <c r="AL6" s="3402"/>
      <c r="AM6" s="3402"/>
      <c r="AN6" s="3402"/>
      <c r="AO6" s="3400"/>
      <c r="AP6" s="3401"/>
      <c r="AQ6" s="3401"/>
      <c r="AR6" s="3401"/>
      <c r="AS6" s="3401"/>
      <c r="AT6" s="3401"/>
      <c r="AU6" s="3401"/>
      <c r="AV6" s="3401"/>
      <c r="AW6" s="3402"/>
      <c r="AX6" s="3402"/>
      <c r="AY6" s="3402"/>
      <c r="AZ6" s="3402"/>
      <c r="BA6" s="3402"/>
      <c r="BB6" s="3402"/>
      <c r="BC6" s="3402"/>
      <c r="BD6" s="3402"/>
      <c r="BE6" s="3402"/>
      <c r="BF6" s="3402"/>
      <c r="BG6" s="3402"/>
      <c r="BH6" s="3402"/>
    </row>
    <row r="7" spans="1:60" ht="15.75" thickBot="1">
      <c r="A7" s="726"/>
      <c r="B7" s="726"/>
      <c r="C7" s="727"/>
      <c r="D7" s="728"/>
      <c r="E7" s="728"/>
      <c r="F7" s="729"/>
      <c r="G7" s="725"/>
      <c r="H7" s="725"/>
      <c r="I7" s="3392"/>
      <c r="J7" s="3391"/>
      <c r="K7" s="725"/>
      <c r="L7" s="728"/>
      <c r="M7" s="728"/>
      <c r="N7" s="728"/>
      <c r="O7" s="728"/>
      <c r="P7" s="3391"/>
      <c r="Q7" s="3392"/>
      <c r="R7" s="3391"/>
      <c r="S7" s="3391"/>
      <c r="T7" s="3391"/>
      <c r="U7" s="3391"/>
      <c r="V7" s="3391"/>
      <c r="W7" s="3391"/>
      <c r="X7" s="728"/>
      <c r="Y7" s="3403" t="s">
        <v>194</v>
      </c>
      <c r="Z7" s="3391"/>
      <c r="AA7" s="3391"/>
      <c r="AB7" s="3391"/>
      <c r="AC7" s="3391"/>
      <c r="AD7" s="3391"/>
      <c r="AE7" s="3391"/>
      <c r="AF7" s="728"/>
      <c r="AG7" s="3392"/>
      <c r="AH7" s="3391"/>
      <c r="AI7" s="3404"/>
      <c r="AJ7" s="3404"/>
      <c r="AK7" s="3404"/>
      <c r="AL7" s="3404"/>
      <c r="AM7" s="3404"/>
      <c r="AN7" s="730"/>
      <c r="AO7" s="3392"/>
      <c r="AP7" s="3391"/>
      <c r="AQ7" s="728"/>
      <c r="AR7" s="728"/>
      <c r="AS7" s="728"/>
      <c r="AT7" s="728"/>
      <c r="AU7" s="731"/>
      <c r="AV7" s="3391"/>
      <c r="AW7" s="3404"/>
      <c r="AX7" s="3404"/>
      <c r="AY7" s="3404"/>
      <c r="AZ7" s="3404"/>
      <c r="BA7" s="3404"/>
      <c r="BB7" s="730"/>
      <c r="BC7" s="3404"/>
      <c r="BD7" s="3404"/>
      <c r="BE7" s="3404"/>
      <c r="BF7" s="3404"/>
      <c r="BG7" s="3404"/>
      <c r="BH7" s="730"/>
    </row>
    <row r="8" spans="1:60" ht="15.75" customHeight="1" thickBot="1">
      <c r="A8" s="5447" t="s">
        <v>1</v>
      </c>
      <c r="B8" s="5446" t="s">
        <v>228</v>
      </c>
      <c r="C8" s="5450" t="s">
        <v>229</v>
      </c>
      <c r="D8" s="5451"/>
      <c r="E8" s="5451"/>
      <c r="F8" s="5451"/>
      <c r="G8" s="5451"/>
      <c r="H8" s="5451"/>
      <c r="I8" s="5451"/>
      <c r="J8" s="5451"/>
      <c r="K8" s="5451"/>
      <c r="L8" s="5451"/>
      <c r="M8" s="5451"/>
      <c r="N8" s="5451"/>
      <c r="O8" s="5451"/>
      <c r="P8" s="5451"/>
      <c r="Q8" s="5451"/>
      <c r="R8" s="5451"/>
      <c r="S8" s="5451"/>
      <c r="T8" s="5451"/>
      <c r="U8" s="5451"/>
      <c r="V8" s="5451"/>
      <c r="W8" s="5451"/>
      <c r="X8" s="5451"/>
      <c r="Y8" s="5451"/>
      <c r="Z8" s="5451"/>
      <c r="AA8" s="5451"/>
      <c r="AB8" s="5451"/>
      <c r="AC8" s="5451"/>
      <c r="AD8" s="5451"/>
      <c r="AE8" s="5451"/>
      <c r="AF8" s="5451"/>
      <c r="AG8" s="5451"/>
      <c r="AH8" s="5451"/>
      <c r="AI8" s="5451"/>
      <c r="AJ8" s="5451"/>
      <c r="AK8" s="5451"/>
      <c r="AL8" s="5451"/>
      <c r="AM8" s="5451"/>
      <c r="AN8" s="5451"/>
      <c r="AO8" s="5451"/>
      <c r="AP8" s="5452"/>
      <c r="AQ8" s="5376" t="s">
        <v>230</v>
      </c>
      <c r="AR8" s="5377"/>
      <c r="AS8" s="5377"/>
      <c r="AT8" s="5377"/>
      <c r="AU8" s="5377"/>
      <c r="AV8" s="5378"/>
      <c r="AW8" s="5376" t="s">
        <v>1276</v>
      </c>
      <c r="AX8" s="5377"/>
      <c r="AY8" s="5377"/>
      <c r="AZ8" s="5377"/>
      <c r="BA8" s="5377"/>
      <c r="BB8" s="5378"/>
      <c r="BC8" s="5376" t="s">
        <v>1277</v>
      </c>
      <c r="BD8" s="5377"/>
      <c r="BE8" s="5377"/>
      <c r="BF8" s="5377"/>
      <c r="BG8" s="5377"/>
      <c r="BH8" s="5378"/>
    </row>
    <row r="9" spans="1:60" ht="15.75" customHeight="1" thickBot="1">
      <c r="A9" s="5456"/>
      <c r="B9" s="5458"/>
      <c r="C9" s="5453" t="s">
        <v>212</v>
      </c>
      <c r="D9" s="5454"/>
      <c r="E9" s="5454"/>
      <c r="F9" s="5454"/>
      <c r="G9" s="5454"/>
      <c r="H9" s="5454"/>
      <c r="I9" s="5454"/>
      <c r="J9" s="5455"/>
      <c r="K9" s="5450" t="s">
        <v>213</v>
      </c>
      <c r="L9" s="5451"/>
      <c r="M9" s="5451"/>
      <c r="N9" s="5451"/>
      <c r="O9" s="5451"/>
      <c r="P9" s="5451"/>
      <c r="Q9" s="5451"/>
      <c r="R9" s="5452"/>
      <c r="S9" s="5450" t="s">
        <v>214</v>
      </c>
      <c r="T9" s="5451"/>
      <c r="U9" s="5451"/>
      <c r="V9" s="5451"/>
      <c r="W9" s="5451"/>
      <c r="X9" s="5451"/>
      <c r="Y9" s="5451"/>
      <c r="Z9" s="5452"/>
      <c r="AA9" s="5450" t="s">
        <v>1236</v>
      </c>
      <c r="AB9" s="5451"/>
      <c r="AC9" s="5451"/>
      <c r="AD9" s="5451"/>
      <c r="AE9" s="5451"/>
      <c r="AF9" s="5451"/>
      <c r="AG9" s="5451"/>
      <c r="AH9" s="5452"/>
      <c r="AI9" s="5450" t="s">
        <v>1237</v>
      </c>
      <c r="AJ9" s="5451"/>
      <c r="AK9" s="5451"/>
      <c r="AL9" s="5451"/>
      <c r="AM9" s="5451"/>
      <c r="AN9" s="5451"/>
      <c r="AO9" s="5451"/>
      <c r="AP9" s="5452"/>
      <c r="AQ9" s="5412"/>
      <c r="AR9" s="5436"/>
      <c r="AS9" s="5436"/>
      <c r="AT9" s="5436"/>
      <c r="AU9" s="5436"/>
      <c r="AV9" s="5437"/>
      <c r="AW9" s="5412"/>
      <c r="AX9" s="5436"/>
      <c r="AY9" s="5436"/>
      <c r="AZ9" s="5436"/>
      <c r="BA9" s="5436"/>
      <c r="BB9" s="5437"/>
      <c r="BC9" s="5412"/>
      <c r="BD9" s="5436"/>
      <c r="BE9" s="5436"/>
      <c r="BF9" s="5436"/>
      <c r="BG9" s="5436"/>
      <c r="BH9" s="5437"/>
    </row>
    <row r="10" spans="1:60" ht="60.75" thickBot="1">
      <c r="A10" s="5457"/>
      <c r="B10" s="5459"/>
      <c r="C10" s="732" t="str">
        <f>'Приложение '!C12</f>
        <v>2020 г.</v>
      </c>
      <c r="D10" s="733" t="str">
        <f>'Приложение '!C14</f>
        <v>2022 г.</v>
      </c>
      <c r="E10" s="734" t="str">
        <f>'Приложение '!C15</f>
        <v>2023 г.</v>
      </c>
      <c r="F10" s="734" t="str">
        <f>'Приложение '!C16</f>
        <v>2024 г.</v>
      </c>
      <c r="G10" s="734" t="str">
        <f>'Приложение '!C17</f>
        <v>2025 г.</v>
      </c>
      <c r="H10" s="769" t="str">
        <f>'Приложение '!C18</f>
        <v>2026 г.</v>
      </c>
      <c r="I10" s="929" t="s">
        <v>1272</v>
      </c>
      <c r="J10" s="897" t="s">
        <v>1273</v>
      </c>
      <c r="K10" s="732" t="str">
        <f t="shared" ref="K10:P10" si="0">C10</f>
        <v>2020 г.</v>
      </c>
      <c r="L10" s="733" t="str">
        <f t="shared" si="0"/>
        <v>2022 г.</v>
      </c>
      <c r="M10" s="733" t="str">
        <f t="shared" si="0"/>
        <v>2023 г.</v>
      </c>
      <c r="N10" s="733" t="str">
        <f t="shared" si="0"/>
        <v>2024 г.</v>
      </c>
      <c r="O10" s="733" t="str">
        <f t="shared" si="0"/>
        <v>2025 г.</v>
      </c>
      <c r="P10" s="770" t="str">
        <f t="shared" si="0"/>
        <v>2026 г.</v>
      </c>
      <c r="Q10" s="929" t="s">
        <v>1272</v>
      </c>
      <c r="R10" s="897" t="s">
        <v>1273</v>
      </c>
      <c r="S10" s="732" t="str">
        <f t="shared" ref="S10:X10" si="1">K10</f>
        <v>2020 г.</v>
      </c>
      <c r="T10" s="1737" t="str">
        <f t="shared" si="1"/>
        <v>2022 г.</v>
      </c>
      <c r="U10" s="1737" t="str">
        <f t="shared" si="1"/>
        <v>2023 г.</v>
      </c>
      <c r="V10" s="1737" t="str">
        <f t="shared" si="1"/>
        <v>2024 г.</v>
      </c>
      <c r="W10" s="1737" t="str">
        <f t="shared" si="1"/>
        <v>2025 г.</v>
      </c>
      <c r="X10" s="771" t="str">
        <f t="shared" si="1"/>
        <v>2026 г.</v>
      </c>
      <c r="Y10" s="929" t="s">
        <v>1272</v>
      </c>
      <c r="Z10" s="897" t="s">
        <v>1273</v>
      </c>
      <c r="AA10" s="732" t="str">
        <f t="shared" ref="AA10:AF10" si="2">S10</f>
        <v>2020 г.</v>
      </c>
      <c r="AB10" s="1737" t="str">
        <f t="shared" si="2"/>
        <v>2022 г.</v>
      </c>
      <c r="AC10" s="1737" t="str">
        <f t="shared" si="2"/>
        <v>2023 г.</v>
      </c>
      <c r="AD10" s="1737" t="str">
        <f t="shared" si="2"/>
        <v>2024 г.</v>
      </c>
      <c r="AE10" s="1737" t="str">
        <f t="shared" si="2"/>
        <v>2025 г.</v>
      </c>
      <c r="AF10" s="771" t="str">
        <f t="shared" si="2"/>
        <v>2026 г.</v>
      </c>
      <c r="AG10" s="929" t="s">
        <v>1272</v>
      </c>
      <c r="AH10" s="897" t="s">
        <v>1273</v>
      </c>
      <c r="AI10" s="732" t="str">
        <f t="shared" ref="AI10:AN10" si="3">AA10</f>
        <v>2020 г.</v>
      </c>
      <c r="AJ10" s="1737" t="str">
        <f t="shared" si="3"/>
        <v>2022 г.</v>
      </c>
      <c r="AK10" s="1737" t="str">
        <f t="shared" si="3"/>
        <v>2023 г.</v>
      </c>
      <c r="AL10" s="1737" t="str">
        <f t="shared" si="3"/>
        <v>2024 г.</v>
      </c>
      <c r="AM10" s="1737" t="str">
        <f t="shared" si="3"/>
        <v>2025 г.</v>
      </c>
      <c r="AN10" s="735" t="str">
        <f t="shared" si="3"/>
        <v>2026 г.</v>
      </c>
      <c r="AO10" s="929" t="s">
        <v>1272</v>
      </c>
      <c r="AP10" s="897" t="s">
        <v>1273</v>
      </c>
      <c r="AQ10" s="732" t="str">
        <f t="shared" ref="AQ10:AV10" si="4">S10</f>
        <v>2020 г.</v>
      </c>
      <c r="AR10" s="4522" t="str">
        <f t="shared" si="4"/>
        <v>2022 г.</v>
      </c>
      <c r="AS10" s="4522" t="str">
        <f t="shared" si="4"/>
        <v>2023 г.</v>
      </c>
      <c r="AT10" s="4522" t="str">
        <f t="shared" si="4"/>
        <v>2024 г.</v>
      </c>
      <c r="AU10" s="4522" t="str">
        <f t="shared" si="4"/>
        <v>2025 г.</v>
      </c>
      <c r="AV10" s="735" t="str">
        <f t="shared" si="4"/>
        <v>2026 г.</v>
      </c>
      <c r="AW10" s="732" t="s">
        <v>119</v>
      </c>
      <c r="AX10" s="1737" t="s">
        <v>1072</v>
      </c>
      <c r="AY10" s="1737" t="s">
        <v>1073</v>
      </c>
      <c r="AZ10" s="1737" t="s">
        <v>1074</v>
      </c>
      <c r="BA10" s="1737" t="s">
        <v>1075</v>
      </c>
      <c r="BB10" s="735" t="s">
        <v>1076</v>
      </c>
      <c r="BC10" s="732" t="s">
        <v>119</v>
      </c>
      <c r="BD10" s="1737" t="s">
        <v>1072</v>
      </c>
      <c r="BE10" s="1737" t="s">
        <v>1073</v>
      </c>
      <c r="BF10" s="1737" t="s">
        <v>1074</v>
      </c>
      <c r="BG10" s="1737" t="s">
        <v>1075</v>
      </c>
      <c r="BH10" s="735" t="s">
        <v>1076</v>
      </c>
    </row>
    <row r="11" spans="1:60" ht="13.5" thickBot="1">
      <c r="A11" s="119" t="s">
        <v>145</v>
      </c>
      <c r="B11" s="981" t="s">
        <v>231</v>
      </c>
      <c r="C11" s="1200">
        <f>SUM(C12:C28)-C12-C18-C25</f>
        <v>3781.6379999999999</v>
      </c>
      <c r="D11" s="993">
        <f t="shared" ref="D11:AV11" si="5">SUM(D12:D28)-D12-D18-D25</f>
        <v>3359.6793358316327</v>
      </c>
      <c r="E11" s="1237">
        <f t="shared" si="5"/>
        <v>2631.3140938286688</v>
      </c>
      <c r="F11" s="1237">
        <f t="shared" si="5"/>
        <v>2332.2694554728359</v>
      </c>
      <c r="G11" s="1237">
        <f t="shared" si="5"/>
        <v>2153.2443084428146</v>
      </c>
      <c r="H11" s="1240">
        <f t="shared" si="5"/>
        <v>2037.0486936729039</v>
      </c>
      <c r="I11" s="1343">
        <f t="shared" ref="I11:I42" si="6">H11-C11</f>
        <v>-1744.589306327096</v>
      </c>
      <c r="J11" s="898">
        <f t="shared" ref="J11:J42" si="7">IFERROR((H11-C11)/C11,0)</f>
        <v>-0.46133165213780275</v>
      </c>
      <c r="K11" s="1200">
        <f t="shared" si="5"/>
        <v>48.750000000000014</v>
      </c>
      <c r="L11" s="993">
        <f t="shared" si="5"/>
        <v>107.99999999999999</v>
      </c>
      <c r="M11" s="1237">
        <f t="shared" si="5"/>
        <v>107.99999999999999</v>
      </c>
      <c r="N11" s="1237">
        <f t="shared" si="5"/>
        <v>334.306740558</v>
      </c>
      <c r="O11" s="1237">
        <f t="shared" si="5"/>
        <v>334.306740558</v>
      </c>
      <c r="P11" s="1240">
        <f t="shared" si="5"/>
        <v>334.306740558</v>
      </c>
      <c r="Q11" s="1343">
        <f t="shared" ref="Q11:Q42" si="8">P11-K11</f>
        <v>285.556740558</v>
      </c>
      <c r="R11" s="962">
        <f t="shared" ref="R11:R42" si="9">IFERROR((P11-K11)/K11,0)</f>
        <v>5.8575741652923057</v>
      </c>
      <c r="S11" s="1200">
        <f t="shared" si="5"/>
        <v>423.86599999999993</v>
      </c>
      <c r="T11" s="993">
        <f t="shared" si="5"/>
        <v>388.06920526088635</v>
      </c>
      <c r="U11" s="1237">
        <f t="shared" si="5"/>
        <v>375.90376992176806</v>
      </c>
      <c r="V11" s="1237">
        <f t="shared" si="5"/>
        <v>909.94066971671509</v>
      </c>
      <c r="W11" s="1237">
        <f t="shared" si="5"/>
        <v>845.00512089168387</v>
      </c>
      <c r="X11" s="1240">
        <f t="shared" si="5"/>
        <v>816.33010695074086</v>
      </c>
      <c r="Y11" s="1343">
        <f t="shared" ref="Y11:Y42" si="10">X11-S11</f>
        <v>392.46410695074093</v>
      </c>
      <c r="Z11" s="962">
        <f t="shared" ref="Z11:Z42" si="11">IFERROR((X11-S11)/S11,0)</f>
        <v>0.92591551799564242</v>
      </c>
      <c r="AA11" s="1200">
        <f t="shared" ref="AA11:AN11" si="12">SUM(AA12:AA28)-AA12-AA18-AA25</f>
        <v>0.77600000000000002</v>
      </c>
      <c r="AB11" s="993">
        <f t="shared" si="12"/>
        <v>120.32575261600002</v>
      </c>
      <c r="AC11" s="1237">
        <f t="shared" si="12"/>
        <v>113.70416233600001</v>
      </c>
      <c r="AD11" s="1237">
        <f t="shared" si="12"/>
        <v>99.203545177999985</v>
      </c>
      <c r="AE11" s="1237">
        <f t="shared" si="12"/>
        <v>101.788307796</v>
      </c>
      <c r="AF11" s="1240">
        <f t="shared" si="12"/>
        <v>95.940926466000008</v>
      </c>
      <c r="AG11" s="1343">
        <f t="shared" ref="AG11:AG42" si="13">AF11-AA11</f>
        <v>95.164926466000011</v>
      </c>
      <c r="AH11" s="898">
        <f t="shared" ref="AH11:AH42" si="14">IFERROR((AF11-AA11)/AA11,0)</f>
        <v>122.63521451804125</v>
      </c>
      <c r="AI11" s="1200">
        <f t="shared" si="12"/>
        <v>0</v>
      </c>
      <c r="AJ11" s="993">
        <f t="shared" si="12"/>
        <v>0</v>
      </c>
      <c r="AK11" s="1237">
        <f t="shared" si="12"/>
        <v>0</v>
      </c>
      <c r="AL11" s="1237">
        <f t="shared" si="12"/>
        <v>0</v>
      </c>
      <c r="AM11" s="1237">
        <f t="shared" si="12"/>
        <v>0</v>
      </c>
      <c r="AN11" s="2987">
        <f t="shared" si="12"/>
        <v>0</v>
      </c>
      <c r="AO11" s="1343">
        <f t="shared" ref="AO11:AO42" si="15">AN11-AI11</f>
        <v>0</v>
      </c>
      <c r="AP11" s="898">
        <f t="shared" ref="AP11:AP42" si="16">IFERROR((AN11-AI11)/AI11,0)</f>
        <v>0</v>
      </c>
      <c r="AQ11" s="1200">
        <f t="shared" si="5"/>
        <v>38.491357999999991</v>
      </c>
      <c r="AR11" s="993">
        <f t="shared" si="5"/>
        <v>40.591358</v>
      </c>
      <c r="AS11" s="1237">
        <f t="shared" si="5"/>
        <v>40.591358</v>
      </c>
      <c r="AT11" s="1237">
        <f t="shared" si="5"/>
        <v>40.591358</v>
      </c>
      <c r="AU11" s="1237">
        <f t="shared" si="5"/>
        <v>40.591358</v>
      </c>
      <c r="AV11" s="2987">
        <f t="shared" si="5"/>
        <v>40.591358</v>
      </c>
      <c r="AW11" s="1200">
        <f t="shared" ref="AW11:BB11" si="17">SUM(AW12:AW28)-AW12-AW18-AW25</f>
        <v>4255.03</v>
      </c>
      <c r="AX11" s="993">
        <f t="shared" si="17"/>
        <v>3976.0742937085201</v>
      </c>
      <c r="AY11" s="1237">
        <f t="shared" si="17"/>
        <v>3228.9220260864377</v>
      </c>
      <c r="AZ11" s="1237">
        <f t="shared" si="17"/>
        <v>3675.7204109255513</v>
      </c>
      <c r="BA11" s="1237">
        <f t="shared" si="17"/>
        <v>3434.344477688498</v>
      </c>
      <c r="BB11" s="2987">
        <f t="shared" si="17"/>
        <v>3283.6264676476444</v>
      </c>
      <c r="BC11" s="1200">
        <f t="shared" ref="BC11:BH11" si="18">SUM(BC12:BC28)-BC12-BC18-BC25</f>
        <v>3782.4140000000002</v>
      </c>
      <c r="BD11" s="993">
        <f t="shared" si="18"/>
        <v>3480.0050884476323</v>
      </c>
      <c r="BE11" s="1237">
        <f t="shared" si="18"/>
        <v>2745.0182561646684</v>
      </c>
      <c r="BF11" s="1237">
        <f t="shared" si="18"/>
        <v>2431.4730006508353</v>
      </c>
      <c r="BG11" s="1237">
        <f t="shared" si="18"/>
        <v>2255.0326162388146</v>
      </c>
      <c r="BH11" s="2987">
        <f t="shared" si="18"/>
        <v>2132.9896201389033</v>
      </c>
    </row>
    <row r="12" spans="1:60" ht="12.75">
      <c r="A12" s="118" t="s">
        <v>93</v>
      </c>
      <c r="B12" s="982" t="s">
        <v>232</v>
      </c>
      <c r="C12" s="1279">
        <f>SUM(C13:C16)</f>
        <v>84</v>
      </c>
      <c r="D12" s="1220">
        <f t="shared" ref="D12:AV12" si="19">SUM(D13:D16)</f>
        <v>62.563000000000002</v>
      </c>
      <c r="E12" s="1221">
        <f t="shared" si="19"/>
        <v>63</v>
      </c>
      <c r="F12" s="1221">
        <f t="shared" si="19"/>
        <v>63</v>
      </c>
      <c r="G12" s="1221">
        <f t="shared" si="19"/>
        <v>63</v>
      </c>
      <c r="H12" s="1234">
        <f t="shared" si="19"/>
        <v>63</v>
      </c>
      <c r="I12" s="1344">
        <f t="shared" si="6"/>
        <v>-21</v>
      </c>
      <c r="J12" s="899">
        <f t="shared" si="7"/>
        <v>-0.25</v>
      </c>
      <c r="K12" s="1279">
        <f t="shared" si="19"/>
        <v>0</v>
      </c>
      <c r="L12" s="1220">
        <f t="shared" si="19"/>
        <v>0</v>
      </c>
      <c r="M12" s="1221">
        <f t="shared" si="19"/>
        <v>0</v>
      </c>
      <c r="N12" s="1221">
        <f t="shared" si="19"/>
        <v>0</v>
      </c>
      <c r="O12" s="1221">
        <f t="shared" si="19"/>
        <v>0</v>
      </c>
      <c r="P12" s="1234">
        <f t="shared" si="19"/>
        <v>0</v>
      </c>
      <c r="Q12" s="1344">
        <f t="shared" si="8"/>
        <v>0</v>
      </c>
      <c r="R12" s="963">
        <f t="shared" si="9"/>
        <v>0</v>
      </c>
      <c r="S12" s="1279">
        <f t="shared" si="19"/>
        <v>2</v>
      </c>
      <c r="T12" s="1220">
        <f t="shared" si="19"/>
        <v>2.2000000000000002</v>
      </c>
      <c r="U12" s="1221">
        <f t="shared" si="19"/>
        <v>2.2000000000000002</v>
      </c>
      <c r="V12" s="1221">
        <f>SUM(V13:V16)</f>
        <v>15.34</v>
      </c>
      <c r="W12" s="1221">
        <f>SUM(W13:W16)</f>
        <v>15.34</v>
      </c>
      <c r="X12" s="1234">
        <f>SUM(X13:X16)</f>
        <v>15.34</v>
      </c>
      <c r="Y12" s="1344">
        <f t="shared" si="10"/>
        <v>13.34</v>
      </c>
      <c r="Z12" s="963">
        <f t="shared" si="11"/>
        <v>6.67</v>
      </c>
      <c r="AA12" s="1279">
        <f t="shared" si="19"/>
        <v>0</v>
      </c>
      <c r="AB12" s="1220">
        <f t="shared" si="19"/>
        <v>0</v>
      </c>
      <c r="AC12" s="1221">
        <f t="shared" si="19"/>
        <v>0</v>
      </c>
      <c r="AD12" s="1221">
        <f t="shared" si="19"/>
        <v>0</v>
      </c>
      <c r="AE12" s="1221">
        <f t="shared" si="19"/>
        <v>0</v>
      </c>
      <c r="AF12" s="1234">
        <f t="shared" si="19"/>
        <v>0</v>
      </c>
      <c r="AG12" s="1344">
        <f t="shared" si="13"/>
        <v>0</v>
      </c>
      <c r="AH12" s="899">
        <f t="shared" si="14"/>
        <v>0</v>
      </c>
      <c r="AI12" s="1279">
        <f t="shared" si="19"/>
        <v>0</v>
      </c>
      <c r="AJ12" s="1220">
        <f t="shared" si="19"/>
        <v>0</v>
      </c>
      <c r="AK12" s="1221">
        <f t="shared" si="19"/>
        <v>0</v>
      </c>
      <c r="AL12" s="1221">
        <f t="shared" si="19"/>
        <v>0</v>
      </c>
      <c r="AM12" s="1221">
        <f t="shared" si="19"/>
        <v>0</v>
      </c>
      <c r="AN12" s="1234">
        <f t="shared" si="19"/>
        <v>0</v>
      </c>
      <c r="AO12" s="1344">
        <f t="shared" si="15"/>
        <v>0</v>
      </c>
      <c r="AP12" s="899">
        <f t="shared" si="16"/>
        <v>0</v>
      </c>
      <c r="AQ12" s="1279">
        <f t="shared" si="19"/>
        <v>0</v>
      </c>
      <c r="AR12" s="1220">
        <f t="shared" si="19"/>
        <v>0</v>
      </c>
      <c r="AS12" s="1221">
        <f t="shared" si="19"/>
        <v>0</v>
      </c>
      <c r="AT12" s="1221">
        <f t="shared" si="19"/>
        <v>0</v>
      </c>
      <c r="AU12" s="1221">
        <f t="shared" si="19"/>
        <v>0</v>
      </c>
      <c r="AV12" s="3463">
        <f t="shared" si="19"/>
        <v>0</v>
      </c>
      <c r="AW12" s="1279">
        <f t="shared" ref="AW12:BB12" si="20">SUM(AW13:AW16)</f>
        <v>86</v>
      </c>
      <c r="AX12" s="1220">
        <f t="shared" si="20"/>
        <v>64.763000000000005</v>
      </c>
      <c r="AY12" s="1221">
        <f t="shared" si="20"/>
        <v>65.2</v>
      </c>
      <c r="AZ12" s="1221">
        <f t="shared" si="20"/>
        <v>78.34</v>
      </c>
      <c r="BA12" s="1221">
        <f t="shared" si="20"/>
        <v>78.34</v>
      </c>
      <c r="BB12" s="1234">
        <f t="shared" si="20"/>
        <v>78.34</v>
      </c>
      <c r="BC12" s="1279">
        <f t="shared" ref="BC12:BH12" si="21">SUM(BC13:BC16)</f>
        <v>84</v>
      </c>
      <c r="BD12" s="1220">
        <f t="shared" si="21"/>
        <v>62.563000000000002</v>
      </c>
      <c r="BE12" s="1221">
        <f t="shared" si="21"/>
        <v>63</v>
      </c>
      <c r="BF12" s="1221">
        <f t="shared" si="21"/>
        <v>63</v>
      </c>
      <c r="BG12" s="1221">
        <f t="shared" si="21"/>
        <v>63</v>
      </c>
      <c r="BH12" s="3463">
        <f t="shared" si="21"/>
        <v>63</v>
      </c>
    </row>
    <row r="13" spans="1:60" s="737" customFormat="1" ht="12.75">
      <c r="A13" s="918" t="s">
        <v>340</v>
      </c>
      <c r="B13" s="4660" t="s">
        <v>233</v>
      </c>
      <c r="C13" s="448">
        <v>32</v>
      </c>
      <c r="D13" s="452">
        <v>35</v>
      </c>
      <c r="E13" s="450">
        <v>35</v>
      </c>
      <c r="F13" s="450">
        <v>35</v>
      </c>
      <c r="G13" s="450">
        <v>35</v>
      </c>
      <c r="H13" s="287">
        <v>35</v>
      </c>
      <c r="I13" s="1345">
        <f t="shared" si="6"/>
        <v>3</v>
      </c>
      <c r="J13" s="1289">
        <f t="shared" si="7"/>
        <v>9.375E-2</v>
      </c>
      <c r="K13" s="448">
        <v>0</v>
      </c>
      <c r="L13" s="452">
        <v>0</v>
      </c>
      <c r="M13" s="450">
        <v>0</v>
      </c>
      <c r="N13" s="450">
        <v>0</v>
      </c>
      <c r="O13" s="450">
        <v>0</v>
      </c>
      <c r="P13" s="287">
        <v>0</v>
      </c>
      <c r="Q13" s="1345">
        <f t="shared" si="8"/>
        <v>0</v>
      </c>
      <c r="R13" s="1285">
        <f t="shared" si="9"/>
        <v>0</v>
      </c>
      <c r="S13" s="448"/>
      <c r="T13" s="452"/>
      <c r="U13" s="450"/>
      <c r="V13" s="450"/>
      <c r="W13" s="450"/>
      <c r="X13" s="287"/>
      <c r="Y13" s="1345">
        <f>X13-S13</f>
        <v>0</v>
      </c>
      <c r="Z13" s="1285">
        <f>IFERROR((X13-S13)/S13,0)</f>
        <v>0</v>
      </c>
      <c r="AA13" s="448"/>
      <c r="AB13" s="452"/>
      <c r="AC13" s="450"/>
      <c r="AD13" s="450"/>
      <c r="AE13" s="450"/>
      <c r="AF13" s="287"/>
      <c r="AG13" s="1345">
        <f t="shared" si="13"/>
        <v>0</v>
      </c>
      <c r="AH13" s="1289">
        <f t="shared" si="14"/>
        <v>0</v>
      </c>
      <c r="AI13" s="448"/>
      <c r="AJ13" s="452"/>
      <c r="AK13" s="450"/>
      <c r="AL13" s="450"/>
      <c r="AM13" s="450"/>
      <c r="AN13" s="287"/>
      <c r="AO13" s="1345">
        <f t="shared" si="15"/>
        <v>0</v>
      </c>
      <c r="AP13" s="1289">
        <f t="shared" si="16"/>
        <v>0</v>
      </c>
      <c r="AQ13" s="448"/>
      <c r="AR13" s="452"/>
      <c r="AS13" s="450"/>
      <c r="AT13" s="450"/>
      <c r="AU13" s="450"/>
      <c r="AV13" s="451"/>
      <c r="AW13" s="3464">
        <f>C13+K13+S13+AA13+AI13</f>
        <v>32</v>
      </c>
      <c r="AX13" s="3465">
        <f t="shared" ref="AX13:AY13" si="22">D13+L13+T13+AB13+AJ13</f>
        <v>35</v>
      </c>
      <c r="AY13" s="3466">
        <f t="shared" si="22"/>
        <v>35</v>
      </c>
      <c r="AZ13" s="3466">
        <f>F13+N13+V13+AD13+AL13</f>
        <v>35</v>
      </c>
      <c r="BA13" s="3466">
        <f>G13+O13+W13+AE13+AM13</f>
        <v>35</v>
      </c>
      <c r="BB13" s="3467">
        <f>H13+P13+X13+AF13+AN13</f>
        <v>35</v>
      </c>
      <c r="BC13" s="3464">
        <f>C13+AA13+AI13</f>
        <v>32</v>
      </c>
      <c r="BD13" s="3465">
        <f t="shared" ref="BD13:BG13" si="23">D13+AB13+AJ13</f>
        <v>35</v>
      </c>
      <c r="BE13" s="3466">
        <f t="shared" si="23"/>
        <v>35</v>
      </c>
      <c r="BF13" s="3466">
        <f t="shared" si="23"/>
        <v>35</v>
      </c>
      <c r="BG13" s="3466">
        <f t="shared" si="23"/>
        <v>35</v>
      </c>
      <c r="BH13" s="3468">
        <f>H13+AF13+AN13</f>
        <v>35</v>
      </c>
    </row>
    <row r="14" spans="1:60" s="737" customFormat="1" ht="12.75">
      <c r="A14" s="918" t="s">
        <v>341</v>
      </c>
      <c r="B14" s="4660" t="s">
        <v>234</v>
      </c>
      <c r="C14" s="448">
        <v>17</v>
      </c>
      <c r="D14" s="452">
        <v>17</v>
      </c>
      <c r="E14" s="450">
        <v>17</v>
      </c>
      <c r="F14" s="450">
        <v>17</v>
      </c>
      <c r="G14" s="450">
        <v>17</v>
      </c>
      <c r="H14" s="287">
        <v>17</v>
      </c>
      <c r="I14" s="1345">
        <f t="shared" si="6"/>
        <v>0</v>
      </c>
      <c r="J14" s="1289">
        <f t="shared" si="7"/>
        <v>0</v>
      </c>
      <c r="K14" s="448">
        <v>0</v>
      </c>
      <c r="L14" s="452">
        <v>0</v>
      </c>
      <c r="M14" s="450">
        <v>0</v>
      </c>
      <c r="N14" s="450">
        <v>0</v>
      </c>
      <c r="O14" s="450">
        <v>0</v>
      </c>
      <c r="P14" s="287">
        <v>0</v>
      </c>
      <c r="Q14" s="1345">
        <f t="shared" si="8"/>
        <v>0</v>
      </c>
      <c r="R14" s="1285">
        <f t="shared" si="9"/>
        <v>0</v>
      </c>
      <c r="S14" s="448"/>
      <c r="T14" s="452"/>
      <c r="U14" s="450"/>
      <c r="V14" s="450"/>
      <c r="W14" s="450"/>
      <c r="X14" s="287"/>
      <c r="Y14" s="1345">
        <f t="shared" si="10"/>
        <v>0</v>
      </c>
      <c r="Z14" s="1285">
        <f t="shared" si="11"/>
        <v>0</v>
      </c>
      <c r="AA14" s="448"/>
      <c r="AB14" s="452"/>
      <c r="AC14" s="450"/>
      <c r="AD14" s="450"/>
      <c r="AE14" s="450"/>
      <c r="AF14" s="287"/>
      <c r="AG14" s="1345">
        <f t="shared" si="13"/>
        <v>0</v>
      </c>
      <c r="AH14" s="1289">
        <f t="shared" si="14"/>
        <v>0</v>
      </c>
      <c r="AI14" s="448"/>
      <c r="AJ14" s="452"/>
      <c r="AK14" s="450"/>
      <c r="AL14" s="450"/>
      <c r="AM14" s="450"/>
      <c r="AN14" s="287"/>
      <c r="AO14" s="1345">
        <f t="shared" si="15"/>
        <v>0</v>
      </c>
      <c r="AP14" s="1289">
        <f t="shared" si="16"/>
        <v>0</v>
      </c>
      <c r="AQ14" s="448"/>
      <c r="AR14" s="452"/>
      <c r="AS14" s="450"/>
      <c r="AT14" s="450"/>
      <c r="AU14" s="450"/>
      <c r="AV14" s="451"/>
      <c r="AW14" s="3464">
        <f t="shared" ref="AW14:AW17" si="24">C14+K14+S14+AA14+AI14</f>
        <v>17</v>
      </c>
      <c r="AX14" s="3465">
        <f t="shared" ref="AX14:AX17" si="25">D14+L14+T14+AB14+AJ14</f>
        <v>17</v>
      </c>
      <c r="AY14" s="3466">
        <f t="shared" ref="AY14:AY17" si="26">E14+M14+U14+AC14+AK14</f>
        <v>17</v>
      </c>
      <c r="AZ14" s="3466">
        <f t="shared" ref="AZ14:AZ17" si="27">F14+N14+V14+AD14+AL14</f>
        <v>17</v>
      </c>
      <c r="BA14" s="3466">
        <f t="shared" ref="BA14:BA17" si="28">G14+O14+W14+AE14+AM14</f>
        <v>17</v>
      </c>
      <c r="BB14" s="3467">
        <f t="shared" ref="BB14:BB17" si="29">H14+P14+X14+AF14+AN14</f>
        <v>17</v>
      </c>
      <c r="BC14" s="3464">
        <f t="shared" ref="BC14:BC17" si="30">C14+AA14+AI14</f>
        <v>17</v>
      </c>
      <c r="BD14" s="3465">
        <f t="shared" ref="BD14:BD17" si="31">D14+AB14+AJ14</f>
        <v>17</v>
      </c>
      <c r="BE14" s="3466">
        <f t="shared" ref="BE14:BE17" si="32">E14+AC14+AK14</f>
        <v>17</v>
      </c>
      <c r="BF14" s="3466">
        <f t="shared" ref="BF14:BF17" si="33">F14+AD14+AL14</f>
        <v>17</v>
      </c>
      <c r="BG14" s="3466">
        <f t="shared" ref="BG14:BG17" si="34">G14+AE14+AM14</f>
        <v>17</v>
      </c>
      <c r="BH14" s="3468">
        <f t="shared" ref="BH14:BH17" si="35">H14+AF14+AN14</f>
        <v>17</v>
      </c>
    </row>
    <row r="15" spans="1:60" s="737" customFormat="1" ht="12.75">
      <c r="A15" s="918" t="s">
        <v>342</v>
      </c>
      <c r="B15" s="4661" t="s">
        <v>235</v>
      </c>
      <c r="C15" s="448">
        <v>1</v>
      </c>
      <c r="D15" s="452">
        <v>0.56299999999999994</v>
      </c>
      <c r="E15" s="450">
        <v>1</v>
      </c>
      <c r="F15" s="450">
        <v>1</v>
      </c>
      <c r="G15" s="450">
        <v>1</v>
      </c>
      <c r="H15" s="287">
        <v>1</v>
      </c>
      <c r="I15" s="1345">
        <f t="shared" si="6"/>
        <v>0</v>
      </c>
      <c r="J15" s="1289">
        <f t="shared" si="7"/>
        <v>0</v>
      </c>
      <c r="K15" s="448">
        <v>0</v>
      </c>
      <c r="L15" s="452">
        <v>0</v>
      </c>
      <c r="M15" s="450">
        <v>0</v>
      </c>
      <c r="N15" s="450">
        <v>0</v>
      </c>
      <c r="O15" s="450">
        <v>0</v>
      </c>
      <c r="P15" s="287">
        <v>0</v>
      </c>
      <c r="Q15" s="1345">
        <f t="shared" si="8"/>
        <v>0</v>
      </c>
      <c r="R15" s="1285">
        <f t="shared" si="9"/>
        <v>0</v>
      </c>
      <c r="S15" s="448"/>
      <c r="T15" s="452"/>
      <c r="U15" s="450"/>
      <c r="V15" s="4951">
        <v>13.14</v>
      </c>
      <c r="W15" s="4951">
        <v>13.14</v>
      </c>
      <c r="X15" s="4952">
        <v>13.14</v>
      </c>
      <c r="Y15" s="1345">
        <f>X15-S15</f>
        <v>13.14</v>
      </c>
      <c r="Z15" s="1285">
        <f>IFERROR((X15-S15)/S15,0)</f>
        <v>0</v>
      </c>
      <c r="AA15" s="448"/>
      <c r="AB15" s="452"/>
      <c r="AC15" s="450"/>
      <c r="AD15" s="450"/>
      <c r="AE15" s="450"/>
      <c r="AF15" s="287"/>
      <c r="AG15" s="1345">
        <f t="shared" si="13"/>
        <v>0</v>
      </c>
      <c r="AH15" s="1289">
        <f t="shared" si="14"/>
        <v>0</v>
      </c>
      <c r="AI15" s="448"/>
      <c r="AJ15" s="452"/>
      <c r="AK15" s="450"/>
      <c r="AL15" s="450"/>
      <c r="AM15" s="450"/>
      <c r="AN15" s="287"/>
      <c r="AO15" s="1345">
        <f t="shared" si="15"/>
        <v>0</v>
      </c>
      <c r="AP15" s="1289">
        <f t="shared" si="16"/>
        <v>0</v>
      </c>
      <c r="AQ15" s="448"/>
      <c r="AR15" s="452"/>
      <c r="AS15" s="450"/>
      <c r="AT15" s="450"/>
      <c r="AU15" s="450"/>
      <c r="AV15" s="451"/>
      <c r="AW15" s="3464">
        <f t="shared" si="24"/>
        <v>1</v>
      </c>
      <c r="AX15" s="3465">
        <f t="shared" si="25"/>
        <v>0.56299999999999994</v>
      </c>
      <c r="AY15" s="3466">
        <f t="shared" si="26"/>
        <v>1</v>
      </c>
      <c r="AZ15" s="3466">
        <f>F15+N15+V15+AD15+AL15</f>
        <v>14.14</v>
      </c>
      <c r="BA15" s="3466">
        <f>G15+O15+W15+AE15+AM15</f>
        <v>14.14</v>
      </c>
      <c r="BB15" s="3467">
        <f>H15+P15+X15+AF15+AN15</f>
        <v>14.14</v>
      </c>
      <c r="BC15" s="3464">
        <f t="shared" si="30"/>
        <v>1</v>
      </c>
      <c r="BD15" s="3465">
        <f t="shared" si="31"/>
        <v>0.56299999999999994</v>
      </c>
      <c r="BE15" s="3466">
        <f t="shared" si="32"/>
        <v>1</v>
      </c>
      <c r="BF15" s="3466">
        <f t="shared" si="33"/>
        <v>1</v>
      </c>
      <c r="BG15" s="3466">
        <f t="shared" si="34"/>
        <v>1</v>
      </c>
      <c r="BH15" s="3468">
        <f t="shared" si="35"/>
        <v>1</v>
      </c>
    </row>
    <row r="16" spans="1:60" s="737" customFormat="1" ht="22.5" customHeight="1">
      <c r="A16" s="918" t="s">
        <v>343</v>
      </c>
      <c r="B16" s="4661" t="s">
        <v>236</v>
      </c>
      <c r="C16" s="448">
        <v>34</v>
      </c>
      <c r="D16" s="452">
        <v>10</v>
      </c>
      <c r="E16" s="450">
        <v>10</v>
      </c>
      <c r="F16" s="450">
        <v>10</v>
      </c>
      <c r="G16" s="450">
        <v>10</v>
      </c>
      <c r="H16" s="287">
        <v>10</v>
      </c>
      <c r="I16" s="1345">
        <f>H16-C16</f>
        <v>-24</v>
      </c>
      <c r="J16" s="1289">
        <f t="shared" si="7"/>
        <v>-0.70588235294117652</v>
      </c>
      <c r="K16" s="448">
        <v>0</v>
      </c>
      <c r="L16" s="448">
        <v>0</v>
      </c>
      <c r="M16" s="448">
        <v>0</v>
      </c>
      <c r="N16" s="448">
        <v>0</v>
      </c>
      <c r="O16" s="448">
        <v>0</v>
      </c>
      <c r="P16" s="448">
        <v>0</v>
      </c>
      <c r="Q16" s="1345">
        <f t="shared" si="8"/>
        <v>0</v>
      </c>
      <c r="R16" s="1285">
        <f t="shared" si="9"/>
        <v>0</v>
      </c>
      <c r="S16" s="448">
        <v>2</v>
      </c>
      <c r="T16" s="452">
        <v>2.2000000000000002</v>
      </c>
      <c r="U16" s="450">
        <v>2.2000000000000002</v>
      </c>
      <c r="V16" s="450">
        <v>2.2000000000000002</v>
      </c>
      <c r="W16" s="450">
        <v>2.2000000000000002</v>
      </c>
      <c r="X16" s="287">
        <v>2.2000000000000002</v>
      </c>
      <c r="Y16" s="1345">
        <f t="shared" si="10"/>
        <v>0.20000000000000018</v>
      </c>
      <c r="Z16" s="1285">
        <f t="shared" si="11"/>
        <v>0.10000000000000009</v>
      </c>
      <c r="AA16" s="448"/>
      <c r="AB16" s="452"/>
      <c r="AC16" s="450"/>
      <c r="AD16" s="450"/>
      <c r="AE16" s="450"/>
      <c r="AF16" s="287"/>
      <c r="AG16" s="1345">
        <f t="shared" si="13"/>
        <v>0</v>
      </c>
      <c r="AH16" s="1289">
        <f t="shared" si="14"/>
        <v>0</v>
      </c>
      <c r="AI16" s="448"/>
      <c r="AJ16" s="452"/>
      <c r="AK16" s="450"/>
      <c r="AL16" s="450"/>
      <c r="AM16" s="450"/>
      <c r="AN16" s="287"/>
      <c r="AO16" s="1345">
        <f t="shared" si="15"/>
        <v>0</v>
      </c>
      <c r="AP16" s="1289">
        <f t="shared" si="16"/>
        <v>0</v>
      </c>
      <c r="AQ16" s="448"/>
      <c r="AR16" s="452"/>
      <c r="AS16" s="450"/>
      <c r="AT16" s="450"/>
      <c r="AU16" s="450"/>
      <c r="AV16" s="451"/>
      <c r="AW16" s="3464">
        <f t="shared" si="24"/>
        <v>36</v>
      </c>
      <c r="AX16" s="3465">
        <f t="shared" si="25"/>
        <v>12.2</v>
      </c>
      <c r="AY16" s="3466">
        <f t="shared" si="26"/>
        <v>12.2</v>
      </c>
      <c r="AZ16" s="3466">
        <f t="shared" si="27"/>
        <v>12.2</v>
      </c>
      <c r="BA16" s="3466">
        <f t="shared" si="28"/>
        <v>12.2</v>
      </c>
      <c r="BB16" s="3467">
        <f t="shared" si="29"/>
        <v>12.2</v>
      </c>
      <c r="BC16" s="3464">
        <f t="shared" si="30"/>
        <v>34</v>
      </c>
      <c r="BD16" s="3465">
        <f t="shared" si="31"/>
        <v>10</v>
      </c>
      <c r="BE16" s="3466">
        <f t="shared" si="32"/>
        <v>10</v>
      </c>
      <c r="BF16" s="3466">
        <f t="shared" si="33"/>
        <v>10</v>
      </c>
      <c r="BG16" s="3466">
        <f t="shared" si="34"/>
        <v>10</v>
      </c>
      <c r="BH16" s="3468">
        <f t="shared" si="35"/>
        <v>10</v>
      </c>
    </row>
    <row r="17" spans="1:60" s="738" customFormat="1" ht="12.75">
      <c r="A17" s="118" t="s">
        <v>94</v>
      </c>
      <c r="B17" s="983" t="s">
        <v>237</v>
      </c>
      <c r="C17" s="1651">
        <f>'6. Ел.Енергия'!I14</f>
        <v>2908.6379999999999</v>
      </c>
      <c r="D17" s="1233">
        <f>'6. Ел.Енергия'!J14</f>
        <v>2448.1163358316326</v>
      </c>
      <c r="E17" s="1223">
        <f>'6. Ел.Енергия'!K14</f>
        <v>1719.3140938286688</v>
      </c>
      <c r="F17" s="1223">
        <f>'6. Ел.Енергия'!L14</f>
        <v>1420.2694554728357</v>
      </c>
      <c r="G17" s="1223">
        <f>'6. Ел.Енергия'!M14</f>
        <v>1241.2443084428146</v>
      </c>
      <c r="H17" s="1233">
        <f>'6. Ел.Енергия'!N14</f>
        <v>1125.0486936729037</v>
      </c>
      <c r="I17" s="1346">
        <f t="shared" si="6"/>
        <v>-1783.5893063270962</v>
      </c>
      <c r="J17" s="900">
        <f t="shared" si="7"/>
        <v>-0.61320429229319573</v>
      </c>
      <c r="K17" s="2995">
        <f>'6. Ел.Енергия'!I26</f>
        <v>0</v>
      </c>
      <c r="L17" s="1233">
        <f>'6. Ел.Енергия'!J26</f>
        <v>0</v>
      </c>
      <c r="M17" s="1223">
        <f>'6. Ел.Енергия'!K26</f>
        <v>0</v>
      </c>
      <c r="N17" s="1223">
        <f>'6. Ел.Енергия'!L26</f>
        <v>226.306740558</v>
      </c>
      <c r="O17" s="1223">
        <f>'6. Ел.Енергия'!M26</f>
        <v>226.306740558</v>
      </c>
      <c r="P17" s="1233">
        <f>'6. Ел.Енергия'!N26</f>
        <v>226.306740558</v>
      </c>
      <c r="Q17" s="1346">
        <f t="shared" si="8"/>
        <v>226.306740558</v>
      </c>
      <c r="R17" s="964">
        <f t="shared" si="9"/>
        <v>0</v>
      </c>
      <c r="S17" s="2995">
        <f>'6. Ел.Енергия'!I37</f>
        <v>391.15</v>
      </c>
      <c r="T17" s="1233">
        <f>'6. Ел.Енергия'!J37</f>
        <v>355.16920526088637</v>
      </c>
      <c r="U17" s="1223">
        <f>'6. Ел.Енергия'!K37</f>
        <v>343.00376992176808</v>
      </c>
      <c r="V17" s="1223">
        <f>'6. Ел.Енергия'!L37</f>
        <v>863.90066971671513</v>
      </c>
      <c r="W17" s="1223">
        <f>'6. Ел.Енергия'!M37</f>
        <v>798.96512089168391</v>
      </c>
      <c r="X17" s="1233">
        <f>'6. Ел.Енергия'!N37</f>
        <v>770.29010695074089</v>
      </c>
      <c r="Y17" s="1352">
        <f t="shared" si="10"/>
        <v>379.14010695074091</v>
      </c>
      <c r="Z17" s="964">
        <f t="shared" si="11"/>
        <v>0.96929594005046893</v>
      </c>
      <c r="AA17" s="2995">
        <f>'6. Ел.Енергия'!I49</f>
        <v>0</v>
      </c>
      <c r="AB17" s="1233">
        <f>'6. Ел.Енергия'!J49</f>
        <v>117.50975261600001</v>
      </c>
      <c r="AC17" s="1223">
        <f>'6. Ел.Енергия'!K49</f>
        <v>106.73816233600002</v>
      </c>
      <c r="AD17" s="1223">
        <f>'6. Ел.Енергия'!L49</f>
        <v>92.637545177999996</v>
      </c>
      <c r="AE17" s="1223">
        <f>'6. Ел.Енергия'!M49</f>
        <v>84.122307796000001</v>
      </c>
      <c r="AF17" s="1233">
        <f>'6. Ел.Енергия'!N49</f>
        <v>78.274926466000011</v>
      </c>
      <c r="AG17" s="1346">
        <f t="shared" si="13"/>
        <v>78.274926466000011</v>
      </c>
      <c r="AH17" s="900">
        <f t="shared" si="14"/>
        <v>0</v>
      </c>
      <c r="AI17" s="1202">
        <f>'6. Ел.Енергия'!I61</f>
        <v>0</v>
      </c>
      <c r="AJ17" s="1231">
        <f>'6. Ел.Енергия'!J61</f>
        <v>0</v>
      </c>
      <c r="AK17" s="1226">
        <f>'6. Ел.Енергия'!K61</f>
        <v>0</v>
      </c>
      <c r="AL17" s="1226">
        <f>'6. Ел.Енергия'!L61</f>
        <v>0</v>
      </c>
      <c r="AM17" s="1226">
        <f>'6. Ел.Енергия'!M61</f>
        <v>0</v>
      </c>
      <c r="AN17" s="1231">
        <f>'6. Ел.Енергия'!N61</f>
        <v>0</v>
      </c>
      <c r="AO17" s="1346">
        <f>AN17-AI17</f>
        <v>0</v>
      </c>
      <c r="AP17" s="900">
        <f t="shared" si="16"/>
        <v>0</v>
      </c>
      <c r="AQ17" s="2995">
        <f>'6. Ел.Енергия'!I75</f>
        <v>10.091358</v>
      </c>
      <c r="AR17" s="1233">
        <f>'6. Ел.Енергия'!J75</f>
        <v>10.091358</v>
      </c>
      <c r="AS17" s="1223">
        <f>'6. Ел.Енергия'!K75</f>
        <v>10.091358</v>
      </c>
      <c r="AT17" s="1223">
        <f>'6. Ел.Енергия'!L75</f>
        <v>10.091358</v>
      </c>
      <c r="AU17" s="1223">
        <f>'6. Ел.Енергия'!M75</f>
        <v>10.091358</v>
      </c>
      <c r="AV17" s="3469">
        <f>'6. Ел.Енергия'!N75</f>
        <v>10.091358</v>
      </c>
      <c r="AW17" s="1202">
        <f t="shared" si="24"/>
        <v>3299.788</v>
      </c>
      <c r="AX17" s="1231">
        <f t="shared" si="25"/>
        <v>2920.7952937085192</v>
      </c>
      <c r="AY17" s="1226">
        <f t="shared" si="26"/>
        <v>2169.0560260864372</v>
      </c>
      <c r="AZ17" s="1226">
        <f t="shared" si="27"/>
        <v>2603.1144109255506</v>
      </c>
      <c r="BA17" s="1226">
        <f t="shared" si="28"/>
        <v>2350.6384776884984</v>
      </c>
      <c r="BB17" s="1231">
        <f t="shared" si="29"/>
        <v>2199.9204676476447</v>
      </c>
      <c r="BC17" s="3464">
        <f t="shared" si="30"/>
        <v>2908.6379999999999</v>
      </c>
      <c r="BD17" s="3465">
        <f t="shared" si="31"/>
        <v>2565.6260884476324</v>
      </c>
      <c r="BE17" s="3466">
        <f t="shared" si="32"/>
        <v>1826.0522561646687</v>
      </c>
      <c r="BF17" s="3466">
        <f t="shared" si="33"/>
        <v>1512.9070006508357</v>
      </c>
      <c r="BG17" s="3466">
        <f t="shared" si="34"/>
        <v>1325.3666162388147</v>
      </c>
      <c r="BH17" s="3468">
        <f t="shared" si="35"/>
        <v>1203.3236201389036</v>
      </c>
    </row>
    <row r="18" spans="1:60" ht="12.75">
      <c r="A18" s="916" t="s">
        <v>96</v>
      </c>
      <c r="B18" s="983" t="s">
        <v>238</v>
      </c>
      <c r="C18" s="1278">
        <f t="shared" ref="C18:X18" si="36">SUM(C19:C21)</f>
        <v>223</v>
      </c>
      <c r="D18" s="1224">
        <f t="shared" si="36"/>
        <v>258</v>
      </c>
      <c r="E18" s="1225">
        <f t="shared" si="36"/>
        <v>258</v>
      </c>
      <c r="F18" s="1225">
        <f t="shared" si="36"/>
        <v>258</v>
      </c>
      <c r="G18" s="1239">
        <f t="shared" si="36"/>
        <v>258</v>
      </c>
      <c r="H18" s="1239">
        <f t="shared" si="36"/>
        <v>258</v>
      </c>
      <c r="I18" s="1347">
        <f t="shared" si="6"/>
        <v>35</v>
      </c>
      <c r="J18" s="784">
        <f t="shared" si="7"/>
        <v>0.15695067264573992</v>
      </c>
      <c r="K18" s="1278">
        <f t="shared" si="36"/>
        <v>30.9</v>
      </c>
      <c r="L18" s="1224">
        <f t="shared" si="36"/>
        <v>72.3</v>
      </c>
      <c r="M18" s="1225">
        <f t="shared" si="36"/>
        <v>72.3</v>
      </c>
      <c r="N18" s="1225">
        <f t="shared" si="36"/>
        <v>72.3</v>
      </c>
      <c r="O18" s="1239">
        <f t="shared" si="36"/>
        <v>72.3</v>
      </c>
      <c r="P18" s="1239">
        <f t="shared" si="36"/>
        <v>72.3</v>
      </c>
      <c r="Q18" s="1347">
        <f t="shared" si="8"/>
        <v>41.4</v>
      </c>
      <c r="R18" s="965">
        <f t="shared" si="9"/>
        <v>1.3398058252427185</v>
      </c>
      <c r="S18" s="1278">
        <f t="shared" si="36"/>
        <v>15.28</v>
      </c>
      <c r="T18" s="1224">
        <f t="shared" si="36"/>
        <v>19</v>
      </c>
      <c r="U18" s="1225">
        <f t="shared" si="36"/>
        <v>19</v>
      </c>
      <c r="V18" s="1225">
        <f t="shared" si="36"/>
        <v>19</v>
      </c>
      <c r="W18" s="1239">
        <f t="shared" si="36"/>
        <v>19</v>
      </c>
      <c r="X18" s="1239">
        <f t="shared" si="36"/>
        <v>19</v>
      </c>
      <c r="Y18" s="1347">
        <f t="shared" si="10"/>
        <v>3.7200000000000006</v>
      </c>
      <c r="Z18" s="965">
        <f t="shared" si="11"/>
        <v>0.24345549738219902</v>
      </c>
      <c r="AA18" s="1278">
        <f>SUM(AA19:AA21)</f>
        <v>0</v>
      </c>
      <c r="AB18" s="1224">
        <f t="shared" ref="AB18:AV18" si="37">SUM(AB19:AB21)</f>
        <v>2</v>
      </c>
      <c r="AC18" s="1225">
        <f t="shared" si="37"/>
        <v>4.3</v>
      </c>
      <c r="AD18" s="1225">
        <f t="shared" si="37"/>
        <v>2.9000000000000004</v>
      </c>
      <c r="AE18" s="1239">
        <f t="shared" si="37"/>
        <v>7</v>
      </c>
      <c r="AF18" s="1239">
        <f t="shared" si="37"/>
        <v>4</v>
      </c>
      <c r="AG18" s="1347">
        <f t="shared" si="13"/>
        <v>4</v>
      </c>
      <c r="AH18" s="784">
        <f t="shared" si="14"/>
        <v>0</v>
      </c>
      <c r="AI18" s="1278">
        <f t="shared" si="37"/>
        <v>0</v>
      </c>
      <c r="AJ18" s="1224">
        <f t="shared" si="37"/>
        <v>0</v>
      </c>
      <c r="AK18" s="1225">
        <f t="shared" si="37"/>
        <v>0</v>
      </c>
      <c r="AL18" s="1225">
        <f t="shared" si="37"/>
        <v>0</v>
      </c>
      <c r="AM18" s="1239">
        <f t="shared" si="37"/>
        <v>0</v>
      </c>
      <c r="AN18" s="1239">
        <f t="shared" si="37"/>
        <v>0</v>
      </c>
      <c r="AO18" s="1347">
        <f t="shared" si="15"/>
        <v>0</v>
      </c>
      <c r="AP18" s="784">
        <f t="shared" si="16"/>
        <v>0</v>
      </c>
      <c r="AQ18" s="1278">
        <f t="shared" si="37"/>
        <v>1</v>
      </c>
      <c r="AR18" s="1224">
        <f t="shared" si="37"/>
        <v>2</v>
      </c>
      <c r="AS18" s="1225">
        <f t="shared" si="37"/>
        <v>2</v>
      </c>
      <c r="AT18" s="1225">
        <f t="shared" si="37"/>
        <v>2</v>
      </c>
      <c r="AU18" s="1239">
        <f t="shared" si="37"/>
        <v>2</v>
      </c>
      <c r="AV18" s="3454">
        <f t="shared" si="37"/>
        <v>2</v>
      </c>
      <c r="AW18" s="1278">
        <f t="shared" ref="AW18:BB18" si="38">SUM(AW19:AW21)</f>
        <v>269.18</v>
      </c>
      <c r="AX18" s="1224">
        <f t="shared" si="38"/>
        <v>351.3</v>
      </c>
      <c r="AY18" s="1225">
        <f t="shared" si="38"/>
        <v>353.6</v>
      </c>
      <c r="AZ18" s="1225">
        <f t="shared" si="38"/>
        <v>352.20000000000005</v>
      </c>
      <c r="BA18" s="1239">
        <f t="shared" si="38"/>
        <v>356.3</v>
      </c>
      <c r="BB18" s="1239">
        <f t="shared" si="38"/>
        <v>353.3</v>
      </c>
      <c r="BC18" s="1278">
        <f t="shared" ref="BC18:BH18" si="39">SUM(BC19:BC21)</f>
        <v>223</v>
      </c>
      <c r="BD18" s="1224">
        <f t="shared" si="39"/>
        <v>260</v>
      </c>
      <c r="BE18" s="1225">
        <f t="shared" si="39"/>
        <v>262.3</v>
      </c>
      <c r="BF18" s="1225">
        <f t="shared" si="39"/>
        <v>260.89999999999998</v>
      </c>
      <c r="BG18" s="1239">
        <f t="shared" si="39"/>
        <v>265</v>
      </c>
      <c r="BH18" s="3454">
        <f t="shared" si="39"/>
        <v>262</v>
      </c>
    </row>
    <row r="19" spans="1:60" s="737" customFormat="1" ht="12.75">
      <c r="A19" s="917" t="s">
        <v>239</v>
      </c>
      <c r="B19" s="4662" t="s">
        <v>240</v>
      </c>
      <c r="C19" s="3420">
        <v>0</v>
      </c>
      <c r="D19" s="3421">
        <v>2</v>
      </c>
      <c r="E19" s="3421">
        <v>2</v>
      </c>
      <c r="F19" s="3421">
        <v>2</v>
      </c>
      <c r="G19" s="3421">
        <v>2</v>
      </c>
      <c r="H19" s="3422">
        <v>2</v>
      </c>
      <c r="I19" s="1348">
        <f t="shared" si="6"/>
        <v>2</v>
      </c>
      <c r="J19" s="1304">
        <f t="shared" si="7"/>
        <v>0</v>
      </c>
      <c r="K19" s="3420">
        <v>0.3</v>
      </c>
      <c r="L19" s="3421">
        <v>0.3</v>
      </c>
      <c r="M19" s="3421">
        <v>0.3</v>
      </c>
      <c r="N19" s="3421">
        <v>0.3</v>
      </c>
      <c r="O19" s="3421">
        <v>0.3</v>
      </c>
      <c r="P19" s="3421">
        <v>0.3</v>
      </c>
      <c r="Q19" s="1348">
        <f t="shared" si="8"/>
        <v>0</v>
      </c>
      <c r="R19" s="1300">
        <f t="shared" si="9"/>
        <v>0</v>
      </c>
      <c r="S19" s="3420"/>
      <c r="T19" s="3421"/>
      <c r="U19" s="3421"/>
      <c r="V19" s="3421"/>
      <c r="W19" s="3421"/>
      <c r="X19" s="3422"/>
      <c r="Y19" s="1348">
        <f t="shared" si="10"/>
        <v>0</v>
      </c>
      <c r="Z19" s="1300">
        <f t="shared" si="11"/>
        <v>0</v>
      </c>
      <c r="AA19" s="3420">
        <v>0</v>
      </c>
      <c r="AB19" s="3421"/>
      <c r="AC19" s="3421"/>
      <c r="AD19" s="3421"/>
      <c r="AE19" s="3421"/>
      <c r="AF19" s="3422"/>
      <c r="AG19" s="1348">
        <f t="shared" si="13"/>
        <v>0</v>
      </c>
      <c r="AH19" s="1304">
        <f t="shared" si="14"/>
        <v>0</v>
      </c>
      <c r="AI19" s="3420"/>
      <c r="AJ19" s="3421"/>
      <c r="AK19" s="3421"/>
      <c r="AL19" s="3421"/>
      <c r="AM19" s="3421"/>
      <c r="AN19" s="3422"/>
      <c r="AO19" s="1348">
        <f t="shared" si="15"/>
        <v>0</v>
      </c>
      <c r="AP19" s="1304">
        <f t="shared" si="16"/>
        <v>0</v>
      </c>
      <c r="AQ19" s="3420"/>
      <c r="AR19" s="3421"/>
      <c r="AS19" s="3421"/>
      <c r="AT19" s="3421"/>
      <c r="AU19" s="3421"/>
      <c r="AV19" s="3453"/>
      <c r="AW19" s="1202">
        <f t="shared" ref="AW19:AW24" si="40">C19+K19+S19+AA19+AI19</f>
        <v>0.3</v>
      </c>
      <c r="AX19" s="3443">
        <f t="shared" ref="AX19:AX24" si="41">D19+L19+T19+AB19+AJ19</f>
        <v>2.2999999999999998</v>
      </c>
      <c r="AY19" s="3443">
        <f t="shared" ref="AY19:AY24" si="42">E19+M19+U19+AC19+AK19</f>
        <v>2.2999999999999998</v>
      </c>
      <c r="AZ19" s="3443">
        <f t="shared" ref="AZ19:AZ24" si="43">F19+N19+V19+AD19+AL19</f>
        <v>2.2999999999999998</v>
      </c>
      <c r="BA19" s="3443">
        <f t="shared" ref="BA19:BA24" si="44">G19+O19+W19+AE19+AM19</f>
        <v>2.2999999999999998</v>
      </c>
      <c r="BB19" s="3444">
        <f t="shared" ref="BB19:BB24" si="45">H19+P19+X19+AF19+AN19</f>
        <v>2.2999999999999998</v>
      </c>
      <c r="BC19" s="3464">
        <f t="shared" ref="BC19:BC24" si="46">C19+AA19+AI19</f>
        <v>0</v>
      </c>
      <c r="BD19" s="3465">
        <f t="shared" ref="BD19:BD24" si="47">D19+AB19+AJ19</f>
        <v>2</v>
      </c>
      <c r="BE19" s="3466">
        <f t="shared" ref="BE19:BE24" si="48">E19+AC19+AK19</f>
        <v>2</v>
      </c>
      <c r="BF19" s="3466">
        <f t="shared" ref="BF19:BF24" si="49">F19+AD19+AL19</f>
        <v>2</v>
      </c>
      <c r="BG19" s="3466">
        <f t="shared" ref="BG19:BG24" si="50">G19+AE19+AM19</f>
        <v>2</v>
      </c>
      <c r="BH19" s="3468">
        <f t="shared" ref="BH19:BH24" si="51">H19+AF19+AN19</f>
        <v>2</v>
      </c>
    </row>
    <row r="20" spans="1:60" s="737" customFormat="1" ht="12.75">
      <c r="A20" s="917" t="s">
        <v>441</v>
      </c>
      <c r="B20" s="4662" t="s">
        <v>1240</v>
      </c>
      <c r="C20" s="3420">
        <v>51</v>
      </c>
      <c r="D20" s="3421">
        <v>64</v>
      </c>
      <c r="E20" s="3421">
        <v>64</v>
      </c>
      <c r="F20" s="3421">
        <v>64</v>
      </c>
      <c r="G20" s="3421">
        <v>64</v>
      </c>
      <c r="H20" s="3422">
        <v>64</v>
      </c>
      <c r="I20" s="1348">
        <f t="shared" si="6"/>
        <v>13</v>
      </c>
      <c r="J20" s="1304">
        <f t="shared" si="7"/>
        <v>0.25490196078431371</v>
      </c>
      <c r="K20" s="3420">
        <v>1.6</v>
      </c>
      <c r="L20" s="3421">
        <v>2</v>
      </c>
      <c r="M20" s="3421">
        <v>2</v>
      </c>
      <c r="N20" s="3421">
        <v>2</v>
      </c>
      <c r="O20" s="3421">
        <v>2</v>
      </c>
      <c r="P20" s="3422">
        <v>2</v>
      </c>
      <c r="Q20" s="1348">
        <f t="shared" si="8"/>
        <v>0.39999999999999991</v>
      </c>
      <c r="R20" s="1300">
        <f t="shared" si="9"/>
        <v>0.24999999999999994</v>
      </c>
      <c r="S20" s="3420">
        <v>15.28</v>
      </c>
      <c r="T20" s="3421">
        <v>18</v>
      </c>
      <c r="U20" s="3421">
        <v>18</v>
      </c>
      <c r="V20" s="3421">
        <v>18</v>
      </c>
      <c r="W20" s="3421">
        <v>18</v>
      </c>
      <c r="X20" s="3422">
        <v>18</v>
      </c>
      <c r="Y20" s="1348">
        <f t="shared" si="10"/>
        <v>2.7200000000000006</v>
      </c>
      <c r="Z20" s="1300">
        <f t="shared" si="11"/>
        <v>0.17801047120418853</v>
      </c>
      <c r="AA20" s="3420">
        <v>0</v>
      </c>
      <c r="AB20" s="3421">
        <v>2</v>
      </c>
      <c r="AC20" s="3421">
        <v>2.2999999999999998</v>
      </c>
      <c r="AD20" s="3421">
        <v>1.8</v>
      </c>
      <c r="AE20" s="3421">
        <v>2</v>
      </c>
      <c r="AF20" s="3422">
        <v>2</v>
      </c>
      <c r="AG20" s="1348">
        <f t="shared" si="13"/>
        <v>2</v>
      </c>
      <c r="AH20" s="1304">
        <f t="shared" si="14"/>
        <v>0</v>
      </c>
      <c r="AI20" s="3420"/>
      <c r="AJ20" s="3421"/>
      <c r="AK20" s="3421"/>
      <c r="AL20" s="3421"/>
      <c r="AM20" s="3421"/>
      <c r="AN20" s="3422"/>
      <c r="AO20" s="1348">
        <f t="shared" si="15"/>
        <v>0</v>
      </c>
      <c r="AP20" s="1304">
        <f t="shared" si="16"/>
        <v>0</v>
      </c>
      <c r="AQ20" s="3420">
        <v>1</v>
      </c>
      <c r="AR20" s="3421">
        <v>2</v>
      </c>
      <c r="AS20" s="3421">
        <v>2</v>
      </c>
      <c r="AT20" s="3421">
        <v>2</v>
      </c>
      <c r="AU20" s="3421">
        <v>2</v>
      </c>
      <c r="AV20" s="3421">
        <v>2</v>
      </c>
      <c r="AW20" s="1202">
        <f t="shared" si="40"/>
        <v>67.88</v>
      </c>
      <c r="AX20" s="3443">
        <f t="shared" si="41"/>
        <v>86</v>
      </c>
      <c r="AY20" s="3443">
        <f t="shared" si="42"/>
        <v>86.3</v>
      </c>
      <c r="AZ20" s="3443">
        <f t="shared" si="43"/>
        <v>85.8</v>
      </c>
      <c r="BA20" s="3443">
        <f t="shared" si="44"/>
        <v>86</v>
      </c>
      <c r="BB20" s="3444">
        <f t="shared" si="45"/>
        <v>86</v>
      </c>
      <c r="BC20" s="3464">
        <f t="shared" si="46"/>
        <v>51</v>
      </c>
      <c r="BD20" s="3465">
        <f t="shared" si="47"/>
        <v>66</v>
      </c>
      <c r="BE20" s="3466">
        <f t="shared" si="48"/>
        <v>66.3</v>
      </c>
      <c r="BF20" s="3466">
        <f t="shared" si="49"/>
        <v>65.8</v>
      </c>
      <c r="BG20" s="3466">
        <f t="shared" si="50"/>
        <v>66</v>
      </c>
      <c r="BH20" s="3468">
        <f t="shared" si="51"/>
        <v>66</v>
      </c>
    </row>
    <row r="21" spans="1:60" s="737" customFormat="1" ht="12.75">
      <c r="A21" s="917" t="s">
        <v>1241</v>
      </c>
      <c r="B21" s="3405" t="s">
        <v>1238</v>
      </c>
      <c r="C21" s="3423">
        <f>'8. Ремонтна програма'!J27</f>
        <v>172</v>
      </c>
      <c r="D21" s="4348">
        <f>'8. Ремонтна програма'!K27</f>
        <v>192</v>
      </c>
      <c r="E21" s="3424">
        <f>'8. Ремонтна програма'!L27</f>
        <v>192</v>
      </c>
      <c r="F21" s="3424">
        <f>'8. Ремонтна програма'!M27</f>
        <v>192</v>
      </c>
      <c r="G21" s="3424">
        <f>'8. Ремонтна програма'!N27</f>
        <v>192</v>
      </c>
      <c r="H21" s="3424">
        <f>'8. Ремонтна програма'!O27</f>
        <v>192</v>
      </c>
      <c r="I21" s="3444">
        <f t="shared" si="6"/>
        <v>20</v>
      </c>
      <c r="J21" s="1304">
        <f t="shared" si="7"/>
        <v>0.11627906976744186</v>
      </c>
      <c r="K21" s="3423">
        <f>'8. Ремонтна програма'!J56</f>
        <v>29</v>
      </c>
      <c r="L21" s="1355">
        <f>'8. Ремонтна програма'!K56</f>
        <v>70</v>
      </c>
      <c r="M21" s="3424">
        <f>'8. Ремонтна програма'!L56</f>
        <v>70</v>
      </c>
      <c r="N21" s="3424">
        <f>'8. Ремонтна програма'!M56</f>
        <v>70</v>
      </c>
      <c r="O21" s="3424">
        <f>'8. Ремонтна програма'!N56</f>
        <v>70</v>
      </c>
      <c r="P21" s="4349">
        <f>'8. Ремонтна програма'!O56</f>
        <v>70</v>
      </c>
      <c r="Q21" s="1348">
        <f t="shared" si="8"/>
        <v>41</v>
      </c>
      <c r="R21" s="1300">
        <f t="shared" si="9"/>
        <v>1.4137931034482758</v>
      </c>
      <c r="S21" s="3423">
        <f>'8. Ремонтна програма'!J82</f>
        <v>0</v>
      </c>
      <c r="T21" s="1355">
        <f>'8. Ремонтна програма'!K82</f>
        <v>1</v>
      </c>
      <c r="U21" s="3424">
        <f>'8. Ремонтна програма'!L82</f>
        <v>1</v>
      </c>
      <c r="V21" s="3424">
        <f>'8. Ремонтна програма'!M82</f>
        <v>1</v>
      </c>
      <c r="W21" s="3424">
        <f>'8. Ремонтна програма'!N82</f>
        <v>1</v>
      </c>
      <c r="X21" s="4349">
        <f>'8. Ремонтна програма'!O82</f>
        <v>1</v>
      </c>
      <c r="Y21" s="1355">
        <f t="shared" si="10"/>
        <v>1</v>
      </c>
      <c r="Z21" s="1300">
        <f t="shared" si="11"/>
        <v>0</v>
      </c>
      <c r="AA21" s="3423">
        <f>'8. Ремонтна програма'!J113</f>
        <v>0</v>
      </c>
      <c r="AB21" s="1355">
        <f>'8. Ремонтна програма'!K113</f>
        <v>0</v>
      </c>
      <c r="AC21" s="3424">
        <f>'8. Ремонтна програма'!L113</f>
        <v>2</v>
      </c>
      <c r="AD21" s="3424">
        <f>'8. Ремонтна програма'!M113</f>
        <v>1.1000000000000001</v>
      </c>
      <c r="AE21" s="3424">
        <f>'8. Ремонтна програма'!N113</f>
        <v>5</v>
      </c>
      <c r="AF21" s="4349">
        <f>'8. Ремонтна програма'!O113</f>
        <v>2</v>
      </c>
      <c r="AG21" s="1355">
        <f t="shared" si="13"/>
        <v>2</v>
      </c>
      <c r="AH21" s="1304">
        <f t="shared" si="14"/>
        <v>0</v>
      </c>
      <c r="AI21" s="3423">
        <f>'8. Ремонтна програма'!J144</f>
        <v>0</v>
      </c>
      <c r="AJ21" s="1355">
        <f>'8. Ремонтна програма'!K144</f>
        <v>0</v>
      </c>
      <c r="AK21" s="3424">
        <f>'8. Ремонтна програма'!L144</f>
        <v>0</v>
      </c>
      <c r="AL21" s="3424">
        <f>'8. Ремонтна програма'!M144</f>
        <v>0</v>
      </c>
      <c r="AM21" s="3424">
        <f>'8. Ремонтна програма'!N144</f>
        <v>0</v>
      </c>
      <c r="AN21" s="4349">
        <f>'8. Ремонтна програма'!O144</f>
        <v>0</v>
      </c>
      <c r="AO21" s="1355">
        <f t="shared" si="15"/>
        <v>0</v>
      </c>
      <c r="AP21" s="1304">
        <f t="shared" si="16"/>
        <v>0</v>
      </c>
      <c r="AQ21" s="3420"/>
      <c r="AR21" s="3421"/>
      <c r="AS21" s="3421"/>
      <c r="AT21" s="3421"/>
      <c r="AU21" s="3421"/>
      <c r="AV21" s="3453"/>
      <c r="AW21" s="3470">
        <f t="shared" si="40"/>
        <v>201</v>
      </c>
      <c r="AX21" s="3444">
        <f t="shared" si="41"/>
        <v>263</v>
      </c>
      <c r="AY21" s="3471">
        <f t="shared" si="42"/>
        <v>265</v>
      </c>
      <c r="AZ21" s="3471">
        <f t="shared" si="43"/>
        <v>264.10000000000002</v>
      </c>
      <c r="BA21" s="3471">
        <f t="shared" si="44"/>
        <v>268</v>
      </c>
      <c r="BB21" s="3444">
        <f t="shared" si="45"/>
        <v>265</v>
      </c>
      <c r="BC21" s="3464">
        <f t="shared" si="46"/>
        <v>172</v>
      </c>
      <c r="BD21" s="3465">
        <f t="shared" si="47"/>
        <v>192</v>
      </c>
      <c r="BE21" s="3466">
        <f t="shared" si="48"/>
        <v>194</v>
      </c>
      <c r="BF21" s="3466">
        <f t="shared" si="49"/>
        <v>193.1</v>
      </c>
      <c r="BG21" s="3466">
        <f t="shared" si="50"/>
        <v>197</v>
      </c>
      <c r="BH21" s="3468">
        <f t="shared" si="51"/>
        <v>194</v>
      </c>
    </row>
    <row r="22" spans="1:60" ht="12.75">
      <c r="A22" s="916" t="s">
        <v>149</v>
      </c>
      <c r="B22" s="983" t="s">
        <v>241</v>
      </c>
      <c r="C22" s="3420">
        <v>22</v>
      </c>
      <c r="D22" s="3421">
        <v>24</v>
      </c>
      <c r="E22" s="3421">
        <v>24</v>
      </c>
      <c r="F22" s="3421">
        <v>24</v>
      </c>
      <c r="G22" s="3421">
        <v>24</v>
      </c>
      <c r="H22" s="3422">
        <v>24</v>
      </c>
      <c r="I22" s="1348">
        <f t="shared" si="6"/>
        <v>2</v>
      </c>
      <c r="J22" s="904">
        <f t="shared" si="7"/>
        <v>9.0909090909090912E-2</v>
      </c>
      <c r="K22" s="3420">
        <v>2</v>
      </c>
      <c r="L22" s="3421">
        <v>2.2000000000000002</v>
      </c>
      <c r="M22" s="3421">
        <v>2.2000000000000002</v>
      </c>
      <c r="N22" s="3421">
        <v>2.2000000000000002</v>
      </c>
      <c r="O22" s="3421">
        <v>2.2000000000000002</v>
      </c>
      <c r="P22" s="3422">
        <v>2.2000000000000002</v>
      </c>
      <c r="Q22" s="1348">
        <f t="shared" si="8"/>
        <v>0.20000000000000018</v>
      </c>
      <c r="R22" s="1211">
        <f t="shared" si="9"/>
        <v>0.10000000000000009</v>
      </c>
      <c r="S22" s="3420">
        <v>2.4</v>
      </c>
      <c r="T22" s="3421">
        <v>2.5</v>
      </c>
      <c r="U22" s="3421">
        <v>2.5</v>
      </c>
      <c r="V22" s="3421">
        <v>2.5</v>
      </c>
      <c r="W22" s="3421">
        <v>2.5</v>
      </c>
      <c r="X22" s="3422">
        <v>2.5</v>
      </c>
      <c r="Y22" s="1348">
        <f t="shared" si="10"/>
        <v>0.10000000000000009</v>
      </c>
      <c r="Z22" s="1211">
        <f t="shared" si="11"/>
        <v>4.1666666666666706E-2</v>
      </c>
      <c r="AA22" s="3420">
        <v>0.05</v>
      </c>
      <c r="AB22" s="3421">
        <v>5.5E-2</v>
      </c>
      <c r="AC22" s="3421">
        <v>5.5E-2</v>
      </c>
      <c r="AD22" s="3421">
        <v>5.5E-2</v>
      </c>
      <c r="AE22" s="3421">
        <v>5.5E-2</v>
      </c>
      <c r="AF22" s="3422">
        <v>5.5E-2</v>
      </c>
      <c r="AG22" s="1348">
        <f t="shared" si="13"/>
        <v>4.9999999999999975E-3</v>
      </c>
      <c r="AH22" s="904">
        <f t="shared" si="14"/>
        <v>9.999999999999995E-2</v>
      </c>
      <c r="AI22" s="3420"/>
      <c r="AJ22" s="3421"/>
      <c r="AK22" s="3421"/>
      <c r="AL22" s="3421"/>
      <c r="AM22" s="3421"/>
      <c r="AN22" s="3422"/>
      <c r="AO22" s="1348">
        <f t="shared" si="15"/>
        <v>0</v>
      </c>
      <c r="AP22" s="904">
        <f t="shared" si="16"/>
        <v>0</v>
      </c>
      <c r="AQ22" s="3420">
        <v>1</v>
      </c>
      <c r="AR22" s="3420">
        <v>1</v>
      </c>
      <c r="AS22" s="3420">
        <v>1</v>
      </c>
      <c r="AT22" s="3420">
        <v>1</v>
      </c>
      <c r="AU22" s="3420">
        <v>1</v>
      </c>
      <c r="AV22" s="3420">
        <v>1</v>
      </c>
      <c r="AW22" s="1202">
        <f t="shared" si="40"/>
        <v>26.45</v>
      </c>
      <c r="AX22" s="3443">
        <f t="shared" si="41"/>
        <v>28.754999999999999</v>
      </c>
      <c r="AY22" s="3443">
        <f t="shared" si="42"/>
        <v>28.754999999999999</v>
      </c>
      <c r="AZ22" s="3443">
        <f t="shared" si="43"/>
        <v>28.754999999999999</v>
      </c>
      <c r="BA22" s="3443">
        <f t="shared" si="44"/>
        <v>28.754999999999999</v>
      </c>
      <c r="BB22" s="3444">
        <f t="shared" si="45"/>
        <v>28.754999999999999</v>
      </c>
      <c r="BC22" s="3464">
        <f t="shared" si="46"/>
        <v>22.05</v>
      </c>
      <c r="BD22" s="3465">
        <f t="shared" si="47"/>
        <v>24.055</v>
      </c>
      <c r="BE22" s="3466">
        <f t="shared" si="48"/>
        <v>24.055</v>
      </c>
      <c r="BF22" s="3466">
        <f t="shared" si="49"/>
        <v>24.055</v>
      </c>
      <c r="BG22" s="3466">
        <f t="shared" si="50"/>
        <v>24.055</v>
      </c>
      <c r="BH22" s="3468">
        <f t="shared" si="51"/>
        <v>24.055</v>
      </c>
    </row>
    <row r="23" spans="1:60" ht="12.75">
      <c r="A23" s="916" t="s">
        <v>151</v>
      </c>
      <c r="B23" s="983" t="s">
        <v>242</v>
      </c>
      <c r="C23" s="3420">
        <v>33</v>
      </c>
      <c r="D23" s="3421">
        <v>30</v>
      </c>
      <c r="E23" s="3421">
        <v>30</v>
      </c>
      <c r="F23" s="3421">
        <v>30</v>
      </c>
      <c r="G23" s="3421">
        <v>30</v>
      </c>
      <c r="H23" s="3422">
        <v>30</v>
      </c>
      <c r="I23" s="1348">
        <f t="shared" si="6"/>
        <v>-3</v>
      </c>
      <c r="J23" s="904">
        <f t="shared" si="7"/>
        <v>-9.0909090909090912E-2</v>
      </c>
      <c r="K23" s="3420">
        <v>1.45</v>
      </c>
      <c r="L23" s="3421">
        <v>1.5</v>
      </c>
      <c r="M23" s="3421">
        <v>1.5</v>
      </c>
      <c r="N23" s="3421">
        <v>1.5</v>
      </c>
      <c r="O23" s="3421">
        <v>1.5</v>
      </c>
      <c r="P23" s="3422">
        <v>1.5</v>
      </c>
      <c r="Q23" s="1348">
        <f t="shared" si="8"/>
        <v>5.0000000000000044E-2</v>
      </c>
      <c r="R23" s="1211">
        <f t="shared" si="9"/>
        <v>3.4482758620689689E-2</v>
      </c>
      <c r="S23" s="3420">
        <v>4</v>
      </c>
      <c r="T23" s="3421">
        <v>4.2</v>
      </c>
      <c r="U23" s="3421">
        <v>4.2</v>
      </c>
      <c r="V23" s="3421">
        <v>4.2</v>
      </c>
      <c r="W23" s="3421">
        <v>4.2</v>
      </c>
      <c r="X23" s="3422">
        <v>4.2</v>
      </c>
      <c r="Y23" s="1348">
        <f t="shared" si="10"/>
        <v>0.20000000000000018</v>
      </c>
      <c r="Z23" s="1211">
        <f t="shared" si="11"/>
        <v>5.0000000000000044E-2</v>
      </c>
      <c r="AA23" s="3420">
        <v>0.26600000000000001</v>
      </c>
      <c r="AB23" s="3421">
        <v>0.27</v>
      </c>
      <c r="AC23" s="3421">
        <v>0.27</v>
      </c>
      <c r="AD23" s="3421">
        <v>0.27</v>
      </c>
      <c r="AE23" s="3421">
        <v>0.27</v>
      </c>
      <c r="AF23" s="3421">
        <v>0.27</v>
      </c>
      <c r="AG23" s="1348">
        <f t="shared" si="13"/>
        <v>4.0000000000000036E-3</v>
      </c>
      <c r="AH23" s="904">
        <f t="shared" si="14"/>
        <v>1.5037593984962419E-2</v>
      </c>
      <c r="AI23" s="3420"/>
      <c r="AJ23" s="3421"/>
      <c r="AK23" s="3421"/>
      <c r="AL23" s="3421"/>
      <c r="AM23" s="3421"/>
      <c r="AN23" s="3422"/>
      <c r="AO23" s="1348">
        <f t="shared" si="15"/>
        <v>0</v>
      </c>
      <c r="AP23" s="904">
        <f t="shared" si="16"/>
        <v>0</v>
      </c>
      <c r="AQ23" s="3420">
        <v>0.8</v>
      </c>
      <c r="AR23" s="3421">
        <v>1.5</v>
      </c>
      <c r="AS23" s="3421">
        <v>1.5</v>
      </c>
      <c r="AT23" s="3421">
        <v>1.5</v>
      </c>
      <c r="AU23" s="3421">
        <v>1.5</v>
      </c>
      <c r="AV23" s="3453">
        <v>1.5</v>
      </c>
      <c r="AW23" s="1202">
        <f t="shared" si="40"/>
        <v>38.716000000000001</v>
      </c>
      <c r="AX23" s="3443">
        <f t="shared" si="41"/>
        <v>35.970000000000006</v>
      </c>
      <c r="AY23" s="3443">
        <f t="shared" si="42"/>
        <v>35.970000000000006</v>
      </c>
      <c r="AZ23" s="3443">
        <f t="shared" si="43"/>
        <v>35.970000000000006</v>
      </c>
      <c r="BA23" s="3443">
        <f t="shared" si="44"/>
        <v>35.970000000000006</v>
      </c>
      <c r="BB23" s="3444">
        <f t="shared" si="45"/>
        <v>35.970000000000006</v>
      </c>
      <c r="BC23" s="3464">
        <f t="shared" si="46"/>
        <v>33.265999999999998</v>
      </c>
      <c r="BD23" s="3465">
        <f t="shared" si="47"/>
        <v>30.27</v>
      </c>
      <c r="BE23" s="3466">
        <f t="shared" si="48"/>
        <v>30.27</v>
      </c>
      <c r="BF23" s="3466">
        <f t="shared" si="49"/>
        <v>30.27</v>
      </c>
      <c r="BG23" s="3466">
        <f t="shared" si="50"/>
        <v>30.27</v>
      </c>
      <c r="BH23" s="3468">
        <f t="shared" si="51"/>
        <v>30.27</v>
      </c>
    </row>
    <row r="24" spans="1:60" s="743" customFormat="1" ht="12.75">
      <c r="A24" s="916" t="s">
        <v>153</v>
      </c>
      <c r="B24" s="983" t="s">
        <v>648</v>
      </c>
      <c r="C24" s="2995">
        <f>'8. Ремонтна програма'!J29</f>
        <v>443</v>
      </c>
      <c r="D24" s="1346">
        <f>'8. Ремонтна програма'!K29</f>
        <v>497</v>
      </c>
      <c r="E24" s="1223">
        <f>'8. Ремонтна програма'!L29</f>
        <v>497</v>
      </c>
      <c r="F24" s="1223">
        <f>'8. Ремонтна програма'!M29</f>
        <v>497</v>
      </c>
      <c r="G24" s="1223">
        <f>'8. Ремонтна програма'!N29</f>
        <v>497</v>
      </c>
      <c r="H24" s="3469">
        <f>'8. Ремонтна програма'!O29</f>
        <v>497</v>
      </c>
      <c r="I24" s="1346">
        <f t="shared" si="6"/>
        <v>54</v>
      </c>
      <c r="J24" s="900">
        <f t="shared" si="7"/>
        <v>0.12189616252821671</v>
      </c>
      <c r="K24" s="2995">
        <f>'8. Ремонтна програма'!J58</f>
        <v>8</v>
      </c>
      <c r="L24" s="1346">
        <f>'8. Ремонтна програма'!K58</f>
        <v>26</v>
      </c>
      <c r="M24" s="1223">
        <f>'8. Ремонтна програма'!L58</f>
        <v>26</v>
      </c>
      <c r="N24" s="1223">
        <f>'8. Ремонтна програма'!M58</f>
        <v>26</v>
      </c>
      <c r="O24" s="1223">
        <f>'8. Ремонтна програма'!N58</f>
        <v>26</v>
      </c>
      <c r="P24" s="3469">
        <f>'8. Ремонтна програма'!O58</f>
        <v>26</v>
      </c>
      <c r="Q24" s="1346">
        <f t="shared" si="8"/>
        <v>18</v>
      </c>
      <c r="R24" s="964">
        <f t="shared" si="9"/>
        <v>2.25</v>
      </c>
      <c r="S24" s="2995">
        <f>'8. Ремонтна програма'!J84</f>
        <v>3.7360000000000002</v>
      </c>
      <c r="T24" s="1346">
        <f>'8. Ремонтна програма'!K84</f>
        <v>5</v>
      </c>
      <c r="U24" s="1223">
        <f>'8. Ремонтна програма'!L84</f>
        <v>5</v>
      </c>
      <c r="V24" s="1223">
        <f>'8. Ремонтна програма'!M84</f>
        <v>5</v>
      </c>
      <c r="W24" s="1223">
        <f>'8. Ремонтна програма'!N84</f>
        <v>5</v>
      </c>
      <c r="X24" s="3469">
        <f>'8. Ремонтна програма'!O84</f>
        <v>5</v>
      </c>
      <c r="Y24" s="1346">
        <f t="shared" si="10"/>
        <v>1.2639999999999998</v>
      </c>
      <c r="Z24" s="964">
        <f t="shared" si="11"/>
        <v>0.3383297644539614</v>
      </c>
      <c r="AA24" s="2995">
        <f>'8. Ремонтна програма'!J115</f>
        <v>0.15</v>
      </c>
      <c r="AB24" s="1346">
        <f>'8. Ремонтна програма'!K115</f>
        <v>0.15</v>
      </c>
      <c r="AC24" s="1223">
        <f>'8. Ремонтна програма'!L115</f>
        <v>2</v>
      </c>
      <c r="AD24" s="1223">
        <f>'8. Ремонтна програма'!M115</f>
        <v>3</v>
      </c>
      <c r="AE24" s="1223">
        <f>'8. Ремонтна програма'!N115</f>
        <v>10</v>
      </c>
      <c r="AF24" s="3469">
        <f>'8. Ремонтна програма'!O115</f>
        <v>13</v>
      </c>
      <c r="AG24" s="1346">
        <f t="shared" si="13"/>
        <v>12.85</v>
      </c>
      <c r="AH24" s="900">
        <f t="shared" si="14"/>
        <v>85.666666666666671</v>
      </c>
      <c r="AI24" s="1202">
        <f>'8. Ремонтна програма'!J146</f>
        <v>0</v>
      </c>
      <c r="AJ24" s="1352">
        <f>'8. Ремонтна програма'!K146</f>
        <v>0</v>
      </c>
      <c r="AK24" s="1226">
        <f>'8. Ремонтна програма'!L146</f>
        <v>0</v>
      </c>
      <c r="AL24" s="1226">
        <f>'8. Ремонтна програма'!M146</f>
        <v>0</v>
      </c>
      <c r="AM24" s="1226">
        <f>'8. Ремонтна програма'!N146</f>
        <v>0</v>
      </c>
      <c r="AN24" s="3460">
        <f>'8. Ремонтна програма'!O146</f>
        <v>0</v>
      </c>
      <c r="AO24" s="1346">
        <f t="shared" si="15"/>
        <v>0</v>
      </c>
      <c r="AP24" s="900">
        <f t="shared" si="16"/>
        <v>0</v>
      </c>
      <c r="AQ24" s="3420">
        <v>0.6</v>
      </c>
      <c r="AR24" s="3421">
        <v>1</v>
      </c>
      <c r="AS24" s="3421">
        <v>1</v>
      </c>
      <c r="AT24" s="3421">
        <v>1</v>
      </c>
      <c r="AU24" s="3421">
        <v>1</v>
      </c>
      <c r="AV24" s="3453">
        <v>1</v>
      </c>
      <c r="AW24" s="1202">
        <f t="shared" si="40"/>
        <v>454.88599999999997</v>
      </c>
      <c r="AX24" s="995">
        <f t="shared" si="41"/>
        <v>528.15</v>
      </c>
      <c r="AY24" s="995">
        <f t="shared" si="42"/>
        <v>530</v>
      </c>
      <c r="AZ24" s="995">
        <f t="shared" si="43"/>
        <v>531</v>
      </c>
      <c r="BA24" s="995">
        <f t="shared" si="44"/>
        <v>538</v>
      </c>
      <c r="BB24" s="1231">
        <f t="shared" si="45"/>
        <v>541</v>
      </c>
      <c r="BC24" s="3464">
        <f t="shared" si="46"/>
        <v>443.15</v>
      </c>
      <c r="BD24" s="3465">
        <f t="shared" si="47"/>
        <v>497.15</v>
      </c>
      <c r="BE24" s="3466">
        <f t="shared" si="48"/>
        <v>499</v>
      </c>
      <c r="BF24" s="3466">
        <f t="shared" si="49"/>
        <v>500</v>
      </c>
      <c r="BG24" s="3466">
        <f t="shared" si="50"/>
        <v>507</v>
      </c>
      <c r="BH24" s="3468">
        <f t="shared" si="51"/>
        <v>510</v>
      </c>
    </row>
    <row r="25" spans="1:60" ht="12.75">
      <c r="A25" s="916" t="s">
        <v>155</v>
      </c>
      <c r="B25" s="983" t="s">
        <v>442</v>
      </c>
      <c r="C25" s="1278">
        <f>SUM(C26:C28)</f>
        <v>68</v>
      </c>
      <c r="D25" s="1224">
        <f t="shared" ref="D25:BB25" si="52">SUM(D26:D28)</f>
        <v>40</v>
      </c>
      <c r="E25" s="1225">
        <f t="shared" si="52"/>
        <v>40</v>
      </c>
      <c r="F25" s="1225">
        <f t="shared" si="52"/>
        <v>40</v>
      </c>
      <c r="G25" s="1225">
        <f t="shared" si="52"/>
        <v>40</v>
      </c>
      <c r="H25" s="1239">
        <f t="shared" si="52"/>
        <v>40</v>
      </c>
      <c r="I25" s="1347">
        <f t="shared" si="6"/>
        <v>-28</v>
      </c>
      <c r="J25" s="784">
        <f t="shared" si="7"/>
        <v>-0.41176470588235292</v>
      </c>
      <c r="K25" s="1278">
        <f t="shared" si="52"/>
        <v>6.4</v>
      </c>
      <c r="L25" s="1224">
        <f t="shared" si="52"/>
        <v>6</v>
      </c>
      <c r="M25" s="1225">
        <f t="shared" si="52"/>
        <v>6</v>
      </c>
      <c r="N25" s="1225">
        <f t="shared" si="52"/>
        <v>6</v>
      </c>
      <c r="O25" s="1225">
        <f t="shared" si="52"/>
        <v>6</v>
      </c>
      <c r="P25" s="1239">
        <f t="shared" si="52"/>
        <v>6</v>
      </c>
      <c r="Q25" s="1347">
        <f t="shared" si="8"/>
        <v>-0.40000000000000036</v>
      </c>
      <c r="R25" s="965">
        <f t="shared" si="9"/>
        <v>-6.2500000000000056E-2</v>
      </c>
      <c r="S25" s="1278">
        <f t="shared" si="52"/>
        <v>5.3</v>
      </c>
      <c r="T25" s="1224">
        <f t="shared" si="52"/>
        <v>0</v>
      </c>
      <c r="U25" s="1225">
        <f t="shared" si="52"/>
        <v>0</v>
      </c>
      <c r="V25" s="1225">
        <f t="shared" si="52"/>
        <v>0</v>
      </c>
      <c r="W25" s="1225">
        <f t="shared" si="52"/>
        <v>0</v>
      </c>
      <c r="X25" s="1239">
        <f t="shared" si="52"/>
        <v>0</v>
      </c>
      <c r="Y25" s="1347">
        <f t="shared" si="10"/>
        <v>-5.3</v>
      </c>
      <c r="Z25" s="965">
        <f t="shared" si="11"/>
        <v>-1</v>
      </c>
      <c r="AA25" s="1278">
        <f>SUM(AA26:AA28)</f>
        <v>0.31</v>
      </c>
      <c r="AB25" s="1224">
        <f t="shared" ref="AB25:AN25" si="53">SUM(AB26:AB28)</f>
        <v>0.34100000000000003</v>
      </c>
      <c r="AC25" s="1225">
        <f t="shared" si="53"/>
        <v>0.34100000000000003</v>
      </c>
      <c r="AD25" s="1225">
        <f t="shared" si="53"/>
        <v>0.34100000000000003</v>
      </c>
      <c r="AE25" s="1225">
        <f t="shared" si="53"/>
        <v>0.34100000000000003</v>
      </c>
      <c r="AF25" s="1239">
        <f t="shared" si="53"/>
        <v>0.34100000000000003</v>
      </c>
      <c r="AG25" s="1347">
        <f t="shared" si="13"/>
        <v>3.1000000000000028E-2</v>
      </c>
      <c r="AH25" s="784">
        <f t="shared" si="14"/>
        <v>0.10000000000000009</v>
      </c>
      <c r="AI25" s="1278">
        <f t="shared" si="53"/>
        <v>0</v>
      </c>
      <c r="AJ25" s="1224">
        <f t="shared" si="53"/>
        <v>0</v>
      </c>
      <c r="AK25" s="1225">
        <f t="shared" si="53"/>
        <v>0</v>
      </c>
      <c r="AL25" s="1225">
        <f t="shared" si="53"/>
        <v>0</v>
      </c>
      <c r="AM25" s="1225">
        <f t="shared" si="53"/>
        <v>0</v>
      </c>
      <c r="AN25" s="1239">
        <f t="shared" si="53"/>
        <v>0</v>
      </c>
      <c r="AO25" s="1347">
        <f t="shared" si="15"/>
        <v>0</v>
      </c>
      <c r="AP25" s="784">
        <f t="shared" si="16"/>
        <v>0</v>
      </c>
      <c r="AQ25" s="1278">
        <f>SUM(AQ26:AQ28)</f>
        <v>25</v>
      </c>
      <c r="AR25" s="1224">
        <f t="shared" si="52"/>
        <v>25</v>
      </c>
      <c r="AS25" s="1225">
        <f t="shared" si="52"/>
        <v>25</v>
      </c>
      <c r="AT25" s="1225">
        <f t="shared" si="52"/>
        <v>25</v>
      </c>
      <c r="AU25" s="1225">
        <f t="shared" si="52"/>
        <v>25</v>
      </c>
      <c r="AV25" s="3454">
        <f t="shared" si="52"/>
        <v>25</v>
      </c>
      <c r="AW25" s="1278">
        <f t="shared" si="52"/>
        <v>80.010000000000005</v>
      </c>
      <c r="AX25" s="1224">
        <f t="shared" si="52"/>
        <v>46.341000000000001</v>
      </c>
      <c r="AY25" s="1225">
        <f t="shared" si="52"/>
        <v>46.341000000000001</v>
      </c>
      <c r="AZ25" s="1225">
        <f t="shared" si="52"/>
        <v>46.341000000000001</v>
      </c>
      <c r="BA25" s="1225">
        <f t="shared" si="52"/>
        <v>46.341000000000001</v>
      </c>
      <c r="BB25" s="1239">
        <f t="shared" si="52"/>
        <v>46.341000000000001</v>
      </c>
      <c r="BC25" s="1278">
        <f t="shared" ref="BC25:BH25" si="54">SUM(BC26:BC28)</f>
        <v>68.31</v>
      </c>
      <c r="BD25" s="1224">
        <f t="shared" si="54"/>
        <v>40.341000000000001</v>
      </c>
      <c r="BE25" s="1225">
        <f t="shared" si="54"/>
        <v>40.341000000000001</v>
      </c>
      <c r="BF25" s="1225">
        <f t="shared" si="54"/>
        <v>40.341000000000001</v>
      </c>
      <c r="BG25" s="1225">
        <f t="shared" si="54"/>
        <v>40.341000000000001</v>
      </c>
      <c r="BH25" s="3454">
        <f t="shared" si="54"/>
        <v>40.341000000000001</v>
      </c>
    </row>
    <row r="26" spans="1:60" ht="12.75">
      <c r="A26" s="917" t="s">
        <v>443</v>
      </c>
      <c r="B26" s="451" t="s">
        <v>2041</v>
      </c>
      <c r="C26" s="3420">
        <v>68</v>
      </c>
      <c r="D26" s="3421">
        <v>40</v>
      </c>
      <c r="E26" s="3421">
        <v>40</v>
      </c>
      <c r="F26" s="3421">
        <v>40</v>
      </c>
      <c r="G26" s="3421">
        <v>40</v>
      </c>
      <c r="H26" s="3422">
        <v>40</v>
      </c>
      <c r="I26" s="1348">
        <f t="shared" si="6"/>
        <v>-28</v>
      </c>
      <c r="J26" s="904">
        <f t="shared" si="7"/>
        <v>-0.41176470588235292</v>
      </c>
      <c r="K26" s="3420">
        <v>6.4</v>
      </c>
      <c r="L26" s="3421">
        <v>6</v>
      </c>
      <c r="M26" s="3421">
        <v>6</v>
      </c>
      <c r="N26" s="3421">
        <v>6</v>
      </c>
      <c r="O26" s="3421">
        <v>6</v>
      </c>
      <c r="P26" s="3422">
        <v>6</v>
      </c>
      <c r="Q26" s="1348">
        <f t="shared" si="8"/>
        <v>-0.40000000000000036</v>
      </c>
      <c r="R26" s="1211">
        <f t="shared" si="9"/>
        <v>-6.2500000000000056E-2</v>
      </c>
      <c r="S26" s="3420">
        <v>5.3</v>
      </c>
      <c r="T26" s="3421"/>
      <c r="U26" s="3421"/>
      <c r="V26" s="3421"/>
      <c r="W26" s="3421"/>
      <c r="X26" s="3422"/>
      <c r="Y26" s="1348">
        <f t="shared" si="10"/>
        <v>-5.3</v>
      </c>
      <c r="Z26" s="1211">
        <f t="shared" si="11"/>
        <v>-1</v>
      </c>
      <c r="AA26" s="3420">
        <v>0.31</v>
      </c>
      <c r="AB26" s="3421">
        <v>0.34100000000000003</v>
      </c>
      <c r="AC26" s="3421">
        <v>0.34100000000000003</v>
      </c>
      <c r="AD26" s="3421">
        <v>0.34100000000000003</v>
      </c>
      <c r="AE26" s="3421">
        <v>0.34100000000000003</v>
      </c>
      <c r="AF26" s="3422">
        <v>0.34100000000000003</v>
      </c>
      <c r="AG26" s="1348">
        <f t="shared" si="13"/>
        <v>3.1000000000000028E-2</v>
      </c>
      <c r="AH26" s="904">
        <f t="shared" si="14"/>
        <v>0.10000000000000009</v>
      </c>
      <c r="AI26" s="3420"/>
      <c r="AJ26" s="3421"/>
      <c r="AK26" s="3421"/>
      <c r="AL26" s="3421"/>
      <c r="AM26" s="3421"/>
      <c r="AN26" s="3422"/>
      <c r="AO26" s="1348">
        <f t="shared" si="15"/>
        <v>0</v>
      </c>
      <c r="AP26" s="904">
        <f t="shared" si="16"/>
        <v>0</v>
      </c>
      <c r="AQ26" s="3420">
        <v>25</v>
      </c>
      <c r="AR26" s="3421">
        <v>25</v>
      </c>
      <c r="AS26" s="3421">
        <v>25</v>
      </c>
      <c r="AT26" s="3421">
        <v>25</v>
      </c>
      <c r="AU26" s="3421">
        <v>25</v>
      </c>
      <c r="AV26" s="3453">
        <v>25</v>
      </c>
      <c r="AW26" s="1202">
        <f t="shared" ref="AW26:AW28" si="55">C26+K26+S26+AA26+AI26</f>
        <v>80.010000000000005</v>
      </c>
      <c r="AX26" s="3443">
        <f t="shared" ref="AX26:AX28" si="56">D26+L26+T26+AB26+AJ26</f>
        <v>46.341000000000001</v>
      </c>
      <c r="AY26" s="3443">
        <f t="shared" ref="AY26:AY28" si="57">E26+M26+U26+AC26+AK26</f>
        <v>46.341000000000001</v>
      </c>
      <c r="AZ26" s="3443">
        <f t="shared" ref="AZ26:AZ28" si="58">F26+N26+V26+AD26+AL26</f>
        <v>46.341000000000001</v>
      </c>
      <c r="BA26" s="3443">
        <f t="shared" ref="BA26:BA28" si="59">G26+O26+W26+AE26+AM26</f>
        <v>46.341000000000001</v>
      </c>
      <c r="BB26" s="3444">
        <f t="shared" ref="BB26:BB28" si="60">H26+P26+X26+AF26+AN26</f>
        <v>46.341000000000001</v>
      </c>
      <c r="BC26" s="3464">
        <f t="shared" ref="BC26:BC28" si="61">C26+AA26+AI26</f>
        <v>68.31</v>
      </c>
      <c r="BD26" s="3465">
        <f t="shared" ref="BD26:BD28" si="62">D26+AB26+AJ26</f>
        <v>40.341000000000001</v>
      </c>
      <c r="BE26" s="3466">
        <f t="shared" ref="BE26:BE28" si="63">E26+AC26+AK26</f>
        <v>40.341000000000001</v>
      </c>
      <c r="BF26" s="3466">
        <f t="shared" ref="BF26:BF28" si="64">F26+AD26+AL26</f>
        <v>40.341000000000001</v>
      </c>
      <c r="BG26" s="3466">
        <f t="shared" ref="BG26:BG28" si="65">G26+AE26+AM26</f>
        <v>40.341000000000001</v>
      </c>
      <c r="BH26" s="3468">
        <f t="shared" ref="BH26:BH28" si="66">H26+AF26+AN26</f>
        <v>40.341000000000001</v>
      </c>
    </row>
    <row r="27" spans="1:60" ht="12.75">
      <c r="A27" s="919" t="s">
        <v>444</v>
      </c>
      <c r="B27" s="451"/>
      <c r="C27" s="3420"/>
      <c r="D27" s="3421"/>
      <c r="E27" s="3421"/>
      <c r="F27" s="3421"/>
      <c r="G27" s="3421"/>
      <c r="H27" s="3422"/>
      <c r="I27" s="1348">
        <f t="shared" si="6"/>
        <v>0</v>
      </c>
      <c r="J27" s="904">
        <f t="shared" si="7"/>
        <v>0</v>
      </c>
      <c r="K27" s="3420"/>
      <c r="L27" s="3421"/>
      <c r="M27" s="3421"/>
      <c r="N27" s="3421"/>
      <c r="O27" s="3421"/>
      <c r="P27" s="3422"/>
      <c r="Q27" s="1348">
        <f t="shared" si="8"/>
        <v>0</v>
      </c>
      <c r="R27" s="1211">
        <f t="shared" si="9"/>
        <v>0</v>
      </c>
      <c r="S27" s="3420"/>
      <c r="T27" s="3421"/>
      <c r="U27" s="3421"/>
      <c r="V27" s="3421"/>
      <c r="W27" s="3421"/>
      <c r="X27" s="3422"/>
      <c r="Y27" s="1348">
        <f t="shared" si="10"/>
        <v>0</v>
      </c>
      <c r="Z27" s="1211">
        <f t="shared" si="11"/>
        <v>0</v>
      </c>
      <c r="AA27" s="3420"/>
      <c r="AB27" s="3421"/>
      <c r="AC27" s="3421"/>
      <c r="AD27" s="3421"/>
      <c r="AE27" s="3421"/>
      <c r="AF27" s="3422"/>
      <c r="AG27" s="1348">
        <f t="shared" si="13"/>
        <v>0</v>
      </c>
      <c r="AH27" s="904">
        <f t="shared" si="14"/>
        <v>0</v>
      </c>
      <c r="AI27" s="3420"/>
      <c r="AJ27" s="3421"/>
      <c r="AK27" s="3421"/>
      <c r="AL27" s="3421"/>
      <c r="AM27" s="3421"/>
      <c r="AN27" s="3422"/>
      <c r="AO27" s="1348">
        <f t="shared" si="15"/>
        <v>0</v>
      </c>
      <c r="AP27" s="904">
        <f t="shared" si="16"/>
        <v>0</v>
      </c>
      <c r="AQ27" s="3420"/>
      <c r="AR27" s="3421"/>
      <c r="AS27" s="3421"/>
      <c r="AT27" s="3421"/>
      <c r="AU27" s="3421"/>
      <c r="AV27" s="3453"/>
      <c r="AW27" s="1202">
        <f t="shared" si="55"/>
        <v>0</v>
      </c>
      <c r="AX27" s="3443">
        <f t="shared" si="56"/>
        <v>0</v>
      </c>
      <c r="AY27" s="3443">
        <f t="shared" si="57"/>
        <v>0</v>
      </c>
      <c r="AZ27" s="3443">
        <f t="shared" si="58"/>
        <v>0</v>
      </c>
      <c r="BA27" s="3443">
        <f t="shared" si="59"/>
        <v>0</v>
      </c>
      <c r="BB27" s="3444">
        <f t="shared" si="60"/>
        <v>0</v>
      </c>
      <c r="BC27" s="3464">
        <f t="shared" si="61"/>
        <v>0</v>
      </c>
      <c r="BD27" s="3465">
        <f t="shared" si="62"/>
        <v>0</v>
      </c>
      <c r="BE27" s="3466">
        <f t="shared" si="63"/>
        <v>0</v>
      </c>
      <c r="BF27" s="3466">
        <f t="shared" si="64"/>
        <v>0</v>
      </c>
      <c r="BG27" s="3466">
        <f t="shared" si="65"/>
        <v>0</v>
      </c>
      <c r="BH27" s="3468">
        <f t="shared" si="66"/>
        <v>0</v>
      </c>
    </row>
    <row r="28" spans="1:60" ht="13.5" thickBot="1">
      <c r="A28" s="919" t="s">
        <v>445</v>
      </c>
      <c r="B28" s="451"/>
      <c r="C28" s="3480"/>
      <c r="D28" s="3421"/>
      <c r="E28" s="3421"/>
      <c r="F28" s="3421"/>
      <c r="G28" s="3421"/>
      <c r="H28" s="3422"/>
      <c r="I28" s="1348">
        <f t="shared" si="6"/>
        <v>0</v>
      </c>
      <c r="J28" s="1275">
        <f t="shared" si="7"/>
        <v>0</v>
      </c>
      <c r="K28" s="3420"/>
      <c r="L28" s="3421"/>
      <c r="M28" s="3421"/>
      <c r="N28" s="3421"/>
      <c r="O28" s="3421"/>
      <c r="P28" s="3422"/>
      <c r="Q28" s="1348">
        <f t="shared" si="8"/>
        <v>0</v>
      </c>
      <c r="R28" s="1213">
        <f>IFERROR((P28-K28)/K28,0)</f>
        <v>0</v>
      </c>
      <c r="S28" s="3420"/>
      <c r="T28" s="3421"/>
      <c r="U28" s="3421"/>
      <c r="V28" s="3421"/>
      <c r="W28" s="3421"/>
      <c r="X28" s="3422"/>
      <c r="Y28" s="1348">
        <f t="shared" si="10"/>
        <v>0</v>
      </c>
      <c r="Z28" s="1213">
        <f t="shared" si="11"/>
        <v>0</v>
      </c>
      <c r="AA28" s="3420"/>
      <c r="AB28" s="3421"/>
      <c r="AC28" s="3421"/>
      <c r="AD28" s="3421"/>
      <c r="AE28" s="3421"/>
      <c r="AF28" s="3422"/>
      <c r="AG28" s="1348">
        <f t="shared" si="13"/>
        <v>0</v>
      </c>
      <c r="AH28" s="1275">
        <f t="shared" si="14"/>
        <v>0</v>
      </c>
      <c r="AI28" s="3420"/>
      <c r="AJ28" s="3421"/>
      <c r="AK28" s="3421"/>
      <c r="AL28" s="3421"/>
      <c r="AM28" s="3421"/>
      <c r="AN28" s="3422"/>
      <c r="AO28" s="1348">
        <f t="shared" si="15"/>
        <v>0</v>
      </c>
      <c r="AP28" s="1275">
        <f t="shared" si="16"/>
        <v>0</v>
      </c>
      <c r="AQ28" s="3420"/>
      <c r="AR28" s="3421"/>
      <c r="AS28" s="3421"/>
      <c r="AT28" s="3421"/>
      <c r="AU28" s="3421"/>
      <c r="AV28" s="3453"/>
      <c r="AW28" s="1202">
        <f t="shared" si="55"/>
        <v>0</v>
      </c>
      <c r="AX28" s="3443">
        <f t="shared" si="56"/>
        <v>0</v>
      </c>
      <c r="AY28" s="3443">
        <f t="shared" si="57"/>
        <v>0</v>
      </c>
      <c r="AZ28" s="3443">
        <f t="shared" si="58"/>
        <v>0</v>
      </c>
      <c r="BA28" s="3443">
        <f t="shared" si="59"/>
        <v>0</v>
      </c>
      <c r="BB28" s="3444">
        <f t="shared" si="60"/>
        <v>0</v>
      </c>
      <c r="BC28" s="3464">
        <f t="shared" si="61"/>
        <v>0</v>
      </c>
      <c r="BD28" s="3465">
        <f t="shared" si="62"/>
        <v>0</v>
      </c>
      <c r="BE28" s="3466">
        <f t="shared" si="63"/>
        <v>0</v>
      </c>
      <c r="BF28" s="3466">
        <f t="shared" si="64"/>
        <v>0</v>
      </c>
      <c r="BG28" s="3466">
        <f t="shared" si="65"/>
        <v>0</v>
      </c>
      <c r="BH28" s="3468">
        <f t="shared" si="66"/>
        <v>0</v>
      </c>
    </row>
    <row r="29" spans="1:60" ht="13.5" thickBot="1">
      <c r="A29" s="119" t="s">
        <v>98</v>
      </c>
      <c r="B29" s="984" t="s">
        <v>244</v>
      </c>
      <c r="C29" s="1200">
        <f>SUM(C30:C54)-C38-C51</f>
        <v>2287</v>
      </c>
      <c r="D29" s="993">
        <f t="shared" ref="D29:X29" si="67">SUM(D30:D54)-D38-D51</f>
        <v>1776.2269999999999</v>
      </c>
      <c r="E29" s="1237">
        <f t="shared" si="67"/>
        <v>1941.58</v>
      </c>
      <c r="F29" s="1237">
        <f t="shared" si="67"/>
        <v>1942.48</v>
      </c>
      <c r="G29" s="1237">
        <f t="shared" si="67"/>
        <v>1954.48</v>
      </c>
      <c r="H29" s="1240">
        <f t="shared" si="67"/>
        <v>1977.48</v>
      </c>
      <c r="I29" s="1343">
        <f t="shared" si="6"/>
        <v>-309.52</v>
      </c>
      <c r="J29" s="898">
        <f t="shared" si="7"/>
        <v>-0.13533887188456492</v>
      </c>
      <c r="K29" s="1200">
        <f t="shared" si="67"/>
        <v>48.69</v>
      </c>
      <c r="L29" s="993">
        <f t="shared" si="67"/>
        <v>212.95000000000002</v>
      </c>
      <c r="M29" s="1237">
        <f t="shared" si="67"/>
        <v>227.07899999999998</v>
      </c>
      <c r="N29" s="1237">
        <f t="shared" si="67"/>
        <v>229.429</v>
      </c>
      <c r="O29" s="1237">
        <f t="shared" si="67"/>
        <v>229.429</v>
      </c>
      <c r="P29" s="1240">
        <f t="shared" si="67"/>
        <v>229.429</v>
      </c>
      <c r="Q29" s="1343">
        <f t="shared" si="8"/>
        <v>180.739</v>
      </c>
      <c r="R29" s="962">
        <f t="shared" si="9"/>
        <v>3.7120353255288565</v>
      </c>
      <c r="S29" s="1200">
        <f t="shared" si="67"/>
        <v>340.01700000000005</v>
      </c>
      <c r="T29" s="993">
        <f t="shared" si="67"/>
        <v>525.23399999999992</v>
      </c>
      <c r="U29" s="1237">
        <f t="shared" si="67"/>
        <v>618.01300000000003</v>
      </c>
      <c r="V29" s="1237">
        <f t="shared" si="67"/>
        <v>245.70399999999998</v>
      </c>
      <c r="W29" s="1237">
        <f t="shared" si="67"/>
        <v>249.52799999999999</v>
      </c>
      <c r="X29" s="1240">
        <f t="shared" si="67"/>
        <v>191.2</v>
      </c>
      <c r="Y29" s="1343">
        <f t="shared" si="10"/>
        <v>-148.81700000000006</v>
      </c>
      <c r="Z29" s="962">
        <f t="shared" si="11"/>
        <v>-0.43767517506477627</v>
      </c>
      <c r="AA29" s="1200">
        <f t="shared" ref="AA29:AN29" si="68">SUM(AA30:AA54)-AA38-AA51</f>
        <v>4.4000000000000004</v>
      </c>
      <c r="AB29" s="993">
        <f t="shared" si="68"/>
        <v>29.065999999999999</v>
      </c>
      <c r="AC29" s="1237">
        <f t="shared" si="68"/>
        <v>33.93</v>
      </c>
      <c r="AD29" s="1237">
        <f t="shared" si="68"/>
        <v>42.93</v>
      </c>
      <c r="AE29" s="1237">
        <f t="shared" si="68"/>
        <v>33.93</v>
      </c>
      <c r="AF29" s="1240">
        <f t="shared" si="68"/>
        <v>31.96</v>
      </c>
      <c r="AG29" s="1343">
        <f t="shared" si="13"/>
        <v>27.560000000000002</v>
      </c>
      <c r="AH29" s="898">
        <f t="shared" si="14"/>
        <v>6.2636363636363637</v>
      </c>
      <c r="AI29" s="1200">
        <f t="shared" si="68"/>
        <v>0</v>
      </c>
      <c r="AJ29" s="993">
        <f t="shared" si="68"/>
        <v>0</v>
      </c>
      <c r="AK29" s="1237">
        <f t="shared" si="68"/>
        <v>0</v>
      </c>
      <c r="AL29" s="1237">
        <f t="shared" si="68"/>
        <v>0</v>
      </c>
      <c r="AM29" s="1237">
        <f t="shared" si="68"/>
        <v>0</v>
      </c>
      <c r="AN29" s="2987">
        <f t="shared" si="68"/>
        <v>0</v>
      </c>
      <c r="AO29" s="1343">
        <f t="shared" si="15"/>
        <v>0</v>
      </c>
      <c r="AP29" s="898">
        <f t="shared" si="16"/>
        <v>0</v>
      </c>
      <c r="AQ29" s="1200">
        <f t="shared" ref="AQ29" si="69">SUM(AQ30:AQ54)-AQ38-AQ51</f>
        <v>8.6</v>
      </c>
      <c r="AR29" s="993">
        <f t="shared" ref="AR29" si="70">SUM(AR30:AR54)-AR38-AR51</f>
        <v>13.843</v>
      </c>
      <c r="AS29" s="1237">
        <f t="shared" ref="AS29" si="71">SUM(AS30:AS54)-AS38-AS51</f>
        <v>17.7</v>
      </c>
      <c r="AT29" s="1237">
        <f t="shared" ref="AT29" si="72">SUM(AT30:AT54)-AT38-AT51</f>
        <v>17.8</v>
      </c>
      <c r="AU29" s="1237">
        <f t="shared" ref="AU29" si="73">SUM(AU30:AU54)-AU38-AU51</f>
        <v>18.899999999999999</v>
      </c>
      <c r="AV29" s="2987">
        <f t="shared" ref="AV29" si="74">SUM(AV30:AV54)-AV38-AV51</f>
        <v>19</v>
      </c>
      <c r="AW29" s="1200">
        <f t="shared" ref="AW29:BB29" si="75">SUM(AW30:AW54)-AW38-AW51</f>
        <v>2680.107</v>
      </c>
      <c r="AX29" s="993">
        <f t="shared" si="75"/>
        <v>2543.4769999999999</v>
      </c>
      <c r="AY29" s="1237">
        <f t="shared" si="75"/>
        <v>2820.6019999999994</v>
      </c>
      <c r="AZ29" s="1237">
        <f t="shared" si="75"/>
        <v>2460.5429999999992</v>
      </c>
      <c r="BA29" s="1237">
        <f t="shared" si="75"/>
        <v>2467.3669999999997</v>
      </c>
      <c r="BB29" s="2987">
        <f t="shared" si="75"/>
        <v>2430.069</v>
      </c>
      <c r="BC29" s="1200">
        <f t="shared" ref="BC29:BH29" si="76">SUM(BC30:BC54)-BC38-BC51</f>
        <v>2291.3999999999996</v>
      </c>
      <c r="BD29" s="993">
        <f t="shared" si="76"/>
        <v>1805.2929999999999</v>
      </c>
      <c r="BE29" s="1237">
        <f t="shared" si="76"/>
        <v>1975.5099999999998</v>
      </c>
      <c r="BF29" s="1237">
        <f t="shared" si="76"/>
        <v>1985.4099999999999</v>
      </c>
      <c r="BG29" s="1237">
        <f t="shared" si="76"/>
        <v>1988.4099999999999</v>
      </c>
      <c r="BH29" s="2987">
        <f t="shared" si="76"/>
        <v>2009.4399999999996</v>
      </c>
    </row>
    <row r="30" spans="1:60" ht="12.75">
      <c r="A30" s="118" t="s">
        <v>99</v>
      </c>
      <c r="B30" s="985" t="s">
        <v>245</v>
      </c>
      <c r="C30" s="3425">
        <v>61</v>
      </c>
      <c r="D30" s="3426">
        <v>61</v>
      </c>
      <c r="E30" s="3426">
        <v>61</v>
      </c>
      <c r="F30" s="3426">
        <v>61</v>
      </c>
      <c r="G30" s="3426">
        <v>61</v>
      </c>
      <c r="H30" s="3427">
        <v>61</v>
      </c>
      <c r="I30" s="1348">
        <f t="shared" si="6"/>
        <v>0</v>
      </c>
      <c r="J30" s="1341">
        <f t="shared" si="7"/>
        <v>0</v>
      </c>
      <c r="K30" s="3420">
        <v>8</v>
      </c>
      <c r="L30" s="3421">
        <v>12.65</v>
      </c>
      <c r="M30" s="3421">
        <v>12.65</v>
      </c>
      <c r="N30" s="3421">
        <v>15</v>
      </c>
      <c r="O30" s="3421">
        <v>15</v>
      </c>
      <c r="P30" s="3422">
        <v>15</v>
      </c>
      <c r="Q30" s="1348">
        <f t="shared" si="8"/>
        <v>7</v>
      </c>
      <c r="R30" s="1215">
        <f t="shared" si="9"/>
        <v>0.875</v>
      </c>
      <c r="S30" s="3420">
        <v>6</v>
      </c>
      <c r="T30" s="3421">
        <v>6</v>
      </c>
      <c r="U30" s="3421">
        <v>6</v>
      </c>
      <c r="V30" s="3421">
        <v>15</v>
      </c>
      <c r="W30" s="3421">
        <v>15</v>
      </c>
      <c r="X30" s="3422">
        <v>15</v>
      </c>
      <c r="Y30" s="1348">
        <f t="shared" si="10"/>
        <v>9</v>
      </c>
      <c r="Z30" s="1215">
        <f t="shared" si="11"/>
        <v>1.5</v>
      </c>
      <c r="AA30" s="3420">
        <v>0.44</v>
      </c>
      <c r="AB30" s="3421">
        <v>3</v>
      </c>
      <c r="AC30" s="3421">
        <v>3</v>
      </c>
      <c r="AD30" s="3421">
        <v>3</v>
      </c>
      <c r="AE30" s="3421">
        <v>3</v>
      </c>
      <c r="AF30" s="3422">
        <v>3</v>
      </c>
      <c r="AG30" s="1348">
        <f t="shared" si="13"/>
        <v>2.56</v>
      </c>
      <c r="AH30" s="1341">
        <f t="shared" si="14"/>
        <v>5.8181818181818183</v>
      </c>
      <c r="AI30" s="3420"/>
      <c r="AJ30" s="3421"/>
      <c r="AK30" s="3421"/>
      <c r="AL30" s="3421"/>
      <c r="AM30" s="3421"/>
      <c r="AN30" s="3453"/>
      <c r="AO30" s="1348">
        <f t="shared" si="15"/>
        <v>0</v>
      </c>
      <c r="AP30" s="1341">
        <f t="shared" si="16"/>
        <v>0</v>
      </c>
      <c r="AQ30" s="3425">
        <v>1.4</v>
      </c>
      <c r="AR30" s="3426">
        <v>2</v>
      </c>
      <c r="AS30" s="3426">
        <v>2</v>
      </c>
      <c r="AT30" s="3426">
        <v>2</v>
      </c>
      <c r="AU30" s="3426">
        <v>2</v>
      </c>
      <c r="AV30" s="3472">
        <v>2</v>
      </c>
      <c r="AW30" s="1202">
        <f t="shared" ref="AW30:AW37" si="77">C30+K30+S30+AA30+AI30</f>
        <v>75.44</v>
      </c>
      <c r="AX30" s="3443">
        <f t="shared" ref="AX30:AX37" si="78">D30+L30+T30+AB30+AJ30</f>
        <v>82.65</v>
      </c>
      <c r="AY30" s="3443">
        <f t="shared" ref="AY30:AY37" si="79">E30+M30+U30+AC30+AK30</f>
        <v>82.65</v>
      </c>
      <c r="AZ30" s="3443">
        <f t="shared" ref="AZ30:AZ37" si="80">F30+N30+V30+AD30+AL30</f>
        <v>94</v>
      </c>
      <c r="BA30" s="3443">
        <f t="shared" ref="BA30:BA37" si="81">G30+O30+W30+AE30+AM30</f>
        <v>94</v>
      </c>
      <c r="BB30" s="3444">
        <f t="shared" ref="BB30:BB37" si="82">H30+P30+X30+AF30+AN30</f>
        <v>94</v>
      </c>
      <c r="BC30" s="3464">
        <f t="shared" ref="BC30:BC37" si="83">C30+AA30+AI30</f>
        <v>61.44</v>
      </c>
      <c r="BD30" s="3465">
        <f t="shared" ref="BD30:BD37" si="84">D30+AB30+AJ30</f>
        <v>64</v>
      </c>
      <c r="BE30" s="3466">
        <f t="shared" ref="BE30:BE37" si="85">E30+AC30+AK30</f>
        <v>64</v>
      </c>
      <c r="BF30" s="3466">
        <f t="shared" ref="BF30:BF37" si="86">F30+AD30+AL30</f>
        <v>64</v>
      </c>
      <c r="BG30" s="3466">
        <f t="shared" ref="BG30:BG37" si="87">G30+AE30+AM30</f>
        <v>64</v>
      </c>
      <c r="BH30" s="3468">
        <f t="shared" ref="BH30:BH37" si="88">H30+AF30+AN30</f>
        <v>64</v>
      </c>
    </row>
    <row r="31" spans="1:60" ht="24">
      <c r="A31" s="916" t="s">
        <v>100</v>
      </c>
      <c r="B31" s="983" t="s">
        <v>246</v>
      </c>
      <c r="C31" s="3420">
        <v>296</v>
      </c>
      <c r="D31" s="3421">
        <v>317.03199999999998</v>
      </c>
      <c r="E31" s="3421">
        <v>359.1</v>
      </c>
      <c r="F31" s="3421">
        <v>360</v>
      </c>
      <c r="G31" s="3421">
        <v>372</v>
      </c>
      <c r="H31" s="3422">
        <v>395</v>
      </c>
      <c r="I31" s="1348">
        <f t="shared" si="6"/>
        <v>99</v>
      </c>
      <c r="J31" s="904">
        <f t="shared" si="7"/>
        <v>0.33445945945945948</v>
      </c>
      <c r="K31" s="3428"/>
      <c r="L31" s="3429"/>
      <c r="M31" s="2211"/>
      <c r="N31" s="2211"/>
      <c r="O31" s="2211"/>
      <c r="P31" s="3451"/>
      <c r="Q31" s="2297"/>
      <c r="R31" s="3406"/>
      <c r="S31" s="3428"/>
      <c r="T31" s="3429"/>
      <c r="U31" s="2211"/>
      <c r="V31" s="2211"/>
      <c r="W31" s="2211"/>
      <c r="X31" s="3451"/>
      <c r="Y31" s="2297"/>
      <c r="Z31" s="3406"/>
      <c r="AA31" s="3420"/>
      <c r="AB31" s="3421"/>
      <c r="AC31" s="3421"/>
      <c r="AD31" s="3421"/>
      <c r="AE31" s="3421"/>
      <c r="AF31" s="3422"/>
      <c r="AG31" s="1348">
        <f t="shared" si="13"/>
        <v>0</v>
      </c>
      <c r="AH31" s="904">
        <f t="shared" si="14"/>
        <v>0</v>
      </c>
      <c r="AI31" s="3420"/>
      <c r="AJ31" s="3421"/>
      <c r="AK31" s="3421"/>
      <c r="AL31" s="3421"/>
      <c r="AM31" s="3421"/>
      <c r="AN31" s="3453"/>
      <c r="AO31" s="1348">
        <f t="shared" si="15"/>
        <v>0</v>
      </c>
      <c r="AP31" s="904">
        <f t="shared" si="16"/>
        <v>0</v>
      </c>
      <c r="AQ31" s="3428"/>
      <c r="AR31" s="3429"/>
      <c r="AS31" s="2211"/>
      <c r="AT31" s="2211"/>
      <c r="AU31" s="2211"/>
      <c r="AV31" s="2298"/>
      <c r="AW31" s="1202">
        <f t="shared" si="77"/>
        <v>296</v>
      </c>
      <c r="AX31" s="3443">
        <f t="shared" si="78"/>
        <v>317.03199999999998</v>
      </c>
      <c r="AY31" s="3443">
        <f t="shared" si="79"/>
        <v>359.1</v>
      </c>
      <c r="AZ31" s="3443">
        <f t="shared" si="80"/>
        <v>360</v>
      </c>
      <c r="BA31" s="3443">
        <f t="shared" si="81"/>
        <v>372</v>
      </c>
      <c r="BB31" s="3444">
        <f t="shared" si="82"/>
        <v>395</v>
      </c>
      <c r="BC31" s="3464">
        <f t="shared" si="83"/>
        <v>296</v>
      </c>
      <c r="BD31" s="3465">
        <f t="shared" si="84"/>
        <v>317.03199999999998</v>
      </c>
      <c r="BE31" s="3466">
        <f t="shared" si="85"/>
        <v>359.1</v>
      </c>
      <c r="BF31" s="3466">
        <f t="shared" si="86"/>
        <v>360</v>
      </c>
      <c r="BG31" s="3466">
        <f t="shared" si="87"/>
        <v>372</v>
      </c>
      <c r="BH31" s="3468">
        <f t="shared" si="88"/>
        <v>395</v>
      </c>
    </row>
    <row r="32" spans="1:60" ht="12.75">
      <c r="A32" s="916" t="s">
        <v>173</v>
      </c>
      <c r="B32" s="4663" t="s">
        <v>1239</v>
      </c>
      <c r="C32" s="3420">
        <v>80</v>
      </c>
      <c r="D32" s="3421">
        <v>86.88</v>
      </c>
      <c r="E32" s="3421">
        <v>86.88</v>
      </c>
      <c r="F32" s="3421">
        <v>86.88</v>
      </c>
      <c r="G32" s="3421">
        <v>86.88</v>
      </c>
      <c r="H32" s="3422">
        <v>86.88</v>
      </c>
      <c r="I32" s="1348">
        <f t="shared" si="6"/>
        <v>6.8799999999999955</v>
      </c>
      <c r="J32" s="904">
        <f t="shared" si="7"/>
        <v>8.5999999999999938E-2</v>
      </c>
      <c r="K32" s="3420">
        <v>4.3</v>
      </c>
      <c r="L32" s="3421">
        <v>4.5999999999999996</v>
      </c>
      <c r="M32" s="3421">
        <v>4.5999999999999996</v>
      </c>
      <c r="N32" s="3421">
        <v>4.5999999999999996</v>
      </c>
      <c r="O32" s="3421">
        <v>4.5999999999999996</v>
      </c>
      <c r="P32" s="3422">
        <v>4.5999999999999996</v>
      </c>
      <c r="Q32" s="1348">
        <f t="shared" si="8"/>
        <v>0.29999999999999982</v>
      </c>
      <c r="R32" s="1211">
        <f t="shared" si="9"/>
        <v>6.9767441860465074E-2</v>
      </c>
      <c r="S32" s="3420">
        <v>9</v>
      </c>
      <c r="T32" s="3421">
        <v>10</v>
      </c>
      <c r="U32" s="3421">
        <v>10</v>
      </c>
      <c r="V32" s="3421">
        <v>10</v>
      </c>
      <c r="W32" s="3421">
        <v>10</v>
      </c>
      <c r="X32" s="3422">
        <v>9.9</v>
      </c>
      <c r="Y32" s="1348">
        <f t="shared" si="10"/>
        <v>0.90000000000000036</v>
      </c>
      <c r="Z32" s="1211">
        <f t="shared" si="11"/>
        <v>0.10000000000000003</v>
      </c>
      <c r="AA32" s="3420">
        <v>0.63</v>
      </c>
      <c r="AB32" s="3421">
        <v>5</v>
      </c>
      <c r="AC32" s="3421">
        <v>5</v>
      </c>
      <c r="AD32" s="3421">
        <v>5</v>
      </c>
      <c r="AE32" s="3421">
        <v>5</v>
      </c>
      <c r="AF32" s="3421">
        <v>5</v>
      </c>
      <c r="AG32" s="1348">
        <f t="shared" si="13"/>
        <v>4.37</v>
      </c>
      <c r="AH32" s="904">
        <f t="shared" si="14"/>
        <v>6.9365079365079367</v>
      </c>
      <c r="AI32" s="3420"/>
      <c r="AJ32" s="3421"/>
      <c r="AK32" s="3421"/>
      <c r="AL32" s="3421"/>
      <c r="AM32" s="3421"/>
      <c r="AN32" s="3453"/>
      <c r="AO32" s="1348">
        <f t="shared" si="15"/>
        <v>0</v>
      </c>
      <c r="AP32" s="904">
        <f t="shared" si="16"/>
        <v>0</v>
      </c>
      <c r="AQ32" s="3420">
        <v>1</v>
      </c>
      <c r="AR32" s="3420">
        <v>1</v>
      </c>
      <c r="AS32" s="3420">
        <v>1</v>
      </c>
      <c r="AT32" s="3420">
        <v>1</v>
      </c>
      <c r="AU32" s="3420">
        <v>1</v>
      </c>
      <c r="AV32" s="3420">
        <v>1</v>
      </c>
      <c r="AW32" s="1202">
        <f t="shared" si="77"/>
        <v>93.929999999999993</v>
      </c>
      <c r="AX32" s="3443">
        <f t="shared" si="78"/>
        <v>106.47999999999999</v>
      </c>
      <c r="AY32" s="3443">
        <f t="shared" si="79"/>
        <v>106.47999999999999</v>
      </c>
      <c r="AZ32" s="3443">
        <f t="shared" si="80"/>
        <v>106.47999999999999</v>
      </c>
      <c r="BA32" s="3443">
        <f t="shared" si="81"/>
        <v>106.47999999999999</v>
      </c>
      <c r="BB32" s="3444">
        <f t="shared" si="82"/>
        <v>106.38</v>
      </c>
      <c r="BC32" s="3464">
        <f t="shared" si="83"/>
        <v>80.63</v>
      </c>
      <c r="BD32" s="3465">
        <f t="shared" si="84"/>
        <v>91.88</v>
      </c>
      <c r="BE32" s="3466">
        <f t="shared" si="85"/>
        <v>91.88</v>
      </c>
      <c r="BF32" s="3466">
        <f t="shared" si="86"/>
        <v>91.88</v>
      </c>
      <c r="BG32" s="3466">
        <f t="shared" si="87"/>
        <v>91.88</v>
      </c>
      <c r="BH32" s="3468">
        <f t="shared" si="88"/>
        <v>91.88</v>
      </c>
    </row>
    <row r="33" spans="1:60" ht="12.75">
      <c r="A33" s="118" t="s">
        <v>247</v>
      </c>
      <c r="B33" s="983" t="s">
        <v>248</v>
      </c>
      <c r="C33" s="3420">
        <v>4</v>
      </c>
      <c r="D33" s="3421">
        <v>4</v>
      </c>
      <c r="E33" s="3421">
        <v>6</v>
      </c>
      <c r="F33" s="3421">
        <v>6</v>
      </c>
      <c r="G33" s="3421">
        <v>6</v>
      </c>
      <c r="H33" s="3422">
        <v>6</v>
      </c>
      <c r="I33" s="1348">
        <f t="shared" si="6"/>
        <v>2</v>
      </c>
      <c r="J33" s="904">
        <f t="shared" si="7"/>
        <v>0.5</v>
      </c>
      <c r="K33" s="3420">
        <v>0</v>
      </c>
      <c r="L33" s="3421">
        <v>1</v>
      </c>
      <c r="M33" s="3421">
        <v>1.0289999999999999</v>
      </c>
      <c r="N33" s="3421">
        <v>1.0289999999999999</v>
      </c>
      <c r="O33" s="3421">
        <v>1.0289999999999999</v>
      </c>
      <c r="P33" s="3422">
        <v>1.0289999999999999</v>
      </c>
      <c r="Q33" s="1348">
        <f t="shared" si="8"/>
        <v>1.0289999999999999</v>
      </c>
      <c r="R33" s="1211">
        <f t="shared" si="9"/>
        <v>0</v>
      </c>
      <c r="S33" s="3420">
        <v>0</v>
      </c>
      <c r="T33" s="3421">
        <v>1</v>
      </c>
      <c r="U33" s="3421">
        <v>1.8</v>
      </c>
      <c r="V33" s="3421">
        <v>1.8</v>
      </c>
      <c r="W33" s="3421">
        <v>1.8</v>
      </c>
      <c r="X33" s="3422">
        <v>1.8</v>
      </c>
      <c r="Y33" s="1348">
        <f t="shared" si="10"/>
        <v>1.8</v>
      </c>
      <c r="Z33" s="1211">
        <f t="shared" si="11"/>
        <v>0</v>
      </c>
      <c r="AA33" s="3420">
        <v>0.03</v>
      </c>
      <c r="AB33" s="3421">
        <v>0</v>
      </c>
      <c r="AC33" s="3421">
        <v>0</v>
      </c>
      <c r="AD33" s="3421">
        <v>0</v>
      </c>
      <c r="AE33" s="3421">
        <v>0</v>
      </c>
      <c r="AF33" s="3421">
        <v>0.03</v>
      </c>
      <c r="AG33" s="1348">
        <f t="shared" si="13"/>
        <v>0</v>
      </c>
      <c r="AH33" s="904">
        <f t="shared" si="14"/>
        <v>0</v>
      </c>
      <c r="AI33" s="3420"/>
      <c r="AJ33" s="3421"/>
      <c r="AK33" s="3421"/>
      <c r="AL33" s="3421"/>
      <c r="AM33" s="3421"/>
      <c r="AN33" s="3453"/>
      <c r="AO33" s="1348">
        <f t="shared" si="15"/>
        <v>0</v>
      </c>
      <c r="AP33" s="904">
        <f t="shared" si="16"/>
        <v>0</v>
      </c>
      <c r="AQ33" s="3420">
        <v>0</v>
      </c>
      <c r="AR33" s="3420">
        <v>0</v>
      </c>
      <c r="AS33" s="3420">
        <v>0</v>
      </c>
      <c r="AT33" s="3420">
        <v>0</v>
      </c>
      <c r="AU33" s="3420">
        <v>0</v>
      </c>
      <c r="AV33" s="3420">
        <v>0</v>
      </c>
      <c r="AW33" s="1202">
        <f t="shared" si="77"/>
        <v>4.03</v>
      </c>
      <c r="AX33" s="3443">
        <f t="shared" si="78"/>
        <v>6</v>
      </c>
      <c r="AY33" s="3443">
        <f t="shared" si="79"/>
        <v>8.8290000000000006</v>
      </c>
      <c r="AZ33" s="3443">
        <f t="shared" si="80"/>
        <v>8.8290000000000006</v>
      </c>
      <c r="BA33" s="3443">
        <f t="shared" si="81"/>
        <v>8.8290000000000006</v>
      </c>
      <c r="BB33" s="3444">
        <f t="shared" si="82"/>
        <v>8.859</v>
      </c>
      <c r="BC33" s="3464">
        <f t="shared" si="83"/>
        <v>4.03</v>
      </c>
      <c r="BD33" s="3465">
        <f t="shared" si="84"/>
        <v>4</v>
      </c>
      <c r="BE33" s="3466">
        <f t="shared" si="85"/>
        <v>6</v>
      </c>
      <c r="BF33" s="3466">
        <f t="shared" si="86"/>
        <v>6</v>
      </c>
      <c r="BG33" s="3466">
        <f t="shared" si="87"/>
        <v>6</v>
      </c>
      <c r="BH33" s="3468">
        <f t="shared" si="88"/>
        <v>6.03</v>
      </c>
    </row>
    <row r="34" spans="1:60" ht="12.75">
      <c r="A34" s="916" t="s">
        <v>249</v>
      </c>
      <c r="B34" s="983" t="s">
        <v>250</v>
      </c>
      <c r="C34" s="3420">
        <v>54</v>
      </c>
      <c r="D34" s="3421">
        <v>54</v>
      </c>
      <c r="E34" s="3421">
        <v>60</v>
      </c>
      <c r="F34" s="3421">
        <v>60</v>
      </c>
      <c r="G34" s="3421">
        <v>60</v>
      </c>
      <c r="H34" s="3422">
        <v>60</v>
      </c>
      <c r="I34" s="1348">
        <f t="shared" si="6"/>
        <v>6</v>
      </c>
      <c r="J34" s="904">
        <f t="shared" si="7"/>
        <v>0.1111111111111111</v>
      </c>
      <c r="K34" s="3420">
        <v>2.2400000000000002</v>
      </c>
      <c r="L34" s="3421">
        <v>2.48</v>
      </c>
      <c r="M34" s="3421">
        <v>2.48</v>
      </c>
      <c r="N34" s="3421">
        <v>2.48</v>
      </c>
      <c r="O34" s="3421">
        <v>2.48</v>
      </c>
      <c r="P34" s="3422">
        <v>2.48</v>
      </c>
      <c r="Q34" s="1348">
        <f t="shared" si="8"/>
        <v>0.23999999999999977</v>
      </c>
      <c r="R34" s="1211">
        <f t="shared" si="9"/>
        <v>0.10714285714285703</v>
      </c>
      <c r="S34" s="3420">
        <v>6</v>
      </c>
      <c r="T34" s="3421">
        <v>6.66</v>
      </c>
      <c r="U34" s="3421">
        <v>6.66</v>
      </c>
      <c r="V34" s="3421">
        <v>6.66</v>
      </c>
      <c r="W34" s="3421">
        <v>6.66</v>
      </c>
      <c r="X34" s="3422">
        <v>6.66</v>
      </c>
      <c r="Y34" s="1348">
        <f t="shared" si="10"/>
        <v>0.66000000000000014</v>
      </c>
      <c r="Z34" s="1211">
        <f t="shared" si="11"/>
        <v>0.11000000000000003</v>
      </c>
      <c r="AA34" s="3420">
        <v>0.38</v>
      </c>
      <c r="AB34" s="3421">
        <v>0.42</v>
      </c>
      <c r="AC34" s="3421">
        <v>0.42</v>
      </c>
      <c r="AD34" s="3421">
        <v>0.42</v>
      </c>
      <c r="AE34" s="3421">
        <v>0.42</v>
      </c>
      <c r="AF34" s="3422">
        <v>0.42</v>
      </c>
      <c r="AG34" s="1348">
        <f t="shared" si="13"/>
        <v>3.999999999999998E-2</v>
      </c>
      <c r="AH34" s="904">
        <f t="shared" si="14"/>
        <v>0.10526315789473679</v>
      </c>
      <c r="AI34" s="3420"/>
      <c r="AJ34" s="3421"/>
      <c r="AK34" s="3421"/>
      <c r="AL34" s="3421"/>
      <c r="AM34" s="3421"/>
      <c r="AN34" s="3453"/>
      <c r="AO34" s="1348">
        <f t="shared" si="15"/>
        <v>0</v>
      </c>
      <c r="AP34" s="904">
        <f t="shared" si="16"/>
        <v>0</v>
      </c>
      <c r="AQ34" s="3420">
        <v>1.2</v>
      </c>
      <c r="AR34" s="3421">
        <v>1.5</v>
      </c>
      <c r="AS34" s="3421">
        <v>1.7</v>
      </c>
      <c r="AT34" s="3421">
        <v>1.8</v>
      </c>
      <c r="AU34" s="3421">
        <v>1.9</v>
      </c>
      <c r="AV34" s="3453">
        <v>2</v>
      </c>
      <c r="AW34" s="1202">
        <f t="shared" si="77"/>
        <v>62.620000000000005</v>
      </c>
      <c r="AX34" s="3443">
        <f t="shared" si="78"/>
        <v>63.56</v>
      </c>
      <c r="AY34" s="3443">
        <f t="shared" si="79"/>
        <v>69.56</v>
      </c>
      <c r="AZ34" s="3443">
        <f t="shared" si="80"/>
        <v>69.56</v>
      </c>
      <c r="BA34" s="3443">
        <f t="shared" si="81"/>
        <v>69.56</v>
      </c>
      <c r="BB34" s="3444">
        <f t="shared" si="82"/>
        <v>69.56</v>
      </c>
      <c r="BC34" s="3464">
        <f t="shared" si="83"/>
        <v>54.38</v>
      </c>
      <c r="BD34" s="3465">
        <f t="shared" si="84"/>
        <v>54.42</v>
      </c>
      <c r="BE34" s="3466">
        <f t="shared" si="85"/>
        <v>60.42</v>
      </c>
      <c r="BF34" s="3466">
        <f t="shared" si="86"/>
        <v>60.42</v>
      </c>
      <c r="BG34" s="3466">
        <f t="shared" si="87"/>
        <v>60.42</v>
      </c>
      <c r="BH34" s="3468">
        <f t="shared" si="88"/>
        <v>60.42</v>
      </c>
    </row>
    <row r="35" spans="1:60" ht="12.75">
      <c r="A35" s="916" t="s">
        <v>251</v>
      </c>
      <c r="B35" s="983" t="s">
        <v>252</v>
      </c>
      <c r="C35" s="3420">
        <v>2</v>
      </c>
      <c r="D35" s="3421">
        <v>2</v>
      </c>
      <c r="E35" s="3421">
        <v>2</v>
      </c>
      <c r="F35" s="3421">
        <v>2</v>
      </c>
      <c r="G35" s="3421">
        <v>2</v>
      </c>
      <c r="H35" s="3422">
        <v>2</v>
      </c>
      <c r="I35" s="1348">
        <f t="shared" si="6"/>
        <v>0</v>
      </c>
      <c r="J35" s="904">
        <f t="shared" si="7"/>
        <v>0</v>
      </c>
      <c r="K35" s="3420">
        <v>0</v>
      </c>
      <c r="L35" s="3421">
        <v>1</v>
      </c>
      <c r="M35" s="3421">
        <v>1</v>
      </c>
      <c r="N35" s="3421">
        <v>1</v>
      </c>
      <c r="O35" s="3421">
        <v>1</v>
      </c>
      <c r="P35" s="3422">
        <v>1</v>
      </c>
      <c r="Q35" s="1348">
        <f t="shared" si="8"/>
        <v>1</v>
      </c>
      <c r="R35" s="1211">
        <f t="shared" si="9"/>
        <v>0</v>
      </c>
      <c r="S35" s="3420">
        <v>0</v>
      </c>
      <c r="T35" s="3421">
        <v>0</v>
      </c>
      <c r="U35" s="3421">
        <v>0</v>
      </c>
      <c r="V35" s="4944">
        <v>0</v>
      </c>
      <c r="W35" s="4944">
        <v>0</v>
      </c>
      <c r="X35" s="4945">
        <v>0</v>
      </c>
      <c r="Y35" s="1348">
        <f t="shared" si="10"/>
        <v>0</v>
      </c>
      <c r="Z35" s="1211">
        <f t="shared" si="11"/>
        <v>0</v>
      </c>
      <c r="AA35" s="3420">
        <v>0.01</v>
      </c>
      <c r="AB35" s="3421">
        <v>0.01</v>
      </c>
      <c r="AC35" s="3421">
        <v>0.01</v>
      </c>
      <c r="AD35" s="3421">
        <v>0.01</v>
      </c>
      <c r="AE35" s="3421">
        <v>0.01</v>
      </c>
      <c r="AF35" s="3422">
        <v>0.01</v>
      </c>
      <c r="AG35" s="1348">
        <f t="shared" si="13"/>
        <v>0</v>
      </c>
      <c r="AH35" s="904">
        <f t="shared" si="14"/>
        <v>0</v>
      </c>
      <c r="AI35" s="3420"/>
      <c r="AJ35" s="3421"/>
      <c r="AK35" s="3421"/>
      <c r="AL35" s="3421"/>
      <c r="AM35" s="3421"/>
      <c r="AN35" s="3453"/>
      <c r="AO35" s="1348">
        <f t="shared" si="15"/>
        <v>0</v>
      </c>
      <c r="AP35" s="904">
        <f t="shared" si="16"/>
        <v>0</v>
      </c>
      <c r="AQ35" s="3420">
        <v>0</v>
      </c>
      <c r="AR35" s="3421">
        <v>1.2</v>
      </c>
      <c r="AS35" s="3421">
        <v>1</v>
      </c>
      <c r="AT35" s="3421">
        <v>1</v>
      </c>
      <c r="AU35" s="3421">
        <v>1</v>
      </c>
      <c r="AV35" s="3453">
        <v>1</v>
      </c>
      <c r="AW35" s="1202">
        <f t="shared" si="77"/>
        <v>2.0099999999999998</v>
      </c>
      <c r="AX35" s="3443">
        <f t="shared" si="78"/>
        <v>3.01</v>
      </c>
      <c r="AY35" s="3443">
        <f t="shared" si="79"/>
        <v>3.01</v>
      </c>
      <c r="AZ35" s="3443">
        <f t="shared" si="80"/>
        <v>3.01</v>
      </c>
      <c r="BA35" s="3443">
        <f t="shared" si="81"/>
        <v>3.01</v>
      </c>
      <c r="BB35" s="3444">
        <f t="shared" si="82"/>
        <v>3.01</v>
      </c>
      <c r="BC35" s="3464">
        <f t="shared" si="83"/>
        <v>2.0099999999999998</v>
      </c>
      <c r="BD35" s="3465">
        <f t="shared" si="84"/>
        <v>2.0099999999999998</v>
      </c>
      <c r="BE35" s="3466">
        <f t="shared" si="85"/>
        <v>2.0099999999999998</v>
      </c>
      <c r="BF35" s="3466">
        <f t="shared" si="86"/>
        <v>2.0099999999999998</v>
      </c>
      <c r="BG35" s="3466">
        <f t="shared" si="87"/>
        <v>2.0099999999999998</v>
      </c>
      <c r="BH35" s="3468">
        <f t="shared" si="88"/>
        <v>2.0099999999999998</v>
      </c>
    </row>
    <row r="36" spans="1:60" ht="12.75">
      <c r="A36" s="118" t="s">
        <v>253</v>
      </c>
      <c r="B36" s="983" t="s">
        <v>254</v>
      </c>
      <c r="C36" s="3420">
        <v>0</v>
      </c>
      <c r="D36" s="3421">
        <v>0</v>
      </c>
      <c r="E36" s="3421">
        <v>0</v>
      </c>
      <c r="F36" s="3421">
        <v>0</v>
      </c>
      <c r="G36" s="3421">
        <v>0</v>
      </c>
      <c r="H36" s="3422">
        <v>0</v>
      </c>
      <c r="I36" s="1348">
        <f t="shared" si="6"/>
        <v>0</v>
      </c>
      <c r="J36" s="904">
        <f t="shared" si="7"/>
        <v>0</v>
      </c>
      <c r="K36" s="3420">
        <v>0</v>
      </c>
      <c r="L36" s="3421">
        <v>0</v>
      </c>
      <c r="M36" s="3421">
        <v>0</v>
      </c>
      <c r="N36" s="3421">
        <v>0</v>
      </c>
      <c r="O36" s="3421">
        <v>0</v>
      </c>
      <c r="P36" s="3422">
        <v>0</v>
      </c>
      <c r="Q36" s="1348">
        <f t="shared" si="8"/>
        <v>0</v>
      </c>
      <c r="R36" s="1211">
        <f t="shared" si="9"/>
        <v>0</v>
      </c>
      <c r="S36" s="3420">
        <v>0</v>
      </c>
      <c r="T36" s="3421">
        <v>0</v>
      </c>
      <c r="U36" s="3421">
        <v>0</v>
      </c>
      <c r="V36" s="3421">
        <v>0</v>
      </c>
      <c r="W36" s="3421">
        <v>0</v>
      </c>
      <c r="X36" s="3422">
        <v>0</v>
      </c>
      <c r="Y36" s="1348">
        <f t="shared" si="10"/>
        <v>0</v>
      </c>
      <c r="Z36" s="1211">
        <f t="shared" si="11"/>
        <v>0</v>
      </c>
      <c r="AA36" s="3420">
        <v>0</v>
      </c>
      <c r="AB36" s="3420">
        <v>0</v>
      </c>
      <c r="AC36" s="3420">
        <v>0</v>
      </c>
      <c r="AD36" s="3420">
        <v>0</v>
      </c>
      <c r="AE36" s="3420">
        <v>0</v>
      </c>
      <c r="AF36" s="3420">
        <v>0</v>
      </c>
      <c r="AG36" s="1348">
        <f t="shared" si="13"/>
        <v>0</v>
      </c>
      <c r="AH36" s="904">
        <f t="shared" si="14"/>
        <v>0</v>
      </c>
      <c r="AI36" s="3420"/>
      <c r="AJ36" s="3421"/>
      <c r="AK36" s="3421"/>
      <c r="AL36" s="3421"/>
      <c r="AM36" s="3421"/>
      <c r="AN36" s="3453"/>
      <c r="AO36" s="1348">
        <f t="shared" si="15"/>
        <v>0</v>
      </c>
      <c r="AP36" s="904">
        <f t="shared" si="16"/>
        <v>0</v>
      </c>
      <c r="AQ36" s="3420">
        <v>0</v>
      </c>
      <c r="AR36" s="3420">
        <v>0</v>
      </c>
      <c r="AS36" s="3420">
        <v>0</v>
      </c>
      <c r="AT36" s="3420">
        <v>0</v>
      </c>
      <c r="AU36" s="3420">
        <v>0</v>
      </c>
      <c r="AV36" s="3420">
        <v>0</v>
      </c>
      <c r="AW36" s="1202">
        <f t="shared" si="77"/>
        <v>0</v>
      </c>
      <c r="AX36" s="3443">
        <f t="shared" si="78"/>
        <v>0</v>
      </c>
      <c r="AY36" s="3443">
        <f t="shared" si="79"/>
        <v>0</v>
      </c>
      <c r="AZ36" s="3443">
        <f t="shared" si="80"/>
        <v>0</v>
      </c>
      <c r="BA36" s="3443">
        <f t="shared" si="81"/>
        <v>0</v>
      </c>
      <c r="BB36" s="3444">
        <f t="shared" si="82"/>
        <v>0</v>
      </c>
      <c r="BC36" s="3464">
        <f t="shared" si="83"/>
        <v>0</v>
      </c>
      <c r="BD36" s="3465">
        <f t="shared" si="84"/>
        <v>0</v>
      </c>
      <c r="BE36" s="3466">
        <f t="shared" si="85"/>
        <v>0</v>
      </c>
      <c r="BF36" s="3466">
        <f t="shared" si="86"/>
        <v>0</v>
      </c>
      <c r="BG36" s="3466">
        <f t="shared" si="87"/>
        <v>0</v>
      </c>
      <c r="BH36" s="3468">
        <f t="shared" si="88"/>
        <v>0</v>
      </c>
    </row>
    <row r="37" spans="1:60" ht="12.75">
      <c r="A37" s="916" t="s">
        <v>255</v>
      </c>
      <c r="B37" s="983" t="s">
        <v>256</v>
      </c>
      <c r="C37" s="3420"/>
      <c r="D37" s="3421"/>
      <c r="E37" s="3421"/>
      <c r="F37" s="3421"/>
      <c r="G37" s="3421"/>
      <c r="H37" s="3422"/>
      <c r="I37" s="1348">
        <f t="shared" si="6"/>
        <v>0</v>
      </c>
      <c r="J37" s="904">
        <f t="shared" si="7"/>
        <v>0</v>
      </c>
      <c r="K37" s="3420">
        <v>0</v>
      </c>
      <c r="L37" s="3421"/>
      <c r="M37" s="3421"/>
      <c r="N37" s="3421"/>
      <c r="O37" s="3421"/>
      <c r="P37" s="3422"/>
      <c r="Q37" s="1348">
        <f t="shared" si="8"/>
        <v>0</v>
      </c>
      <c r="R37" s="1211">
        <f t="shared" si="9"/>
        <v>0</v>
      </c>
      <c r="S37" s="3420">
        <v>0</v>
      </c>
      <c r="T37" s="3421"/>
      <c r="U37" s="3421"/>
      <c r="V37" s="3421"/>
      <c r="W37" s="3421"/>
      <c r="X37" s="3422"/>
      <c r="Y37" s="1348">
        <f t="shared" si="10"/>
        <v>0</v>
      </c>
      <c r="Z37" s="1211">
        <f t="shared" si="11"/>
        <v>0</v>
      </c>
      <c r="AA37" s="3420">
        <v>0</v>
      </c>
      <c r="AB37" s="3420">
        <v>0</v>
      </c>
      <c r="AC37" s="3420">
        <v>0</v>
      </c>
      <c r="AD37" s="3420">
        <v>0</v>
      </c>
      <c r="AE37" s="3420">
        <v>0</v>
      </c>
      <c r="AF37" s="3420">
        <v>0</v>
      </c>
      <c r="AG37" s="1348">
        <f t="shared" si="13"/>
        <v>0</v>
      </c>
      <c r="AH37" s="904">
        <f t="shared" si="14"/>
        <v>0</v>
      </c>
      <c r="AI37" s="3420"/>
      <c r="AJ37" s="3421"/>
      <c r="AK37" s="3421"/>
      <c r="AL37" s="3421"/>
      <c r="AM37" s="3421"/>
      <c r="AN37" s="3453"/>
      <c r="AO37" s="1348">
        <f t="shared" si="15"/>
        <v>0</v>
      </c>
      <c r="AP37" s="904">
        <f t="shared" si="16"/>
        <v>0</v>
      </c>
      <c r="AQ37" s="3420">
        <v>0</v>
      </c>
      <c r="AR37" s="3421">
        <v>0</v>
      </c>
      <c r="AS37" s="3421">
        <v>0</v>
      </c>
      <c r="AT37" s="3421">
        <v>0</v>
      </c>
      <c r="AU37" s="3421">
        <v>0</v>
      </c>
      <c r="AV37" s="3421">
        <v>0</v>
      </c>
      <c r="AW37" s="1202">
        <f t="shared" si="77"/>
        <v>0</v>
      </c>
      <c r="AX37" s="3443">
        <f t="shared" si="78"/>
        <v>0</v>
      </c>
      <c r="AY37" s="3443">
        <f t="shared" si="79"/>
        <v>0</v>
      </c>
      <c r="AZ37" s="3443">
        <f t="shared" si="80"/>
        <v>0</v>
      </c>
      <c r="BA37" s="3443">
        <f t="shared" si="81"/>
        <v>0</v>
      </c>
      <c r="BB37" s="3444">
        <f t="shared" si="82"/>
        <v>0</v>
      </c>
      <c r="BC37" s="3464">
        <f t="shared" si="83"/>
        <v>0</v>
      </c>
      <c r="BD37" s="3465">
        <f t="shared" si="84"/>
        <v>0</v>
      </c>
      <c r="BE37" s="3466">
        <f t="shared" si="85"/>
        <v>0</v>
      </c>
      <c r="BF37" s="3466">
        <f t="shared" si="86"/>
        <v>0</v>
      </c>
      <c r="BG37" s="3466">
        <f t="shared" si="87"/>
        <v>0</v>
      </c>
      <c r="BH37" s="3468">
        <f t="shared" si="88"/>
        <v>0</v>
      </c>
    </row>
    <row r="38" spans="1:60" ht="12.75">
      <c r="A38" s="916" t="s">
        <v>257</v>
      </c>
      <c r="B38" s="983" t="s">
        <v>446</v>
      </c>
      <c r="C38" s="1278">
        <f>SUM(C39:C42)</f>
        <v>38</v>
      </c>
      <c r="D38" s="1224">
        <f t="shared" ref="D38:BB38" si="89">SUM(D39:D42)</f>
        <v>92</v>
      </c>
      <c r="E38" s="1225">
        <f t="shared" si="89"/>
        <v>202</v>
      </c>
      <c r="F38" s="1225">
        <f t="shared" si="89"/>
        <v>202</v>
      </c>
      <c r="G38" s="1225">
        <f t="shared" si="89"/>
        <v>202</v>
      </c>
      <c r="H38" s="1239">
        <f t="shared" si="89"/>
        <v>202</v>
      </c>
      <c r="I38" s="1347">
        <f t="shared" si="6"/>
        <v>164</v>
      </c>
      <c r="J38" s="784">
        <f t="shared" si="7"/>
        <v>4.3157894736842106</v>
      </c>
      <c r="K38" s="1278">
        <f t="shared" si="89"/>
        <v>1.3</v>
      </c>
      <c r="L38" s="1224">
        <f t="shared" si="89"/>
        <v>19.22</v>
      </c>
      <c r="M38" s="1225">
        <f t="shared" si="89"/>
        <v>33.22</v>
      </c>
      <c r="N38" s="1225">
        <f t="shared" si="89"/>
        <v>33.22</v>
      </c>
      <c r="O38" s="1225">
        <f t="shared" si="89"/>
        <v>33.22</v>
      </c>
      <c r="P38" s="1239">
        <f t="shared" si="89"/>
        <v>33.22</v>
      </c>
      <c r="Q38" s="1347">
        <f t="shared" si="8"/>
        <v>31.919999999999998</v>
      </c>
      <c r="R38" s="965">
        <f t="shared" si="9"/>
        <v>24.553846153846152</v>
      </c>
      <c r="S38" s="1278">
        <f t="shared" si="89"/>
        <v>4</v>
      </c>
      <c r="T38" s="1224">
        <f t="shared" si="89"/>
        <v>30</v>
      </c>
      <c r="U38" s="1225">
        <f t="shared" si="89"/>
        <v>49.9</v>
      </c>
      <c r="V38" s="1225">
        <f t="shared" si="89"/>
        <v>49.9</v>
      </c>
      <c r="W38" s="1225">
        <f t="shared" si="89"/>
        <v>49.9</v>
      </c>
      <c r="X38" s="1239">
        <f t="shared" si="89"/>
        <v>49.9</v>
      </c>
      <c r="Y38" s="1347">
        <f t="shared" si="10"/>
        <v>45.9</v>
      </c>
      <c r="Z38" s="965">
        <f t="shared" si="11"/>
        <v>11.475</v>
      </c>
      <c r="AA38" s="1278">
        <f>SUM(AA39:AA42)</f>
        <v>0.26</v>
      </c>
      <c r="AB38" s="1224">
        <f t="shared" ref="AB38:AN38" si="90">SUM(AB39:AB42)</f>
        <v>4.9160000000000004</v>
      </c>
      <c r="AC38" s="1225">
        <f t="shared" si="90"/>
        <v>5.5</v>
      </c>
      <c r="AD38" s="1225">
        <f t="shared" si="90"/>
        <v>5.5</v>
      </c>
      <c r="AE38" s="1225">
        <f t="shared" si="90"/>
        <v>5.5</v>
      </c>
      <c r="AF38" s="1239">
        <f t="shared" si="90"/>
        <v>5.5</v>
      </c>
      <c r="AG38" s="1347">
        <f t="shared" si="13"/>
        <v>5.24</v>
      </c>
      <c r="AH38" s="784">
        <f t="shared" si="14"/>
        <v>20.153846153846153</v>
      </c>
      <c r="AI38" s="1278">
        <f t="shared" si="90"/>
        <v>0</v>
      </c>
      <c r="AJ38" s="1224">
        <f t="shared" si="90"/>
        <v>0</v>
      </c>
      <c r="AK38" s="1225">
        <f t="shared" si="90"/>
        <v>0</v>
      </c>
      <c r="AL38" s="1225">
        <f t="shared" si="90"/>
        <v>0</v>
      </c>
      <c r="AM38" s="1225">
        <f t="shared" si="90"/>
        <v>0</v>
      </c>
      <c r="AN38" s="3454">
        <f t="shared" si="90"/>
        <v>0</v>
      </c>
      <c r="AO38" s="1347">
        <f t="shared" si="15"/>
        <v>0</v>
      </c>
      <c r="AP38" s="784">
        <f t="shared" si="16"/>
        <v>0</v>
      </c>
      <c r="AQ38" s="1278">
        <f t="shared" si="89"/>
        <v>1</v>
      </c>
      <c r="AR38" s="1224">
        <f t="shared" si="89"/>
        <v>3.1429999999999998</v>
      </c>
      <c r="AS38" s="1225">
        <f t="shared" si="89"/>
        <v>7</v>
      </c>
      <c r="AT38" s="1225">
        <f t="shared" si="89"/>
        <v>7</v>
      </c>
      <c r="AU38" s="1225">
        <f t="shared" si="89"/>
        <v>8</v>
      </c>
      <c r="AV38" s="3454">
        <f t="shared" si="89"/>
        <v>8</v>
      </c>
      <c r="AW38" s="1278">
        <f t="shared" si="89"/>
        <v>43.559999999999995</v>
      </c>
      <c r="AX38" s="1224">
        <f t="shared" si="89"/>
        <v>146.136</v>
      </c>
      <c r="AY38" s="1225">
        <f t="shared" si="89"/>
        <v>290.62</v>
      </c>
      <c r="AZ38" s="1225">
        <f t="shared" si="89"/>
        <v>290.62</v>
      </c>
      <c r="BA38" s="1225">
        <f t="shared" si="89"/>
        <v>290.62</v>
      </c>
      <c r="BB38" s="3454">
        <f t="shared" si="89"/>
        <v>290.62</v>
      </c>
      <c r="BC38" s="1278">
        <f t="shared" ref="BC38:BH38" si="91">SUM(BC39:BC42)</f>
        <v>38.26</v>
      </c>
      <c r="BD38" s="1224">
        <f t="shared" si="91"/>
        <v>96.915999999999997</v>
      </c>
      <c r="BE38" s="1225">
        <f t="shared" si="91"/>
        <v>207.5</v>
      </c>
      <c r="BF38" s="1225">
        <f t="shared" si="91"/>
        <v>207.5</v>
      </c>
      <c r="BG38" s="1225">
        <f t="shared" si="91"/>
        <v>207.5</v>
      </c>
      <c r="BH38" s="3454">
        <f t="shared" si="91"/>
        <v>207.5</v>
      </c>
    </row>
    <row r="39" spans="1:60" s="737" customFormat="1" ht="12.75">
      <c r="A39" s="917" t="s">
        <v>1242</v>
      </c>
      <c r="B39" s="4662" t="s">
        <v>258</v>
      </c>
      <c r="C39" s="3420">
        <v>26</v>
      </c>
      <c r="D39" s="3421">
        <v>80</v>
      </c>
      <c r="E39" s="3421">
        <v>190</v>
      </c>
      <c r="F39" s="3421">
        <v>190</v>
      </c>
      <c r="G39" s="3421">
        <v>190</v>
      </c>
      <c r="H39" s="3422">
        <v>190</v>
      </c>
      <c r="I39" s="1348">
        <f t="shared" si="6"/>
        <v>164</v>
      </c>
      <c r="J39" s="1304">
        <f t="shared" si="7"/>
        <v>6.3076923076923075</v>
      </c>
      <c r="K39" s="3420">
        <v>1.3</v>
      </c>
      <c r="L39" s="3421">
        <v>18</v>
      </c>
      <c r="M39" s="3421">
        <v>32</v>
      </c>
      <c r="N39" s="3421">
        <v>32</v>
      </c>
      <c r="O39" s="3421">
        <v>32</v>
      </c>
      <c r="P39" s="3422">
        <v>32</v>
      </c>
      <c r="Q39" s="1348">
        <f t="shared" si="8"/>
        <v>30.7</v>
      </c>
      <c r="R39" s="1300">
        <f t="shared" si="9"/>
        <v>23.615384615384613</v>
      </c>
      <c r="S39" s="3420"/>
      <c r="T39" s="3421">
        <v>30</v>
      </c>
      <c r="U39" s="3421">
        <v>49.9</v>
      </c>
      <c r="V39" s="3421">
        <v>49.9</v>
      </c>
      <c r="W39" s="3421">
        <v>49.9</v>
      </c>
      <c r="X39" s="3422">
        <v>49.9</v>
      </c>
      <c r="Y39" s="1348">
        <f t="shared" si="10"/>
        <v>49.9</v>
      </c>
      <c r="Z39" s="1300">
        <f t="shared" si="11"/>
        <v>0</v>
      </c>
      <c r="AA39" s="3420">
        <v>0</v>
      </c>
      <c r="AB39" s="3421">
        <v>2.9159999999999999</v>
      </c>
      <c r="AC39" s="3421">
        <v>4</v>
      </c>
      <c r="AD39" s="3421">
        <v>4</v>
      </c>
      <c r="AE39" s="3421">
        <v>4</v>
      </c>
      <c r="AF39" s="3422">
        <v>4</v>
      </c>
      <c r="AG39" s="1348">
        <f t="shared" si="13"/>
        <v>4</v>
      </c>
      <c r="AH39" s="1304">
        <f t="shared" si="14"/>
        <v>0</v>
      </c>
      <c r="AI39" s="3420"/>
      <c r="AJ39" s="3421"/>
      <c r="AK39" s="3421"/>
      <c r="AL39" s="3421"/>
      <c r="AM39" s="3421"/>
      <c r="AN39" s="3453"/>
      <c r="AO39" s="1348">
        <f t="shared" si="15"/>
        <v>0</v>
      </c>
      <c r="AP39" s="1304">
        <f t="shared" si="16"/>
        <v>0</v>
      </c>
      <c r="AQ39" s="3420">
        <v>0</v>
      </c>
      <c r="AR39" s="3420">
        <v>1.143</v>
      </c>
      <c r="AS39" s="3420">
        <v>5</v>
      </c>
      <c r="AT39" s="3420">
        <v>5</v>
      </c>
      <c r="AU39" s="3420">
        <v>5</v>
      </c>
      <c r="AV39" s="3420">
        <v>5</v>
      </c>
      <c r="AW39" s="1202">
        <f t="shared" ref="AW39:AW48" si="92">C39+K39+S39+AA39+AI39</f>
        <v>27.3</v>
      </c>
      <c r="AX39" s="3443">
        <f t="shared" ref="AX39:AX48" si="93">D39+L39+T39+AB39+AJ39</f>
        <v>130.916</v>
      </c>
      <c r="AY39" s="3443">
        <f t="shared" ref="AY39:AY48" si="94">E39+M39+U39+AC39+AK39</f>
        <v>275.89999999999998</v>
      </c>
      <c r="AZ39" s="3443">
        <f t="shared" ref="AZ39:AZ48" si="95">F39+N39+V39+AD39+AL39</f>
        <v>275.89999999999998</v>
      </c>
      <c r="BA39" s="3443">
        <f t="shared" ref="BA39:BA48" si="96">G39+O39+W39+AE39+AM39</f>
        <v>275.89999999999998</v>
      </c>
      <c r="BB39" s="3444">
        <f t="shared" ref="BB39:BB48" si="97">H39+P39+X39+AF39+AN39</f>
        <v>275.89999999999998</v>
      </c>
      <c r="BC39" s="3464">
        <f t="shared" ref="BC39:BC48" si="98">C39+AA39+AI39</f>
        <v>26</v>
      </c>
      <c r="BD39" s="3465">
        <f t="shared" ref="BD39:BD48" si="99">D39+AB39+AJ39</f>
        <v>82.915999999999997</v>
      </c>
      <c r="BE39" s="3466">
        <f t="shared" ref="BE39:BE48" si="100">E39+AC39+AK39</f>
        <v>194</v>
      </c>
      <c r="BF39" s="3466">
        <f t="shared" ref="BF39:BF48" si="101">F39+AD39+AL39</f>
        <v>194</v>
      </c>
      <c r="BG39" s="3466">
        <f t="shared" ref="BG39:BG48" si="102">G39+AE39+AM39</f>
        <v>194</v>
      </c>
      <c r="BH39" s="3468">
        <f t="shared" ref="BH39:BH48" si="103">H39+AF39+AN39</f>
        <v>194</v>
      </c>
    </row>
    <row r="40" spans="1:60" s="737" customFormat="1" ht="12.75">
      <c r="A40" s="917" t="s">
        <v>1243</v>
      </c>
      <c r="B40" s="4662" t="s">
        <v>259</v>
      </c>
      <c r="C40" s="3420">
        <v>12</v>
      </c>
      <c r="D40" s="3421">
        <v>12</v>
      </c>
      <c r="E40" s="3421">
        <v>12</v>
      </c>
      <c r="F40" s="3421">
        <v>12</v>
      </c>
      <c r="G40" s="3421">
        <v>12</v>
      </c>
      <c r="H40" s="3422">
        <v>12</v>
      </c>
      <c r="I40" s="1348">
        <f t="shared" si="6"/>
        <v>0</v>
      </c>
      <c r="J40" s="1304">
        <f t="shared" si="7"/>
        <v>0</v>
      </c>
      <c r="K40" s="3420">
        <v>0</v>
      </c>
      <c r="L40" s="3421">
        <v>1.22</v>
      </c>
      <c r="M40" s="3421">
        <v>1.22</v>
      </c>
      <c r="N40" s="3421">
        <v>1.22</v>
      </c>
      <c r="O40" s="3421">
        <v>1.22</v>
      </c>
      <c r="P40" s="3422">
        <v>1.22</v>
      </c>
      <c r="Q40" s="1348">
        <f t="shared" si="8"/>
        <v>1.22</v>
      </c>
      <c r="R40" s="1300">
        <f t="shared" si="9"/>
        <v>0</v>
      </c>
      <c r="S40" s="3420"/>
      <c r="T40" s="3421"/>
      <c r="U40" s="3421"/>
      <c r="V40" s="3421"/>
      <c r="W40" s="3421"/>
      <c r="X40" s="3422"/>
      <c r="Y40" s="1348">
        <f t="shared" si="10"/>
        <v>0</v>
      </c>
      <c r="Z40" s="1300">
        <f t="shared" si="11"/>
        <v>0</v>
      </c>
      <c r="AA40" s="3420">
        <v>0</v>
      </c>
      <c r="AB40" s="3421">
        <v>1</v>
      </c>
      <c r="AC40" s="3421">
        <v>0.5</v>
      </c>
      <c r="AD40" s="3421">
        <v>0.5</v>
      </c>
      <c r="AE40" s="3421">
        <v>0.5</v>
      </c>
      <c r="AF40" s="3422">
        <v>0.5</v>
      </c>
      <c r="AG40" s="1348">
        <f t="shared" si="13"/>
        <v>0.5</v>
      </c>
      <c r="AH40" s="1304">
        <f t="shared" si="14"/>
        <v>0</v>
      </c>
      <c r="AI40" s="3420"/>
      <c r="AJ40" s="3421"/>
      <c r="AK40" s="3421"/>
      <c r="AL40" s="3421"/>
      <c r="AM40" s="3421"/>
      <c r="AN40" s="3453"/>
      <c r="AO40" s="1348">
        <f t="shared" si="15"/>
        <v>0</v>
      </c>
      <c r="AP40" s="1304">
        <f t="shared" si="16"/>
        <v>0</v>
      </c>
      <c r="AQ40" s="3420">
        <v>0</v>
      </c>
      <c r="AR40" s="3420">
        <v>0</v>
      </c>
      <c r="AS40" s="3420">
        <v>0</v>
      </c>
      <c r="AT40" s="3420">
        <v>0</v>
      </c>
      <c r="AU40" s="3420">
        <v>0</v>
      </c>
      <c r="AV40" s="3420">
        <v>0</v>
      </c>
      <c r="AW40" s="1202">
        <f t="shared" si="92"/>
        <v>12</v>
      </c>
      <c r="AX40" s="3443">
        <f t="shared" si="93"/>
        <v>14.22</v>
      </c>
      <c r="AY40" s="3443">
        <f t="shared" si="94"/>
        <v>13.72</v>
      </c>
      <c r="AZ40" s="3443">
        <f t="shared" si="95"/>
        <v>13.72</v>
      </c>
      <c r="BA40" s="3443">
        <f t="shared" si="96"/>
        <v>13.72</v>
      </c>
      <c r="BB40" s="3444">
        <f t="shared" si="97"/>
        <v>13.72</v>
      </c>
      <c r="BC40" s="3464">
        <f t="shared" si="98"/>
        <v>12</v>
      </c>
      <c r="BD40" s="3465">
        <f t="shared" si="99"/>
        <v>13</v>
      </c>
      <c r="BE40" s="3466">
        <f t="shared" si="100"/>
        <v>12.5</v>
      </c>
      <c r="BF40" s="3466">
        <f t="shared" si="101"/>
        <v>12.5</v>
      </c>
      <c r="BG40" s="3466">
        <f t="shared" si="102"/>
        <v>12.5</v>
      </c>
      <c r="BH40" s="3468">
        <f t="shared" si="103"/>
        <v>12.5</v>
      </c>
    </row>
    <row r="41" spans="1:60" s="737" customFormat="1" ht="12.75">
      <c r="A41" s="917" t="s">
        <v>1244</v>
      </c>
      <c r="B41" s="4662" t="s">
        <v>260</v>
      </c>
      <c r="C41" s="3420">
        <v>0</v>
      </c>
      <c r="D41" s="3421">
        <v>0</v>
      </c>
      <c r="E41" s="3421">
        <v>0</v>
      </c>
      <c r="F41" s="3421">
        <v>0</v>
      </c>
      <c r="G41" s="3421">
        <v>0</v>
      </c>
      <c r="H41" s="3422">
        <v>0</v>
      </c>
      <c r="I41" s="1348">
        <f t="shared" si="6"/>
        <v>0</v>
      </c>
      <c r="J41" s="1304">
        <f t="shared" si="7"/>
        <v>0</v>
      </c>
      <c r="K41" s="3420">
        <v>0</v>
      </c>
      <c r="L41" s="3421">
        <v>0</v>
      </c>
      <c r="M41" s="3421">
        <v>0</v>
      </c>
      <c r="N41" s="3421">
        <v>0</v>
      </c>
      <c r="O41" s="3421">
        <v>0</v>
      </c>
      <c r="P41" s="3422">
        <v>0</v>
      </c>
      <c r="Q41" s="1348">
        <f t="shared" si="8"/>
        <v>0</v>
      </c>
      <c r="R41" s="1300">
        <f t="shared" si="9"/>
        <v>0</v>
      </c>
      <c r="S41" s="3420"/>
      <c r="T41" s="3421"/>
      <c r="U41" s="3421"/>
      <c r="V41" s="3421"/>
      <c r="W41" s="3421"/>
      <c r="X41" s="3422"/>
      <c r="Y41" s="1348">
        <f t="shared" si="10"/>
        <v>0</v>
      </c>
      <c r="Z41" s="1300">
        <f t="shared" si="11"/>
        <v>0</v>
      </c>
      <c r="AA41" s="3420">
        <v>0</v>
      </c>
      <c r="AB41" s="3421">
        <v>1</v>
      </c>
      <c r="AC41" s="3421">
        <v>1</v>
      </c>
      <c r="AD41" s="3421">
        <v>1</v>
      </c>
      <c r="AE41" s="3421">
        <v>1</v>
      </c>
      <c r="AF41" s="3421">
        <v>1</v>
      </c>
      <c r="AG41" s="1348">
        <f t="shared" si="13"/>
        <v>1</v>
      </c>
      <c r="AH41" s="1304">
        <f t="shared" si="14"/>
        <v>0</v>
      </c>
      <c r="AI41" s="3420"/>
      <c r="AJ41" s="3421"/>
      <c r="AK41" s="3421"/>
      <c r="AL41" s="3421"/>
      <c r="AM41" s="3421"/>
      <c r="AN41" s="3453"/>
      <c r="AO41" s="1348">
        <f t="shared" si="15"/>
        <v>0</v>
      </c>
      <c r="AP41" s="1304">
        <f t="shared" si="16"/>
        <v>0</v>
      </c>
      <c r="AQ41" s="3420">
        <v>0</v>
      </c>
      <c r="AR41" s="3420">
        <v>0</v>
      </c>
      <c r="AS41" s="3420">
        <v>0</v>
      </c>
      <c r="AT41" s="3420">
        <v>0</v>
      </c>
      <c r="AU41" s="3420">
        <v>0</v>
      </c>
      <c r="AV41" s="3420">
        <v>0</v>
      </c>
      <c r="AW41" s="1202">
        <f t="shared" si="92"/>
        <v>0</v>
      </c>
      <c r="AX41" s="3443">
        <f t="shared" si="93"/>
        <v>1</v>
      </c>
      <c r="AY41" s="3443">
        <f t="shared" si="94"/>
        <v>1</v>
      </c>
      <c r="AZ41" s="3443">
        <f t="shared" si="95"/>
        <v>1</v>
      </c>
      <c r="BA41" s="3443">
        <f t="shared" si="96"/>
        <v>1</v>
      </c>
      <c r="BB41" s="3444">
        <f t="shared" si="97"/>
        <v>1</v>
      </c>
      <c r="BC41" s="3464">
        <f t="shared" si="98"/>
        <v>0</v>
      </c>
      <c r="BD41" s="3465">
        <f t="shared" si="99"/>
        <v>1</v>
      </c>
      <c r="BE41" s="3466">
        <f t="shared" si="100"/>
        <v>1</v>
      </c>
      <c r="BF41" s="3466">
        <f t="shared" si="101"/>
        <v>1</v>
      </c>
      <c r="BG41" s="3466">
        <f t="shared" si="102"/>
        <v>1</v>
      </c>
      <c r="BH41" s="3468">
        <f t="shared" si="103"/>
        <v>1</v>
      </c>
    </row>
    <row r="42" spans="1:60" s="737" customFormat="1" ht="12.75">
      <c r="A42" s="917" t="s">
        <v>1245</v>
      </c>
      <c r="B42" s="4662" t="s">
        <v>447</v>
      </c>
      <c r="C42" s="3420">
        <v>0</v>
      </c>
      <c r="D42" s="3421">
        <v>0</v>
      </c>
      <c r="E42" s="3421">
        <v>0</v>
      </c>
      <c r="F42" s="3421">
        <v>0</v>
      </c>
      <c r="G42" s="3421">
        <v>0</v>
      </c>
      <c r="H42" s="3422">
        <v>0</v>
      </c>
      <c r="I42" s="1348">
        <f t="shared" si="6"/>
        <v>0</v>
      </c>
      <c r="J42" s="1304">
        <f t="shared" si="7"/>
        <v>0</v>
      </c>
      <c r="K42" s="3420">
        <v>0</v>
      </c>
      <c r="L42" s="3421">
        <v>0</v>
      </c>
      <c r="M42" s="3421">
        <v>0</v>
      </c>
      <c r="N42" s="3421">
        <v>0</v>
      </c>
      <c r="O42" s="3421">
        <v>0</v>
      </c>
      <c r="P42" s="3422">
        <v>0</v>
      </c>
      <c r="Q42" s="1348">
        <f t="shared" si="8"/>
        <v>0</v>
      </c>
      <c r="R42" s="1300">
        <f t="shared" si="9"/>
        <v>0</v>
      </c>
      <c r="S42" s="3420">
        <v>4</v>
      </c>
      <c r="T42" s="3421">
        <v>0</v>
      </c>
      <c r="U42" s="3421">
        <v>0</v>
      </c>
      <c r="V42" s="3421">
        <v>0</v>
      </c>
      <c r="W42" s="3421">
        <v>0</v>
      </c>
      <c r="X42" s="3422">
        <v>0</v>
      </c>
      <c r="Y42" s="1348">
        <f t="shared" si="10"/>
        <v>-4</v>
      </c>
      <c r="Z42" s="1300">
        <f t="shared" si="11"/>
        <v>-1</v>
      </c>
      <c r="AA42" s="3420">
        <v>0.26</v>
      </c>
      <c r="AB42" s="3421"/>
      <c r="AC42" s="3421"/>
      <c r="AD42" s="3421"/>
      <c r="AE42" s="3421"/>
      <c r="AF42" s="3422"/>
      <c r="AG42" s="1348">
        <f t="shared" si="13"/>
        <v>-0.26</v>
      </c>
      <c r="AH42" s="1304">
        <f t="shared" si="14"/>
        <v>-1</v>
      </c>
      <c r="AI42" s="3420"/>
      <c r="AJ42" s="3421"/>
      <c r="AK42" s="3421"/>
      <c r="AL42" s="3421"/>
      <c r="AM42" s="3421"/>
      <c r="AN42" s="3453"/>
      <c r="AO42" s="1348">
        <f t="shared" si="15"/>
        <v>0</v>
      </c>
      <c r="AP42" s="1304">
        <f t="shared" si="16"/>
        <v>0</v>
      </c>
      <c r="AQ42" s="3420">
        <v>1</v>
      </c>
      <c r="AR42" s="3420">
        <v>2</v>
      </c>
      <c r="AS42" s="3420">
        <v>2</v>
      </c>
      <c r="AT42" s="3420">
        <v>2</v>
      </c>
      <c r="AU42" s="3420">
        <v>3</v>
      </c>
      <c r="AV42" s="3420">
        <v>3</v>
      </c>
      <c r="AW42" s="1202">
        <f t="shared" si="92"/>
        <v>4.26</v>
      </c>
      <c r="AX42" s="3443">
        <f t="shared" si="93"/>
        <v>0</v>
      </c>
      <c r="AY42" s="3443">
        <f t="shared" si="94"/>
        <v>0</v>
      </c>
      <c r="AZ42" s="3443">
        <f t="shared" si="95"/>
        <v>0</v>
      </c>
      <c r="BA42" s="3443">
        <f t="shared" si="96"/>
        <v>0</v>
      </c>
      <c r="BB42" s="3444">
        <f t="shared" si="97"/>
        <v>0</v>
      </c>
      <c r="BC42" s="3464">
        <f t="shared" si="98"/>
        <v>0.26</v>
      </c>
      <c r="BD42" s="3465">
        <f t="shared" si="99"/>
        <v>0</v>
      </c>
      <c r="BE42" s="3466">
        <f t="shared" si="100"/>
        <v>0</v>
      </c>
      <c r="BF42" s="3466">
        <f t="shared" si="101"/>
        <v>0</v>
      </c>
      <c r="BG42" s="3466">
        <f t="shared" si="102"/>
        <v>0</v>
      </c>
      <c r="BH42" s="3468">
        <f t="shared" si="103"/>
        <v>0</v>
      </c>
    </row>
    <row r="43" spans="1:60" ht="12.75">
      <c r="A43" s="916" t="s">
        <v>261</v>
      </c>
      <c r="B43" s="983" t="s">
        <v>262</v>
      </c>
      <c r="C43" s="3420">
        <v>273</v>
      </c>
      <c r="D43" s="3421">
        <v>276</v>
      </c>
      <c r="E43" s="3421">
        <v>276</v>
      </c>
      <c r="F43" s="3421">
        <v>276</v>
      </c>
      <c r="G43" s="3421">
        <v>276</v>
      </c>
      <c r="H43" s="3422">
        <v>276</v>
      </c>
      <c r="I43" s="1348">
        <f t="shared" ref="I43:I73" si="104">H43-C43</f>
        <v>3</v>
      </c>
      <c r="J43" s="904">
        <f t="shared" ref="J43:J73" si="105">IFERROR((H43-C43)/C43,0)</f>
        <v>1.098901098901099E-2</v>
      </c>
      <c r="K43" s="3420">
        <v>3.4</v>
      </c>
      <c r="L43" s="3421">
        <v>3</v>
      </c>
      <c r="M43" s="3421">
        <v>3.3</v>
      </c>
      <c r="N43" s="3421">
        <v>3.3</v>
      </c>
      <c r="O43" s="3421">
        <v>3.3</v>
      </c>
      <c r="P43" s="3422">
        <v>3.3</v>
      </c>
      <c r="Q43" s="1348">
        <f t="shared" ref="Q43:Q72" si="106">P43-K43</f>
        <v>-0.10000000000000009</v>
      </c>
      <c r="R43" s="1211">
        <f t="shared" ref="R43:R72" si="107">IFERROR((P43-K43)/K43,0)</f>
        <v>-2.941176470588238E-2</v>
      </c>
      <c r="S43" s="3420">
        <v>64</v>
      </c>
      <c r="T43" s="3421">
        <v>64</v>
      </c>
      <c r="U43" s="3421">
        <v>64</v>
      </c>
      <c r="V43" s="3421">
        <v>64</v>
      </c>
      <c r="W43" s="3421">
        <v>64</v>
      </c>
      <c r="X43" s="3422">
        <v>64</v>
      </c>
      <c r="Y43" s="1348">
        <f t="shared" ref="Y43:Y72" si="108">X43-S43</f>
        <v>0</v>
      </c>
      <c r="Z43" s="1211">
        <f t="shared" ref="Z43:Z72" si="109">IFERROR((X43-S43)/S43,0)</f>
        <v>0</v>
      </c>
      <c r="AA43" s="3420">
        <v>1.64</v>
      </c>
      <c r="AB43" s="3421">
        <v>10</v>
      </c>
      <c r="AC43" s="3421">
        <v>10</v>
      </c>
      <c r="AD43" s="3421">
        <v>10</v>
      </c>
      <c r="AE43" s="3421">
        <v>10</v>
      </c>
      <c r="AF43" s="3422">
        <v>10</v>
      </c>
      <c r="AG43" s="1348">
        <f t="shared" ref="AG43:AG71" si="110">AF43-AA43</f>
        <v>8.36</v>
      </c>
      <c r="AH43" s="904">
        <f t="shared" ref="AH43:AH71" si="111">IFERROR((AF43-AA43)/AA43,0)</f>
        <v>5.0975609756097562</v>
      </c>
      <c r="AI43" s="3420"/>
      <c r="AJ43" s="3421"/>
      <c r="AK43" s="3421"/>
      <c r="AL43" s="3421"/>
      <c r="AM43" s="3421"/>
      <c r="AN43" s="3453"/>
      <c r="AO43" s="1348">
        <f t="shared" ref="AO43:AO71" si="112">AN43-AI43</f>
        <v>0</v>
      </c>
      <c r="AP43" s="904">
        <f t="shared" ref="AP43:AP71" si="113">IFERROR((AN43-AI43)/AI43,0)</f>
        <v>0</v>
      </c>
      <c r="AQ43" s="3420">
        <v>2</v>
      </c>
      <c r="AR43" s="3421">
        <v>3</v>
      </c>
      <c r="AS43" s="3421">
        <v>3</v>
      </c>
      <c r="AT43" s="3421">
        <v>3</v>
      </c>
      <c r="AU43" s="3421">
        <v>3</v>
      </c>
      <c r="AV43" s="3453">
        <v>3</v>
      </c>
      <c r="AW43" s="1202">
        <f t="shared" si="92"/>
        <v>342.03999999999996</v>
      </c>
      <c r="AX43" s="3443">
        <f t="shared" si="93"/>
        <v>353</v>
      </c>
      <c r="AY43" s="3443">
        <f t="shared" si="94"/>
        <v>353.3</v>
      </c>
      <c r="AZ43" s="3443">
        <f t="shared" si="95"/>
        <v>353.3</v>
      </c>
      <c r="BA43" s="3443">
        <f t="shared" si="96"/>
        <v>353.3</v>
      </c>
      <c r="BB43" s="3444">
        <f t="shared" si="97"/>
        <v>353.3</v>
      </c>
      <c r="BC43" s="3464">
        <f t="shared" si="98"/>
        <v>274.64</v>
      </c>
      <c r="BD43" s="3465">
        <f t="shared" si="99"/>
        <v>286</v>
      </c>
      <c r="BE43" s="3466">
        <f t="shared" si="100"/>
        <v>286</v>
      </c>
      <c r="BF43" s="3466">
        <f t="shared" si="101"/>
        <v>286</v>
      </c>
      <c r="BG43" s="3466">
        <f t="shared" si="102"/>
        <v>286</v>
      </c>
      <c r="BH43" s="3468">
        <f t="shared" si="103"/>
        <v>286</v>
      </c>
    </row>
    <row r="44" spans="1:60" ht="12.75">
      <c r="A44" s="916" t="s">
        <v>263</v>
      </c>
      <c r="B44" s="983" t="s">
        <v>264</v>
      </c>
      <c r="C44" s="3420">
        <v>79</v>
      </c>
      <c r="D44" s="3421">
        <v>80.760000000000005</v>
      </c>
      <c r="E44" s="3421">
        <v>84</v>
      </c>
      <c r="F44" s="3421">
        <v>84</v>
      </c>
      <c r="G44" s="3421">
        <v>84</v>
      </c>
      <c r="H44" s="3422">
        <v>84</v>
      </c>
      <c r="I44" s="1348">
        <f t="shared" si="104"/>
        <v>5</v>
      </c>
      <c r="J44" s="904">
        <f t="shared" si="105"/>
        <v>6.3291139240506333E-2</v>
      </c>
      <c r="K44" s="3420">
        <v>3</v>
      </c>
      <c r="L44" s="3421">
        <v>3</v>
      </c>
      <c r="M44" s="3421">
        <v>3</v>
      </c>
      <c r="N44" s="3421">
        <v>3</v>
      </c>
      <c r="O44" s="3421">
        <v>3</v>
      </c>
      <c r="P44" s="3422">
        <v>3</v>
      </c>
      <c r="Q44" s="1348">
        <f t="shared" si="106"/>
        <v>0</v>
      </c>
      <c r="R44" s="1211">
        <f t="shared" si="107"/>
        <v>0</v>
      </c>
      <c r="S44" s="3420">
        <v>10</v>
      </c>
      <c r="T44" s="3421">
        <v>10</v>
      </c>
      <c r="U44" s="3421">
        <v>10</v>
      </c>
      <c r="V44" s="3421">
        <v>10</v>
      </c>
      <c r="W44" s="3421">
        <v>10</v>
      </c>
      <c r="X44" s="3422">
        <v>10</v>
      </c>
      <c r="Y44" s="1348">
        <f t="shared" si="108"/>
        <v>0</v>
      </c>
      <c r="Z44" s="1211">
        <f t="shared" si="109"/>
        <v>0</v>
      </c>
      <c r="AA44" s="3420">
        <v>0</v>
      </c>
      <c r="AB44" s="3421">
        <v>2</v>
      </c>
      <c r="AC44" s="3421">
        <v>2</v>
      </c>
      <c r="AD44" s="3421">
        <v>2</v>
      </c>
      <c r="AE44" s="3421">
        <v>2</v>
      </c>
      <c r="AF44" s="3422">
        <v>2</v>
      </c>
      <c r="AG44" s="1348">
        <f t="shared" si="110"/>
        <v>2</v>
      </c>
      <c r="AH44" s="904">
        <f t="shared" si="111"/>
        <v>0</v>
      </c>
      <c r="AI44" s="3420"/>
      <c r="AJ44" s="3421"/>
      <c r="AK44" s="3421"/>
      <c r="AL44" s="3421"/>
      <c r="AM44" s="3421"/>
      <c r="AN44" s="3453"/>
      <c r="AO44" s="1348">
        <f t="shared" si="112"/>
        <v>0</v>
      </c>
      <c r="AP44" s="904">
        <f t="shared" si="113"/>
        <v>0</v>
      </c>
      <c r="AQ44" s="3420">
        <v>0</v>
      </c>
      <c r="AR44" s="3420">
        <v>0</v>
      </c>
      <c r="AS44" s="3420">
        <v>0</v>
      </c>
      <c r="AT44" s="3420">
        <v>0</v>
      </c>
      <c r="AU44" s="3420">
        <v>0</v>
      </c>
      <c r="AV44" s="3420">
        <v>0</v>
      </c>
      <c r="AW44" s="1202">
        <f t="shared" si="92"/>
        <v>92</v>
      </c>
      <c r="AX44" s="3443">
        <f t="shared" si="93"/>
        <v>95.76</v>
      </c>
      <c r="AY44" s="3443">
        <f t="shared" si="94"/>
        <v>99</v>
      </c>
      <c r="AZ44" s="3443">
        <f t="shared" si="95"/>
        <v>99</v>
      </c>
      <c r="BA44" s="3443">
        <f t="shared" si="96"/>
        <v>99</v>
      </c>
      <c r="BB44" s="3444">
        <f t="shared" si="97"/>
        <v>99</v>
      </c>
      <c r="BC44" s="3464">
        <f t="shared" si="98"/>
        <v>79</v>
      </c>
      <c r="BD44" s="3465">
        <f t="shared" si="99"/>
        <v>82.76</v>
      </c>
      <c r="BE44" s="3466">
        <f t="shared" si="100"/>
        <v>86</v>
      </c>
      <c r="BF44" s="3466">
        <f t="shared" si="101"/>
        <v>86</v>
      </c>
      <c r="BG44" s="3466">
        <f t="shared" si="102"/>
        <v>86</v>
      </c>
      <c r="BH44" s="3468">
        <f t="shared" si="103"/>
        <v>86</v>
      </c>
    </row>
    <row r="45" spans="1:60" ht="12.75">
      <c r="A45" s="916" t="s">
        <v>265</v>
      </c>
      <c r="B45" s="983" t="s">
        <v>636</v>
      </c>
      <c r="C45" s="3420">
        <v>6</v>
      </c>
      <c r="D45" s="3421">
        <v>6.6</v>
      </c>
      <c r="E45" s="3421">
        <v>6.6</v>
      </c>
      <c r="F45" s="3421">
        <v>6.6</v>
      </c>
      <c r="G45" s="3421">
        <v>6.6</v>
      </c>
      <c r="H45" s="3422">
        <v>6.6</v>
      </c>
      <c r="I45" s="1348">
        <f t="shared" si="104"/>
        <v>0.59999999999999964</v>
      </c>
      <c r="J45" s="904">
        <f t="shared" si="105"/>
        <v>9.9999999999999936E-2</v>
      </c>
      <c r="K45" s="3420">
        <v>0.45</v>
      </c>
      <c r="L45" s="3421">
        <v>0</v>
      </c>
      <c r="M45" s="3421">
        <v>0</v>
      </c>
      <c r="N45" s="3421">
        <v>0</v>
      </c>
      <c r="O45" s="3421">
        <v>0</v>
      </c>
      <c r="P45" s="3422">
        <v>0</v>
      </c>
      <c r="Q45" s="1348">
        <f t="shared" si="106"/>
        <v>-0.45</v>
      </c>
      <c r="R45" s="1211">
        <f t="shared" si="107"/>
        <v>-1</v>
      </c>
      <c r="S45" s="3420">
        <v>1</v>
      </c>
      <c r="T45" s="3421">
        <v>1</v>
      </c>
      <c r="U45" s="3421">
        <v>1</v>
      </c>
      <c r="V45" s="3421">
        <v>1</v>
      </c>
      <c r="W45" s="3421">
        <v>1</v>
      </c>
      <c r="X45" s="3422">
        <v>1</v>
      </c>
      <c r="Y45" s="1348">
        <f t="shared" si="108"/>
        <v>0</v>
      </c>
      <c r="Z45" s="1211">
        <f t="shared" si="109"/>
        <v>0</v>
      </c>
      <c r="AA45" s="3420">
        <v>0.06</v>
      </c>
      <c r="AB45" s="3421">
        <v>1</v>
      </c>
      <c r="AC45" s="3421">
        <v>1</v>
      </c>
      <c r="AD45" s="3421">
        <v>1</v>
      </c>
      <c r="AE45" s="3421">
        <v>1</v>
      </c>
      <c r="AF45" s="3422">
        <v>1</v>
      </c>
      <c r="AG45" s="1348">
        <f t="shared" si="110"/>
        <v>0.94</v>
      </c>
      <c r="AH45" s="904">
        <f t="shared" si="111"/>
        <v>15.666666666666666</v>
      </c>
      <c r="AI45" s="3420"/>
      <c r="AJ45" s="3421"/>
      <c r="AK45" s="3421"/>
      <c r="AL45" s="3421"/>
      <c r="AM45" s="3421"/>
      <c r="AN45" s="3453"/>
      <c r="AO45" s="1348">
        <f t="shared" si="112"/>
        <v>0</v>
      </c>
      <c r="AP45" s="904">
        <f t="shared" si="113"/>
        <v>0</v>
      </c>
      <c r="AQ45" s="3420">
        <v>0</v>
      </c>
      <c r="AR45" s="3420">
        <v>0</v>
      </c>
      <c r="AS45" s="3420">
        <v>0</v>
      </c>
      <c r="AT45" s="3420">
        <v>0</v>
      </c>
      <c r="AU45" s="3420">
        <v>0</v>
      </c>
      <c r="AV45" s="3420">
        <v>0</v>
      </c>
      <c r="AW45" s="1202">
        <f t="shared" si="92"/>
        <v>7.51</v>
      </c>
      <c r="AX45" s="3443">
        <f t="shared" si="93"/>
        <v>8.6</v>
      </c>
      <c r="AY45" s="3443">
        <f t="shared" si="94"/>
        <v>8.6</v>
      </c>
      <c r="AZ45" s="3443">
        <f t="shared" si="95"/>
        <v>8.6</v>
      </c>
      <c r="BA45" s="3443">
        <f t="shared" si="96"/>
        <v>8.6</v>
      </c>
      <c r="BB45" s="3444">
        <f t="shared" si="97"/>
        <v>8.6</v>
      </c>
      <c r="BC45" s="3464">
        <f t="shared" si="98"/>
        <v>6.06</v>
      </c>
      <c r="BD45" s="3465">
        <f t="shared" si="99"/>
        <v>7.6</v>
      </c>
      <c r="BE45" s="3466">
        <f t="shared" si="100"/>
        <v>7.6</v>
      </c>
      <c r="BF45" s="3466">
        <f t="shared" si="101"/>
        <v>7.6</v>
      </c>
      <c r="BG45" s="3466">
        <f t="shared" si="102"/>
        <v>7.6</v>
      </c>
      <c r="BH45" s="3468">
        <f t="shared" si="103"/>
        <v>7.6</v>
      </c>
    </row>
    <row r="46" spans="1:60" ht="12.75">
      <c r="A46" s="916" t="s">
        <v>267</v>
      </c>
      <c r="B46" s="983" t="s">
        <v>691</v>
      </c>
      <c r="C46" s="3420">
        <v>13</v>
      </c>
      <c r="D46" s="3421">
        <v>13</v>
      </c>
      <c r="E46" s="3421">
        <v>13</v>
      </c>
      <c r="F46" s="3421">
        <v>13</v>
      </c>
      <c r="G46" s="3421">
        <v>13</v>
      </c>
      <c r="H46" s="3422">
        <v>13</v>
      </c>
      <c r="I46" s="1348">
        <f t="shared" si="104"/>
        <v>0</v>
      </c>
      <c r="J46" s="904">
        <f t="shared" si="105"/>
        <v>0</v>
      </c>
      <c r="K46" s="3420">
        <v>0</v>
      </c>
      <c r="L46" s="3420"/>
      <c r="M46" s="3420"/>
      <c r="N46" s="3420"/>
      <c r="O46" s="3420"/>
      <c r="P46" s="3420"/>
      <c r="Q46" s="1348">
        <f t="shared" si="106"/>
        <v>0</v>
      </c>
      <c r="R46" s="1211">
        <f t="shared" si="107"/>
        <v>0</v>
      </c>
      <c r="S46" s="3420">
        <v>0</v>
      </c>
      <c r="T46" s="3421">
        <v>1</v>
      </c>
      <c r="U46" s="3421">
        <v>1</v>
      </c>
      <c r="V46" s="3421">
        <v>1</v>
      </c>
      <c r="W46" s="3421">
        <v>1</v>
      </c>
      <c r="X46" s="3422">
        <v>1</v>
      </c>
      <c r="Y46" s="1348">
        <f t="shared" si="108"/>
        <v>1</v>
      </c>
      <c r="Z46" s="1211">
        <f t="shared" si="109"/>
        <v>0</v>
      </c>
      <c r="AA46" s="3420">
        <v>0</v>
      </c>
      <c r="AB46" s="3421">
        <v>0</v>
      </c>
      <c r="AC46" s="3421">
        <v>0</v>
      </c>
      <c r="AD46" s="3421">
        <v>0</v>
      </c>
      <c r="AE46" s="3421">
        <v>0</v>
      </c>
      <c r="AF46" s="3421">
        <v>0</v>
      </c>
      <c r="AG46" s="1348">
        <f t="shared" si="110"/>
        <v>0</v>
      </c>
      <c r="AH46" s="904">
        <f t="shared" si="111"/>
        <v>0</v>
      </c>
      <c r="AI46" s="3420"/>
      <c r="AJ46" s="3421"/>
      <c r="AK46" s="3421"/>
      <c r="AL46" s="3421"/>
      <c r="AM46" s="3421"/>
      <c r="AN46" s="3453"/>
      <c r="AO46" s="1348">
        <f t="shared" si="112"/>
        <v>0</v>
      </c>
      <c r="AP46" s="904">
        <f t="shared" si="113"/>
        <v>0</v>
      </c>
      <c r="AQ46" s="3420">
        <v>0</v>
      </c>
      <c r="AR46" s="3420">
        <v>0</v>
      </c>
      <c r="AS46" s="3420">
        <v>0</v>
      </c>
      <c r="AT46" s="3420">
        <v>0</v>
      </c>
      <c r="AU46" s="3420">
        <v>0</v>
      </c>
      <c r="AV46" s="3420">
        <v>0</v>
      </c>
      <c r="AW46" s="1202">
        <f t="shared" si="92"/>
        <v>13</v>
      </c>
      <c r="AX46" s="3443">
        <f t="shared" si="93"/>
        <v>14</v>
      </c>
      <c r="AY46" s="3443">
        <f t="shared" si="94"/>
        <v>14</v>
      </c>
      <c r="AZ46" s="3443">
        <f t="shared" si="95"/>
        <v>14</v>
      </c>
      <c r="BA46" s="3443">
        <f t="shared" si="96"/>
        <v>14</v>
      </c>
      <c r="BB46" s="3444">
        <f t="shared" si="97"/>
        <v>14</v>
      </c>
      <c r="BC46" s="3464">
        <f t="shared" si="98"/>
        <v>13</v>
      </c>
      <c r="BD46" s="3465">
        <f t="shared" si="99"/>
        <v>13</v>
      </c>
      <c r="BE46" s="3466">
        <f t="shared" si="100"/>
        <v>13</v>
      </c>
      <c r="BF46" s="3466">
        <f t="shared" si="101"/>
        <v>13</v>
      </c>
      <c r="BG46" s="3466">
        <f t="shared" si="102"/>
        <v>13</v>
      </c>
      <c r="BH46" s="3468">
        <f t="shared" si="103"/>
        <v>13</v>
      </c>
    </row>
    <row r="47" spans="1:60" ht="12.75">
      <c r="A47" s="916" t="s">
        <v>449</v>
      </c>
      <c r="B47" s="983" t="s">
        <v>448</v>
      </c>
      <c r="C47" s="3420">
        <v>0</v>
      </c>
      <c r="D47" s="3421">
        <v>2.9550000000000001</v>
      </c>
      <c r="E47" s="3421">
        <v>5</v>
      </c>
      <c r="F47" s="3421">
        <v>5</v>
      </c>
      <c r="G47" s="3421">
        <v>5</v>
      </c>
      <c r="H47" s="3422">
        <v>5</v>
      </c>
      <c r="I47" s="1348">
        <f t="shared" si="104"/>
        <v>5</v>
      </c>
      <c r="J47" s="904">
        <f t="shared" si="105"/>
        <v>0</v>
      </c>
      <c r="K47" s="3420"/>
      <c r="L47" s="3421">
        <v>2</v>
      </c>
      <c r="M47" s="3421">
        <v>1.8</v>
      </c>
      <c r="N47" s="3421">
        <v>1.8</v>
      </c>
      <c r="O47" s="3421">
        <v>1.8</v>
      </c>
      <c r="P47" s="3422">
        <v>1.8</v>
      </c>
      <c r="Q47" s="1348">
        <f t="shared" si="106"/>
        <v>1.8</v>
      </c>
      <c r="R47" s="1211">
        <f t="shared" si="107"/>
        <v>0</v>
      </c>
      <c r="S47" s="3420">
        <v>0</v>
      </c>
      <c r="T47" s="3421">
        <v>1</v>
      </c>
      <c r="U47" s="3421">
        <v>1</v>
      </c>
      <c r="V47" s="3421">
        <v>1</v>
      </c>
      <c r="W47" s="3421">
        <v>1</v>
      </c>
      <c r="X47" s="3422">
        <v>1</v>
      </c>
      <c r="Y47" s="1348">
        <f t="shared" si="108"/>
        <v>1</v>
      </c>
      <c r="Z47" s="1211">
        <f t="shared" si="109"/>
        <v>0</v>
      </c>
      <c r="AA47" s="3420">
        <v>0</v>
      </c>
      <c r="AB47" s="3421">
        <v>1</v>
      </c>
      <c r="AC47" s="3421">
        <v>1</v>
      </c>
      <c r="AD47" s="3421">
        <v>1</v>
      </c>
      <c r="AE47" s="3421">
        <v>1</v>
      </c>
      <c r="AF47" s="3422">
        <v>1</v>
      </c>
      <c r="AG47" s="1348">
        <f t="shared" si="110"/>
        <v>1</v>
      </c>
      <c r="AH47" s="904">
        <f t="shared" si="111"/>
        <v>0</v>
      </c>
      <c r="AI47" s="3420"/>
      <c r="AJ47" s="3421"/>
      <c r="AK47" s="3421"/>
      <c r="AL47" s="3421"/>
      <c r="AM47" s="3421"/>
      <c r="AN47" s="3453"/>
      <c r="AO47" s="1348">
        <f t="shared" si="112"/>
        <v>0</v>
      </c>
      <c r="AP47" s="904">
        <f t="shared" si="113"/>
        <v>0</v>
      </c>
      <c r="AQ47" s="3420">
        <v>0</v>
      </c>
      <c r="AR47" s="3420">
        <v>0</v>
      </c>
      <c r="AS47" s="3420">
        <v>0</v>
      </c>
      <c r="AT47" s="3420">
        <v>0</v>
      </c>
      <c r="AU47" s="3420">
        <v>0</v>
      </c>
      <c r="AV47" s="3420">
        <v>0</v>
      </c>
      <c r="AW47" s="1202">
        <f t="shared" si="92"/>
        <v>0</v>
      </c>
      <c r="AX47" s="3443">
        <f t="shared" si="93"/>
        <v>6.9550000000000001</v>
      </c>
      <c r="AY47" s="3443">
        <f t="shared" si="94"/>
        <v>8.8000000000000007</v>
      </c>
      <c r="AZ47" s="3443">
        <f t="shared" si="95"/>
        <v>8.8000000000000007</v>
      </c>
      <c r="BA47" s="3443">
        <f t="shared" si="96"/>
        <v>8.8000000000000007</v>
      </c>
      <c r="BB47" s="3444">
        <f t="shared" si="97"/>
        <v>8.8000000000000007</v>
      </c>
      <c r="BC47" s="3464">
        <f t="shared" si="98"/>
        <v>0</v>
      </c>
      <c r="BD47" s="3465">
        <f t="shared" si="99"/>
        <v>3.9550000000000001</v>
      </c>
      <c r="BE47" s="3466">
        <f t="shared" si="100"/>
        <v>6</v>
      </c>
      <c r="BF47" s="3466">
        <f t="shared" si="101"/>
        <v>6</v>
      </c>
      <c r="BG47" s="3466">
        <f t="shared" si="102"/>
        <v>6</v>
      </c>
      <c r="BH47" s="3468">
        <f t="shared" si="103"/>
        <v>6</v>
      </c>
    </row>
    <row r="48" spans="1:60" s="743" customFormat="1" ht="12.75">
      <c r="A48" s="916" t="s">
        <v>607</v>
      </c>
      <c r="B48" s="983" t="s">
        <v>647</v>
      </c>
      <c r="C48" s="2995">
        <f>'8. Ремонтна програма'!J31</f>
        <v>707</v>
      </c>
      <c r="D48" s="1346">
        <f>'8. Ремонтна програма'!K31</f>
        <v>780</v>
      </c>
      <c r="E48" s="1223">
        <f>'8. Ремонтна програма'!L31</f>
        <v>780</v>
      </c>
      <c r="F48" s="1223">
        <f>'8. Ремонтна програма'!M31</f>
        <v>780</v>
      </c>
      <c r="G48" s="1223">
        <f>'8. Ремонтна програма'!N31</f>
        <v>780</v>
      </c>
      <c r="H48" s="3469">
        <f>'8. Ремонтна програма'!O31</f>
        <v>780</v>
      </c>
      <c r="I48" s="1346">
        <f t="shared" si="104"/>
        <v>73</v>
      </c>
      <c r="J48" s="900">
        <f t="shared" si="105"/>
        <v>0.10325318246110325</v>
      </c>
      <c r="K48" s="2995">
        <f>'8. Ремонтна програма'!J60</f>
        <v>25</v>
      </c>
      <c r="L48" s="1346">
        <f>'8. Ремонтна програма'!K60</f>
        <v>164</v>
      </c>
      <c r="M48" s="1223">
        <f>'8. Ремонтна програма'!L60</f>
        <v>164</v>
      </c>
      <c r="N48" s="1223">
        <f>'8. Ремонтна програма'!M60</f>
        <v>164</v>
      </c>
      <c r="O48" s="1223">
        <f>'8. Ремонтна програма'!N60</f>
        <v>164</v>
      </c>
      <c r="P48" s="3469">
        <f>'8. Ремонтна програма'!O60</f>
        <v>164</v>
      </c>
      <c r="Q48" s="1346">
        <f t="shared" si="106"/>
        <v>139</v>
      </c>
      <c r="R48" s="964">
        <f t="shared" si="107"/>
        <v>5.56</v>
      </c>
      <c r="S48" s="2995">
        <f>'8. Ремонтна програма'!J86</f>
        <v>18.016999999999999</v>
      </c>
      <c r="T48" s="1346">
        <f>'8. Ремонтна програма'!K86</f>
        <v>20</v>
      </c>
      <c r="U48" s="1223">
        <f>'8. Ремонтна програма'!L86</f>
        <v>20</v>
      </c>
      <c r="V48" s="1223">
        <f>'8. Ремонтна програма'!M86</f>
        <v>20</v>
      </c>
      <c r="W48" s="1223">
        <f>'8. Ремонтна програма'!N86</f>
        <v>20</v>
      </c>
      <c r="X48" s="3469">
        <f>'8. Ремонтна програма'!O86</f>
        <v>20</v>
      </c>
      <c r="Y48" s="1346">
        <f t="shared" si="108"/>
        <v>1.9830000000000005</v>
      </c>
      <c r="Z48" s="964">
        <f t="shared" si="109"/>
        <v>0.11006271854359774</v>
      </c>
      <c r="AA48" s="2995">
        <f>'8. Ремонтна програма'!J117</f>
        <v>0.72</v>
      </c>
      <c r="AB48" s="1346">
        <f>'8. Ремонтна програма'!K117</f>
        <v>0.72</v>
      </c>
      <c r="AC48" s="1223">
        <f>'8. Ремонтна програма'!L117</f>
        <v>5</v>
      </c>
      <c r="AD48" s="1223">
        <f>'8. Ремонтна програма'!M117</f>
        <v>14</v>
      </c>
      <c r="AE48" s="1223">
        <f>'8. Ремонтна програма'!N117</f>
        <v>5</v>
      </c>
      <c r="AF48" s="3469">
        <f>'8. Ремонтна програма'!O117</f>
        <v>3</v>
      </c>
      <c r="AG48" s="1346">
        <f t="shared" si="110"/>
        <v>2.2800000000000002</v>
      </c>
      <c r="AH48" s="900">
        <f t="shared" si="111"/>
        <v>3.166666666666667</v>
      </c>
      <c r="AI48" s="1202">
        <f>'8. Ремонтна програма'!J148</f>
        <v>0</v>
      </c>
      <c r="AJ48" s="1352">
        <f>'8. Ремонтна програма'!K148</f>
        <v>0</v>
      </c>
      <c r="AK48" s="1226">
        <f>'8. Ремонтна програма'!L148</f>
        <v>0</v>
      </c>
      <c r="AL48" s="1226">
        <f>'8. Ремонтна програма'!M148</f>
        <v>0</v>
      </c>
      <c r="AM48" s="1226">
        <f>'8. Ремонтна програма'!N148</f>
        <v>0</v>
      </c>
      <c r="AN48" s="3460">
        <f>'8. Ремонтна програма'!O148</f>
        <v>0</v>
      </c>
      <c r="AO48" s="1346">
        <f t="shared" si="112"/>
        <v>0</v>
      </c>
      <c r="AP48" s="900">
        <f t="shared" si="113"/>
        <v>0</v>
      </c>
      <c r="AQ48" s="3420">
        <v>1</v>
      </c>
      <c r="AR48" s="3421">
        <v>1</v>
      </c>
      <c r="AS48" s="3421">
        <v>1</v>
      </c>
      <c r="AT48" s="3421">
        <v>1</v>
      </c>
      <c r="AU48" s="3421">
        <v>1</v>
      </c>
      <c r="AV48" s="3453">
        <v>1</v>
      </c>
      <c r="AW48" s="1202">
        <f t="shared" si="92"/>
        <v>750.73700000000008</v>
      </c>
      <c r="AX48" s="3443">
        <f t="shared" si="93"/>
        <v>964.72</v>
      </c>
      <c r="AY48" s="3443">
        <f t="shared" si="94"/>
        <v>969</v>
      </c>
      <c r="AZ48" s="3443">
        <f t="shared" si="95"/>
        <v>978</v>
      </c>
      <c r="BA48" s="3443">
        <f t="shared" si="96"/>
        <v>969</v>
      </c>
      <c r="BB48" s="3444">
        <f t="shared" si="97"/>
        <v>967</v>
      </c>
      <c r="BC48" s="3464">
        <f t="shared" si="98"/>
        <v>707.72</v>
      </c>
      <c r="BD48" s="3465">
        <f t="shared" si="99"/>
        <v>780.72</v>
      </c>
      <c r="BE48" s="3466">
        <f t="shared" si="100"/>
        <v>785</v>
      </c>
      <c r="BF48" s="3466">
        <f t="shared" si="101"/>
        <v>794</v>
      </c>
      <c r="BG48" s="3466">
        <f t="shared" si="102"/>
        <v>785</v>
      </c>
      <c r="BH48" s="3468">
        <f t="shared" si="103"/>
        <v>783</v>
      </c>
    </row>
    <row r="49" spans="1:60" ht="12.75">
      <c r="A49" s="916" t="s">
        <v>690</v>
      </c>
      <c r="B49" s="983" t="s">
        <v>637</v>
      </c>
      <c r="C49" s="3428"/>
      <c r="D49" s="3429"/>
      <c r="E49" s="2211"/>
      <c r="F49" s="2211"/>
      <c r="G49" s="2211"/>
      <c r="H49" s="2298"/>
      <c r="I49" s="3407"/>
      <c r="J49" s="3408"/>
      <c r="K49" s="3428"/>
      <c r="L49" s="3429"/>
      <c r="M49" s="2211"/>
      <c r="N49" s="2211"/>
      <c r="O49" s="2211"/>
      <c r="P49" s="3451"/>
      <c r="Q49" s="4361"/>
      <c r="R49" s="3409"/>
      <c r="S49" s="2995">
        <f>'7. Утайки от ПСОВ'!D31</f>
        <v>0</v>
      </c>
      <c r="T49" s="1233">
        <f>'7. Утайки от ПСОВ'!F31</f>
        <v>0</v>
      </c>
      <c r="U49" s="1223">
        <f>'7. Утайки от ПСОВ'!G31</f>
        <v>34.200000000000003</v>
      </c>
      <c r="V49" s="1223">
        <f>'7. Утайки от ПСОВ'!H31</f>
        <v>65.2</v>
      </c>
      <c r="W49" s="1223">
        <f>'7. Утайки от ПСОВ'!I31</f>
        <v>69</v>
      </c>
      <c r="X49" s="1233">
        <f>'7. Утайки от ПСОВ'!J31</f>
        <v>10.94</v>
      </c>
      <c r="Y49" s="342">
        <f t="shared" si="108"/>
        <v>10.94</v>
      </c>
      <c r="Z49" s="964">
        <f t="shared" si="109"/>
        <v>0</v>
      </c>
      <c r="AA49" s="3428"/>
      <c r="AB49" s="3429"/>
      <c r="AC49" s="2211"/>
      <c r="AD49" s="2211"/>
      <c r="AE49" s="2211"/>
      <c r="AF49" s="3451"/>
      <c r="AG49" s="4361"/>
      <c r="AH49" s="3504"/>
      <c r="AI49" s="3428"/>
      <c r="AJ49" s="3429"/>
      <c r="AK49" s="2211"/>
      <c r="AL49" s="2211"/>
      <c r="AM49" s="2211"/>
      <c r="AN49" s="2298"/>
      <c r="AO49" s="4361"/>
      <c r="AP49" s="3408"/>
      <c r="AQ49" s="3428"/>
      <c r="AR49" s="3429"/>
      <c r="AS49" s="2211"/>
      <c r="AT49" s="2211"/>
      <c r="AU49" s="2211"/>
      <c r="AV49" s="2298"/>
      <c r="AW49" s="1202">
        <f t="shared" ref="AW49:AW50" si="114">C49+K49+S49+AA49+AI49</f>
        <v>0</v>
      </c>
      <c r="AX49" s="3443">
        <f t="shared" ref="AX49:AX50" si="115">D49+L49+T49+AB49+AJ49</f>
        <v>0</v>
      </c>
      <c r="AY49" s="3443">
        <f t="shared" ref="AY49:AY50" si="116">E49+M49+U49+AC49+AK49</f>
        <v>34.200000000000003</v>
      </c>
      <c r="AZ49" s="3443">
        <f t="shared" ref="AZ49:AZ50" si="117">F49+N49+V49+AD49+AL49</f>
        <v>65.2</v>
      </c>
      <c r="BA49" s="3443">
        <f t="shared" ref="BA49:BA50" si="118">G49+O49+W49+AE49+AM49</f>
        <v>69</v>
      </c>
      <c r="BB49" s="3444">
        <f t="shared" ref="BB49:BB50" si="119">H49+P49+X49+AF49+AN49</f>
        <v>10.94</v>
      </c>
      <c r="BC49" s="3464">
        <f t="shared" ref="BC49:BC50" si="120">C49+AA49+AI49</f>
        <v>0</v>
      </c>
      <c r="BD49" s="3465">
        <f t="shared" ref="BD49:BD50" si="121">D49+AB49+AJ49</f>
        <v>0</v>
      </c>
      <c r="BE49" s="3466">
        <f t="shared" ref="BE49:BE50" si="122">E49+AC49+AK49</f>
        <v>0</v>
      </c>
      <c r="BF49" s="3466">
        <f t="shared" ref="BF49:BF50" si="123">F49+AD49+AL49</f>
        <v>0</v>
      </c>
      <c r="BG49" s="3466">
        <f t="shared" ref="BG49:BG50" si="124">G49+AE49+AM49</f>
        <v>0</v>
      </c>
      <c r="BH49" s="3468">
        <f t="shared" ref="BH49:BH50" si="125">H49+AF49+AN49</f>
        <v>0</v>
      </c>
    </row>
    <row r="50" spans="1:60" ht="12.75">
      <c r="A50" s="916" t="s">
        <v>743</v>
      </c>
      <c r="B50" s="983" t="s">
        <v>742</v>
      </c>
      <c r="C50" s="3428"/>
      <c r="D50" s="3407"/>
      <c r="E50" s="2211"/>
      <c r="F50" s="2211"/>
      <c r="G50" s="2211"/>
      <c r="H50" s="2298"/>
      <c r="I50" s="3407"/>
      <c r="J50" s="3408"/>
      <c r="K50" s="3428"/>
      <c r="L50" s="3407"/>
      <c r="M50" s="2211"/>
      <c r="N50" s="2211"/>
      <c r="O50" s="2211"/>
      <c r="P50" s="3407"/>
      <c r="Q50" s="4361"/>
      <c r="R50" s="3409"/>
      <c r="S50" s="2995">
        <f>'7. Утайки от ПСОВ'!D29</f>
        <v>0</v>
      </c>
      <c r="T50" s="1233">
        <f>'7. Утайки от ПСОВ'!F29</f>
        <v>0</v>
      </c>
      <c r="U50" s="1223">
        <f>'7. Утайки от ПСОВ'!G29</f>
        <v>0.18</v>
      </c>
      <c r="V50" s="1223">
        <f>'7. Утайки от ПСОВ'!H29</f>
        <v>0.14399999999999999</v>
      </c>
      <c r="W50" s="1223">
        <f>'7. Утайки от ПСОВ'!I29</f>
        <v>0.16800000000000001</v>
      </c>
      <c r="X50" s="1233">
        <f>'7. Утайки от ПСОВ'!J29</f>
        <v>0</v>
      </c>
      <c r="Y50" s="342">
        <f t="shared" si="108"/>
        <v>0</v>
      </c>
      <c r="Z50" s="964">
        <f t="shared" si="109"/>
        <v>0</v>
      </c>
      <c r="AA50" s="3428"/>
      <c r="AB50" s="3407"/>
      <c r="AC50" s="2211"/>
      <c r="AD50" s="2211"/>
      <c r="AE50" s="2211"/>
      <c r="AF50" s="3407"/>
      <c r="AG50" s="4361"/>
      <c r="AH50" s="3504"/>
      <c r="AI50" s="3428"/>
      <c r="AJ50" s="3407"/>
      <c r="AK50" s="2211"/>
      <c r="AL50" s="2211"/>
      <c r="AM50" s="2211"/>
      <c r="AN50" s="3455"/>
      <c r="AO50" s="4361"/>
      <c r="AP50" s="3408"/>
      <c r="AQ50" s="3428"/>
      <c r="AR50" s="3407"/>
      <c r="AS50" s="2211"/>
      <c r="AT50" s="2211"/>
      <c r="AU50" s="2211"/>
      <c r="AV50" s="3455"/>
      <c r="AW50" s="1202">
        <f t="shared" si="114"/>
        <v>0</v>
      </c>
      <c r="AX50" s="3443">
        <f t="shared" si="115"/>
        <v>0</v>
      </c>
      <c r="AY50" s="3443">
        <f t="shared" si="116"/>
        <v>0.18</v>
      </c>
      <c r="AZ50" s="3443">
        <f t="shared" si="117"/>
        <v>0.14399999999999999</v>
      </c>
      <c r="BA50" s="3443">
        <f t="shared" si="118"/>
        <v>0.16800000000000001</v>
      </c>
      <c r="BB50" s="3444">
        <f t="shared" si="119"/>
        <v>0</v>
      </c>
      <c r="BC50" s="3464">
        <f t="shared" si="120"/>
        <v>0</v>
      </c>
      <c r="BD50" s="3465">
        <f t="shared" si="121"/>
        <v>0</v>
      </c>
      <c r="BE50" s="3466">
        <f t="shared" si="122"/>
        <v>0</v>
      </c>
      <c r="BF50" s="3466">
        <f t="shared" si="123"/>
        <v>0</v>
      </c>
      <c r="BG50" s="3466">
        <f t="shared" si="124"/>
        <v>0</v>
      </c>
      <c r="BH50" s="3468">
        <f t="shared" si="125"/>
        <v>0</v>
      </c>
    </row>
    <row r="51" spans="1:60" ht="12.75">
      <c r="A51" s="916" t="s">
        <v>1246</v>
      </c>
      <c r="B51" s="983" t="s">
        <v>450</v>
      </c>
      <c r="C51" s="1279">
        <f>SUM(C52:C54)</f>
        <v>674</v>
      </c>
      <c r="D51" s="1220">
        <f t="shared" ref="D51:BB51" si="126">SUM(D52:D54)</f>
        <v>0</v>
      </c>
      <c r="E51" s="1221">
        <f t="shared" si="126"/>
        <v>0</v>
      </c>
      <c r="F51" s="1221">
        <f t="shared" si="126"/>
        <v>0</v>
      </c>
      <c r="G51" s="1221">
        <f t="shared" si="126"/>
        <v>0</v>
      </c>
      <c r="H51" s="3430">
        <f t="shared" si="126"/>
        <v>0</v>
      </c>
      <c r="I51" s="1344">
        <f t="shared" si="104"/>
        <v>-674</v>
      </c>
      <c r="J51" s="899">
        <f t="shared" si="105"/>
        <v>-1</v>
      </c>
      <c r="K51" s="1279">
        <f t="shared" si="126"/>
        <v>1</v>
      </c>
      <c r="L51" s="1220">
        <f t="shared" si="126"/>
        <v>0</v>
      </c>
      <c r="M51" s="1221">
        <f t="shared" si="126"/>
        <v>0</v>
      </c>
      <c r="N51" s="1221">
        <f t="shared" si="126"/>
        <v>0</v>
      </c>
      <c r="O51" s="1221">
        <f t="shared" si="126"/>
        <v>0</v>
      </c>
      <c r="P51" s="3430">
        <f t="shared" si="126"/>
        <v>0</v>
      </c>
      <c r="Q51" s="1344">
        <f t="shared" si="106"/>
        <v>-1</v>
      </c>
      <c r="R51" s="963">
        <f t="shared" si="107"/>
        <v>-1</v>
      </c>
      <c r="S51" s="1278">
        <f t="shared" si="126"/>
        <v>222</v>
      </c>
      <c r="T51" s="1224">
        <f t="shared" si="126"/>
        <v>374.57400000000001</v>
      </c>
      <c r="U51" s="1225">
        <f t="shared" si="126"/>
        <v>412.27300000000002</v>
      </c>
      <c r="V51" s="1225">
        <f t="shared" si="126"/>
        <v>0</v>
      </c>
      <c r="W51" s="1225">
        <f t="shared" si="126"/>
        <v>0</v>
      </c>
      <c r="X51" s="1239">
        <f t="shared" si="126"/>
        <v>0</v>
      </c>
      <c r="Y51" s="1344">
        <f t="shared" si="108"/>
        <v>-222</v>
      </c>
      <c r="Z51" s="963">
        <f t="shared" si="109"/>
        <v>-1</v>
      </c>
      <c r="AA51" s="1278">
        <f>SUM(AA52:AA54)</f>
        <v>0.23</v>
      </c>
      <c r="AB51" s="1224">
        <f t="shared" ref="AB51:AN51" si="127">SUM(AB52:AB54)</f>
        <v>1</v>
      </c>
      <c r="AC51" s="1225">
        <f t="shared" si="127"/>
        <v>1</v>
      </c>
      <c r="AD51" s="1225">
        <f t="shared" si="127"/>
        <v>1</v>
      </c>
      <c r="AE51" s="1225">
        <f t="shared" si="127"/>
        <v>1</v>
      </c>
      <c r="AF51" s="1239">
        <f t="shared" si="127"/>
        <v>1</v>
      </c>
      <c r="AG51" s="1344">
        <f t="shared" si="110"/>
        <v>0.77</v>
      </c>
      <c r="AH51" s="899">
        <f t="shared" si="111"/>
        <v>3.3478260869565215</v>
      </c>
      <c r="AI51" s="1278">
        <f t="shared" si="127"/>
        <v>0</v>
      </c>
      <c r="AJ51" s="1224">
        <f t="shared" si="127"/>
        <v>0</v>
      </c>
      <c r="AK51" s="1225">
        <f t="shared" si="127"/>
        <v>0</v>
      </c>
      <c r="AL51" s="1225">
        <f t="shared" si="127"/>
        <v>0</v>
      </c>
      <c r="AM51" s="1225">
        <f t="shared" si="127"/>
        <v>0</v>
      </c>
      <c r="AN51" s="3454">
        <f t="shared" si="127"/>
        <v>0</v>
      </c>
      <c r="AO51" s="1344">
        <f t="shared" si="112"/>
        <v>0</v>
      </c>
      <c r="AP51" s="899">
        <f t="shared" si="113"/>
        <v>0</v>
      </c>
      <c r="AQ51" s="1279">
        <f t="shared" si="126"/>
        <v>1</v>
      </c>
      <c r="AR51" s="1220">
        <f t="shared" si="126"/>
        <v>1</v>
      </c>
      <c r="AS51" s="1221">
        <f t="shared" si="126"/>
        <v>1</v>
      </c>
      <c r="AT51" s="1221">
        <f t="shared" si="126"/>
        <v>1</v>
      </c>
      <c r="AU51" s="1221">
        <f t="shared" si="126"/>
        <v>1</v>
      </c>
      <c r="AV51" s="3473">
        <f t="shared" si="126"/>
        <v>1</v>
      </c>
      <c r="AW51" s="1278">
        <f t="shared" si="126"/>
        <v>897.23</v>
      </c>
      <c r="AX51" s="1224">
        <f t="shared" si="126"/>
        <v>375.57400000000001</v>
      </c>
      <c r="AY51" s="1225">
        <f t="shared" si="126"/>
        <v>413.27300000000002</v>
      </c>
      <c r="AZ51" s="1225">
        <f t="shared" si="126"/>
        <v>1</v>
      </c>
      <c r="BA51" s="1225">
        <f t="shared" si="126"/>
        <v>1</v>
      </c>
      <c r="BB51" s="3454">
        <f t="shared" si="126"/>
        <v>1</v>
      </c>
      <c r="BC51" s="1278">
        <f t="shared" ref="BC51:BH51" si="128">SUM(BC52:BC54)</f>
        <v>674.23</v>
      </c>
      <c r="BD51" s="1224">
        <f t="shared" si="128"/>
        <v>1</v>
      </c>
      <c r="BE51" s="1225">
        <f t="shared" si="128"/>
        <v>1</v>
      </c>
      <c r="BF51" s="1225">
        <f t="shared" si="128"/>
        <v>1</v>
      </c>
      <c r="BG51" s="1225">
        <f t="shared" si="128"/>
        <v>1</v>
      </c>
      <c r="BH51" s="3454">
        <f t="shared" si="128"/>
        <v>1</v>
      </c>
    </row>
    <row r="52" spans="1:60" s="737" customFormat="1" ht="12.75">
      <c r="A52" s="917" t="s">
        <v>1247</v>
      </c>
      <c r="B52" s="451" t="s">
        <v>2040</v>
      </c>
      <c r="C52" s="3420">
        <v>674</v>
      </c>
      <c r="D52" s="3421"/>
      <c r="E52" s="3421"/>
      <c r="F52" s="3421"/>
      <c r="G52" s="3421"/>
      <c r="H52" s="3422"/>
      <c r="I52" s="1348">
        <f t="shared" si="104"/>
        <v>-674</v>
      </c>
      <c r="J52" s="904">
        <f t="shared" si="105"/>
        <v>-1</v>
      </c>
      <c r="K52" s="3420">
        <v>1</v>
      </c>
      <c r="L52" s="3421"/>
      <c r="M52" s="3421"/>
      <c r="N52" s="3421"/>
      <c r="O52" s="3421"/>
      <c r="P52" s="3422"/>
      <c r="Q52" s="1348">
        <f t="shared" si="106"/>
        <v>-1</v>
      </c>
      <c r="R52" s="1211">
        <f t="shared" si="107"/>
        <v>-1</v>
      </c>
      <c r="S52" s="3420"/>
      <c r="T52" s="3421"/>
      <c r="U52" s="3421"/>
      <c r="V52" s="3421"/>
      <c r="W52" s="3421"/>
      <c r="X52" s="3422"/>
      <c r="Y52" s="1348">
        <f t="shared" si="108"/>
        <v>0</v>
      </c>
      <c r="Z52" s="1211">
        <f t="shared" si="109"/>
        <v>0</v>
      </c>
      <c r="AA52" s="3420">
        <v>0.23</v>
      </c>
      <c r="AB52" s="3421"/>
      <c r="AC52" s="3421"/>
      <c r="AD52" s="3421"/>
      <c r="AE52" s="3421"/>
      <c r="AF52" s="3422"/>
      <c r="AG52" s="1348">
        <f t="shared" si="110"/>
        <v>-0.23</v>
      </c>
      <c r="AH52" s="904">
        <f t="shared" si="111"/>
        <v>-1</v>
      </c>
      <c r="AI52" s="3420"/>
      <c r="AJ52" s="3421"/>
      <c r="AK52" s="3421"/>
      <c r="AL52" s="3421"/>
      <c r="AM52" s="3421"/>
      <c r="AN52" s="3453"/>
      <c r="AO52" s="1348">
        <f t="shared" si="112"/>
        <v>0</v>
      </c>
      <c r="AP52" s="904">
        <f t="shared" si="113"/>
        <v>0</v>
      </c>
      <c r="AQ52" s="3420">
        <v>1</v>
      </c>
      <c r="AR52" s="3420">
        <v>1</v>
      </c>
      <c r="AS52" s="3420">
        <v>1</v>
      </c>
      <c r="AT52" s="3420">
        <v>1</v>
      </c>
      <c r="AU52" s="3420">
        <v>1</v>
      </c>
      <c r="AV52" s="3420">
        <v>1</v>
      </c>
      <c r="AW52" s="1202">
        <f t="shared" ref="AW52:AW54" si="129">C52+K52+S52+AA52+AI52</f>
        <v>675.23</v>
      </c>
      <c r="AX52" s="3443">
        <f t="shared" ref="AX52:AX54" si="130">D52+L52+T52+AB52+AJ52</f>
        <v>0</v>
      </c>
      <c r="AY52" s="3443">
        <f t="shared" ref="AY52:AY54" si="131">E52+M52+U52+AC52+AK52</f>
        <v>0</v>
      </c>
      <c r="AZ52" s="3443">
        <f t="shared" ref="AZ52:AZ54" si="132">F52+N52+V52+AD52+AL52</f>
        <v>0</v>
      </c>
      <c r="BA52" s="3443">
        <f t="shared" ref="BA52:BA54" si="133">G52+O52+W52+AE52+AM52</f>
        <v>0</v>
      </c>
      <c r="BB52" s="3444">
        <f t="shared" ref="BB52:BB54" si="134">H52+P52+X52+AF52+AN52</f>
        <v>0</v>
      </c>
      <c r="BC52" s="3464">
        <f t="shared" ref="BC52:BC54" si="135">C52+AA52+AI52</f>
        <v>674.23</v>
      </c>
      <c r="BD52" s="3465">
        <f t="shared" ref="BD52:BD54" si="136">D52+AB52+AJ52</f>
        <v>0</v>
      </c>
      <c r="BE52" s="3466">
        <f t="shared" ref="BE52:BE54" si="137">E52+AC52+AK52</f>
        <v>0</v>
      </c>
      <c r="BF52" s="3466">
        <f t="shared" ref="BF52:BF54" si="138">F52+AD52+AL52</f>
        <v>0</v>
      </c>
      <c r="BG52" s="3466">
        <f t="shared" ref="BG52:BG54" si="139">G52+AE52+AM52</f>
        <v>0</v>
      </c>
      <c r="BH52" s="3468">
        <f t="shared" ref="BH52:BH54" si="140">H52+AF52+AN52</f>
        <v>0</v>
      </c>
    </row>
    <row r="53" spans="1:60" s="737" customFormat="1" ht="12.75">
      <c r="A53" s="919" t="s">
        <v>1248</v>
      </c>
      <c r="B53" s="451" t="s">
        <v>2079</v>
      </c>
      <c r="C53" s="3420"/>
      <c r="D53" s="3421"/>
      <c r="E53" s="3421"/>
      <c r="F53" s="3421"/>
      <c r="G53" s="3421"/>
      <c r="H53" s="3422"/>
      <c r="I53" s="1348">
        <f t="shared" si="104"/>
        <v>0</v>
      </c>
      <c r="J53" s="904">
        <f t="shared" si="105"/>
        <v>0</v>
      </c>
      <c r="K53" s="3420"/>
      <c r="L53" s="3421"/>
      <c r="M53" s="3421"/>
      <c r="N53" s="4936"/>
      <c r="O53" s="4936"/>
      <c r="P53" s="4937"/>
      <c r="Q53" s="1348">
        <f t="shared" si="106"/>
        <v>0</v>
      </c>
      <c r="R53" s="1211">
        <f t="shared" si="107"/>
        <v>0</v>
      </c>
      <c r="S53" s="3420">
        <v>222</v>
      </c>
      <c r="T53" s="3421">
        <v>374.57400000000001</v>
      </c>
      <c r="U53" s="3421">
        <v>412.27300000000002</v>
      </c>
      <c r="V53" s="4936"/>
      <c r="W53" s="4936"/>
      <c r="X53" s="4937"/>
      <c r="Y53" s="1348">
        <f t="shared" si="108"/>
        <v>-222</v>
      </c>
      <c r="Z53" s="1211">
        <f t="shared" si="109"/>
        <v>-1</v>
      </c>
      <c r="AA53" s="3420"/>
      <c r="AB53" s="3421"/>
      <c r="AC53" s="3421"/>
      <c r="AD53" s="3421"/>
      <c r="AE53" s="3421"/>
      <c r="AF53" s="3422"/>
      <c r="AG53" s="1348">
        <f t="shared" si="110"/>
        <v>0</v>
      </c>
      <c r="AH53" s="904">
        <f t="shared" si="111"/>
        <v>0</v>
      </c>
      <c r="AI53" s="3420"/>
      <c r="AJ53" s="3421"/>
      <c r="AK53" s="3421"/>
      <c r="AL53" s="3421"/>
      <c r="AM53" s="3421"/>
      <c r="AN53" s="3453"/>
      <c r="AO53" s="1348">
        <f t="shared" si="112"/>
        <v>0</v>
      </c>
      <c r="AP53" s="904">
        <f t="shared" si="113"/>
        <v>0</v>
      </c>
      <c r="AQ53" s="3420"/>
      <c r="AR53" s="3421"/>
      <c r="AS53" s="3421"/>
      <c r="AT53" s="3421"/>
      <c r="AU53" s="3421"/>
      <c r="AV53" s="3453"/>
      <c r="AW53" s="1202">
        <f t="shared" si="129"/>
        <v>222</v>
      </c>
      <c r="AX53" s="3443">
        <f t="shared" si="130"/>
        <v>374.57400000000001</v>
      </c>
      <c r="AY53" s="3443">
        <f t="shared" si="131"/>
        <v>412.27300000000002</v>
      </c>
      <c r="AZ53" s="3443">
        <f t="shared" si="132"/>
        <v>0</v>
      </c>
      <c r="BA53" s="3443">
        <f t="shared" si="133"/>
        <v>0</v>
      </c>
      <c r="BB53" s="3444">
        <f t="shared" si="134"/>
        <v>0</v>
      </c>
      <c r="BC53" s="3464">
        <f t="shared" si="135"/>
        <v>0</v>
      </c>
      <c r="BD53" s="3465">
        <f t="shared" si="136"/>
        <v>0</v>
      </c>
      <c r="BE53" s="3466">
        <f t="shared" si="137"/>
        <v>0</v>
      </c>
      <c r="BF53" s="3466">
        <f t="shared" si="138"/>
        <v>0</v>
      </c>
      <c r="BG53" s="3466">
        <f t="shared" si="139"/>
        <v>0</v>
      </c>
      <c r="BH53" s="3468">
        <f t="shared" si="140"/>
        <v>0</v>
      </c>
    </row>
    <row r="54" spans="1:60" s="737" customFormat="1" ht="13.5" thickBot="1">
      <c r="A54" s="4664" t="s">
        <v>1249</v>
      </c>
      <c r="B54" s="4665"/>
      <c r="C54" s="3480"/>
      <c r="D54" s="4666"/>
      <c r="E54" s="4666"/>
      <c r="F54" s="4666"/>
      <c r="G54" s="4666"/>
      <c r="H54" s="4667"/>
      <c r="I54" s="4668">
        <f t="shared" si="104"/>
        <v>0</v>
      </c>
      <c r="J54" s="1275">
        <f t="shared" si="105"/>
        <v>0</v>
      </c>
      <c r="K54" s="3480"/>
      <c r="L54" s="4666"/>
      <c r="M54" s="4666"/>
      <c r="N54" s="4666"/>
      <c r="O54" s="4666"/>
      <c r="P54" s="4667"/>
      <c r="Q54" s="4668">
        <f t="shared" si="106"/>
        <v>0</v>
      </c>
      <c r="R54" s="1213">
        <f t="shared" si="107"/>
        <v>0</v>
      </c>
      <c r="S54" s="3480"/>
      <c r="T54" s="4666"/>
      <c r="U54" s="4666"/>
      <c r="V54" s="4666"/>
      <c r="W54" s="4666"/>
      <c r="X54" s="4667"/>
      <c r="Y54" s="4668">
        <f t="shared" si="108"/>
        <v>0</v>
      </c>
      <c r="Z54" s="1213">
        <f t="shared" si="109"/>
        <v>0</v>
      </c>
      <c r="AA54" s="3480"/>
      <c r="AB54" s="3421">
        <v>1</v>
      </c>
      <c r="AC54" s="3421">
        <v>1</v>
      </c>
      <c r="AD54" s="3421">
        <v>1</v>
      </c>
      <c r="AE54" s="3421">
        <v>1</v>
      </c>
      <c r="AF54" s="3422">
        <v>1</v>
      </c>
      <c r="AG54" s="4668">
        <f t="shared" si="110"/>
        <v>1</v>
      </c>
      <c r="AH54" s="1275">
        <f t="shared" si="111"/>
        <v>0</v>
      </c>
      <c r="AI54" s="3480"/>
      <c r="AJ54" s="4666"/>
      <c r="AK54" s="4666"/>
      <c r="AL54" s="4666"/>
      <c r="AM54" s="4666"/>
      <c r="AN54" s="4669"/>
      <c r="AO54" s="4668">
        <f t="shared" si="112"/>
        <v>0</v>
      </c>
      <c r="AP54" s="1275">
        <f t="shared" si="113"/>
        <v>0</v>
      </c>
      <c r="AQ54" s="3480"/>
      <c r="AR54" s="4666"/>
      <c r="AS54" s="4666"/>
      <c r="AT54" s="4666"/>
      <c r="AU54" s="4666"/>
      <c r="AV54" s="4669"/>
      <c r="AW54" s="3486">
        <f t="shared" si="129"/>
        <v>0</v>
      </c>
      <c r="AX54" s="4670">
        <f t="shared" si="130"/>
        <v>1</v>
      </c>
      <c r="AY54" s="4670">
        <f t="shared" si="131"/>
        <v>1</v>
      </c>
      <c r="AZ54" s="4670">
        <f t="shared" si="132"/>
        <v>1</v>
      </c>
      <c r="BA54" s="4670">
        <f t="shared" si="133"/>
        <v>1</v>
      </c>
      <c r="BB54" s="4671">
        <f t="shared" si="134"/>
        <v>1</v>
      </c>
      <c r="BC54" s="4672">
        <f t="shared" si="135"/>
        <v>0</v>
      </c>
      <c r="BD54" s="4673">
        <f t="shared" si="136"/>
        <v>1</v>
      </c>
      <c r="BE54" s="4674">
        <f t="shared" si="137"/>
        <v>1</v>
      </c>
      <c r="BF54" s="4674">
        <f t="shared" si="138"/>
        <v>1</v>
      </c>
      <c r="BG54" s="4674">
        <f t="shared" si="139"/>
        <v>1</v>
      </c>
      <c r="BH54" s="4675">
        <f t="shared" si="140"/>
        <v>1</v>
      </c>
    </row>
    <row r="55" spans="1:60" ht="13.5" thickBot="1">
      <c r="A55" s="120">
        <v>3</v>
      </c>
      <c r="B55" s="981" t="s">
        <v>451</v>
      </c>
      <c r="C55" s="1200">
        <f>SUM(C56:C58)</f>
        <v>634.44000000000005</v>
      </c>
      <c r="D55" s="1238">
        <f t="shared" ref="D55:BB55" si="141">SUM(D56:D58)</f>
        <v>581.72793649581229</v>
      </c>
      <c r="E55" s="1237">
        <f t="shared" si="141"/>
        <v>608.5542622098601</v>
      </c>
      <c r="F55" s="1237">
        <f t="shared" si="141"/>
        <v>668.73370183833208</v>
      </c>
      <c r="G55" s="1240">
        <f t="shared" si="141"/>
        <v>702.6816334477096</v>
      </c>
      <c r="H55" s="1240">
        <f t="shared" si="141"/>
        <v>728.04332656858128</v>
      </c>
      <c r="I55" s="1343">
        <f t="shared" si="104"/>
        <v>93.603326568581224</v>
      </c>
      <c r="J55" s="898">
        <f t="shared" si="105"/>
        <v>0.14753692479758718</v>
      </c>
      <c r="K55" s="1200">
        <f t="shared" si="141"/>
        <v>109.28999999999999</v>
      </c>
      <c r="L55" s="1238">
        <f t="shared" si="141"/>
        <v>97.502383814628615</v>
      </c>
      <c r="M55" s="1237">
        <f t="shared" si="141"/>
        <v>137.3452485646402</v>
      </c>
      <c r="N55" s="1237">
        <f t="shared" si="141"/>
        <v>189.169427846502</v>
      </c>
      <c r="O55" s="1240">
        <f t="shared" si="141"/>
        <v>383.19717714074352</v>
      </c>
      <c r="P55" s="1240">
        <f t="shared" si="141"/>
        <v>380.7696424476149</v>
      </c>
      <c r="Q55" s="1343">
        <f t="shared" si="106"/>
        <v>271.47964244761488</v>
      </c>
      <c r="R55" s="962">
        <f t="shared" si="107"/>
        <v>2.4840300342905564</v>
      </c>
      <c r="S55" s="1200">
        <f t="shared" si="141"/>
        <v>34.380000000000003</v>
      </c>
      <c r="T55" s="1238">
        <f t="shared" si="141"/>
        <v>44.550219689559114</v>
      </c>
      <c r="U55" s="1237">
        <f t="shared" si="141"/>
        <v>94.878039225499847</v>
      </c>
      <c r="V55" s="1237">
        <f t="shared" si="141"/>
        <v>119.13952031516604</v>
      </c>
      <c r="W55" s="1240">
        <f t="shared" si="141"/>
        <v>202.90883941154715</v>
      </c>
      <c r="X55" s="1240">
        <f t="shared" si="141"/>
        <v>203.33668098380389</v>
      </c>
      <c r="Y55" s="1343">
        <f t="shared" si="108"/>
        <v>168.95668098380389</v>
      </c>
      <c r="Z55" s="962">
        <f t="shared" si="109"/>
        <v>4.9143886266376926</v>
      </c>
      <c r="AA55" s="1200">
        <f t="shared" ref="AA55:AN55" si="142">SUM(AA56:AA58)</f>
        <v>0.80000000000000016</v>
      </c>
      <c r="AB55" s="1238">
        <f t="shared" si="142"/>
        <v>0.87313000000000018</v>
      </c>
      <c r="AC55" s="1237">
        <f t="shared" si="142"/>
        <v>0.97313000000000027</v>
      </c>
      <c r="AD55" s="1237">
        <f t="shared" si="142"/>
        <v>0.22313</v>
      </c>
      <c r="AE55" s="1240">
        <f t="shared" si="142"/>
        <v>0.22313</v>
      </c>
      <c r="AF55" s="1240">
        <f t="shared" si="142"/>
        <v>0.22313</v>
      </c>
      <c r="AG55" s="1343">
        <f t="shared" si="110"/>
        <v>-0.57687000000000022</v>
      </c>
      <c r="AH55" s="898">
        <f t="shared" si="111"/>
        <v>-0.7210875000000001</v>
      </c>
      <c r="AI55" s="1200">
        <f t="shared" si="142"/>
        <v>0</v>
      </c>
      <c r="AJ55" s="1238">
        <f t="shared" si="142"/>
        <v>0</v>
      </c>
      <c r="AK55" s="1237">
        <f t="shared" si="142"/>
        <v>0</v>
      </c>
      <c r="AL55" s="1237">
        <f t="shared" si="142"/>
        <v>0</v>
      </c>
      <c r="AM55" s="1240">
        <f t="shared" si="142"/>
        <v>0</v>
      </c>
      <c r="AN55" s="2987">
        <f t="shared" si="142"/>
        <v>0</v>
      </c>
      <c r="AO55" s="1343">
        <f t="shared" si="112"/>
        <v>0</v>
      </c>
      <c r="AP55" s="898">
        <f t="shared" si="113"/>
        <v>0</v>
      </c>
      <c r="AQ55" s="1200">
        <f t="shared" si="141"/>
        <v>3</v>
      </c>
      <c r="AR55" s="1238">
        <f t="shared" si="141"/>
        <v>4</v>
      </c>
      <c r="AS55" s="1237">
        <f t="shared" si="141"/>
        <v>4</v>
      </c>
      <c r="AT55" s="1237">
        <f t="shared" si="141"/>
        <v>4</v>
      </c>
      <c r="AU55" s="1240">
        <f t="shared" si="141"/>
        <v>4</v>
      </c>
      <c r="AV55" s="2987">
        <f t="shared" si="141"/>
        <v>4</v>
      </c>
      <c r="AW55" s="1200">
        <f t="shared" si="141"/>
        <v>778.91000000000008</v>
      </c>
      <c r="AX55" s="1238">
        <f t="shared" si="141"/>
        <v>724.65367000000003</v>
      </c>
      <c r="AY55" s="1237">
        <f t="shared" si="141"/>
        <v>841.7506800000001</v>
      </c>
      <c r="AZ55" s="1237">
        <f t="shared" si="141"/>
        <v>977.26578000000018</v>
      </c>
      <c r="BA55" s="1240">
        <f t="shared" si="141"/>
        <v>1289.0107800000003</v>
      </c>
      <c r="BB55" s="2987">
        <f t="shared" si="141"/>
        <v>1312.3727800000001</v>
      </c>
      <c r="BC55" s="1200">
        <f t="shared" ref="BC55:BH55" si="143">SUM(BC56:BC58)</f>
        <v>635.24</v>
      </c>
      <c r="BD55" s="1238">
        <f t="shared" si="143"/>
        <v>582.60106649581235</v>
      </c>
      <c r="BE55" s="1237">
        <f t="shared" si="143"/>
        <v>609.52739220986007</v>
      </c>
      <c r="BF55" s="1237">
        <f t="shared" si="143"/>
        <v>668.95683183833205</v>
      </c>
      <c r="BG55" s="1240">
        <f t="shared" si="143"/>
        <v>702.90476344770946</v>
      </c>
      <c r="BH55" s="2987">
        <f t="shared" si="143"/>
        <v>728.26645656858113</v>
      </c>
    </row>
    <row r="56" spans="1:60" ht="12.75">
      <c r="A56" s="121" t="s">
        <v>268</v>
      </c>
      <c r="B56" s="985" t="s">
        <v>452</v>
      </c>
      <c r="C56" s="3431">
        <f>'11. Амортиз. план'!E35</f>
        <v>159</v>
      </c>
      <c r="D56" s="3432">
        <f>'11. Амортиз. план'!G35</f>
        <v>213.39525527353666</v>
      </c>
      <c r="E56" s="3433">
        <f>'11. Амортиз. план'!H35</f>
        <v>223.18882332827764</v>
      </c>
      <c r="F56" s="3433">
        <f>'11. Амортиз. план'!I35</f>
        <v>232.61737966001067</v>
      </c>
      <c r="G56" s="3433">
        <f>'11. Амортиз. план'!J35</f>
        <v>226.31924198805223</v>
      </c>
      <c r="H56" s="3434">
        <f>'11. Амортиз. план'!K35</f>
        <v>251.67713596568362</v>
      </c>
      <c r="I56" s="1349">
        <f t="shared" si="104"/>
        <v>92.677135965683618</v>
      </c>
      <c r="J56" s="901">
        <f t="shared" si="105"/>
        <v>0.5828750689665636</v>
      </c>
      <c r="K56" s="3431">
        <f>'11. Амортиз. план'!L35</f>
        <v>68</v>
      </c>
      <c r="L56" s="3432">
        <f>'11. Амортиз. план'!N35</f>
        <v>74.824565818604697</v>
      </c>
      <c r="M56" s="3433">
        <f>'11. Амортиз. план'!O35</f>
        <v>83.180832090129371</v>
      </c>
      <c r="N56" s="3433">
        <f>'11. Амортиз. план'!P35</f>
        <v>88.288973128729907</v>
      </c>
      <c r="O56" s="3433">
        <f>'11. Амортиз. план'!Q35</f>
        <v>69.917408864166049</v>
      </c>
      <c r="P56" s="3434">
        <f>'11. Амортиз. план'!R35</f>
        <v>66.095684364645464</v>
      </c>
      <c r="Q56" s="1349">
        <f t="shared" si="106"/>
        <v>-1.9043156353545356</v>
      </c>
      <c r="R56" s="966">
        <f t="shared" si="107"/>
        <v>-2.800464169639023E-2</v>
      </c>
      <c r="S56" s="3431">
        <f>'11. Амортиз. план'!S35</f>
        <v>15.8</v>
      </c>
      <c r="T56" s="3432">
        <f>'11. Амортиз. план'!U35</f>
        <v>15.212338907858694</v>
      </c>
      <c r="U56" s="3433">
        <f>'11. Амортиз. план'!V35</f>
        <v>17.212504581593045</v>
      </c>
      <c r="V56" s="3433">
        <f>'11. Амортиз. план'!W35</f>
        <v>17.035807211259467</v>
      </c>
      <c r="W56" s="3433">
        <f>'11. Амортиз. план'!X35</f>
        <v>14.650509147781801</v>
      </c>
      <c r="X56" s="3434">
        <f>'11. Амортиз. план'!Y35</f>
        <v>15.074339669670806</v>
      </c>
      <c r="Y56" s="1349">
        <f t="shared" si="108"/>
        <v>-0.72566033032919464</v>
      </c>
      <c r="Z56" s="966">
        <f t="shared" si="109"/>
        <v>-4.5927869008176872E-2</v>
      </c>
      <c r="AA56" s="3431">
        <f>'11. Амортиз. план'!Z35</f>
        <v>0.80000000000000016</v>
      </c>
      <c r="AB56" s="3432">
        <f>'11. Амортиз. план'!AB35</f>
        <v>0.87313000000000018</v>
      </c>
      <c r="AC56" s="3433">
        <f>'11. Амортиз. план'!AC35</f>
        <v>0.97313000000000027</v>
      </c>
      <c r="AD56" s="3433">
        <f>'11. Амортиз. план'!AD35</f>
        <v>0.22313</v>
      </c>
      <c r="AE56" s="3433">
        <f>'11. Амортиз. план'!AE35</f>
        <v>0.22313</v>
      </c>
      <c r="AF56" s="3434">
        <f>'11. Амортиз. план'!AF35</f>
        <v>0.22313</v>
      </c>
      <c r="AG56" s="1349">
        <f t="shared" si="110"/>
        <v>-0.57687000000000022</v>
      </c>
      <c r="AH56" s="901">
        <f t="shared" si="111"/>
        <v>-0.7210875000000001</v>
      </c>
      <c r="AI56" s="3431">
        <f>'11. Амортиз. план'!AG35</f>
        <v>0</v>
      </c>
      <c r="AJ56" s="3432">
        <f>'11. Амортиз. план'!AI35</f>
        <v>0</v>
      </c>
      <c r="AK56" s="3433">
        <f>'11. Амортиз. план'!AJ35</f>
        <v>0</v>
      </c>
      <c r="AL56" s="3433">
        <f>'11. Амортиз. план'!AK35</f>
        <v>0</v>
      </c>
      <c r="AM56" s="3433">
        <f>'11. Амортиз. план'!AL35</f>
        <v>0</v>
      </c>
      <c r="AN56" s="3456">
        <f>'11. Амортиз. план'!AM35</f>
        <v>0</v>
      </c>
      <c r="AO56" s="1349">
        <f t="shared" si="112"/>
        <v>0</v>
      </c>
      <c r="AP56" s="901">
        <f t="shared" si="113"/>
        <v>0</v>
      </c>
      <c r="AQ56" s="3425">
        <v>3</v>
      </c>
      <c r="AR56" s="3474">
        <v>4</v>
      </c>
      <c r="AS56" s="3475">
        <v>4</v>
      </c>
      <c r="AT56" s="3475">
        <v>4</v>
      </c>
      <c r="AU56" s="3475">
        <v>4</v>
      </c>
      <c r="AV56" s="3476">
        <v>4</v>
      </c>
      <c r="AW56" s="1202">
        <f t="shared" ref="AW56:AW58" si="144">C56+K56+S56+AA56+AI56</f>
        <v>243.60000000000002</v>
      </c>
      <c r="AX56" s="3443">
        <f t="shared" ref="AX56:AX58" si="145">D56+L56+T56+AB56+AJ56</f>
        <v>304.30529000000007</v>
      </c>
      <c r="AY56" s="3443">
        <f t="shared" ref="AY56:AY58" si="146">E56+M56+U56+AC56+AK56</f>
        <v>324.55529000000007</v>
      </c>
      <c r="AZ56" s="3443">
        <f t="shared" ref="AZ56:AZ58" si="147">F56+N56+V56+AD56+AL56</f>
        <v>338.16529000000008</v>
      </c>
      <c r="BA56" s="3443">
        <f t="shared" ref="BA56:BA58" si="148">G56+O56+W56+AE56+AM56</f>
        <v>311.11029000000013</v>
      </c>
      <c r="BB56" s="3444">
        <f t="shared" ref="BB56:BB58" si="149">H56+P56+X56+AF56+AN56</f>
        <v>333.07028999999989</v>
      </c>
      <c r="BC56" s="3464">
        <f t="shared" ref="BC56:BC58" si="150">C56+AA56+AI56</f>
        <v>159.80000000000001</v>
      </c>
      <c r="BD56" s="3465">
        <f t="shared" ref="BD56:BD58" si="151">D56+AB56+AJ56</f>
        <v>214.26838527353667</v>
      </c>
      <c r="BE56" s="3466">
        <f t="shared" ref="BE56:BE58" si="152">E56+AC56+AK56</f>
        <v>224.16195332827763</v>
      </c>
      <c r="BF56" s="3466">
        <f t="shared" ref="BF56:BF58" si="153">F56+AD56+AL56</f>
        <v>232.84050966001067</v>
      </c>
      <c r="BG56" s="3466">
        <f t="shared" ref="BG56:BG58" si="154">G56+AE56+AM56</f>
        <v>226.54237198805222</v>
      </c>
      <c r="BH56" s="3468">
        <f t="shared" ref="BH56:BH58" si="155">H56+AF56+AN56</f>
        <v>251.90026596568362</v>
      </c>
    </row>
    <row r="57" spans="1:60" ht="24">
      <c r="A57" s="123" t="s">
        <v>269</v>
      </c>
      <c r="B57" s="985" t="s">
        <v>744</v>
      </c>
      <c r="C57" s="3435">
        <f>'11. Амортиз. план'!E131</f>
        <v>79</v>
      </c>
      <c r="D57" s="3436">
        <f>'11. Амортиз. план'!G131</f>
        <v>143.35268122227566</v>
      </c>
      <c r="E57" s="3437">
        <f>'11. Амортиз. план'!H131</f>
        <v>196.0254388815824</v>
      </c>
      <c r="F57" s="3437">
        <f>'11. Амортиз. план'!I131</f>
        <v>230.16632217832139</v>
      </c>
      <c r="G57" s="3437">
        <f>'11. Амортиз. план'!J131</f>
        <v>246.56239145965728</v>
      </c>
      <c r="H57" s="3438">
        <f>'11. Амортиз. план'!K131</f>
        <v>251.6861906028976</v>
      </c>
      <c r="I57" s="1350">
        <f t="shared" si="104"/>
        <v>172.6861906028976</v>
      </c>
      <c r="J57" s="902">
        <f t="shared" si="105"/>
        <v>2.1859011468721214</v>
      </c>
      <c r="K57" s="3435">
        <f>'11. Амортиз. план'!L131</f>
        <v>3</v>
      </c>
      <c r="L57" s="3436">
        <f>'11. Амортиз. план'!N131</f>
        <v>11.787817996023918</v>
      </c>
      <c r="M57" s="3437">
        <f>'11. Амортиз. план'!O131</f>
        <v>53.424416474510835</v>
      </c>
      <c r="N57" s="3437">
        <f>'11. Амортиз. план'!P131</f>
        <v>88.360454717772086</v>
      </c>
      <c r="O57" s="3437">
        <f>'11. Амортиз. план'!Q131</f>
        <v>90.629768276577451</v>
      </c>
      <c r="P57" s="3438">
        <f>'11. Амортиз. план'!R131</f>
        <v>92.563958082969421</v>
      </c>
      <c r="Q57" s="1350">
        <f t="shared" si="106"/>
        <v>89.563958082969421</v>
      </c>
      <c r="R57" s="967">
        <f t="shared" si="107"/>
        <v>29.854652694323139</v>
      </c>
      <c r="S57" s="3435">
        <f>'11. Амортиз. план'!S131</f>
        <v>3.3</v>
      </c>
      <c r="T57" s="3436">
        <f>'11. Амортиз. план'!U131</f>
        <v>28.757880781700422</v>
      </c>
      <c r="U57" s="3437">
        <f>'11. Амортиз. план'!V131</f>
        <v>77.395534643906799</v>
      </c>
      <c r="V57" s="3437">
        <f>'11. Амортиз. план'!W131</f>
        <v>101.60371310390657</v>
      </c>
      <c r="W57" s="3437">
        <f>'11. Амортиз. план'!X131</f>
        <v>103.32833026376534</v>
      </c>
      <c r="X57" s="3438">
        <f>'11. Амортиз. план'!Y131</f>
        <v>103.86234131413306</v>
      </c>
      <c r="Y57" s="1350">
        <f t="shared" si="108"/>
        <v>100.56234131413306</v>
      </c>
      <c r="Z57" s="967">
        <f t="shared" si="109"/>
        <v>30.473436761858505</v>
      </c>
      <c r="AA57" s="3435">
        <f>'11. Амортиз. план'!Z131</f>
        <v>0</v>
      </c>
      <c r="AB57" s="3436">
        <f>'11. Амортиз. план'!AB131</f>
        <v>0</v>
      </c>
      <c r="AC57" s="3437">
        <f>'11. Амортиз. план'!AC131</f>
        <v>0</v>
      </c>
      <c r="AD57" s="3437">
        <f>'11. Амортиз. план'!AD131</f>
        <v>0</v>
      </c>
      <c r="AE57" s="3437">
        <f>'11. Амортиз. план'!AE131</f>
        <v>0</v>
      </c>
      <c r="AF57" s="3438">
        <f>'11. Амортиз. план'!AF131</f>
        <v>0</v>
      </c>
      <c r="AG57" s="1350">
        <f t="shared" si="110"/>
        <v>0</v>
      </c>
      <c r="AH57" s="902">
        <f t="shared" si="111"/>
        <v>0</v>
      </c>
      <c r="AI57" s="3435">
        <f>'11. Амортиз. план'!AG131</f>
        <v>0</v>
      </c>
      <c r="AJ57" s="3436">
        <f>'11. Амортиз. план'!AI131</f>
        <v>0</v>
      </c>
      <c r="AK57" s="3437">
        <f>'11. Амортиз. план'!AJ131</f>
        <v>0</v>
      </c>
      <c r="AL57" s="3437">
        <f>'11. Амортиз. план'!AK131</f>
        <v>0</v>
      </c>
      <c r="AM57" s="3437">
        <f>'11. Амортиз. план'!AL131</f>
        <v>0</v>
      </c>
      <c r="AN57" s="3457">
        <f>'11. Амортиз. план'!AM131</f>
        <v>0</v>
      </c>
      <c r="AO57" s="1350">
        <f t="shared" si="112"/>
        <v>0</v>
      </c>
      <c r="AP57" s="902">
        <f t="shared" si="113"/>
        <v>0</v>
      </c>
      <c r="AQ57" s="3420"/>
      <c r="AR57" s="3477"/>
      <c r="AS57" s="3478"/>
      <c r="AT57" s="3478"/>
      <c r="AU57" s="3478"/>
      <c r="AV57" s="3479"/>
      <c r="AW57" s="1202">
        <f t="shared" si="144"/>
        <v>85.3</v>
      </c>
      <c r="AX57" s="3443">
        <f t="shared" si="145"/>
        <v>183.89837999999997</v>
      </c>
      <c r="AY57" s="3443">
        <f t="shared" si="146"/>
        <v>326.84539000000001</v>
      </c>
      <c r="AZ57" s="3443">
        <f t="shared" si="147"/>
        <v>420.13049000000001</v>
      </c>
      <c r="BA57" s="3443">
        <f t="shared" si="148"/>
        <v>440.52049000000005</v>
      </c>
      <c r="BB57" s="3444">
        <f t="shared" si="149"/>
        <v>448.11249000000009</v>
      </c>
      <c r="BC57" s="3464">
        <f t="shared" si="150"/>
        <v>79</v>
      </c>
      <c r="BD57" s="3465">
        <f t="shared" si="151"/>
        <v>143.35268122227566</v>
      </c>
      <c r="BE57" s="3466">
        <f t="shared" si="152"/>
        <v>196.0254388815824</v>
      </c>
      <c r="BF57" s="3466">
        <f t="shared" si="153"/>
        <v>230.16632217832139</v>
      </c>
      <c r="BG57" s="3466">
        <f t="shared" si="154"/>
        <v>246.56239145965728</v>
      </c>
      <c r="BH57" s="3468">
        <f t="shared" si="155"/>
        <v>251.6861906028976</v>
      </c>
    </row>
    <row r="58" spans="1:60" ht="24.75" thickBot="1">
      <c r="A58" s="122" t="s">
        <v>491</v>
      </c>
      <c r="B58" s="987" t="s">
        <v>745</v>
      </c>
      <c r="C58" s="3439">
        <f>'10. Финансиране на ИП'!C31</f>
        <v>396.44</v>
      </c>
      <c r="D58" s="3440">
        <f>'10. Финансиране на ИП'!E31</f>
        <v>224.98</v>
      </c>
      <c r="E58" s="3441">
        <f>'10. Финансиране на ИП'!F31</f>
        <v>189.34</v>
      </c>
      <c r="F58" s="3441">
        <f>'10. Финансиране на ИП'!G31</f>
        <v>205.95</v>
      </c>
      <c r="G58" s="3441">
        <f>'10. Финансиране на ИП'!H31</f>
        <v>229.8</v>
      </c>
      <c r="H58" s="3442">
        <f>'10. Финансиране на ИП'!I31</f>
        <v>224.68</v>
      </c>
      <c r="I58" s="1351">
        <f t="shared" si="104"/>
        <v>-171.76</v>
      </c>
      <c r="J58" s="903">
        <f t="shared" si="105"/>
        <v>-0.43325597820603368</v>
      </c>
      <c r="K58" s="3439">
        <f>'10. Финансиране на ИП'!J31</f>
        <v>38.29</v>
      </c>
      <c r="L58" s="3440">
        <f>'10. Финансиране на ИП'!L31</f>
        <v>10.89</v>
      </c>
      <c r="M58" s="3441">
        <f>'10. Финансиране на ИП'!M31</f>
        <v>0.74</v>
      </c>
      <c r="N58" s="3441">
        <f>'10. Финансиране на ИП'!N31</f>
        <v>12.52</v>
      </c>
      <c r="O58" s="3441">
        <f>'10. Финансиране на ИП'!O31</f>
        <v>222.65</v>
      </c>
      <c r="P58" s="3442">
        <f>'10. Финансиране на ИП'!P31</f>
        <v>222.11</v>
      </c>
      <c r="Q58" s="1351">
        <f t="shared" si="106"/>
        <v>183.82000000000002</v>
      </c>
      <c r="R58" s="968">
        <f t="shared" si="107"/>
        <v>4.8007312614259607</v>
      </c>
      <c r="S58" s="3439">
        <f>'10. Финансиране на ИП'!Q31</f>
        <v>15.28</v>
      </c>
      <c r="T58" s="3440">
        <f>'10. Финансиране на ИП'!S31</f>
        <v>0.57999999999999996</v>
      </c>
      <c r="U58" s="3441">
        <f>'10. Финансиране на ИП'!T31</f>
        <v>0.27</v>
      </c>
      <c r="V58" s="3441">
        <f>'10. Финансиране на ИП'!U31</f>
        <v>0.5</v>
      </c>
      <c r="W58" s="3441">
        <f>'10. Финансиране на ИП'!V31</f>
        <v>84.93</v>
      </c>
      <c r="X58" s="3442">
        <f>'10. Финансиране на ИП'!W31</f>
        <v>84.4</v>
      </c>
      <c r="Y58" s="1351">
        <f t="shared" si="108"/>
        <v>69.12</v>
      </c>
      <c r="Z58" s="968">
        <f t="shared" si="109"/>
        <v>4.5235602094240841</v>
      </c>
      <c r="AA58" s="3439">
        <f>'10. Финансиране на ИП'!X31</f>
        <v>0</v>
      </c>
      <c r="AB58" s="3440">
        <f>'10. Финансиране на ИП'!Z31</f>
        <v>0</v>
      </c>
      <c r="AC58" s="3441">
        <f>'10. Финансиране на ИП'!AA31</f>
        <v>0</v>
      </c>
      <c r="AD58" s="3441">
        <f>'10. Финансиране на ИП'!AB31</f>
        <v>0</v>
      </c>
      <c r="AE58" s="3441">
        <f>'10. Финансиране на ИП'!AC31</f>
        <v>0</v>
      </c>
      <c r="AF58" s="3442">
        <f>'10. Финансиране на ИП'!AD31</f>
        <v>0</v>
      </c>
      <c r="AG58" s="1351">
        <f t="shared" si="110"/>
        <v>0</v>
      </c>
      <c r="AH58" s="903">
        <f t="shared" si="111"/>
        <v>0</v>
      </c>
      <c r="AI58" s="3439">
        <f>'10. Финансиране на ИП'!AE31</f>
        <v>0</v>
      </c>
      <c r="AJ58" s="3440">
        <f>'10. Финансиране на ИП'!AG31</f>
        <v>0</v>
      </c>
      <c r="AK58" s="3441">
        <f>'10. Финансиране на ИП'!AH31</f>
        <v>0</v>
      </c>
      <c r="AL58" s="3441">
        <f>'10. Финансиране на ИП'!AI31</f>
        <v>0</v>
      </c>
      <c r="AM58" s="3441">
        <f>'10. Финансиране на ИП'!AJ31</f>
        <v>0</v>
      </c>
      <c r="AN58" s="3458">
        <f>'10. Финансиране на ИП'!AK31</f>
        <v>0</v>
      </c>
      <c r="AO58" s="1351">
        <f t="shared" si="112"/>
        <v>0</v>
      </c>
      <c r="AP58" s="903">
        <f t="shared" si="113"/>
        <v>0</v>
      </c>
      <c r="AQ58" s="3480"/>
      <c r="AR58" s="3481"/>
      <c r="AS58" s="3482"/>
      <c r="AT58" s="3482"/>
      <c r="AU58" s="3482"/>
      <c r="AV58" s="3483"/>
      <c r="AW58" s="1202">
        <f t="shared" si="144"/>
        <v>450.01</v>
      </c>
      <c r="AX58" s="3443">
        <f t="shared" si="145"/>
        <v>236.45000000000002</v>
      </c>
      <c r="AY58" s="3443">
        <f t="shared" si="146"/>
        <v>190.35000000000002</v>
      </c>
      <c r="AZ58" s="3443">
        <f t="shared" si="147"/>
        <v>218.97</v>
      </c>
      <c r="BA58" s="3443">
        <f t="shared" si="148"/>
        <v>537.38000000000011</v>
      </c>
      <c r="BB58" s="3444">
        <f t="shared" si="149"/>
        <v>531.19000000000005</v>
      </c>
      <c r="BC58" s="3464">
        <f t="shared" si="150"/>
        <v>396.44</v>
      </c>
      <c r="BD58" s="3465">
        <f t="shared" si="151"/>
        <v>224.98</v>
      </c>
      <c r="BE58" s="3466">
        <f t="shared" si="152"/>
        <v>189.34</v>
      </c>
      <c r="BF58" s="3466">
        <f t="shared" si="153"/>
        <v>205.95</v>
      </c>
      <c r="BG58" s="3466">
        <f t="shared" si="154"/>
        <v>229.8</v>
      </c>
      <c r="BH58" s="3468">
        <f t="shared" si="155"/>
        <v>224.68</v>
      </c>
    </row>
    <row r="59" spans="1:60" ht="13.5" thickBot="1">
      <c r="A59" s="120">
        <v>4</v>
      </c>
      <c r="B59" s="981" t="s">
        <v>453</v>
      </c>
      <c r="C59" s="1200">
        <f t="shared" ref="C59:BB59" si="156">SUM(C60:C62)</f>
        <v>3077.788</v>
      </c>
      <c r="D59" s="993">
        <f t="shared" si="156"/>
        <v>3439.25</v>
      </c>
      <c r="E59" s="1237">
        <f t="shared" si="156"/>
        <v>3956.4</v>
      </c>
      <c r="F59" s="1237">
        <f t="shared" si="156"/>
        <v>4550.2</v>
      </c>
      <c r="G59" s="1237">
        <f t="shared" si="156"/>
        <v>5232.5</v>
      </c>
      <c r="H59" s="1238">
        <f t="shared" si="156"/>
        <v>5282.7</v>
      </c>
      <c r="I59" s="1343">
        <f t="shared" si="104"/>
        <v>2204.9119999999998</v>
      </c>
      <c r="J59" s="898">
        <f t="shared" si="105"/>
        <v>0.71639502135949573</v>
      </c>
      <c r="K59" s="1200">
        <f t="shared" si="156"/>
        <v>171.16200000000001</v>
      </c>
      <c r="L59" s="993">
        <f t="shared" si="156"/>
        <v>185.35</v>
      </c>
      <c r="M59" s="1237">
        <f t="shared" si="156"/>
        <v>212.85</v>
      </c>
      <c r="N59" s="1237">
        <f t="shared" si="156"/>
        <v>244.92000000000002</v>
      </c>
      <c r="O59" s="1237">
        <f t="shared" si="156"/>
        <v>281.25</v>
      </c>
      <c r="P59" s="1238">
        <f t="shared" si="156"/>
        <v>303.96000000000004</v>
      </c>
      <c r="Q59" s="1343">
        <f t="shared" si="106"/>
        <v>132.79800000000003</v>
      </c>
      <c r="R59" s="962">
        <f t="shared" si="107"/>
        <v>0.775861464577418</v>
      </c>
      <c r="S59" s="1200">
        <f t="shared" si="156"/>
        <v>433.798</v>
      </c>
      <c r="T59" s="993">
        <f t="shared" si="156"/>
        <v>487.5</v>
      </c>
      <c r="U59" s="1237">
        <f t="shared" si="156"/>
        <v>562.28</v>
      </c>
      <c r="V59" s="1237">
        <f t="shared" si="156"/>
        <v>645.29999999999995</v>
      </c>
      <c r="W59" s="1237">
        <f t="shared" si="156"/>
        <v>742.2</v>
      </c>
      <c r="X59" s="1238">
        <f t="shared" si="156"/>
        <v>838</v>
      </c>
      <c r="Y59" s="1343">
        <f t="shared" si="108"/>
        <v>404.202</v>
      </c>
      <c r="Z59" s="962">
        <f t="shared" si="109"/>
        <v>0.93177469697877813</v>
      </c>
      <c r="AA59" s="1200">
        <f t="shared" ref="AA59:AN59" si="157">SUM(AA60:AA62)</f>
        <v>16.451999999999998</v>
      </c>
      <c r="AB59" s="993">
        <f t="shared" si="157"/>
        <v>17.920000000000002</v>
      </c>
      <c r="AC59" s="1237">
        <f t="shared" si="157"/>
        <v>20.757999999999999</v>
      </c>
      <c r="AD59" s="1237">
        <f t="shared" si="157"/>
        <v>24.021999999999998</v>
      </c>
      <c r="AE59" s="1237">
        <f t="shared" si="157"/>
        <v>27.774999999999999</v>
      </c>
      <c r="AF59" s="1238">
        <f t="shared" si="157"/>
        <v>31.904000000000003</v>
      </c>
      <c r="AG59" s="1343">
        <f t="shared" si="110"/>
        <v>15.452000000000005</v>
      </c>
      <c r="AH59" s="898">
        <f t="shared" si="111"/>
        <v>0.93921711646000527</v>
      </c>
      <c r="AI59" s="1200">
        <f t="shared" si="157"/>
        <v>0</v>
      </c>
      <c r="AJ59" s="993">
        <f t="shared" si="157"/>
        <v>0</v>
      </c>
      <c r="AK59" s="1237">
        <f t="shared" si="157"/>
        <v>0</v>
      </c>
      <c r="AL59" s="1237">
        <f t="shared" si="157"/>
        <v>0</v>
      </c>
      <c r="AM59" s="1237">
        <f t="shared" si="157"/>
        <v>0</v>
      </c>
      <c r="AN59" s="3459">
        <f t="shared" si="157"/>
        <v>0</v>
      </c>
      <c r="AO59" s="1343">
        <f t="shared" si="112"/>
        <v>0</v>
      </c>
      <c r="AP59" s="898">
        <f t="shared" si="113"/>
        <v>0</v>
      </c>
      <c r="AQ59" s="1200">
        <f t="shared" si="156"/>
        <v>102</v>
      </c>
      <c r="AR59" s="993">
        <f t="shared" si="156"/>
        <v>117.3</v>
      </c>
      <c r="AS59" s="1237">
        <f t="shared" si="156"/>
        <v>134.9</v>
      </c>
      <c r="AT59" s="1237">
        <f t="shared" si="156"/>
        <v>155.13999999999999</v>
      </c>
      <c r="AU59" s="1237">
        <f t="shared" si="156"/>
        <v>178.41</v>
      </c>
      <c r="AV59" s="3459">
        <f t="shared" si="156"/>
        <v>204</v>
      </c>
      <c r="AW59" s="1200">
        <f t="shared" si="156"/>
        <v>3699.2</v>
      </c>
      <c r="AX59" s="993">
        <f t="shared" si="156"/>
        <v>4130.0200000000004</v>
      </c>
      <c r="AY59" s="1237">
        <f t="shared" si="156"/>
        <v>4752.2879999999996</v>
      </c>
      <c r="AZ59" s="1237">
        <f t="shared" si="156"/>
        <v>5464.442</v>
      </c>
      <c r="BA59" s="1237">
        <f t="shared" si="156"/>
        <v>6283.7249999999995</v>
      </c>
      <c r="BB59" s="3459">
        <f t="shared" si="156"/>
        <v>6456.5640000000003</v>
      </c>
      <c r="BC59" s="1200">
        <f t="shared" ref="BC59:BH59" si="158">SUM(BC60:BC62)</f>
        <v>3094.2400000000002</v>
      </c>
      <c r="BD59" s="993">
        <f t="shared" si="158"/>
        <v>3457.17</v>
      </c>
      <c r="BE59" s="1237">
        <f t="shared" si="158"/>
        <v>3977.1579999999999</v>
      </c>
      <c r="BF59" s="1237">
        <f t="shared" si="158"/>
        <v>4574.2219999999998</v>
      </c>
      <c r="BG59" s="1237">
        <f t="shared" si="158"/>
        <v>5260.2749999999996</v>
      </c>
      <c r="BH59" s="3459">
        <f t="shared" si="158"/>
        <v>5314.6040000000003</v>
      </c>
    </row>
    <row r="60" spans="1:60" ht="12.75">
      <c r="A60" s="118" t="s">
        <v>104</v>
      </c>
      <c r="B60" s="985" t="s">
        <v>270</v>
      </c>
      <c r="C60" s="1202">
        <f>'5. Персонал'!C29-'5. Персонал'!C39-'5. Персонал'!C40</f>
        <v>2571.2579999999998</v>
      </c>
      <c r="D60" s="3443">
        <f>'5. Персонал'!D29-'5. Персонал'!D39-'5. Персонал'!D40</f>
        <v>2939.25</v>
      </c>
      <c r="E60" s="3443">
        <f>'5. Персонал'!E29-'5. Персонал'!E39-'5. Персонал'!E40</f>
        <v>3416.4</v>
      </c>
      <c r="F60" s="3443">
        <f>'5. Персонал'!F29-'5. Персонал'!F39-'5. Персонал'!F40</f>
        <v>3960.2</v>
      </c>
      <c r="G60" s="3443">
        <f>'5. Персонал'!G29-'5. Персонал'!G39-'5. Персонал'!G40</f>
        <v>4582.5</v>
      </c>
      <c r="H60" s="3444">
        <f>'5. Персонал'!H29-'5. Персонал'!H39-'5. Персонал'!H40</f>
        <v>4632.7</v>
      </c>
      <c r="I60" s="1348">
        <f t="shared" si="104"/>
        <v>2061.442</v>
      </c>
      <c r="J60" s="904">
        <f t="shared" si="105"/>
        <v>0.80172506998519799</v>
      </c>
      <c r="K60" s="1202">
        <f>'5. Персонал'!I29-'5. Персонал'!I39-'5. Персонал'!I40</f>
        <v>134.83199999999999</v>
      </c>
      <c r="L60" s="3443">
        <f>'5. Персонал'!J29-'5. Персонал'!J39-'5. Персонал'!J40</f>
        <v>154.6</v>
      </c>
      <c r="M60" s="3443">
        <f>'5. Персонал'!K29-'5. Персонал'!K39-'5. Персонал'!K40</f>
        <v>177.85</v>
      </c>
      <c r="N60" s="3443">
        <f>'5. Персонал'!L29-'5. Персонал'!L39-'5. Персонал'!L40</f>
        <v>206.92000000000002</v>
      </c>
      <c r="O60" s="3443">
        <f>'5. Персонал'!M29-'5. Персонал'!M39-'5. Персонал'!M40</f>
        <v>238.25</v>
      </c>
      <c r="P60" s="3444">
        <f>'5. Персонал'!N29-'5. Персонал'!N39-'5. Персонал'!N40</f>
        <v>256.96000000000004</v>
      </c>
      <c r="Q60" s="1348">
        <f t="shared" si="106"/>
        <v>122.12800000000004</v>
      </c>
      <c r="R60" s="1211">
        <f t="shared" si="107"/>
        <v>0.90577904355049288</v>
      </c>
      <c r="S60" s="1202">
        <f>'5. Персонал'!O29-'5. Персонал'!O39-'5. Персонал'!O40</f>
        <v>419.58100000000002</v>
      </c>
      <c r="T60" s="3443">
        <f>'5. Персонал'!P29-'5. Персонал'!P39-'5. Персонал'!P40</f>
        <v>480.34</v>
      </c>
      <c r="U60" s="3443">
        <f>'5. Персонал'!Q29-'5. Персонал'!Q39-'5. Персонал'!Q40</f>
        <v>555.12</v>
      </c>
      <c r="V60" s="3443">
        <f>'5. Персонал'!R29-'5. Персонал'!R39-'5. Персонал'!R40</f>
        <v>638.14</v>
      </c>
      <c r="W60" s="3443">
        <f>'5. Персонал'!S29-'5. Персонал'!S39-'5. Персонал'!S40</f>
        <v>735.04000000000008</v>
      </c>
      <c r="X60" s="3444">
        <f>'5. Персонал'!T29-'5. Персонал'!T39-'5. Персонал'!T40</f>
        <v>830.84</v>
      </c>
      <c r="Y60" s="1348">
        <f t="shared" si="108"/>
        <v>411.25900000000001</v>
      </c>
      <c r="Z60" s="1211">
        <f t="shared" si="109"/>
        <v>0.98016592743713371</v>
      </c>
      <c r="AA60" s="1202">
        <f>'5. Персонал'!U29-'5. Персонал'!U39-'5. Персонал'!U40</f>
        <v>16.451999999999998</v>
      </c>
      <c r="AB60" s="3443">
        <f>'5. Персонал'!V29-'5. Персонал'!V39-'5. Персонал'!V40</f>
        <v>17.920000000000002</v>
      </c>
      <c r="AC60" s="3443">
        <f>'5. Персонал'!W29-'5. Персонал'!W39-'5. Персонал'!W40</f>
        <v>18.757999999999999</v>
      </c>
      <c r="AD60" s="3443">
        <f>'5. Персонал'!X29-'5. Персонал'!X39-'5. Персонал'!X40</f>
        <v>22.021999999999998</v>
      </c>
      <c r="AE60" s="3443">
        <f>'5. Персонал'!Y29-'5. Персонал'!Y39-'5. Персонал'!Y40</f>
        <v>20.774999999999999</v>
      </c>
      <c r="AF60" s="3444">
        <f>'5. Персонал'!Z29-'5. Персонал'!Z39-'5. Персонал'!Z40</f>
        <v>29.904000000000003</v>
      </c>
      <c r="AG60" s="1348">
        <f t="shared" si="110"/>
        <v>13.452000000000005</v>
      </c>
      <c r="AH60" s="904">
        <f t="shared" si="111"/>
        <v>0.81765134938001505</v>
      </c>
      <c r="AI60" s="1202">
        <f>'5. Персонал'!AA29-'5. Персонал'!AA39-'5. Персонал'!AA40</f>
        <v>0</v>
      </c>
      <c r="AJ60" s="3443">
        <f>'5. Персонал'!AB29-'5. Персонал'!AB39-'5. Персонал'!AB40</f>
        <v>0</v>
      </c>
      <c r="AK60" s="3443">
        <f>'5. Персонал'!AC29-'5. Персонал'!AC39-'5. Персонал'!AC40</f>
        <v>0</v>
      </c>
      <c r="AL60" s="3443">
        <f>'5. Персонал'!AD29-'5. Персонал'!AD39-'5. Персонал'!AD40</f>
        <v>0</v>
      </c>
      <c r="AM60" s="3443">
        <f>'5. Персонал'!AE29-'5. Персонал'!AE39-'5. Персонал'!AE40</f>
        <v>0</v>
      </c>
      <c r="AN60" s="3452">
        <f>'5. Персонал'!AF29-'5. Персонал'!AF39-'5. Персонал'!AF40</f>
        <v>0</v>
      </c>
      <c r="AO60" s="1348">
        <f t="shared" si="112"/>
        <v>0</v>
      </c>
      <c r="AP60" s="904">
        <f t="shared" si="113"/>
        <v>0</v>
      </c>
      <c r="AQ60" s="1202">
        <f>'5. Персонал'!AG29-'5. Персонал'!AG39-'5. Персонал'!AG40</f>
        <v>102</v>
      </c>
      <c r="AR60" s="3443">
        <f>'5. Персонал'!AH29-'5. Персонал'!AH39-'5. Персонал'!AH40</f>
        <v>117.3</v>
      </c>
      <c r="AS60" s="3443">
        <f>'5. Персонал'!AI29-'5. Персонал'!AI39-'5. Персонал'!AI40</f>
        <v>134.9</v>
      </c>
      <c r="AT60" s="3443">
        <f>'5. Персонал'!AJ29-'5. Персонал'!AJ39-'5. Персонал'!AJ40</f>
        <v>155.13999999999999</v>
      </c>
      <c r="AU60" s="3443">
        <f>'5. Персонал'!AK29-'5. Персонал'!AK39-'5. Персонал'!AK40</f>
        <v>178.41</v>
      </c>
      <c r="AV60" s="3452">
        <f>'5. Персонал'!AL29-'5. Персонал'!AL39-'5. Персонал'!AL40</f>
        <v>204</v>
      </c>
      <c r="AW60" s="1202">
        <f t="shared" ref="AW60:AW62" si="159">C60+K60+S60+AA60+AI60</f>
        <v>3142.1229999999996</v>
      </c>
      <c r="AX60" s="3443">
        <f t="shared" ref="AX60:AX62" si="160">D60+L60+T60+AB60+AJ60</f>
        <v>3592.11</v>
      </c>
      <c r="AY60" s="3443">
        <f t="shared" ref="AY60:AY62" si="161">E60+M60+U60+AC60+AK60</f>
        <v>4168.1279999999997</v>
      </c>
      <c r="AZ60" s="3443">
        <f t="shared" ref="AZ60:AZ62" si="162">F60+N60+V60+AD60+AL60</f>
        <v>4827.2820000000002</v>
      </c>
      <c r="BA60" s="3443">
        <f t="shared" ref="BA60:BA62" si="163">G60+O60+W60+AE60+AM60</f>
        <v>5576.5649999999996</v>
      </c>
      <c r="BB60" s="3444">
        <f t="shared" ref="BB60:BB62" si="164">H60+P60+X60+AF60+AN60</f>
        <v>5750.4040000000005</v>
      </c>
      <c r="BC60" s="3464">
        <f t="shared" ref="BC60:BC62" si="165">C60+AA60+AI60</f>
        <v>2587.71</v>
      </c>
      <c r="BD60" s="3465">
        <f t="shared" ref="BD60:BD62" si="166">D60+AB60+AJ60</f>
        <v>2957.17</v>
      </c>
      <c r="BE60" s="3466">
        <f t="shared" ref="BE60:BE62" si="167">E60+AC60+AK60</f>
        <v>3435.1579999999999</v>
      </c>
      <c r="BF60" s="3466">
        <f t="shared" ref="BF60:BF62" si="168">F60+AD60+AL60</f>
        <v>3982.2219999999998</v>
      </c>
      <c r="BG60" s="3466">
        <f t="shared" ref="BG60:BG62" si="169">G60+AE60+AM60</f>
        <v>4603.2749999999996</v>
      </c>
      <c r="BH60" s="3468">
        <f t="shared" ref="BH60:BH62" si="170">H60+AF60+AN60</f>
        <v>4662.6040000000003</v>
      </c>
    </row>
    <row r="61" spans="1:60" s="743" customFormat="1" ht="24">
      <c r="A61" s="437" t="s">
        <v>105</v>
      </c>
      <c r="B61" s="988" t="s">
        <v>646</v>
      </c>
      <c r="C61" s="2995">
        <f>'8. Ремонтна програма'!J33</f>
        <v>455</v>
      </c>
      <c r="D61" s="1346">
        <f>'8. Ремонтна програма'!K33</f>
        <v>500</v>
      </c>
      <c r="E61" s="1223">
        <f>'8. Ремонтна програма'!L33</f>
        <v>540</v>
      </c>
      <c r="F61" s="1223">
        <f>'8. Ремонтна програма'!M33</f>
        <v>590</v>
      </c>
      <c r="G61" s="1223">
        <f>'8. Ремонтна програма'!N33</f>
        <v>650</v>
      </c>
      <c r="H61" s="3469">
        <f>'8. Ремонтна програма'!O33</f>
        <v>650</v>
      </c>
      <c r="I61" s="1346">
        <f t="shared" si="104"/>
        <v>195</v>
      </c>
      <c r="J61" s="900">
        <f t="shared" si="105"/>
        <v>0.42857142857142855</v>
      </c>
      <c r="K61" s="2995">
        <f>'8. Ремонтна програма'!J62</f>
        <v>25</v>
      </c>
      <c r="L61" s="1346">
        <f>'8. Ремонтна програма'!K62</f>
        <v>28.75</v>
      </c>
      <c r="M61" s="1223">
        <f>'8. Ремонтна програма'!L62</f>
        <v>33</v>
      </c>
      <c r="N61" s="1223">
        <f>'8. Ремонтна програма'!M62</f>
        <v>36</v>
      </c>
      <c r="O61" s="1223">
        <f>'8. Ремонтна програма'!N62</f>
        <v>41</v>
      </c>
      <c r="P61" s="3469">
        <f>'8. Ремонтна програма'!O62</f>
        <v>45</v>
      </c>
      <c r="Q61" s="1346">
        <f t="shared" si="106"/>
        <v>20</v>
      </c>
      <c r="R61" s="964">
        <f t="shared" si="107"/>
        <v>0.8</v>
      </c>
      <c r="S61" s="2995">
        <f>'8. Ремонтна програма'!J88</f>
        <v>1.887</v>
      </c>
      <c r="T61" s="1346">
        <f>'8. Ремонтна програма'!K88</f>
        <v>2.16</v>
      </c>
      <c r="U61" s="1223">
        <f>'8. Ремонтна програма'!L88</f>
        <v>2.16</v>
      </c>
      <c r="V61" s="1223">
        <f>'8. Ремонтна програма'!M88</f>
        <v>2.16</v>
      </c>
      <c r="W61" s="1223">
        <f>'8. Ремонтна програма'!N88</f>
        <v>2.16</v>
      </c>
      <c r="X61" s="3469">
        <f>'8. Ремонтна програма'!O88</f>
        <v>2.16</v>
      </c>
      <c r="Y61" s="1346">
        <f t="shared" si="108"/>
        <v>0.27300000000000013</v>
      </c>
      <c r="Z61" s="964">
        <f t="shared" si="109"/>
        <v>0.14467408585055649</v>
      </c>
      <c r="AA61" s="2995">
        <f>'8. Ремонтна програма'!J119</f>
        <v>0</v>
      </c>
      <c r="AB61" s="1346">
        <f>'8. Ремонтна програма'!K119</f>
        <v>0</v>
      </c>
      <c r="AC61" s="1223">
        <f>'8. Ремонтна програма'!L119</f>
        <v>2</v>
      </c>
      <c r="AD61" s="1223">
        <f>'8. Ремонтна програма'!M119</f>
        <v>2</v>
      </c>
      <c r="AE61" s="1223">
        <f>'8. Ремонтна програма'!N119</f>
        <v>7</v>
      </c>
      <c r="AF61" s="3469">
        <f>'8. Ремонтна програма'!O119</f>
        <v>2</v>
      </c>
      <c r="AG61" s="1346">
        <f t="shared" si="110"/>
        <v>2</v>
      </c>
      <c r="AH61" s="900">
        <f t="shared" si="111"/>
        <v>0</v>
      </c>
      <c r="AI61" s="1202">
        <f>'8. Ремонтна програма'!J150</f>
        <v>0</v>
      </c>
      <c r="AJ61" s="1352">
        <f>'8. Ремонтна програма'!K150</f>
        <v>0</v>
      </c>
      <c r="AK61" s="1226">
        <f>'8. Ремонтна програма'!L150</f>
        <v>0</v>
      </c>
      <c r="AL61" s="1226">
        <f>'8. Ремонтна програма'!M150</f>
        <v>0</v>
      </c>
      <c r="AM61" s="1226">
        <f>'8. Ремонтна програма'!N150</f>
        <v>0</v>
      </c>
      <c r="AN61" s="3460">
        <f>'8. Ремонтна програма'!O150</f>
        <v>0</v>
      </c>
      <c r="AO61" s="1346">
        <f t="shared" si="112"/>
        <v>0</v>
      </c>
      <c r="AP61" s="900">
        <f t="shared" si="113"/>
        <v>0</v>
      </c>
      <c r="AQ61" s="1202">
        <f>'5. Персонал'!AG39</f>
        <v>0</v>
      </c>
      <c r="AR61" s="1231">
        <f>'5. Персонал'!AH39</f>
        <v>0</v>
      </c>
      <c r="AS61" s="1226">
        <f>'5. Персонал'!AI39</f>
        <v>0</v>
      </c>
      <c r="AT61" s="1226">
        <f>'5. Персонал'!AJ39</f>
        <v>0</v>
      </c>
      <c r="AU61" s="1226">
        <f>'5. Персонал'!AK39</f>
        <v>0</v>
      </c>
      <c r="AV61" s="3460">
        <f>'5. Персонал'!AL39</f>
        <v>0</v>
      </c>
      <c r="AW61" s="1202">
        <f t="shared" si="159"/>
        <v>481.887</v>
      </c>
      <c r="AX61" s="3443">
        <f t="shared" si="160"/>
        <v>530.91</v>
      </c>
      <c r="AY61" s="3443">
        <f t="shared" si="161"/>
        <v>577.16</v>
      </c>
      <c r="AZ61" s="3443">
        <f t="shared" si="162"/>
        <v>630.16</v>
      </c>
      <c r="BA61" s="3443">
        <f t="shared" si="163"/>
        <v>700.16</v>
      </c>
      <c r="BB61" s="3444">
        <f t="shared" si="164"/>
        <v>699.16</v>
      </c>
      <c r="BC61" s="3464">
        <f t="shared" si="165"/>
        <v>455</v>
      </c>
      <c r="BD61" s="3465">
        <f t="shared" si="166"/>
        <v>500</v>
      </c>
      <c r="BE61" s="3466">
        <f t="shared" si="167"/>
        <v>542</v>
      </c>
      <c r="BF61" s="3466">
        <f t="shared" si="168"/>
        <v>592</v>
      </c>
      <c r="BG61" s="3466">
        <f t="shared" si="169"/>
        <v>657</v>
      </c>
      <c r="BH61" s="3468">
        <f t="shared" si="170"/>
        <v>652</v>
      </c>
    </row>
    <row r="62" spans="1:60" ht="45" customHeight="1" thickBot="1">
      <c r="A62" s="118" t="s">
        <v>106</v>
      </c>
      <c r="B62" s="987" t="s">
        <v>1851</v>
      </c>
      <c r="C62" s="1202">
        <f>'5. Персонал'!C66</f>
        <v>51.53</v>
      </c>
      <c r="D62" s="995">
        <f>'5. Персонал'!D66</f>
        <v>0</v>
      </c>
      <c r="E62" s="995">
        <f>'5. Персонал'!E66</f>
        <v>0</v>
      </c>
      <c r="F62" s="995">
        <f>'5. Персонал'!F66</f>
        <v>0</v>
      </c>
      <c r="G62" s="995">
        <f>'5. Персонал'!G66</f>
        <v>0</v>
      </c>
      <c r="H62" s="1231">
        <f>'5. Персонал'!H66</f>
        <v>0</v>
      </c>
      <c r="I62" s="1352">
        <f t="shared" si="104"/>
        <v>-51.53</v>
      </c>
      <c r="J62" s="904">
        <f t="shared" si="105"/>
        <v>-1</v>
      </c>
      <c r="K62" s="1202">
        <f>'5. Персонал'!I66</f>
        <v>11.33</v>
      </c>
      <c r="L62" s="995">
        <f>'5. Персонал'!J66</f>
        <v>2</v>
      </c>
      <c r="M62" s="995">
        <f>'5. Персонал'!K66</f>
        <v>2</v>
      </c>
      <c r="N62" s="995">
        <f>'5. Персонал'!L66</f>
        <v>2</v>
      </c>
      <c r="O62" s="995">
        <f>'5. Персонал'!M66</f>
        <v>2</v>
      </c>
      <c r="P62" s="1231">
        <f>'5. Персонал'!N66</f>
        <v>2</v>
      </c>
      <c r="Q62" s="1352">
        <f t="shared" si="106"/>
        <v>-9.33</v>
      </c>
      <c r="R62" s="1211">
        <f t="shared" si="107"/>
        <v>-0.82347749338040599</v>
      </c>
      <c r="S62" s="1202">
        <f>'5. Персонал'!O66</f>
        <v>12.33</v>
      </c>
      <c r="T62" s="995">
        <f>'5. Персонал'!P66</f>
        <v>5</v>
      </c>
      <c r="U62" s="995">
        <f>'5. Персонал'!Q66</f>
        <v>5</v>
      </c>
      <c r="V62" s="995">
        <f>'5. Персонал'!R66</f>
        <v>5</v>
      </c>
      <c r="W62" s="995">
        <f>'5. Персонал'!S66</f>
        <v>5</v>
      </c>
      <c r="X62" s="1231">
        <f>'5. Персонал'!T66</f>
        <v>5</v>
      </c>
      <c r="Y62" s="1352">
        <f t="shared" si="108"/>
        <v>-7.33</v>
      </c>
      <c r="Z62" s="1211">
        <f t="shared" si="109"/>
        <v>-0.59448499594484994</v>
      </c>
      <c r="AA62" s="1202">
        <f>'5. Персонал'!U66</f>
        <v>0</v>
      </c>
      <c r="AB62" s="995">
        <f>'5. Персонал'!V66</f>
        <v>0</v>
      </c>
      <c r="AC62" s="995">
        <f>'5. Персонал'!W66</f>
        <v>0</v>
      </c>
      <c r="AD62" s="995">
        <f>'5. Персонал'!X66</f>
        <v>0</v>
      </c>
      <c r="AE62" s="995">
        <f>'5. Персонал'!Y66</f>
        <v>0</v>
      </c>
      <c r="AF62" s="1231">
        <f>'5. Персонал'!Z66</f>
        <v>0</v>
      </c>
      <c r="AG62" s="1352">
        <f t="shared" si="110"/>
        <v>0</v>
      </c>
      <c r="AH62" s="904">
        <f t="shared" si="111"/>
        <v>0</v>
      </c>
      <c r="AI62" s="1202">
        <f>'5. Персонал'!AA66</f>
        <v>0</v>
      </c>
      <c r="AJ62" s="995">
        <f>'5. Персонал'!AB66</f>
        <v>0</v>
      </c>
      <c r="AK62" s="995">
        <f>'5. Персонал'!AC66</f>
        <v>0</v>
      </c>
      <c r="AL62" s="995">
        <f>'5. Персонал'!AD66</f>
        <v>0</v>
      </c>
      <c r="AM62" s="995">
        <f>'5. Персонал'!AE66</f>
        <v>0</v>
      </c>
      <c r="AN62" s="3460">
        <f>'5. Персонал'!AF66</f>
        <v>0</v>
      </c>
      <c r="AO62" s="1352">
        <f t="shared" si="112"/>
        <v>0</v>
      </c>
      <c r="AP62" s="904">
        <f t="shared" si="113"/>
        <v>0</v>
      </c>
      <c r="AQ62" s="1202">
        <f>'5. Персонал'!AG66</f>
        <v>0</v>
      </c>
      <c r="AR62" s="995">
        <f>'5. Персонал'!AH66</f>
        <v>0</v>
      </c>
      <c r="AS62" s="995">
        <f>'5. Персонал'!AI66</f>
        <v>0</v>
      </c>
      <c r="AT62" s="995">
        <f>'5. Персонал'!AJ66</f>
        <v>0</v>
      </c>
      <c r="AU62" s="995">
        <f>'5. Персонал'!AK66</f>
        <v>0</v>
      </c>
      <c r="AV62" s="3460">
        <f>'5. Персонал'!AL66</f>
        <v>0</v>
      </c>
      <c r="AW62" s="1202">
        <f t="shared" si="159"/>
        <v>75.19</v>
      </c>
      <c r="AX62" s="995">
        <f t="shared" si="160"/>
        <v>7</v>
      </c>
      <c r="AY62" s="995">
        <f t="shared" si="161"/>
        <v>7</v>
      </c>
      <c r="AZ62" s="995">
        <f t="shared" si="162"/>
        <v>7</v>
      </c>
      <c r="BA62" s="995">
        <f t="shared" si="163"/>
        <v>7</v>
      </c>
      <c r="BB62" s="1231">
        <f t="shared" si="164"/>
        <v>7</v>
      </c>
      <c r="BC62" s="3464">
        <f t="shared" si="165"/>
        <v>51.53</v>
      </c>
      <c r="BD62" s="3465">
        <f t="shared" si="166"/>
        <v>0</v>
      </c>
      <c r="BE62" s="3466">
        <f t="shared" si="167"/>
        <v>0</v>
      </c>
      <c r="BF62" s="3466">
        <f t="shared" si="168"/>
        <v>0</v>
      </c>
      <c r="BG62" s="3466">
        <f t="shared" si="169"/>
        <v>0</v>
      </c>
      <c r="BH62" s="3468">
        <f t="shared" si="170"/>
        <v>0</v>
      </c>
    </row>
    <row r="63" spans="1:60" ht="13.5" thickBot="1">
      <c r="A63" s="120">
        <v>5</v>
      </c>
      <c r="B63" s="984" t="s">
        <v>454</v>
      </c>
      <c r="C63" s="1200">
        <f>SUM(C64:C69)</f>
        <v>937.22699999999998</v>
      </c>
      <c r="D63" s="993">
        <f t="shared" ref="D63:H63" si="171">SUM(D64:D69)</f>
        <v>1059</v>
      </c>
      <c r="E63" s="1237">
        <f t="shared" si="171"/>
        <v>1223</v>
      </c>
      <c r="F63" s="1237">
        <f t="shared" si="171"/>
        <v>1406</v>
      </c>
      <c r="G63" s="1237">
        <f t="shared" si="171"/>
        <v>1617</v>
      </c>
      <c r="H63" s="1238">
        <f t="shared" si="171"/>
        <v>1858</v>
      </c>
      <c r="I63" s="1343">
        <f t="shared" si="104"/>
        <v>920.77300000000002</v>
      </c>
      <c r="J63" s="898">
        <f t="shared" si="105"/>
        <v>0.98244395434617238</v>
      </c>
      <c r="K63" s="1200">
        <f t="shared" ref="K63:P63" si="172">SUM(K64:K69)</f>
        <v>67</v>
      </c>
      <c r="L63" s="993">
        <f t="shared" si="172"/>
        <v>74.5</v>
      </c>
      <c r="M63" s="1237">
        <f t="shared" si="172"/>
        <v>83.5</v>
      </c>
      <c r="N63" s="1237">
        <f t="shared" si="172"/>
        <v>97.5</v>
      </c>
      <c r="O63" s="1237">
        <f t="shared" si="172"/>
        <v>111.5</v>
      </c>
      <c r="P63" s="1238">
        <f t="shared" si="172"/>
        <v>127.5</v>
      </c>
      <c r="Q63" s="1343">
        <f t="shared" si="106"/>
        <v>60.5</v>
      </c>
      <c r="R63" s="962">
        <f t="shared" si="107"/>
        <v>0.90298507462686572</v>
      </c>
      <c r="S63" s="1200">
        <f t="shared" ref="S63:X63" si="173">SUM(S64:S69)</f>
        <v>132</v>
      </c>
      <c r="T63" s="993">
        <f>SUM(T64:T69)</f>
        <v>148</v>
      </c>
      <c r="U63" s="1237">
        <f t="shared" si="173"/>
        <v>170</v>
      </c>
      <c r="V63" s="1237">
        <f t="shared" si="173"/>
        <v>195</v>
      </c>
      <c r="W63" s="1237">
        <f t="shared" si="173"/>
        <v>226</v>
      </c>
      <c r="X63" s="1238">
        <f t="shared" si="173"/>
        <v>259</v>
      </c>
      <c r="Y63" s="1343">
        <f t="shared" si="108"/>
        <v>127</v>
      </c>
      <c r="Z63" s="962">
        <f t="shared" si="109"/>
        <v>0.96212121212121215</v>
      </c>
      <c r="AA63" s="1200">
        <f>SUM(AA64:AA69)</f>
        <v>5.2700000000000005</v>
      </c>
      <c r="AB63" s="993">
        <f t="shared" ref="AB63:AF63" si="174">SUM(AB64:AB69)</f>
        <v>5.6000000000000005</v>
      </c>
      <c r="AC63" s="1237">
        <f t="shared" si="174"/>
        <v>6</v>
      </c>
      <c r="AD63" s="1237">
        <f t="shared" si="174"/>
        <v>7</v>
      </c>
      <c r="AE63" s="1237">
        <f>SUM(AE64:AE69)</f>
        <v>8</v>
      </c>
      <c r="AF63" s="1238">
        <f t="shared" si="174"/>
        <v>10</v>
      </c>
      <c r="AG63" s="1343">
        <f t="shared" si="110"/>
        <v>4.7299999999999995</v>
      </c>
      <c r="AH63" s="898">
        <f t="shared" si="111"/>
        <v>0.89753320683111937</v>
      </c>
      <c r="AI63" s="1200">
        <f t="shared" ref="AI63:AN63" si="175">SUM(AI64:AI69)</f>
        <v>0</v>
      </c>
      <c r="AJ63" s="993">
        <f t="shared" si="175"/>
        <v>0</v>
      </c>
      <c r="AK63" s="1237">
        <f t="shared" si="175"/>
        <v>0</v>
      </c>
      <c r="AL63" s="1237">
        <f t="shared" si="175"/>
        <v>0</v>
      </c>
      <c r="AM63" s="1237">
        <f t="shared" si="175"/>
        <v>0</v>
      </c>
      <c r="AN63" s="3459">
        <f t="shared" si="175"/>
        <v>0</v>
      </c>
      <c r="AO63" s="1343">
        <f t="shared" si="112"/>
        <v>0</v>
      </c>
      <c r="AP63" s="898">
        <f t="shared" si="113"/>
        <v>0</v>
      </c>
      <c r="AQ63" s="1200">
        <f>SUM(AQ64:AQ69)</f>
        <v>30</v>
      </c>
      <c r="AR63" s="993">
        <f t="shared" ref="AR63:AV63" si="176">SUM(AR64:AR69)</f>
        <v>31</v>
      </c>
      <c r="AS63" s="1237">
        <f t="shared" si="176"/>
        <v>36</v>
      </c>
      <c r="AT63" s="1237">
        <f t="shared" si="176"/>
        <v>43</v>
      </c>
      <c r="AU63" s="1237">
        <f t="shared" si="176"/>
        <v>50</v>
      </c>
      <c r="AV63" s="3459">
        <f t="shared" si="176"/>
        <v>58</v>
      </c>
      <c r="AW63" s="1200">
        <f t="shared" ref="AW63:BB63" si="177">SUM(AW64:AW68)</f>
        <v>1141.4970000000001</v>
      </c>
      <c r="AX63" s="993">
        <f t="shared" si="177"/>
        <v>1287.0999999999999</v>
      </c>
      <c r="AY63" s="1237">
        <f t="shared" si="177"/>
        <v>1482.5</v>
      </c>
      <c r="AZ63" s="1237">
        <f t="shared" si="177"/>
        <v>1705.5</v>
      </c>
      <c r="BA63" s="1237">
        <f t="shared" si="177"/>
        <v>1962.4999999999998</v>
      </c>
      <c r="BB63" s="3459">
        <f t="shared" si="177"/>
        <v>2254.5</v>
      </c>
      <c r="BC63" s="1200">
        <f t="shared" ref="BC63:BH63" si="178">SUM(BC64:BC68)</f>
        <v>942.49699999999996</v>
      </c>
      <c r="BD63" s="993">
        <f t="shared" si="178"/>
        <v>1064.6000000000001</v>
      </c>
      <c r="BE63" s="1237">
        <f t="shared" si="178"/>
        <v>1229</v>
      </c>
      <c r="BF63" s="1237">
        <f t="shared" si="178"/>
        <v>1413</v>
      </c>
      <c r="BG63" s="1237">
        <f t="shared" si="178"/>
        <v>1625</v>
      </c>
      <c r="BH63" s="3459">
        <f t="shared" si="178"/>
        <v>1868</v>
      </c>
    </row>
    <row r="64" spans="1:60" ht="12.75">
      <c r="A64" s="118" t="s">
        <v>108</v>
      </c>
      <c r="B64" s="985" t="s">
        <v>638</v>
      </c>
      <c r="C64" s="1202">
        <f>'5. Персонал'!C42-'5. Персонал'!C43-'5. Персонал'!C44</f>
        <v>547</v>
      </c>
      <c r="D64" s="995">
        <f>'5. Персонал'!D42-'5. Персонал'!D43-'5. Персонал'!D44</f>
        <v>630</v>
      </c>
      <c r="E64" s="995">
        <f>'5. Персонал'!E42-'5. Персонал'!E43-'5. Персонал'!E44</f>
        <v>737</v>
      </c>
      <c r="F64" s="995">
        <f>'5. Персонал'!F42-'5. Персонал'!F43-'5. Персонал'!F44</f>
        <v>853</v>
      </c>
      <c r="G64" s="995">
        <f>'5. Персонал'!G42-'5. Персонал'!G43-'5. Персонал'!G44</f>
        <v>987</v>
      </c>
      <c r="H64" s="1231">
        <f>'5. Персонал'!H42-'5. Персонал'!H43-'5. Персонал'!H44</f>
        <v>1155</v>
      </c>
      <c r="I64" s="1352">
        <f t="shared" si="104"/>
        <v>608</v>
      </c>
      <c r="J64" s="1341">
        <f t="shared" si="105"/>
        <v>1.1115173674588665</v>
      </c>
      <c r="K64" s="1202">
        <f>'5. Персонал'!I42-'5. Персонал'!I43-'5. Персонал'!I44</f>
        <v>41</v>
      </c>
      <c r="L64" s="995">
        <f>'5. Персонал'!J42-'5. Персонал'!J43-'5. Персонал'!J44</f>
        <v>47.25</v>
      </c>
      <c r="M64" s="995">
        <f>'5. Персонал'!K42-'5. Персонал'!K43-'5. Персонал'!K44</f>
        <v>53.4</v>
      </c>
      <c r="N64" s="995">
        <f>'5. Персонал'!L42-'5. Персонал'!L43-'5. Персонал'!L44</f>
        <v>62.8</v>
      </c>
      <c r="O64" s="995">
        <f>'5. Персонал'!M42-'5. Персонал'!M43-'5. Персонал'!M44</f>
        <v>71.8</v>
      </c>
      <c r="P64" s="1231">
        <f>'5. Персонал'!N42-'5. Персонал'!N43-'5. Персонал'!N44</f>
        <v>83</v>
      </c>
      <c r="Q64" s="1352">
        <f t="shared" si="106"/>
        <v>42</v>
      </c>
      <c r="R64" s="1215">
        <f t="shared" si="107"/>
        <v>1.024390243902439</v>
      </c>
      <c r="S64" s="1202">
        <f>'5. Персонал'!O42-'5. Персонал'!O43-'5. Персонал'!O44</f>
        <v>89.466999999999999</v>
      </c>
      <c r="T64" s="1230">
        <f>'5. Персонал'!P42-'5. Персонал'!P43-'5. Персонал'!P44</f>
        <v>103.38800000000001</v>
      </c>
      <c r="U64" s="1230">
        <f>'5. Персонал'!Q42-'5. Персонал'!Q43-'5. Персонал'!Q44</f>
        <v>118.38800000000001</v>
      </c>
      <c r="V64" s="1230">
        <f>'5. Персонал'!R42-'5. Персонал'!R43-'5. Персонал'!R44</f>
        <v>135.38800000000001</v>
      </c>
      <c r="W64" s="1230">
        <f>'5. Персонал'!S42-'5. Персонал'!S43-'5. Персонал'!S44</f>
        <v>157.38800000000001</v>
      </c>
      <c r="X64" s="1229">
        <f>'5. Персонал'!T42-'5. Персонал'!T43-'5. Персонал'!T44</f>
        <v>180.38800000000001</v>
      </c>
      <c r="Y64" s="1352">
        <f t="shared" si="108"/>
        <v>90.921000000000006</v>
      </c>
      <c r="Z64" s="1215">
        <f t="shared" si="109"/>
        <v>1.0162518023405278</v>
      </c>
      <c r="AA64" s="1202">
        <f>'5. Персонал'!U42-'5. Персонал'!U43-'5. Персонал'!U44</f>
        <v>3.65</v>
      </c>
      <c r="AB64" s="1230">
        <f>'5. Персонал'!V42-'5. Персонал'!V43-'5. Персонал'!V44</f>
        <v>4</v>
      </c>
      <c r="AC64" s="1230">
        <f>'5. Персонал'!W42-'5. Персонал'!W43-'5. Персонал'!W44</f>
        <v>3</v>
      </c>
      <c r="AD64" s="1230">
        <f>'5. Персонал'!X42-'5. Персонал'!X43-'5. Персонал'!X44</f>
        <v>4.2</v>
      </c>
      <c r="AE64" s="1230">
        <f>'5. Персонал'!Y42-'5. Персонал'!Y43-'5. Персонал'!Y44</f>
        <v>5</v>
      </c>
      <c r="AF64" s="1229">
        <f>'5. Персонал'!Z42-'5. Персонал'!Z43-'5. Персонал'!Z44</f>
        <v>6</v>
      </c>
      <c r="AG64" s="1352">
        <f t="shared" si="110"/>
        <v>2.35</v>
      </c>
      <c r="AH64" s="1341">
        <f t="shared" si="111"/>
        <v>0.64383561643835618</v>
      </c>
      <c r="AI64" s="1202">
        <f>'5. Персонал'!AA42-'5. Персонал'!AA43-'5. Персонал'!AA44</f>
        <v>0</v>
      </c>
      <c r="AJ64" s="995">
        <f>'5. Персонал'!AB42-'5. Персонал'!AB43-'5. Персонал'!AB44</f>
        <v>0</v>
      </c>
      <c r="AK64" s="995">
        <f>'5. Персонал'!AC42-'5. Персонал'!AC43-'5. Персонал'!AC44</f>
        <v>0</v>
      </c>
      <c r="AL64" s="995">
        <f>'5. Персонал'!AD42-'5. Персонал'!AD43-'5. Персонал'!AD44</f>
        <v>0</v>
      </c>
      <c r="AM64" s="995">
        <f>'5. Персонал'!AE42-'5. Персонал'!AE43-'5. Персонал'!AE44</f>
        <v>0</v>
      </c>
      <c r="AN64" s="3460">
        <f>'5. Персонал'!AF42-'5. Персонал'!AF43-'5. Персонал'!AF44</f>
        <v>0</v>
      </c>
      <c r="AO64" s="1352">
        <f t="shared" si="112"/>
        <v>0</v>
      </c>
      <c r="AP64" s="1341">
        <f t="shared" si="113"/>
        <v>0</v>
      </c>
      <c r="AQ64" s="3484">
        <f>'5. Персонал'!AG42-'5. Персонал'!AG43-'5. Персонал'!AG44</f>
        <v>16</v>
      </c>
      <c r="AR64" s="1230">
        <f>'5. Персонал'!AH42-'5. Персонал'!AH43-'5. Персонал'!AH44</f>
        <v>16</v>
      </c>
      <c r="AS64" s="1230">
        <f>'5. Персонал'!AI42-'5. Персонал'!AI43-'5. Персонал'!AI44</f>
        <v>20</v>
      </c>
      <c r="AT64" s="1230">
        <f>'5. Персонал'!AJ42-'5. Персонал'!AJ43-'5. Персонал'!AJ44</f>
        <v>23</v>
      </c>
      <c r="AU64" s="1230">
        <f>'5. Персонал'!AK42-'5. Персонал'!AK43-'5. Персонал'!AK44</f>
        <v>27</v>
      </c>
      <c r="AV64" s="3485">
        <f>'5. Персонал'!AL42-'5. Персонал'!AL43-'5. Персонал'!AL44</f>
        <v>31</v>
      </c>
      <c r="AW64" s="1202">
        <f t="shared" ref="AW64" si="179">C64+K64+S64+AA64+AI64</f>
        <v>681.11699999999996</v>
      </c>
      <c r="AX64" s="995">
        <f t="shared" ref="AX64" si="180">D64+L64+T64+AB64+AJ64</f>
        <v>784.63800000000003</v>
      </c>
      <c r="AY64" s="995">
        <f t="shared" ref="AY64:AY65" si="181">E64+M64+U64+AC64+AK64</f>
        <v>911.78800000000001</v>
      </c>
      <c r="AZ64" s="995">
        <f t="shared" ref="AZ64:AZ65" si="182">F64+N64+V64+AD64+AL64</f>
        <v>1055.3879999999999</v>
      </c>
      <c r="BA64" s="995">
        <f t="shared" ref="BA64:BA65" si="183">G64+O64+W64+AE64+AM64</f>
        <v>1221.1879999999999</v>
      </c>
      <c r="BB64" s="1231">
        <f t="shared" ref="BB64:BB65" si="184">H64+P64+X64+AF64+AN64</f>
        <v>1424.3879999999999</v>
      </c>
      <c r="BC64" s="3464">
        <f t="shared" ref="BC64:BC65" si="185">C64+AA64+AI64</f>
        <v>550.65</v>
      </c>
      <c r="BD64" s="3465">
        <f t="shared" ref="BD64:BD65" si="186">D64+AB64+AJ64</f>
        <v>634</v>
      </c>
      <c r="BE64" s="3466">
        <f t="shared" ref="BE64:BE65" si="187">E64+AC64+AK64</f>
        <v>740</v>
      </c>
      <c r="BF64" s="3466">
        <f t="shared" ref="BF64:BF65" si="188">F64+AD64+AL64</f>
        <v>857.2</v>
      </c>
      <c r="BG64" s="3466">
        <f t="shared" ref="BG64:BG65" si="189">G64+AE64+AM64</f>
        <v>992</v>
      </c>
      <c r="BH64" s="3468">
        <f t="shared" ref="BH64:BH65" si="190">H64+AF64+AN64</f>
        <v>1161</v>
      </c>
    </row>
    <row r="65" spans="1:60" s="743" customFormat="1" ht="12.75">
      <c r="A65" s="437" t="s">
        <v>112</v>
      </c>
      <c r="B65" s="988" t="s">
        <v>645</v>
      </c>
      <c r="C65" s="2995">
        <f>'8. Ремонтна програма'!J35</f>
        <v>95</v>
      </c>
      <c r="D65" s="1346">
        <f>'8. Ремонтна програма'!K35</f>
        <v>104</v>
      </c>
      <c r="E65" s="1223">
        <f>'8. Ремонтна програма'!L35</f>
        <v>112</v>
      </c>
      <c r="F65" s="1223">
        <f>'8. Ремонтна програма'!M35</f>
        <v>123</v>
      </c>
      <c r="G65" s="1223">
        <f>'8. Ремонтна програма'!N35</f>
        <v>135</v>
      </c>
      <c r="H65" s="3469">
        <f>'8. Ремонтна програма'!O35</f>
        <v>135</v>
      </c>
      <c r="I65" s="1346">
        <f t="shared" si="104"/>
        <v>40</v>
      </c>
      <c r="J65" s="900">
        <f t="shared" si="105"/>
        <v>0.42105263157894735</v>
      </c>
      <c r="K65" s="2995">
        <f>'8. Ремонтна програма'!J64</f>
        <v>5</v>
      </c>
      <c r="L65" s="1346">
        <f>'8. Ремонтна програма'!K64</f>
        <v>5.75</v>
      </c>
      <c r="M65" s="1223">
        <f>'8. Ремонтна програма'!L64</f>
        <v>6.6</v>
      </c>
      <c r="N65" s="1223">
        <f>'8. Ремонтна програма'!M64</f>
        <v>7.2</v>
      </c>
      <c r="O65" s="1223">
        <f>'8. Ремонтна програма'!N64</f>
        <v>8.1999999999999993</v>
      </c>
      <c r="P65" s="3469">
        <f>'8. Ремонтна програма'!O64</f>
        <v>9</v>
      </c>
      <c r="Q65" s="1346">
        <f t="shared" si="106"/>
        <v>4</v>
      </c>
      <c r="R65" s="964">
        <f t="shared" si="107"/>
        <v>0.8</v>
      </c>
      <c r="S65" s="2995">
        <f>'8. Ремонтна програма'!J90</f>
        <v>0.53300000000000003</v>
      </c>
      <c r="T65" s="1346">
        <f>'8. Ремонтна програма'!K90</f>
        <v>0.61199999999999999</v>
      </c>
      <c r="U65" s="1223">
        <f>'8. Ремонтна програма'!L90</f>
        <v>0.61199999999999999</v>
      </c>
      <c r="V65" s="1223">
        <f>'8. Ремонтна програма'!M90</f>
        <v>0.61199999999999999</v>
      </c>
      <c r="W65" s="1223">
        <f>'8. Ремонтна програма'!N90</f>
        <v>0.61199999999999999</v>
      </c>
      <c r="X65" s="3469">
        <f>'8. Ремонтна програма'!O90</f>
        <v>0.61199999999999999</v>
      </c>
      <c r="Y65" s="1346">
        <f t="shared" si="108"/>
        <v>7.8999999999999959E-2</v>
      </c>
      <c r="Z65" s="964">
        <f t="shared" si="109"/>
        <v>0.14821763602251398</v>
      </c>
      <c r="AA65" s="2995">
        <f>'8. Ремонтна програма'!J121</f>
        <v>0</v>
      </c>
      <c r="AB65" s="1346">
        <f>'8. Ремонтна програма'!K121</f>
        <v>0</v>
      </c>
      <c r="AC65" s="1223">
        <f>'8. Ремонтна програма'!L121</f>
        <v>1</v>
      </c>
      <c r="AD65" s="1223">
        <f>'8. Ремонтна програма'!M121</f>
        <v>0.8</v>
      </c>
      <c r="AE65" s="1223">
        <f>'8. Ремонтна програма'!N121</f>
        <v>1</v>
      </c>
      <c r="AF65" s="3469">
        <f>'8. Ремонтна програма'!O121</f>
        <v>1</v>
      </c>
      <c r="AG65" s="1346">
        <f t="shared" si="110"/>
        <v>1</v>
      </c>
      <c r="AH65" s="900">
        <f t="shared" si="111"/>
        <v>0</v>
      </c>
      <c r="AI65" s="1202">
        <f>'8. Ремонтна програма'!J152</f>
        <v>0</v>
      </c>
      <c r="AJ65" s="1352">
        <f>'8. Ремонтна програма'!K152</f>
        <v>0</v>
      </c>
      <c r="AK65" s="1226">
        <f>'8. Ремонтна програма'!L152</f>
        <v>0</v>
      </c>
      <c r="AL65" s="1226">
        <f>'8. Ремонтна програма'!M152</f>
        <v>0</v>
      </c>
      <c r="AM65" s="1226">
        <f>'8. Ремонтна програма'!N152</f>
        <v>0</v>
      </c>
      <c r="AN65" s="3460">
        <f>'8. Ремонтна програма'!O152</f>
        <v>0</v>
      </c>
      <c r="AO65" s="1346">
        <f t="shared" si="112"/>
        <v>0</v>
      </c>
      <c r="AP65" s="900">
        <f t="shared" si="113"/>
        <v>0</v>
      </c>
      <c r="AQ65" s="1202">
        <f>'5. Персонал'!AG43</f>
        <v>4</v>
      </c>
      <c r="AR65" s="1231">
        <f>'5. Персонал'!AH43</f>
        <v>5</v>
      </c>
      <c r="AS65" s="1226">
        <f>'5. Персонал'!AI43</f>
        <v>5</v>
      </c>
      <c r="AT65" s="1226">
        <f>'5. Персонал'!AJ43</f>
        <v>6</v>
      </c>
      <c r="AU65" s="1226">
        <f>'5. Персонал'!AK43</f>
        <v>7</v>
      </c>
      <c r="AV65" s="3460">
        <f>'5. Персонал'!AL43</f>
        <v>8</v>
      </c>
      <c r="AW65" s="1202">
        <f>C65+K65+S65+AA65+AI65</f>
        <v>100.533</v>
      </c>
      <c r="AX65" s="3443">
        <f>D65+L65+T65+AB65+AJ65</f>
        <v>110.36199999999999</v>
      </c>
      <c r="AY65" s="3443">
        <f t="shared" si="181"/>
        <v>120.21199999999999</v>
      </c>
      <c r="AZ65" s="3443">
        <f t="shared" si="182"/>
        <v>131.61199999999999</v>
      </c>
      <c r="BA65" s="3443">
        <f t="shared" si="183"/>
        <v>144.81199999999998</v>
      </c>
      <c r="BB65" s="3444">
        <f t="shared" si="184"/>
        <v>145.61199999999999</v>
      </c>
      <c r="BC65" s="3464">
        <f t="shared" si="185"/>
        <v>95</v>
      </c>
      <c r="BD65" s="3465">
        <f t="shared" si="186"/>
        <v>104</v>
      </c>
      <c r="BE65" s="3466">
        <f t="shared" si="187"/>
        <v>113</v>
      </c>
      <c r="BF65" s="3466">
        <f t="shared" si="188"/>
        <v>123.8</v>
      </c>
      <c r="BG65" s="3466">
        <f t="shared" si="189"/>
        <v>136</v>
      </c>
      <c r="BH65" s="3468">
        <f t="shared" si="190"/>
        <v>136</v>
      </c>
    </row>
    <row r="66" spans="1:60" s="743" customFormat="1" ht="36">
      <c r="A66" s="437" t="s">
        <v>86</v>
      </c>
      <c r="B66" s="988" t="s">
        <v>1849</v>
      </c>
      <c r="C66" s="2995">
        <f>'5. Персонал'!C67</f>
        <v>11.227</v>
      </c>
      <c r="D66" s="1346">
        <f>'5. Персонал'!D67</f>
        <v>0</v>
      </c>
      <c r="E66" s="1223">
        <f>'5. Персонал'!E67</f>
        <v>0</v>
      </c>
      <c r="F66" s="1223">
        <f>'5. Персонал'!F67</f>
        <v>0</v>
      </c>
      <c r="G66" s="4715">
        <f>'5. Персонал'!G67</f>
        <v>0</v>
      </c>
      <c r="H66" s="4716">
        <f>'5. Персонал'!H67</f>
        <v>0</v>
      </c>
      <c r="I66" s="1346">
        <f t="shared" ref="I66" si="191">H66-C66</f>
        <v>-11.227</v>
      </c>
      <c r="J66" s="900">
        <f t="shared" ref="J66" si="192">IFERROR((H66-C66)/C66,0)</f>
        <v>-1</v>
      </c>
      <c r="K66" s="2995">
        <f>'5. Персонал'!I67</f>
        <v>2</v>
      </c>
      <c r="L66" s="1346">
        <f>'5. Персонал'!J67</f>
        <v>0.5</v>
      </c>
      <c r="M66" s="1223">
        <f>'5. Персонал'!K67</f>
        <v>0.5</v>
      </c>
      <c r="N66" s="1223">
        <f>'5. Персонал'!L67</f>
        <v>0.5</v>
      </c>
      <c r="O66" s="1223">
        <f>'5. Персонал'!M67</f>
        <v>0.5</v>
      </c>
      <c r="P66" s="3469">
        <f>'5. Персонал'!N67</f>
        <v>0.5</v>
      </c>
      <c r="Q66" s="1346">
        <f t="shared" ref="Q66:Q69" si="193">P66-K66</f>
        <v>-1.5</v>
      </c>
      <c r="R66" s="964">
        <f t="shared" ref="R66:R69" si="194">IFERROR((P66-K66)/K66,0)</f>
        <v>-0.75</v>
      </c>
      <c r="S66" s="2995">
        <f>'5. Персонал'!O67</f>
        <v>2</v>
      </c>
      <c r="T66" s="1346">
        <f>'5. Персонал'!P67</f>
        <v>1</v>
      </c>
      <c r="U66" s="1223">
        <f>'5. Персонал'!Q67</f>
        <v>1</v>
      </c>
      <c r="V66" s="1223">
        <f>'5. Персонал'!R67</f>
        <v>1</v>
      </c>
      <c r="W66" s="1223">
        <f>'5. Персонал'!S67</f>
        <v>1</v>
      </c>
      <c r="X66" s="3469">
        <f>'5. Персонал'!T67</f>
        <v>1</v>
      </c>
      <c r="Y66" s="1346">
        <f t="shared" ref="Y66:Y69" si="195">X66-S66</f>
        <v>-1</v>
      </c>
      <c r="Z66" s="964">
        <f t="shared" ref="Z66:Z69" si="196">IFERROR((X66-S66)/S66,0)</f>
        <v>-0.5</v>
      </c>
      <c r="AA66" s="2995">
        <f>'5. Персонал'!U67</f>
        <v>0</v>
      </c>
      <c r="AB66" s="1346">
        <f>'5. Персонал'!V67</f>
        <v>0</v>
      </c>
      <c r="AC66" s="1223">
        <f>'5. Персонал'!W67</f>
        <v>0</v>
      </c>
      <c r="AD66" s="1223">
        <f>'5. Персонал'!X67</f>
        <v>0</v>
      </c>
      <c r="AE66" s="1223">
        <f>'5. Персонал'!Y67</f>
        <v>0</v>
      </c>
      <c r="AF66" s="3469">
        <f>'5. Персонал'!Z67</f>
        <v>0</v>
      </c>
      <c r="AG66" s="1346">
        <f t="shared" ref="AG66:AG69" si="197">AF66-AA66</f>
        <v>0</v>
      </c>
      <c r="AH66" s="900">
        <f t="shared" ref="AH66:AH69" si="198">IFERROR((AF66-AA66)/AA66,0)</f>
        <v>0</v>
      </c>
      <c r="AI66" s="1202">
        <f>'5. Персонал'!AA67</f>
        <v>0</v>
      </c>
      <c r="AJ66" s="1352">
        <f>'5. Персонал'!AB67</f>
        <v>0</v>
      </c>
      <c r="AK66" s="1226">
        <f>'5. Персонал'!AC67</f>
        <v>0</v>
      </c>
      <c r="AL66" s="1226">
        <f>'5. Персонал'!AD67</f>
        <v>0</v>
      </c>
      <c r="AM66" s="1226">
        <f>'5. Персонал'!AE67</f>
        <v>0</v>
      </c>
      <c r="AN66" s="3460">
        <f>'5. Персонал'!AF67</f>
        <v>0</v>
      </c>
      <c r="AO66" s="1346">
        <f t="shared" ref="AO66:AO69" si="199">AN66-AI66</f>
        <v>0</v>
      </c>
      <c r="AP66" s="900">
        <f t="shared" ref="AP66:AP69" si="200">IFERROR((AN66-AI66)/AI66,0)</f>
        <v>0</v>
      </c>
      <c r="AQ66" s="1202">
        <f>'5. Персонал'!AG67</f>
        <v>0</v>
      </c>
      <c r="AR66" s="1231">
        <f>'5. Персонал'!AH67</f>
        <v>0</v>
      </c>
      <c r="AS66" s="1226">
        <f>'5. Персонал'!AI67</f>
        <v>0</v>
      </c>
      <c r="AT66" s="1226">
        <f>'5. Персонал'!AJ67</f>
        <v>0</v>
      </c>
      <c r="AU66" s="1226">
        <f>'5. Персонал'!AK67</f>
        <v>0</v>
      </c>
      <c r="AV66" s="3460">
        <f>'5. Персонал'!AL67</f>
        <v>0</v>
      </c>
      <c r="AW66" s="1202">
        <f t="shared" ref="AW66:AW69" si="201">C66+K66+S66+AA66+AI66</f>
        <v>15.227</v>
      </c>
      <c r="AX66" s="3443">
        <f t="shared" ref="AX66:AX69" si="202">D66+L66+T66+AB66+AJ66</f>
        <v>1.5</v>
      </c>
      <c r="AY66" s="3443">
        <f t="shared" ref="AY66:AY68" si="203">E66+M66+U66+AC66+AK66</f>
        <v>1.5</v>
      </c>
      <c r="AZ66" s="3443">
        <f t="shared" ref="AZ66:AZ69" si="204">F66+N66+V66+AD66+AL66</f>
        <v>1.5</v>
      </c>
      <c r="BA66" s="3443">
        <f t="shared" ref="BA66:BA69" si="205">G66+O66+W66+AE66+AM66</f>
        <v>1.5</v>
      </c>
      <c r="BB66" s="3444">
        <f t="shared" ref="BB66:BB69" si="206">H66+P66+X66+AF66+AN66</f>
        <v>1.5</v>
      </c>
      <c r="BC66" s="3464">
        <f t="shared" ref="BC66:BC69" si="207">C66+AA66+AI66</f>
        <v>11.227</v>
      </c>
      <c r="BD66" s="3465">
        <f t="shared" ref="BD66:BD69" si="208">D66+AB66+AJ66</f>
        <v>0</v>
      </c>
      <c r="BE66" s="3466">
        <f t="shared" ref="BE66:BE69" si="209">E66+AC66+AK66</f>
        <v>0</v>
      </c>
      <c r="BF66" s="3466">
        <f t="shared" ref="BF66:BF69" si="210">F66+AD66+AL66</f>
        <v>0</v>
      </c>
      <c r="BG66" s="3466">
        <f t="shared" ref="BG66:BG69" si="211">G66+AE66+AM66</f>
        <v>0</v>
      </c>
      <c r="BH66" s="3468">
        <f t="shared" ref="BH66:BH69" si="212">H66+AF66+AN66</f>
        <v>0</v>
      </c>
    </row>
    <row r="67" spans="1:60" ht="12.75">
      <c r="A67" s="437" t="s">
        <v>87</v>
      </c>
      <c r="B67" s="988" t="s">
        <v>1334</v>
      </c>
      <c r="C67" s="1202">
        <f>'5. Персонал'!C46-'5. Персонал'!C47-'5. Персонал'!C48</f>
        <v>251.92024000000015</v>
      </c>
      <c r="D67" s="995">
        <f>'5. Персонал'!D46-'5. Персонал'!D47-'5. Персонал'!D48</f>
        <v>293.38000000000011</v>
      </c>
      <c r="E67" s="995">
        <f>'5. Персонал'!E46-'5. Персонал'!E47-'5. Персонал'!E48</f>
        <v>342.38000000000011</v>
      </c>
      <c r="F67" s="995">
        <f>'5. Персонал'!F46-'5. Персонал'!F47-'5. Персонал'!F48</f>
        <v>398.38000000000011</v>
      </c>
      <c r="G67" s="995">
        <f>'5. Персонал'!G46-'5. Персонал'!G47-'5. Персонал'!G48</f>
        <v>463.38000000000011</v>
      </c>
      <c r="H67" s="1231">
        <f>'5. Персонал'!H46-'5. Персонал'!H47-'5. Персонал'!H48</f>
        <v>536.38000000000011</v>
      </c>
      <c r="I67" s="1352">
        <f t="shared" si="104"/>
        <v>284.45975999999996</v>
      </c>
      <c r="J67" s="904">
        <f t="shared" si="105"/>
        <v>1.1291659614169938</v>
      </c>
      <c r="K67" s="1202">
        <f>'5. Персонал'!I46-'5. Персонал'!I47-'5. Персонал'!I48</f>
        <v>16.463629999999995</v>
      </c>
      <c r="L67" s="995">
        <f>'5. Персонал'!J46-'5. Персонал'!J47-'5. Персонал'!J48</f>
        <v>17.944999999999993</v>
      </c>
      <c r="M67" s="995">
        <f>'5. Персонал'!K46-'5. Персонал'!K47-'5. Персонал'!K48</f>
        <v>19.044999999999995</v>
      </c>
      <c r="N67" s="995">
        <f>'5. Персонал'!L46-'5. Персонал'!L47-'5. Персонал'!L48</f>
        <v>22.644999999999992</v>
      </c>
      <c r="O67" s="995">
        <f>'5. Персонал'!M46-'5. Персонал'!M47-'5. Персонал'!M48</f>
        <v>26.644999999999992</v>
      </c>
      <c r="P67" s="1231">
        <f>'5. Персонал'!N46-'5. Персонал'!N47-'5. Персонал'!N48</f>
        <v>31.444999999999993</v>
      </c>
      <c r="Q67" s="1346">
        <f t="shared" si="193"/>
        <v>14.981369999999998</v>
      </c>
      <c r="R67" s="964">
        <f t="shared" si="194"/>
        <v>0.90996760738670657</v>
      </c>
      <c r="S67" s="1202">
        <f>'5. Персонал'!O46-'5. Персонал'!O47-'5. Персонал'!O48</f>
        <v>39.571089999999998</v>
      </c>
      <c r="T67" s="995">
        <f>'5. Персонал'!P46-'5. Персонал'!P47-'5. Персонал'!P48</f>
        <v>41.771999999999998</v>
      </c>
      <c r="U67" s="995">
        <f>'5. Персонал'!Q46-'5. Персонал'!Q47-'5. Персонал'!Q48</f>
        <v>48.771999999999998</v>
      </c>
      <c r="V67" s="995">
        <f>'5. Персонал'!R46-'5. Персонал'!R47-'5. Персонал'!R48</f>
        <v>56.771999999999998</v>
      </c>
      <c r="W67" s="995">
        <f>'5. Персонал'!S46-'5. Персонал'!S47-'5. Персонал'!S48</f>
        <v>65.772000000000006</v>
      </c>
      <c r="X67" s="1231">
        <f>'5. Персонал'!T46-'5. Персонал'!T47-'5. Персонал'!T48</f>
        <v>75.772000000000006</v>
      </c>
      <c r="Y67" s="1346">
        <f t="shared" si="195"/>
        <v>36.200910000000007</v>
      </c>
      <c r="Z67" s="964">
        <f t="shared" si="196"/>
        <v>0.91483226769846393</v>
      </c>
      <c r="AA67" s="1202">
        <f>'5. Персонал'!U46-'5. Персонал'!U47-'5. Персонал'!U48</f>
        <v>1.4900000000000002</v>
      </c>
      <c r="AB67" s="995">
        <f>'5. Персонал'!V46-'5. Персонал'!V47-'5. Персонал'!V48</f>
        <v>1.4700000000000002</v>
      </c>
      <c r="AC67" s="995">
        <f>'5. Персонал'!W46-'5. Персонал'!W47-'5. Персонал'!W48</f>
        <v>0.80000000000000071</v>
      </c>
      <c r="AD67" s="995">
        <f>'5. Персонал'!X46-'5. Персонал'!X47-'5. Персонал'!X48</f>
        <v>0.6350000000000009</v>
      </c>
      <c r="AE67" s="995">
        <f>'5. Персонал'!Y46-'5. Персонал'!Y47-'5. Персонал'!Y48</f>
        <v>1.3010000000000019</v>
      </c>
      <c r="AF67" s="1231">
        <f>'5. Персонал'!Z46-'5. Персонал'!Z47-'5. Персонал'!Z48</f>
        <v>2</v>
      </c>
      <c r="AG67" s="1346">
        <f t="shared" si="197"/>
        <v>0.50999999999999979</v>
      </c>
      <c r="AH67" s="900">
        <f t="shared" si="198"/>
        <v>0.34228187919463066</v>
      </c>
      <c r="AI67" s="1202">
        <f>'5. Персонал'!AA46-'5. Персонал'!AA47-'5. Персонал'!AA48</f>
        <v>0</v>
      </c>
      <c r="AJ67" s="995">
        <f>'5. Персонал'!AB46-'5. Персонал'!AB47-'5. Персонал'!AB48</f>
        <v>0</v>
      </c>
      <c r="AK67" s="995">
        <f>'5. Персонал'!AC46-'5. Персонал'!AC47-'5. Персонал'!AC48</f>
        <v>0</v>
      </c>
      <c r="AL67" s="995">
        <f>'5. Персонал'!AD46-'5. Персонал'!AD47-'5. Персонал'!AD48</f>
        <v>0</v>
      </c>
      <c r="AM67" s="995">
        <f>'5. Персонал'!AE46-'5. Персонал'!AE47-'5. Персонал'!AE48</f>
        <v>0</v>
      </c>
      <c r="AN67" s="3460">
        <f>'5. Персонал'!AF46-'5. Персонал'!AF47-'5. Персонал'!AF48</f>
        <v>0</v>
      </c>
      <c r="AO67" s="1346">
        <f t="shared" si="199"/>
        <v>0</v>
      </c>
      <c r="AP67" s="900">
        <f t="shared" si="200"/>
        <v>0</v>
      </c>
      <c r="AQ67" s="1202">
        <f>'5. Персонал'!AG46-'5. Персонал'!AG47-'5. Персонал'!AG48</f>
        <v>10</v>
      </c>
      <c r="AR67" s="995">
        <f>'5. Персонал'!AH46-'5. Персонал'!AH47-'5. Персонал'!AH48</f>
        <v>10</v>
      </c>
      <c r="AS67" s="995">
        <f>'5. Персонал'!AI46-'5. Персонал'!AI47-'5. Персонал'!AI48</f>
        <v>11</v>
      </c>
      <c r="AT67" s="995">
        <f>'5. Персонал'!AJ46-'5. Персонал'!AJ47-'5. Персонал'!AJ48</f>
        <v>14</v>
      </c>
      <c r="AU67" s="995">
        <f>'5. Персонал'!AK46-'5. Персонал'!AK47-'5. Персонал'!AK48</f>
        <v>16</v>
      </c>
      <c r="AV67" s="3460">
        <f>'5. Персонал'!AL46-'5. Персонал'!AL47-'5. Персонал'!AL48</f>
        <v>19</v>
      </c>
      <c r="AW67" s="1202">
        <f t="shared" si="201"/>
        <v>309.44496000000015</v>
      </c>
      <c r="AX67" s="3443">
        <f t="shared" si="202"/>
        <v>354.56700000000012</v>
      </c>
      <c r="AY67" s="3443">
        <f t="shared" si="203"/>
        <v>410.99700000000013</v>
      </c>
      <c r="AZ67" s="3443">
        <f t="shared" si="204"/>
        <v>478.43200000000007</v>
      </c>
      <c r="BA67" s="3443">
        <f t="shared" si="205"/>
        <v>557.09800000000018</v>
      </c>
      <c r="BB67" s="3444">
        <f t="shared" si="206"/>
        <v>645.59700000000009</v>
      </c>
      <c r="BC67" s="3464">
        <f t="shared" si="207"/>
        <v>253.41024000000016</v>
      </c>
      <c r="BD67" s="3465">
        <f t="shared" si="208"/>
        <v>294.85000000000014</v>
      </c>
      <c r="BE67" s="3466">
        <f t="shared" si="209"/>
        <v>343.18000000000012</v>
      </c>
      <c r="BF67" s="3466">
        <f t="shared" si="210"/>
        <v>399.0150000000001</v>
      </c>
      <c r="BG67" s="3466">
        <f t="shared" si="211"/>
        <v>464.6810000000001</v>
      </c>
      <c r="BH67" s="3468">
        <f t="shared" si="212"/>
        <v>538.38000000000011</v>
      </c>
    </row>
    <row r="68" spans="1:60" s="743" customFormat="1" ht="24">
      <c r="A68" s="4710" t="s">
        <v>1305</v>
      </c>
      <c r="B68" s="4711" t="s">
        <v>1335</v>
      </c>
      <c r="C68" s="2995">
        <f>'8. Ремонтна програма'!J37</f>
        <v>32.079759999999851</v>
      </c>
      <c r="D68" s="1346">
        <f>'8. Ремонтна програма'!K37</f>
        <v>31.619999999999891</v>
      </c>
      <c r="E68" s="1223">
        <f>'8. Ремонтна програма'!L37</f>
        <v>31.619999999999891</v>
      </c>
      <c r="F68" s="1223">
        <f>'8. Ремонтна програма'!M37</f>
        <v>31.619999999999891</v>
      </c>
      <c r="G68" s="1223">
        <f>'8. Ремонтна програма'!N37</f>
        <v>31.619999999999891</v>
      </c>
      <c r="H68" s="3469">
        <f>'8. Ремонтна програма'!O37</f>
        <v>31.619999999999891</v>
      </c>
      <c r="I68" s="1346">
        <f t="shared" si="104"/>
        <v>-0.4597599999999602</v>
      </c>
      <c r="J68" s="900">
        <f t="shared" si="105"/>
        <v>-1.4331778043226082E-2</v>
      </c>
      <c r="K68" s="2995">
        <f>'8. Ремонтна програма'!J66</f>
        <v>2.5363700000000051</v>
      </c>
      <c r="L68" s="1346">
        <f>'8. Ремонтна програма'!K66</f>
        <v>3.0550000000000068</v>
      </c>
      <c r="M68" s="1223">
        <f>'8. Ремонтна програма'!L66</f>
        <v>3.9550000000000072</v>
      </c>
      <c r="N68" s="1223">
        <f>'8. Ремонтна програма'!M66</f>
        <v>4.3550000000000066</v>
      </c>
      <c r="O68" s="1223">
        <f>'8. Ремонтна програма'!N66</f>
        <v>4.3550000000000075</v>
      </c>
      <c r="P68" s="3469">
        <f>'8. Ремонтна програма'!O66</f>
        <v>3.5550000000000068</v>
      </c>
      <c r="Q68" s="1346">
        <f t="shared" si="193"/>
        <v>1.0186300000000017</v>
      </c>
      <c r="R68" s="964">
        <f t="shared" si="194"/>
        <v>0.4016093866431158</v>
      </c>
      <c r="S68" s="2995">
        <f>'8. Ремонтна програма'!J92</f>
        <v>0.42891000000000001</v>
      </c>
      <c r="T68" s="1346">
        <f>'8. Ремонтна програма'!K92</f>
        <v>1.2279999999999998</v>
      </c>
      <c r="U68" s="1223">
        <f>'8. Ремонтна програма'!L92</f>
        <v>1.2279999999999998</v>
      </c>
      <c r="V68" s="1223">
        <f>'8. Ремонтна програма'!M92</f>
        <v>1.2279999999999998</v>
      </c>
      <c r="W68" s="1223">
        <f>'8. Ремонтна програма'!N92</f>
        <v>1.2279999999999998</v>
      </c>
      <c r="X68" s="3469">
        <f>'8. Ремонтна програма'!O92</f>
        <v>1.2279999999999998</v>
      </c>
      <c r="Y68" s="1346">
        <f t="shared" si="195"/>
        <v>0.79908999999999974</v>
      </c>
      <c r="Z68" s="964">
        <f t="shared" si="196"/>
        <v>1.8630715068429267</v>
      </c>
      <c r="AA68" s="2995">
        <f>'8. Ремонтна програма'!J123</f>
        <v>0.13</v>
      </c>
      <c r="AB68" s="1346">
        <f>'8. Ремонтна програма'!K123</f>
        <v>0.13</v>
      </c>
      <c r="AC68" s="1223">
        <f>'8. Ремонтна програма'!L123</f>
        <v>1.1999999999999993</v>
      </c>
      <c r="AD68" s="1223">
        <f>'8. Ремонтна програма'!M123</f>
        <v>1.3649999999999991</v>
      </c>
      <c r="AE68" s="1223">
        <f>'8. Ремонтна програма'!N123</f>
        <v>0.69899999999999807</v>
      </c>
      <c r="AF68" s="3469">
        <f>'8. Ремонтна програма'!O123</f>
        <v>1</v>
      </c>
      <c r="AG68" s="1346">
        <f t="shared" si="197"/>
        <v>0.87</v>
      </c>
      <c r="AH68" s="900">
        <f t="shared" si="198"/>
        <v>6.6923076923076916</v>
      </c>
      <c r="AI68" s="1202">
        <f>'8. Ремонтна програма'!J154</f>
        <v>0</v>
      </c>
      <c r="AJ68" s="1352">
        <f>'8. Ремонтна програма'!K154</f>
        <v>0</v>
      </c>
      <c r="AK68" s="1226">
        <f>'8. Ремонтна програма'!L154</f>
        <v>0</v>
      </c>
      <c r="AL68" s="1226">
        <f>'8. Ремонтна програма'!M154</f>
        <v>0</v>
      </c>
      <c r="AM68" s="1226">
        <f>'8. Ремонтна програма'!N154</f>
        <v>0</v>
      </c>
      <c r="AN68" s="3460">
        <f>'8. Ремонтна програма'!O154</f>
        <v>0</v>
      </c>
      <c r="AO68" s="1346">
        <f t="shared" si="199"/>
        <v>0</v>
      </c>
      <c r="AP68" s="900">
        <f t="shared" si="200"/>
        <v>0</v>
      </c>
      <c r="AQ68" s="1202">
        <f>'5. Персонал'!AG47</f>
        <v>0</v>
      </c>
      <c r="AR68" s="1231">
        <f>'5. Персонал'!AH47</f>
        <v>0</v>
      </c>
      <c r="AS68" s="1226">
        <f>'5. Персонал'!AI47</f>
        <v>0</v>
      </c>
      <c r="AT68" s="1226">
        <f>'5. Персонал'!AJ47</f>
        <v>0</v>
      </c>
      <c r="AU68" s="1226">
        <f>'5. Персонал'!AK47</f>
        <v>0</v>
      </c>
      <c r="AV68" s="3460">
        <f>'5. Персонал'!AL47</f>
        <v>0</v>
      </c>
      <c r="AW68" s="1202">
        <f t="shared" si="201"/>
        <v>35.175039999999861</v>
      </c>
      <c r="AX68" s="3443">
        <f t="shared" si="202"/>
        <v>36.032999999999902</v>
      </c>
      <c r="AY68" s="3443">
        <f t="shared" si="203"/>
        <v>38.002999999999901</v>
      </c>
      <c r="AZ68" s="3443">
        <f t="shared" si="204"/>
        <v>38.567999999999898</v>
      </c>
      <c r="BA68" s="3443">
        <f t="shared" si="205"/>
        <v>37.901999999999894</v>
      </c>
      <c r="BB68" s="3444">
        <f t="shared" si="206"/>
        <v>37.402999999999899</v>
      </c>
      <c r="BC68" s="3464">
        <f t="shared" si="207"/>
        <v>32.209759999999854</v>
      </c>
      <c r="BD68" s="3465">
        <f t="shared" si="208"/>
        <v>31.74999999999989</v>
      </c>
      <c r="BE68" s="3466">
        <f t="shared" si="209"/>
        <v>32.819999999999894</v>
      </c>
      <c r="BF68" s="3466">
        <f t="shared" si="210"/>
        <v>32.984999999999893</v>
      </c>
      <c r="BG68" s="3466">
        <f t="shared" si="211"/>
        <v>32.318999999999889</v>
      </c>
      <c r="BH68" s="3468">
        <f t="shared" si="212"/>
        <v>32.619999999999891</v>
      </c>
    </row>
    <row r="69" spans="1:60" ht="43.5" customHeight="1" thickBot="1">
      <c r="A69" s="4707" t="s">
        <v>1306</v>
      </c>
      <c r="B69" s="4709" t="s">
        <v>1850</v>
      </c>
      <c r="C69" s="3904">
        <f>'5. Персонал'!C68</f>
        <v>0</v>
      </c>
      <c r="D69" s="4712">
        <f>'5. Персонал'!D68</f>
        <v>0</v>
      </c>
      <c r="E69" s="4712">
        <f>'5. Персонал'!E68</f>
        <v>0</v>
      </c>
      <c r="F69" s="4712">
        <f>'5. Персонал'!F68</f>
        <v>0</v>
      </c>
      <c r="G69" s="4712">
        <f>'5. Персонал'!G68</f>
        <v>0</v>
      </c>
      <c r="H69" s="4713">
        <f>'5. Персонал'!H68</f>
        <v>0</v>
      </c>
      <c r="I69" s="1346">
        <f t="shared" ref="I69" si="213">H69-C69</f>
        <v>0</v>
      </c>
      <c r="J69" s="900">
        <f t="shared" ref="J69" si="214">IFERROR((H69-C69)/C69,0)</f>
        <v>0</v>
      </c>
      <c r="K69" s="3904">
        <f>'5. Персонал'!I68</f>
        <v>0</v>
      </c>
      <c r="L69" s="4712">
        <f>'5. Персонал'!J68</f>
        <v>0</v>
      </c>
      <c r="M69" s="4712">
        <f>'5. Персонал'!K68</f>
        <v>0</v>
      </c>
      <c r="N69" s="4712">
        <f>'5. Персонал'!L68</f>
        <v>0</v>
      </c>
      <c r="O69" s="4712">
        <f>'5. Персонал'!M68</f>
        <v>0</v>
      </c>
      <c r="P69" s="4713">
        <f>'5. Персонал'!N68</f>
        <v>0</v>
      </c>
      <c r="Q69" s="1346">
        <f t="shared" si="193"/>
        <v>0</v>
      </c>
      <c r="R69" s="964">
        <f t="shared" si="194"/>
        <v>0</v>
      </c>
      <c r="S69" s="3904">
        <f>'5. Персонал'!O68</f>
        <v>0</v>
      </c>
      <c r="T69" s="4712">
        <f>'5. Персонал'!P68</f>
        <v>0</v>
      </c>
      <c r="U69" s="4712">
        <f>'5. Персонал'!Q68</f>
        <v>0</v>
      </c>
      <c r="V69" s="4712">
        <f>'5. Персонал'!R68</f>
        <v>0</v>
      </c>
      <c r="W69" s="4712">
        <f>'5. Персонал'!S68</f>
        <v>0</v>
      </c>
      <c r="X69" s="4713">
        <f>'5. Персонал'!T68</f>
        <v>0</v>
      </c>
      <c r="Y69" s="1346">
        <f t="shared" si="195"/>
        <v>0</v>
      </c>
      <c r="Z69" s="964">
        <f t="shared" si="196"/>
        <v>0</v>
      </c>
      <c r="AA69" s="3904">
        <f>'5. Персонал'!U68</f>
        <v>0</v>
      </c>
      <c r="AB69" s="4712">
        <f>'5. Персонал'!V68</f>
        <v>0</v>
      </c>
      <c r="AC69" s="4712">
        <f>'5. Персонал'!W68</f>
        <v>0</v>
      </c>
      <c r="AD69" s="4712">
        <f>'5. Персонал'!X68</f>
        <v>0</v>
      </c>
      <c r="AE69" s="4712">
        <f>'5. Персонал'!Y68</f>
        <v>0</v>
      </c>
      <c r="AF69" s="4713">
        <f>'5. Персонал'!Z68</f>
        <v>0</v>
      </c>
      <c r="AG69" s="1346">
        <f t="shared" si="197"/>
        <v>0</v>
      </c>
      <c r="AH69" s="900">
        <f t="shared" si="198"/>
        <v>0</v>
      </c>
      <c r="AI69" s="3904">
        <f>'5. Персонал'!AA68</f>
        <v>0</v>
      </c>
      <c r="AJ69" s="4712">
        <f>'5. Персонал'!AB68</f>
        <v>0</v>
      </c>
      <c r="AK69" s="4712">
        <f>'5. Персонал'!AC68</f>
        <v>0</v>
      </c>
      <c r="AL69" s="4712">
        <f>'5. Персонал'!AD68</f>
        <v>0</v>
      </c>
      <c r="AM69" s="4712">
        <f>'5. Персонал'!AE68</f>
        <v>0</v>
      </c>
      <c r="AN69" s="4708">
        <f>'5. Персонал'!AF68</f>
        <v>0</v>
      </c>
      <c r="AO69" s="1346">
        <f t="shared" si="199"/>
        <v>0</v>
      </c>
      <c r="AP69" s="900">
        <f t="shared" si="200"/>
        <v>0</v>
      </c>
      <c r="AQ69" s="3904">
        <f>'5. Персонал'!AG68</f>
        <v>0</v>
      </c>
      <c r="AR69" s="4712">
        <f>'5. Персонал'!AH68</f>
        <v>0</v>
      </c>
      <c r="AS69" s="4712">
        <f>'5. Персонал'!AI68</f>
        <v>0</v>
      </c>
      <c r="AT69" s="4712">
        <f>'5. Персонал'!AJ68</f>
        <v>0</v>
      </c>
      <c r="AU69" s="4712">
        <f>'5. Персонал'!AK68</f>
        <v>0</v>
      </c>
      <c r="AV69" s="4708">
        <f>'5. Персонал'!AL68</f>
        <v>0</v>
      </c>
      <c r="AW69" s="1202">
        <f t="shared" si="201"/>
        <v>0</v>
      </c>
      <c r="AX69" s="3443">
        <f t="shared" si="202"/>
        <v>0</v>
      </c>
      <c r="AY69" s="3443">
        <f>E69+M69+U69+AC69+AK69</f>
        <v>0</v>
      </c>
      <c r="AZ69" s="3443">
        <f t="shared" si="204"/>
        <v>0</v>
      </c>
      <c r="BA69" s="3443">
        <f t="shared" si="205"/>
        <v>0</v>
      </c>
      <c r="BB69" s="3444">
        <f t="shared" si="206"/>
        <v>0</v>
      </c>
      <c r="BC69" s="3464">
        <f t="shared" si="207"/>
        <v>0</v>
      </c>
      <c r="BD69" s="3465">
        <f t="shared" si="208"/>
        <v>0</v>
      </c>
      <c r="BE69" s="3466">
        <f t="shared" si="209"/>
        <v>0</v>
      </c>
      <c r="BF69" s="3466">
        <f t="shared" si="210"/>
        <v>0</v>
      </c>
      <c r="BG69" s="3466">
        <f t="shared" si="211"/>
        <v>0</v>
      </c>
      <c r="BH69" s="3468">
        <f t="shared" si="212"/>
        <v>0</v>
      </c>
    </row>
    <row r="70" spans="1:60" ht="13.5" thickBot="1">
      <c r="A70" s="120">
        <v>6</v>
      </c>
      <c r="B70" s="984" t="s">
        <v>455</v>
      </c>
      <c r="C70" s="1200">
        <f t="shared" ref="C70:AV70" si="215">SUM(C71:C75)</f>
        <v>670</v>
      </c>
      <c r="D70" s="2986">
        <f t="shared" si="215"/>
        <v>491.88799999999998</v>
      </c>
      <c r="E70" s="1237">
        <f t="shared" si="215"/>
        <v>362.50907030870906</v>
      </c>
      <c r="F70" s="1237">
        <f t="shared" si="215"/>
        <v>307.64298344395417</v>
      </c>
      <c r="G70" s="1237">
        <f t="shared" si="215"/>
        <v>275.97689657920051</v>
      </c>
      <c r="H70" s="3459">
        <f t="shared" si="215"/>
        <v>253.83224767737221</v>
      </c>
      <c r="I70" s="1343">
        <f t="shared" si="104"/>
        <v>-416.16775232262779</v>
      </c>
      <c r="J70" s="898">
        <f t="shared" si="105"/>
        <v>-0.62114589898899675</v>
      </c>
      <c r="K70" s="1200">
        <f t="shared" si="215"/>
        <v>9</v>
      </c>
      <c r="L70" s="2986">
        <f t="shared" si="215"/>
        <v>9.3999999999999986</v>
      </c>
      <c r="M70" s="1237">
        <f t="shared" si="215"/>
        <v>9.3999999999999986</v>
      </c>
      <c r="N70" s="1237">
        <f t="shared" si="215"/>
        <v>9.3999999999999986</v>
      </c>
      <c r="O70" s="1237">
        <f t="shared" si="215"/>
        <v>9.3999999999999986</v>
      </c>
      <c r="P70" s="3459">
        <f t="shared" si="215"/>
        <v>9.3999999999999986</v>
      </c>
      <c r="Q70" s="1343">
        <f t="shared" si="106"/>
        <v>0.39999999999999858</v>
      </c>
      <c r="R70" s="962">
        <f t="shared" si="107"/>
        <v>4.4444444444444287E-2</v>
      </c>
      <c r="S70" s="1200">
        <f t="shared" si="215"/>
        <v>30.4</v>
      </c>
      <c r="T70" s="2986">
        <f t="shared" si="215"/>
        <v>38.457000000000001</v>
      </c>
      <c r="U70" s="1237">
        <f t="shared" si="215"/>
        <v>38.426000000000002</v>
      </c>
      <c r="V70" s="1237">
        <f t="shared" si="215"/>
        <v>46.822000000000003</v>
      </c>
      <c r="W70" s="1237">
        <f t="shared" si="215"/>
        <v>46.423000000000002</v>
      </c>
      <c r="X70" s="3459">
        <f t="shared" si="215"/>
        <v>45.997000000000007</v>
      </c>
      <c r="Y70" s="1343">
        <f t="shared" si="108"/>
        <v>15.597000000000008</v>
      </c>
      <c r="Z70" s="962">
        <f t="shared" si="109"/>
        <v>0.51305921052631609</v>
      </c>
      <c r="AA70" s="1200">
        <f t="shared" ref="AA70:AN70" si="216">SUM(AA71:AA75)</f>
        <v>0.13</v>
      </c>
      <c r="AB70" s="2986">
        <f t="shared" si="216"/>
        <v>0.49</v>
      </c>
      <c r="AC70" s="1237">
        <f t="shared" si="216"/>
        <v>67.507000000000005</v>
      </c>
      <c r="AD70" s="1237">
        <f t="shared" si="216"/>
        <v>66.718000000000004</v>
      </c>
      <c r="AE70" s="1237">
        <f t="shared" si="216"/>
        <v>65.930000000000007</v>
      </c>
      <c r="AF70" s="3459">
        <f t="shared" si="216"/>
        <v>65.15100000000001</v>
      </c>
      <c r="AG70" s="1343">
        <f t="shared" si="110"/>
        <v>65.021000000000015</v>
      </c>
      <c r="AH70" s="898">
        <f t="shared" si="111"/>
        <v>500.16153846153856</v>
      </c>
      <c r="AI70" s="1200">
        <f t="shared" si="216"/>
        <v>0</v>
      </c>
      <c r="AJ70" s="2986">
        <f t="shared" si="216"/>
        <v>0</v>
      </c>
      <c r="AK70" s="1237">
        <f t="shared" si="216"/>
        <v>0</v>
      </c>
      <c r="AL70" s="1237">
        <f t="shared" si="216"/>
        <v>0</v>
      </c>
      <c r="AM70" s="1237">
        <f t="shared" si="216"/>
        <v>0</v>
      </c>
      <c r="AN70" s="3459">
        <f t="shared" si="216"/>
        <v>0</v>
      </c>
      <c r="AO70" s="1343">
        <f t="shared" si="112"/>
        <v>0</v>
      </c>
      <c r="AP70" s="898">
        <f t="shared" si="113"/>
        <v>0</v>
      </c>
      <c r="AQ70" s="1200">
        <f t="shared" si="215"/>
        <v>1</v>
      </c>
      <c r="AR70" s="993">
        <f t="shared" si="215"/>
        <v>2</v>
      </c>
      <c r="AS70" s="1237">
        <f t="shared" si="215"/>
        <v>2</v>
      </c>
      <c r="AT70" s="1237">
        <f t="shared" si="215"/>
        <v>2</v>
      </c>
      <c r="AU70" s="1237">
        <f t="shared" si="215"/>
        <v>2</v>
      </c>
      <c r="AV70" s="3459">
        <f t="shared" si="215"/>
        <v>2</v>
      </c>
      <c r="AW70" s="1200">
        <f t="shared" ref="AW70:BB70" si="217">SUM(AW71:AW75)</f>
        <v>709.53</v>
      </c>
      <c r="AX70" s="993">
        <f t="shared" si="217"/>
        <v>540.23500000000001</v>
      </c>
      <c r="AY70" s="1237">
        <f t="shared" si="217"/>
        <v>477.84207030870908</v>
      </c>
      <c r="AZ70" s="1237">
        <f t="shared" si="217"/>
        <v>430.58298344395416</v>
      </c>
      <c r="BA70" s="1237">
        <f t="shared" si="217"/>
        <v>397.7298965792005</v>
      </c>
      <c r="BB70" s="3459">
        <f t="shared" si="217"/>
        <v>374.38024767737221</v>
      </c>
      <c r="BC70" s="1200">
        <f t="shared" ref="BC70:BH70" si="218">SUM(BC71:BC75)</f>
        <v>670.13</v>
      </c>
      <c r="BD70" s="993">
        <f t="shared" si="218"/>
        <v>492.37800000000004</v>
      </c>
      <c r="BE70" s="1237">
        <f t="shared" si="218"/>
        <v>430.01607030870906</v>
      </c>
      <c r="BF70" s="1237">
        <f t="shared" si="218"/>
        <v>374.36098344395413</v>
      </c>
      <c r="BG70" s="1237">
        <f t="shared" si="218"/>
        <v>341.90689657920046</v>
      </c>
      <c r="BH70" s="3459">
        <f t="shared" si="218"/>
        <v>318.98324767737216</v>
      </c>
    </row>
    <row r="71" spans="1:60" ht="12.75">
      <c r="A71" s="118" t="s">
        <v>273</v>
      </c>
      <c r="B71" s="982" t="s">
        <v>456</v>
      </c>
      <c r="C71" s="3420">
        <v>32</v>
      </c>
      <c r="D71" s="3421">
        <v>35.200000000000003</v>
      </c>
      <c r="E71" s="3421">
        <v>35.200000000000003</v>
      </c>
      <c r="F71" s="3421">
        <v>35.200000000000003</v>
      </c>
      <c r="G71" s="3421">
        <v>35.200000000000003</v>
      </c>
      <c r="H71" s="3422">
        <v>35.200000000000003</v>
      </c>
      <c r="I71" s="1348">
        <f t="shared" si="104"/>
        <v>3.2000000000000028</v>
      </c>
      <c r="J71" s="904">
        <f t="shared" si="105"/>
        <v>0.10000000000000009</v>
      </c>
      <c r="K71" s="3420">
        <v>0</v>
      </c>
      <c r="L71" s="3421">
        <v>0</v>
      </c>
      <c r="M71" s="3421">
        <v>0</v>
      </c>
      <c r="N71" s="3421">
        <v>0</v>
      </c>
      <c r="O71" s="3421">
        <v>0</v>
      </c>
      <c r="P71" s="3422">
        <v>0</v>
      </c>
      <c r="Q71" s="1348">
        <f t="shared" si="106"/>
        <v>0</v>
      </c>
      <c r="R71" s="1211">
        <f t="shared" si="107"/>
        <v>0</v>
      </c>
      <c r="S71" s="3420">
        <v>0.7</v>
      </c>
      <c r="T71" s="3421">
        <v>0.7</v>
      </c>
      <c r="U71" s="3421">
        <v>0.7</v>
      </c>
      <c r="V71" s="3421">
        <v>0.7</v>
      </c>
      <c r="W71" s="3421">
        <v>0.7</v>
      </c>
      <c r="X71" s="3422">
        <v>0.7</v>
      </c>
      <c r="Y71" s="1348">
        <f t="shared" si="108"/>
        <v>0</v>
      </c>
      <c r="Z71" s="1211">
        <f t="shared" si="109"/>
        <v>0</v>
      </c>
      <c r="AA71" s="3420">
        <v>0.04</v>
      </c>
      <c r="AB71" s="3421">
        <v>0.4</v>
      </c>
      <c r="AC71" s="3421">
        <v>0.04</v>
      </c>
      <c r="AD71" s="3421">
        <v>0.04</v>
      </c>
      <c r="AE71" s="3421">
        <v>0.04</v>
      </c>
      <c r="AF71" s="3422">
        <v>0.04</v>
      </c>
      <c r="AG71" s="1348">
        <f t="shared" si="110"/>
        <v>0</v>
      </c>
      <c r="AH71" s="904">
        <f t="shared" si="111"/>
        <v>0</v>
      </c>
      <c r="AI71" s="3420"/>
      <c r="AJ71" s="3421"/>
      <c r="AK71" s="3421"/>
      <c r="AL71" s="3421"/>
      <c r="AM71" s="3421"/>
      <c r="AN71" s="3453"/>
      <c r="AO71" s="1348">
        <f t="shared" si="112"/>
        <v>0</v>
      </c>
      <c r="AP71" s="904">
        <f t="shared" si="113"/>
        <v>0</v>
      </c>
      <c r="AQ71" s="3420"/>
      <c r="AR71" s="3421">
        <v>1</v>
      </c>
      <c r="AS71" s="3421">
        <v>1</v>
      </c>
      <c r="AT71" s="3421">
        <v>1</v>
      </c>
      <c r="AU71" s="3421">
        <v>1</v>
      </c>
      <c r="AV71" s="3421">
        <v>1</v>
      </c>
      <c r="AW71" s="1202">
        <f t="shared" ref="AW71" si="219">C71+K71+S71+AA71+AI71</f>
        <v>32.74</v>
      </c>
      <c r="AX71" s="3443">
        <f t="shared" ref="AX71:AX72" si="220">D71+L71+T71+AB71+AJ71</f>
        <v>36.300000000000004</v>
      </c>
      <c r="AY71" s="3443">
        <f t="shared" ref="AY71:AY72" si="221">E71+M71+U71+AC71+AK71</f>
        <v>35.940000000000005</v>
      </c>
      <c r="AZ71" s="3443">
        <f t="shared" ref="AZ71:AZ72" si="222">F71+N71+V71+AD71+AL71</f>
        <v>35.940000000000005</v>
      </c>
      <c r="BA71" s="3443">
        <f t="shared" ref="BA71:BA72" si="223">G71+O71+W71+AE71+AM71</f>
        <v>35.940000000000005</v>
      </c>
      <c r="BB71" s="3444">
        <f t="shared" ref="BB71:BB72" si="224">H71+P71+X71+AF71+AN71</f>
        <v>35.940000000000005</v>
      </c>
      <c r="BC71" s="3464">
        <f>C71+AA71+AI71</f>
        <v>32.04</v>
      </c>
      <c r="BD71" s="3465">
        <f t="shared" ref="BD71" si="225">D71+AB71+AJ71</f>
        <v>35.6</v>
      </c>
      <c r="BE71" s="3466">
        <f t="shared" ref="BE71:BE72" si="226">E71+AC71+AK71</f>
        <v>35.24</v>
      </c>
      <c r="BF71" s="3466">
        <f t="shared" ref="BF71:BF72" si="227">F71+AD71+AL71</f>
        <v>35.24</v>
      </c>
      <c r="BG71" s="3466">
        <f t="shared" ref="BG71:BG72" si="228">G71+AE71+AM71</f>
        <v>35.24</v>
      </c>
      <c r="BH71" s="3468">
        <f>H71+AF71+AN71</f>
        <v>35.24</v>
      </c>
    </row>
    <row r="72" spans="1:60" ht="12.75">
      <c r="A72" s="118" t="s">
        <v>275</v>
      </c>
      <c r="B72" s="989" t="s">
        <v>457</v>
      </c>
      <c r="C72" s="3420">
        <v>24</v>
      </c>
      <c r="D72" s="3421">
        <v>22.696999999999999</v>
      </c>
      <c r="E72" s="3421">
        <v>23</v>
      </c>
      <c r="F72" s="3421">
        <v>23</v>
      </c>
      <c r="G72" s="3421">
        <v>23</v>
      </c>
      <c r="H72" s="3422">
        <v>23</v>
      </c>
      <c r="I72" s="1348">
        <f t="shared" si="104"/>
        <v>-1</v>
      </c>
      <c r="J72" s="904">
        <f t="shared" si="105"/>
        <v>-4.1666666666666664E-2</v>
      </c>
      <c r="K72" s="3420">
        <v>1</v>
      </c>
      <c r="L72" s="3421">
        <v>1.1000000000000001</v>
      </c>
      <c r="M72" s="3421">
        <v>1.1000000000000001</v>
      </c>
      <c r="N72" s="3421">
        <v>1.1000000000000001</v>
      </c>
      <c r="O72" s="3421">
        <v>1.1000000000000001</v>
      </c>
      <c r="P72" s="3422">
        <v>1.1000000000000001</v>
      </c>
      <c r="Q72" s="1348">
        <f t="shared" si="106"/>
        <v>0.10000000000000009</v>
      </c>
      <c r="R72" s="1211">
        <f t="shared" si="107"/>
        <v>0.10000000000000009</v>
      </c>
      <c r="S72" s="3420">
        <v>3</v>
      </c>
      <c r="T72" s="3421">
        <v>3</v>
      </c>
      <c r="U72" s="3421">
        <v>3</v>
      </c>
      <c r="V72" s="3421">
        <v>3</v>
      </c>
      <c r="W72" s="3421">
        <v>3</v>
      </c>
      <c r="X72" s="3422">
        <v>3</v>
      </c>
      <c r="Y72" s="1348">
        <f t="shared" si="108"/>
        <v>0</v>
      </c>
      <c r="Z72" s="1211">
        <f t="shared" si="109"/>
        <v>0</v>
      </c>
      <c r="AA72" s="3428"/>
      <c r="AB72" s="3407"/>
      <c r="AC72" s="2211"/>
      <c r="AD72" s="2211"/>
      <c r="AE72" s="2211"/>
      <c r="AF72" s="3407"/>
      <c r="AG72" s="3410"/>
      <c r="AH72" s="4714"/>
      <c r="AI72" s="3428"/>
      <c r="AJ72" s="3407"/>
      <c r="AK72" s="2211"/>
      <c r="AL72" s="2211"/>
      <c r="AM72" s="2211"/>
      <c r="AN72" s="3455"/>
      <c r="AO72" s="3410"/>
      <c r="AP72" s="4714"/>
      <c r="AQ72" s="3428"/>
      <c r="AR72" s="3407"/>
      <c r="AS72" s="2211"/>
      <c r="AT72" s="2211"/>
      <c r="AU72" s="2211"/>
      <c r="AV72" s="3455"/>
      <c r="AW72" s="1202">
        <f>C72+K72+S72+AA72+AI72</f>
        <v>28</v>
      </c>
      <c r="AX72" s="3443">
        <f t="shared" si="220"/>
        <v>26.797000000000001</v>
      </c>
      <c r="AY72" s="3443">
        <f t="shared" si="221"/>
        <v>27.1</v>
      </c>
      <c r="AZ72" s="3443">
        <f t="shared" si="222"/>
        <v>27.1</v>
      </c>
      <c r="BA72" s="3443">
        <f t="shared" si="223"/>
        <v>27.1</v>
      </c>
      <c r="BB72" s="3444">
        <f t="shared" si="224"/>
        <v>27.1</v>
      </c>
      <c r="BC72" s="3464">
        <f>C72+AA72+AI72</f>
        <v>24</v>
      </c>
      <c r="BD72" s="3465">
        <f>D72+AB72+AJ72</f>
        <v>22.696999999999999</v>
      </c>
      <c r="BE72" s="3466">
        <f t="shared" si="226"/>
        <v>23</v>
      </c>
      <c r="BF72" s="3466">
        <f t="shared" si="227"/>
        <v>23</v>
      </c>
      <c r="BG72" s="3466">
        <f t="shared" si="228"/>
        <v>23</v>
      </c>
      <c r="BH72" s="3468">
        <f>H72+AF72+AN72</f>
        <v>23</v>
      </c>
    </row>
    <row r="73" spans="1:60" ht="12.75">
      <c r="A73" s="118" t="s">
        <v>277</v>
      </c>
      <c r="B73" s="983" t="s">
        <v>458</v>
      </c>
      <c r="C73" s="3420">
        <v>514</v>
      </c>
      <c r="D73" s="3421">
        <v>430.48500000000001</v>
      </c>
      <c r="E73" s="3421">
        <v>300.80907030870907</v>
      </c>
      <c r="F73" s="3421">
        <v>245.94298344395418</v>
      </c>
      <c r="G73" s="3421">
        <v>214.2768965792005</v>
      </c>
      <c r="H73" s="3422">
        <v>192.13224767737219</v>
      </c>
      <c r="I73" s="1348">
        <f t="shared" si="104"/>
        <v>-321.86775232262778</v>
      </c>
      <c r="J73" s="904">
        <f t="shared" si="105"/>
        <v>-0.6262018527677583</v>
      </c>
      <c r="K73" s="3428"/>
      <c r="L73" s="3407"/>
      <c r="M73" s="2211"/>
      <c r="N73" s="2211"/>
      <c r="O73" s="2211"/>
      <c r="P73" s="3407"/>
      <c r="Q73" s="3410"/>
      <c r="R73" s="3411"/>
      <c r="S73" s="3428"/>
      <c r="T73" s="3407"/>
      <c r="U73" s="2211"/>
      <c r="V73" s="2211"/>
      <c r="W73" s="2211"/>
      <c r="X73" s="3407"/>
      <c r="Y73" s="3412"/>
      <c r="Z73" s="3411"/>
      <c r="AA73" s="3420">
        <v>0</v>
      </c>
      <c r="AB73" s="3421">
        <v>0</v>
      </c>
      <c r="AC73" s="4944">
        <v>67.376999999999995</v>
      </c>
      <c r="AD73" s="4944">
        <v>66.587999999999994</v>
      </c>
      <c r="AE73" s="4944">
        <v>65.8</v>
      </c>
      <c r="AF73" s="4945">
        <v>65.021000000000001</v>
      </c>
      <c r="AG73" s="1348">
        <f>AF73-AA73</f>
        <v>65.021000000000001</v>
      </c>
      <c r="AH73" s="904">
        <f>IFERROR((AF73-AA73)/AA73,0)</f>
        <v>0</v>
      </c>
      <c r="AI73" s="3420"/>
      <c r="AJ73" s="3421"/>
      <c r="AK73" s="3421"/>
      <c r="AL73" s="3421"/>
      <c r="AM73" s="3421"/>
      <c r="AN73" s="3453"/>
      <c r="AO73" s="1348">
        <f>AN73-AI73</f>
        <v>0</v>
      </c>
      <c r="AP73" s="904">
        <f>IFERROR((AN73-AI73)/AI73,0)</f>
        <v>0</v>
      </c>
      <c r="AQ73" s="3428"/>
      <c r="AR73" s="3407"/>
      <c r="AS73" s="2211"/>
      <c r="AT73" s="2211"/>
      <c r="AU73" s="2211"/>
      <c r="AV73" s="3455"/>
      <c r="AW73" s="1202">
        <f>C73+K73+S73+AA73+AI73</f>
        <v>514</v>
      </c>
      <c r="AX73" s="3443">
        <f t="shared" ref="AX73" si="229">D73+L73+T73+AB73+AJ73</f>
        <v>430.48500000000001</v>
      </c>
      <c r="AY73" s="3443">
        <f t="shared" ref="AY73" si="230">E73+M73+U73+AC73+AK73</f>
        <v>368.18607030870908</v>
      </c>
      <c r="AZ73" s="3443">
        <f t="shared" ref="AZ73" si="231">F73+N73+V73+AD73+AL73</f>
        <v>312.53098344395414</v>
      </c>
      <c r="BA73" s="3443">
        <f t="shared" ref="BA73" si="232">G73+O73+W73+AE73+AM73</f>
        <v>280.07689657920048</v>
      </c>
      <c r="BB73" s="3444">
        <f t="shared" ref="BB73" si="233">H73+P73+X73+AF73+AN73</f>
        <v>257.15324767737218</v>
      </c>
      <c r="BC73" s="3464">
        <f>C73+AA73+AI73</f>
        <v>514</v>
      </c>
      <c r="BD73" s="3465">
        <f t="shared" ref="BD73" si="234">D73+AB73+AJ73</f>
        <v>430.48500000000001</v>
      </c>
      <c r="BE73" s="3466">
        <f t="shared" ref="BE73" si="235">E73+AC73+AK73</f>
        <v>368.18607030870908</v>
      </c>
      <c r="BF73" s="3466">
        <f t="shared" ref="BF73" si="236">F73+AD73+AL73</f>
        <v>312.53098344395414</v>
      </c>
      <c r="BG73" s="3466">
        <f t="shared" ref="BG73" si="237">G73+AE73+AM73</f>
        <v>280.07689657920048</v>
      </c>
      <c r="BH73" s="3468">
        <f>H73+AF73+AN73</f>
        <v>257.15324767737218</v>
      </c>
    </row>
    <row r="74" spans="1:60" ht="12.75">
      <c r="A74" s="118" t="s">
        <v>279</v>
      </c>
      <c r="B74" s="983" t="s">
        <v>459</v>
      </c>
      <c r="C74" s="3428"/>
      <c r="D74" s="3407"/>
      <c r="E74" s="2211"/>
      <c r="F74" s="2211"/>
      <c r="G74" s="2211"/>
      <c r="H74" s="3407"/>
      <c r="I74" s="3412"/>
      <c r="J74" s="3413"/>
      <c r="K74" s="3420">
        <v>5</v>
      </c>
      <c r="L74" s="4944">
        <v>5</v>
      </c>
      <c r="M74" s="4944">
        <v>5</v>
      </c>
      <c r="N74" s="4944">
        <v>5</v>
      </c>
      <c r="O74" s="4944">
        <v>5</v>
      </c>
      <c r="P74" s="4945">
        <v>5</v>
      </c>
      <c r="Q74" s="1348">
        <f t="shared" ref="Q74:Q95" si="238">P74-K74</f>
        <v>0</v>
      </c>
      <c r="R74" s="1211">
        <f t="shared" ref="R74:R95" si="239">IFERROR((P74-K74)/K74,0)</f>
        <v>0</v>
      </c>
      <c r="S74" s="3420">
        <v>26</v>
      </c>
      <c r="T74" s="3421">
        <v>33.957000000000001</v>
      </c>
      <c r="U74" s="3421">
        <v>33.926000000000002</v>
      </c>
      <c r="V74" s="3421">
        <v>42.322000000000003</v>
      </c>
      <c r="W74" s="3421">
        <v>41.923000000000002</v>
      </c>
      <c r="X74" s="3422">
        <v>41.527000000000001</v>
      </c>
      <c r="Y74" s="1348">
        <f t="shared" ref="Y74:Y95" si="240">X74-S74</f>
        <v>15.527000000000001</v>
      </c>
      <c r="Z74" s="1211">
        <f t="shared" ref="Z74:Z95" si="241">IFERROR((X74-S74)/S74,0)</f>
        <v>0.59719230769230769</v>
      </c>
      <c r="AA74" s="3428"/>
      <c r="AB74" s="3407"/>
      <c r="AC74" s="2211"/>
      <c r="AD74" s="2211"/>
      <c r="AE74" s="2211"/>
      <c r="AF74" s="3407"/>
      <c r="AG74" s="3412"/>
      <c r="AH74" s="3413"/>
      <c r="AI74" s="3428"/>
      <c r="AJ74" s="3407"/>
      <c r="AK74" s="2211"/>
      <c r="AL74" s="2211"/>
      <c r="AM74" s="2211"/>
      <c r="AN74" s="3455"/>
      <c r="AO74" s="3410"/>
      <c r="AP74" s="3413"/>
      <c r="AQ74" s="3428"/>
      <c r="AR74" s="3407"/>
      <c r="AS74" s="2211"/>
      <c r="AT74" s="2211"/>
      <c r="AU74" s="2211"/>
      <c r="AV74" s="3455"/>
      <c r="AW74" s="1202">
        <f>C74+K74+S74+AA74+AI74</f>
        <v>31</v>
      </c>
      <c r="AX74" s="3443">
        <f t="shared" ref="AX74" si="242">D74+L74+T74+AB74+AJ74</f>
        <v>38.957000000000001</v>
      </c>
      <c r="AY74" s="3443">
        <f t="shared" ref="AY74" si="243">E74+M74+U74+AC74+AK74</f>
        <v>38.926000000000002</v>
      </c>
      <c r="AZ74" s="3443">
        <f t="shared" ref="AZ74" si="244">F74+N74+V74+AD74+AL74</f>
        <v>47.322000000000003</v>
      </c>
      <c r="BA74" s="3443">
        <f t="shared" ref="BA74" si="245">G74+O74+W74+AE74+AM74</f>
        <v>46.923000000000002</v>
      </c>
      <c r="BB74" s="3444">
        <f t="shared" ref="BB74" si="246">H74+P74+X74+AF74+AN74</f>
        <v>46.527000000000001</v>
      </c>
      <c r="BC74" s="3464">
        <f>C74+AA74+AI74</f>
        <v>0</v>
      </c>
      <c r="BD74" s="3465">
        <f>D74+AB74+AJ74</f>
        <v>0</v>
      </c>
      <c r="BE74" s="3466">
        <f t="shared" ref="BE74" si="247">E74+AC74+AK74</f>
        <v>0</v>
      </c>
      <c r="BF74" s="3466">
        <f t="shared" ref="BF74" si="248">F74+AD74+AL74</f>
        <v>0</v>
      </c>
      <c r="BG74" s="3466">
        <f t="shared" ref="BG74" si="249">G74+AE74+AM74</f>
        <v>0</v>
      </c>
      <c r="BH74" s="3468">
        <f>H74+AF74+AN74</f>
        <v>0</v>
      </c>
    </row>
    <row r="75" spans="1:60" ht="13.5" thickBot="1">
      <c r="A75" s="118" t="s">
        <v>281</v>
      </c>
      <c r="B75" s="146" t="s">
        <v>460</v>
      </c>
      <c r="C75" s="3420">
        <v>100</v>
      </c>
      <c r="D75" s="3421">
        <v>3.5059999999999998</v>
      </c>
      <c r="E75" s="3421">
        <v>3.5</v>
      </c>
      <c r="F75" s="3421">
        <v>3.5</v>
      </c>
      <c r="G75" s="3421">
        <v>3.5</v>
      </c>
      <c r="H75" s="3422">
        <v>3.5</v>
      </c>
      <c r="I75" s="1348">
        <f t="shared" ref="I75:I95" si="250">H75-C75</f>
        <v>-96.5</v>
      </c>
      <c r="J75" s="904">
        <f t="shared" ref="J75:J95" si="251">IFERROR((H75-C75)/C75,0)</f>
        <v>-0.96499999999999997</v>
      </c>
      <c r="K75" s="3420">
        <v>3</v>
      </c>
      <c r="L75" s="3421">
        <v>3.3</v>
      </c>
      <c r="M75" s="3421">
        <v>3.3</v>
      </c>
      <c r="N75" s="3421">
        <v>3.3</v>
      </c>
      <c r="O75" s="3421">
        <v>3.3</v>
      </c>
      <c r="P75" s="3422">
        <v>3.3</v>
      </c>
      <c r="Q75" s="1348">
        <f t="shared" si="238"/>
        <v>0.29999999999999982</v>
      </c>
      <c r="R75" s="1211">
        <f t="shared" si="239"/>
        <v>9.9999999999999936E-2</v>
      </c>
      <c r="S75" s="3420">
        <v>0.7</v>
      </c>
      <c r="T75" s="3421">
        <v>0.8</v>
      </c>
      <c r="U75" s="3421">
        <v>0.8</v>
      </c>
      <c r="V75" s="3421">
        <v>0.8</v>
      </c>
      <c r="W75" s="3421">
        <v>0.8</v>
      </c>
      <c r="X75" s="3422">
        <v>0.77</v>
      </c>
      <c r="Y75" s="1348">
        <f t="shared" si="240"/>
        <v>7.0000000000000062E-2</v>
      </c>
      <c r="Z75" s="1211">
        <f t="shared" si="241"/>
        <v>0.10000000000000009</v>
      </c>
      <c r="AA75" s="3420">
        <v>0.09</v>
      </c>
      <c r="AB75" s="3421">
        <v>0.09</v>
      </c>
      <c r="AC75" s="3421">
        <v>0.09</v>
      </c>
      <c r="AD75" s="3421">
        <v>0.09</v>
      </c>
      <c r="AE75" s="3421">
        <v>0.09</v>
      </c>
      <c r="AF75" s="3422">
        <v>0.09</v>
      </c>
      <c r="AG75" s="1348">
        <f t="shared" ref="AG75:AG95" si="252">AF75-AA75</f>
        <v>0</v>
      </c>
      <c r="AH75" s="904">
        <f t="shared" ref="AH75:AH95" si="253">IFERROR((AF75-AA75)/AA75,0)</f>
        <v>0</v>
      </c>
      <c r="AI75" s="3420"/>
      <c r="AJ75" s="3421"/>
      <c r="AK75" s="3421"/>
      <c r="AL75" s="3421"/>
      <c r="AM75" s="3421"/>
      <c r="AN75" s="3453"/>
      <c r="AO75" s="1348">
        <f t="shared" ref="AO75:AO95" si="254">AN75-AI75</f>
        <v>0</v>
      </c>
      <c r="AP75" s="904">
        <f t="shared" ref="AP75:AP95" si="255">IFERROR((AN75-AI75)/AI75,0)</f>
        <v>0</v>
      </c>
      <c r="AQ75" s="3420">
        <v>1</v>
      </c>
      <c r="AR75" s="3420">
        <v>1</v>
      </c>
      <c r="AS75" s="3420">
        <v>1</v>
      </c>
      <c r="AT75" s="3420">
        <v>1</v>
      </c>
      <c r="AU75" s="3420">
        <v>1</v>
      </c>
      <c r="AV75" s="3420">
        <v>1</v>
      </c>
      <c r="AW75" s="1202">
        <f t="shared" ref="AW75" si="256">C75+K75+S75+AA75+AI75</f>
        <v>103.79</v>
      </c>
      <c r="AX75" s="3443">
        <f t="shared" ref="AX75" si="257">D75+L75+T75+AB75+AJ75</f>
        <v>7.6959999999999988</v>
      </c>
      <c r="AY75" s="3443">
        <f t="shared" ref="AY75" si="258">E75+M75+U75+AC75+AK75</f>
        <v>7.6899999999999995</v>
      </c>
      <c r="AZ75" s="3443">
        <f t="shared" ref="AZ75" si="259">F75+N75+V75+AD75+AL75</f>
        <v>7.6899999999999995</v>
      </c>
      <c r="BA75" s="3443">
        <f t="shared" ref="BA75" si="260">G75+O75+W75+AE75+AM75</f>
        <v>7.6899999999999995</v>
      </c>
      <c r="BB75" s="3444">
        <f t="shared" ref="BB75" si="261">H75+P75+X75+AF75+AN75</f>
        <v>7.66</v>
      </c>
      <c r="BC75" s="3464">
        <f>C75+AA75+AI75</f>
        <v>100.09</v>
      </c>
      <c r="BD75" s="3465">
        <f t="shared" ref="BD75" si="262">D75+AB75+AJ75</f>
        <v>3.5959999999999996</v>
      </c>
      <c r="BE75" s="3466">
        <f t="shared" ref="BE75" si="263">E75+AC75+AK75</f>
        <v>3.59</v>
      </c>
      <c r="BF75" s="3466">
        <f t="shared" ref="BF75" si="264">F75+AD75+AL75</f>
        <v>3.59</v>
      </c>
      <c r="BG75" s="3466">
        <f t="shared" ref="BG75" si="265">G75+AE75+AM75</f>
        <v>3.59</v>
      </c>
      <c r="BH75" s="3468">
        <f>H75+AF75+AN75</f>
        <v>3.59</v>
      </c>
    </row>
    <row r="76" spans="1:60" ht="13.5" thickBot="1">
      <c r="A76" s="120">
        <v>7</v>
      </c>
      <c r="B76" s="984" t="s">
        <v>272</v>
      </c>
      <c r="C76" s="1200">
        <f t="shared" ref="C76:BB76" si="266">SUM(C77:C83)</f>
        <v>48</v>
      </c>
      <c r="D76" s="993">
        <f t="shared" si="266"/>
        <v>51</v>
      </c>
      <c r="E76" s="1237">
        <f t="shared" si="266"/>
        <v>51</v>
      </c>
      <c r="F76" s="1237">
        <f t="shared" si="266"/>
        <v>51</v>
      </c>
      <c r="G76" s="1237">
        <f t="shared" si="266"/>
        <v>51</v>
      </c>
      <c r="H76" s="1238">
        <f t="shared" si="266"/>
        <v>51.2</v>
      </c>
      <c r="I76" s="1343">
        <f t="shared" si="250"/>
        <v>3.2000000000000028</v>
      </c>
      <c r="J76" s="898">
        <f t="shared" si="251"/>
        <v>6.6666666666666721E-2</v>
      </c>
      <c r="K76" s="1200">
        <f t="shared" si="266"/>
        <v>6.9830000000000005</v>
      </c>
      <c r="L76" s="993">
        <f t="shared" si="266"/>
        <v>9.1</v>
      </c>
      <c r="M76" s="1237">
        <f t="shared" si="266"/>
        <v>9.1</v>
      </c>
      <c r="N76" s="1237">
        <f t="shared" si="266"/>
        <v>8.9</v>
      </c>
      <c r="O76" s="1237">
        <f t="shared" si="266"/>
        <v>8.6999999999999993</v>
      </c>
      <c r="P76" s="1238">
        <f t="shared" si="266"/>
        <v>8.6199999999999992</v>
      </c>
      <c r="Q76" s="1343">
        <f t="shared" si="238"/>
        <v>1.6369999999999987</v>
      </c>
      <c r="R76" s="962">
        <f t="shared" si="239"/>
        <v>0.2344264642703707</v>
      </c>
      <c r="S76" s="1200">
        <f t="shared" si="266"/>
        <v>8</v>
      </c>
      <c r="T76" s="993">
        <f t="shared" si="266"/>
        <v>11.5</v>
      </c>
      <c r="U76" s="1237">
        <f t="shared" si="266"/>
        <v>11.5</v>
      </c>
      <c r="V76" s="1237">
        <f t="shared" si="266"/>
        <v>11.3</v>
      </c>
      <c r="W76" s="1237">
        <f t="shared" si="266"/>
        <v>11.5</v>
      </c>
      <c r="X76" s="1238">
        <f t="shared" si="266"/>
        <v>11.7</v>
      </c>
      <c r="Y76" s="1354">
        <f t="shared" si="240"/>
        <v>3.6999999999999993</v>
      </c>
      <c r="Z76" s="962">
        <f t="shared" si="241"/>
        <v>0.46249999999999991</v>
      </c>
      <c r="AA76" s="1200">
        <f t="shared" ref="AA76:AN76" si="267">SUM(AA77:AA83)</f>
        <v>0.55000000000000004</v>
      </c>
      <c r="AB76" s="993">
        <f t="shared" si="267"/>
        <v>1.87</v>
      </c>
      <c r="AC76" s="1237">
        <f t="shared" si="267"/>
        <v>1.87</v>
      </c>
      <c r="AD76" s="1237">
        <f t="shared" si="267"/>
        <v>1.87</v>
      </c>
      <c r="AE76" s="1237">
        <f t="shared" si="267"/>
        <v>1.87</v>
      </c>
      <c r="AF76" s="1238">
        <f t="shared" si="267"/>
        <v>1.87</v>
      </c>
      <c r="AG76" s="1343">
        <f t="shared" si="252"/>
        <v>1.32</v>
      </c>
      <c r="AH76" s="898">
        <f t="shared" si="253"/>
        <v>2.4</v>
      </c>
      <c r="AI76" s="1200">
        <f t="shared" si="267"/>
        <v>0</v>
      </c>
      <c r="AJ76" s="993">
        <f t="shared" si="267"/>
        <v>0</v>
      </c>
      <c r="AK76" s="1237">
        <f t="shared" si="267"/>
        <v>0</v>
      </c>
      <c r="AL76" s="1237">
        <f t="shared" si="267"/>
        <v>0</v>
      </c>
      <c r="AM76" s="1237">
        <f t="shared" si="267"/>
        <v>0</v>
      </c>
      <c r="AN76" s="3459">
        <f t="shared" si="267"/>
        <v>0</v>
      </c>
      <c r="AO76" s="1343">
        <f t="shared" si="254"/>
        <v>0</v>
      </c>
      <c r="AP76" s="898">
        <f t="shared" si="255"/>
        <v>0</v>
      </c>
      <c r="AQ76" s="1200">
        <f t="shared" si="266"/>
        <v>14.3</v>
      </c>
      <c r="AR76" s="993">
        <f t="shared" si="266"/>
        <v>14.2</v>
      </c>
      <c r="AS76" s="1237">
        <f t="shared" si="266"/>
        <v>14.2</v>
      </c>
      <c r="AT76" s="1237">
        <f t="shared" si="266"/>
        <v>14.2</v>
      </c>
      <c r="AU76" s="1237">
        <f t="shared" si="266"/>
        <v>15.2</v>
      </c>
      <c r="AV76" s="3459">
        <f t="shared" si="266"/>
        <v>15.2</v>
      </c>
      <c r="AW76" s="1200">
        <f t="shared" si="266"/>
        <v>63.533000000000001</v>
      </c>
      <c r="AX76" s="993">
        <f t="shared" si="266"/>
        <v>73.47</v>
      </c>
      <c r="AY76" s="1237">
        <f t="shared" si="266"/>
        <v>73.47</v>
      </c>
      <c r="AZ76" s="1237">
        <f t="shared" si="266"/>
        <v>73.069999999999993</v>
      </c>
      <c r="BA76" s="1237">
        <f t="shared" si="266"/>
        <v>73.069999999999993</v>
      </c>
      <c r="BB76" s="3459">
        <f t="shared" si="266"/>
        <v>73.39</v>
      </c>
      <c r="BC76" s="1200">
        <f t="shared" ref="BC76:BH76" si="268">SUM(BC77:BC83)</f>
        <v>48.55</v>
      </c>
      <c r="BD76" s="993">
        <f t="shared" si="268"/>
        <v>52.870000000000005</v>
      </c>
      <c r="BE76" s="1237">
        <f t="shared" si="268"/>
        <v>52.870000000000005</v>
      </c>
      <c r="BF76" s="1237">
        <f t="shared" si="268"/>
        <v>52.870000000000005</v>
      </c>
      <c r="BG76" s="1237">
        <f t="shared" si="268"/>
        <v>52.870000000000005</v>
      </c>
      <c r="BH76" s="3459">
        <f t="shared" si="268"/>
        <v>53.069999999999993</v>
      </c>
    </row>
    <row r="77" spans="1:60" ht="12.75">
      <c r="A77" s="118" t="s">
        <v>180</v>
      </c>
      <c r="B77" s="982" t="s">
        <v>274</v>
      </c>
      <c r="C77" s="3420">
        <v>2</v>
      </c>
      <c r="D77" s="3421">
        <v>2</v>
      </c>
      <c r="E77" s="3421">
        <v>2</v>
      </c>
      <c r="F77" s="3421">
        <v>2</v>
      </c>
      <c r="G77" s="3421">
        <v>2</v>
      </c>
      <c r="H77" s="3422">
        <v>2.2000000000000002</v>
      </c>
      <c r="I77" s="1348">
        <f t="shared" si="250"/>
        <v>0.20000000000000018</v>
      </c>
      <c r="J77" s="904">
        <f t="shared" si="251"/>
        <v>0.10000000000000009</v>
      </c>
      <c r="K77" s="3420">
        <v>4.5830000000000002</v>
      </c>
      <c r="L77" s="3421">
        <v>5</v>
      </c>
      <c r="M77" s="3421">
        <v>5</v>
      </c>
      <c r="N77" s="3421">
        <v>5</v>
      </c>
      <c r="O77" s="3421">
        <v>5</v>
      </c>
      <c r="P77" s="3422">
        <v>5</v>
      </c>
      <c r="Q77" s="1348">
        <f t="shared" si="238"/>
        <v>0.41699999999999982</v>
      </c>
      <c r="R77" s="1211">
        <f t="shared" si="239"/>
        <v>9.0988435522583413E-2</v>
      </c>
      <c r="S77" s="3420">
        <v>0</v>
      </c>
      <c r="T77" s="3421">
        <v>2</v>
      </c>
      <c r="U77" s="3421">
        <v>2</v>
      </c>
      <c r="V77" s="3421">
        <v>1.8</v>
      </c>
      <c r="W77" s="3421">
        <v>2</v>
      </c>
      <c r="X77" s="3422">
        <v>2.2000000000000002</v>
      </c>
      <c r="Y77" s="1348">
        <f t="shared" si="240"/>
        <v>2.2000000000000002</v>
      </c>
      <c r="Z77" s="1211">
        <f t="shared" si="241"/>
        <v>0</v>
      </c>
      <c r="AA77" s="3420">
        <v>0.2</v>
      </c>
      <c r="AB77" s="3421">
        <v>0.2</v>
      </c>
      <c r="AC77" s="3421">
        <v>0.2</v>
      </c>
      <c r="AD77" s="3421">
        <v>0.2</v>
      </c>
      <c r="AE77" s="3421">
        <v>0.2</v>
      </c>
      <c r="AF77" s="3422">
        <v>0.2</v>
      </c>
      <c r="AG77" s="1348">
        <f t="shared" si="252"/>
        <v>0</v>
      </c>
      <c r="AH77" s="904">
        <f t="shared" si="253"/>
        <v>0</v>
      </c>
      <c r="AI77" s="3420"/>
      <c r="AJ77" s="3421"/>
      <c r="AK77" s="3421"/>
      <c r="AL77" s="3421"/>
      <c r="AM77" s="3421"/>
      <c r="AN77" s="3453"/>
      <c r="AO77" s="1348">
        <f t="shared" si="254"/>
        <v>0</v>
      </c>
      <c r="AP77" s="904">
        <f t="shared" si="255"/>
        <v>0</v>
      </c>
      <c r="AQ77" s="3420">
        <v>0.2</v>
      </c>
      <c r="AR77" s="3420">
        <v>0.2</v>
      </c>
      <c r="AS77" s="3420">
        <v>0.2</v>
      </c>
      <c r="AT77" s="3420">
        <v>0.2</v>
      </c>
      <c r="AU77" s="3420">
        <v>0.2</v>
      </c>
      <c r="AV77" s="3420">
        <v>0.2</v>
      </c>
      <c r="AW77" s="1202">
        <f t="shared" ref="AW77:AW82" si="269">C77+K77+S77+AA77+AI77</f>
        <v>6.7830000000000004</v>
      </c>
      <c r="AX77" s="3443">
        <f t="shared" ref="AX77:AX82" si="270">D77+L77+T77+AB77+AJ77</f>
        <v>9.1999999999999993</v>
      </c>
      <c r="AY77" s="3443">
        <f t="shared" ref="AY77:AY82" si="271">E77+M77+U77+AC77+AK77</f>
        <v>9.1999999999999993</v>
      </c>
      <c r="AZ77" s="3443">
        <f t="shared" ref="AZ77:AZ82" si="272">F77+N77+V77+AD77+AL77</f>
        <v>9</v>
      </c>
      <c r="BA77" s="3443">
        <f t="shared" ref="BA77:BA82" si="273">G77+O77+W77+AE77+AM77</f>
        <v>9.1999999999999993</v>
      </c>
      <c r="BB77" s="3444">
        <f t="shared" ref="BB77:BB82" si="274">H77+P77+X77+AF77+AN77</f>
        <v>9.6</v>
      </c>
      <c r="BC77" s="3464">
        <f t="shared" ref="BC77:BC82" si="275">C77+AA77+AI77</f>
        <v>2.2000000000000002</v>
      </c>
      <c r="BD77" s="3465">
        <f t="shared" ref="BD77:BD82" si="276">D77+AB77+AJ77</f>
        <v>2.2000000000000002</v>
      </c>
      <c r="BE77" s="3466">
        <f t="shared" ref="BE77:BE82" si="277">E77+AC77+AK77</f>
        <v>2.2000000000000002</v>
      </c>
      <c r="BF77" s="3466">
        <f t="shared" ref="BF77:BF82" si="278">F77+AD77+AL77</f>
        <v>2.2000000000000002</v>
      </c>
      <c r="BG77" s="3466">
        <f t="shared" ref="BG77:BG82" si="279">G77+AE77+AM77</f>
        <v>2.2000000000000002</v>
      </c>
      <c r="BH77" s="3468">
        <f t="shared" ref="BH77:BH82" si="280">H77+AF77+AN77</f>
        <v>2.4000000000000004</v>
      </c>
    </row>
    <row r="78" spans="1:60" ht="12.75">
      <c r="A78" s="118" t="s">
        <v>182</v>
      </c>
      <c r="B78" s="990" t="s">
        <v>276</v>
      </c>
      <c r="C78" s="3420">
        <v>19</v>
      </c>
      <c r="D78" s="3421">
        <v>20</v>
      </c>
      <c r="E78" s="3421">
        <v>20</v>
      </c>
      <c r="F78" s="3421">
        <v>20</v>
      </c>
      <c r="G78" s="3421">
        <v>20</v>
      </c>
      <c r="H78" s="3422">
        <v>20</v>
      </c>
      <c r="I78" s="1348">
        <f t="shared" si="250"/>
        <v>1</v>
      </c>
      <c r="J78" s="904">
        <f t="shared" si="251"/>
        <v>5.2631578947368418E-2</v>
      </c>
      <c r="K78" s="3420">
        <v>1.4</v>
      </c>
      <c r="L78" s="3421">
        <v>2</v>
      </c>
      <c r="M78" s="3421">
        <v>2</v>
      </c>
      <c r="N78" s="3421">
        <v>1.8</v>
      </c>
      <c r="O78" s="3421">
        <v>1.6</v>
      </c>
      <c r="P78" s="3422">
        <v>1.52</v>
      </c>
      <c r="Q78" s="1348">
        <f t="shared" si="238"/>
        <v>0.12000000000000011</v>
      </c>
      <c r="R78" s="1211">
        <f t="shared" si="239"/>
        <v>8.5714285714285798E-2</v>
      </c>
      <c r="S78" s="3420">
        <v>5</v>
      </c>
      <c r="T78" s="3421">
        <v>5.5</v>
      </c>
      <c r="U78" s="3421">
        <v>5.5</v>
      </c>
      <c r="V78" s="3421">
        <v>5.5</v>
      </c>
      <c r="W78" s="3421">
        <v>5.5</v>
      </c>
      <c r="X78" s="3422">
        <v>5.5</v>
      </c>
      <c r="Y78" s="1348">
        <f t="shared" si="240"/>
        <v>0.5</v>
      </c>
      <c r="Z78" s="1211">
        <f t="shared" si="241"/>
        <v>0.1</v>
      </c>
      <c r="AA78" s="3420">
        <v>0.14000000000000001</v>
      </c>
      <c r="AB78" s="3421">
        <v>0.5</v>
      </c>
      <c r="AC78" s="3421">
        <v>0.5</v>
      </c>
      <c r="AD78" s="3421">
        <v>0.5</v>
      </c>
      <c r="AE78" s="3421">
        <v>0.5</v>
      </c>
      <c r="AF78" s="3422">
        <v>0.5</v>
      </c>
      <c r="AG78" s="1348">
        <f t="shared" si="252"/>
        <v>0.36</v>
      </c>
      <c r="AH78" s="904">
        <f t="shared" si="253"/>
        <v>2.5714285714285712</v>
      </c>
      <c r="AI78" s="3420"/>
      <c r="AJ78" s="3421"/>
      <c r="AK78" s="3421"/>
      <c r="AL78" s="3421"/>
      <c r="AM78" s="3421"/>
      <c r="AN78" s="3453"/>
      <c r="AO78" s="1348">
        <f t="shared" si="254"/>
        <v>0</v>
      </c>
      <c r="AP78" s="904">
        <f t="shared" si="255"/>
        <v>0</v>
      </c>
      <c r="AQ78" s="3420">
        <v>1</v>
      </c>
      <c r="AR78" s="3420">
        <v>2</v>
      </c>
      <c r="AS78" s="3420">
        <v>2</v>
      </c>
      <c r="AT78" s="3420">
        <v>2</v>
      </c>
      <c r="AU78" s="3420">
        <v>3</v>
      </c>
      <c r="AV78" s="3420">
        <v>3</v>
      </c>
      <c r="AW78" s="1202">
        <f t="shared" si="269"/>
        <v>25.54</v>
      </c>
      <c r="AX78" s="3443">
        <f t="shared" si="270"/>
        <v>28</v>
      </c>
      <c r="AY78" s="3443">
        <f t="shared" si="271"/>
        <v>28</v>
      </c>
      <c r="AZ78" s="3443">
        <f t="shared" si="272"/>
        <v>27.8</v>
      </c>
      <c r="BA78" s="3443">
        <f t="shared" si="273"/>
        <v>27.6</v>
      </c>
      <c r="BB78" s="3444">
        <f t="shared" si="274"/>
        <v>27.52</v>
      </c>
      <c r="BC78" s="3464">
        <f t="shared" si="275"/>
        <v>19.14</v>
      </c>
      <c r="BD78" s="3465">
        <f t="shared" si="276"/>
        <v>20.5</v>
      </c>
      <c r="BE78" s="3466">
        <f t="shared" si="277"/>
        <v>20.5</v>
      </c>
      <c r="BF78" s="3466">
        <f t="shared" si="278"/>
        <v>20.5</v>
      </c>
      <c r="BG78" s="3466">
        <f t="shared" si="279"/>
        <v>20.5</v>
      </c>
      <c r="BH78" s="3468">
        <f t="shared" si="280"/>
        <v>20.5</v>
      </c>
    </row>
    <row r="79" spans="1:60" ht="12.75">
      <c r="A79" s="118" t="s">
        <v>461</v>
      </c>
      <c r="B79" s="146" t="s">
        <v>271</v>
      </c>
      <c r="C79" s="3420">
        <v>0</v>
      </c>
      <c r="D79" s="3420">
        <v>0</v>
      </c>
      <c r="E79" s="3420">
        <v>0</v>
      </c>
      <c r="F79" s="3420">
        <v>0</v>
      </c>
      <c r="G79" s="3420">
        <v>0</v>
      </c>
      <c r="H79" s="3420">
        <v>0</v>
      </c>
      <c r="I79" s="1348">
        <f t="shared" si="250"/>
        <v>0</v>
      </c>
      <c r="J79" s="904">
        <f t="shared" si="251"/>
        <v>0</v>
      </c>
      <c r="K79" s="3420">
        <v>0</v>
      </c>
      <c r="L79" s="3421">
        <v>0</v>
      </c>
      <c r="M79" s="3421">
        <v>0</v>
      </c>
      <c r="N79" s="3421">
        <v>0</v>
      </c>
      <c r="O79" s="3421">
        <v>0</v>
      </c>
      <c r="P79" s="3422">
        <v>0</v>
      </c>
      <c r="Q79" s="1348">
        <f t="shared" si="238"/>
        <v>0</v>
      </c>
      <c r="R79" s="1211">
        <f t="shared" si="239"/>
        <v>0</v>
      </c>
      <c r="S79" s="3420">
        <v>0</v>
      </c>
      <c r="T79" s="3421"/>
      <c r="U79" s="3421"/>
      <c r="V79" s="3421"/>
      <c r="W79" s="3421"/>
      <c r="X79" s="3422"/>
      <c r="Y79" s="1348">
        <f t="shared" si="240"/>
        <v>0</v>
      </c>
      <c r="Z79" s="1211">
        <f t="shared" si="241"/>
        <v>0</v>
      </c>
      <c r="AA79" s="3420">
        <v>0</v>
      </c>
      <c r="AB79" s="3421"/>
      <c r="AC79" s="3421"/>
      <c r="AD79" s="3421"/>
      <c r="AE79" s="3421"/>
      <c r="AF79" s="3422"/>
      <c r="AG79" s="1348">
        <f t="shared" si="252"/>
        <v>0</v>
      </c>
      <c r="AH79" s="904">
        <f t="shared" si="253"/>
        <v>0</v>
      </c>
      <c r="AI79" s="3420"/>
      <c r="AJ79" s="3421"/>
      <c r="AK79" s="3421"/>
      <c r="AL79" s="3421"/>
      <c r="AM79" s="3421"/>
      <c r="AN79" s="3453"/>
      <c r="AO79" s="1348">
        <f t="shared" si="254"/>
        <v>0</v>
      </c>
      <c r="AP79" s="904">
        <f t="shared" si="255"/>
        <v>0</v>
      </c>
      <c r="AQ79" s="3420">
        <v>0</v>
      </c>
      <c r="AR79" s="3420">
        <v>0</v>
      </c>
      <c r="AS79" s="3420">
        <v>0</v>
      </c>
      <c r="AT79" s="3420">
        <v>0</v>
      </c>
      <c r="AU79" s="3420">
        <v>0</v>
      </c>
      <c r="AV79" s="3420">
        <v>0</v>
      </c>
      <c r="AW79" s="1202">
        <f t="shared" si="269"/>
        <v>0</v>
      </c>
      <c r="AX79" s="3443">
        <f t="shared" si="270"/>
        <v>0</v>
      </c>
      <c r="AY79" s="3443">
        <f t="shared" si="271"/>
        <v>0</v>
      </c>
      <c r="AZ79" s="3443">
        <f t="shared" si="272"/>
        <v>0</v>
      </c>
      <c r="BA79" s="3443">
        <f t="shared" si="273"/>
        <v>0</v>
      </c>
      <c r="BB79" s="3444">
        <f t="shared" si="274"/>
        <v>0</v>
      </c>
      <c r="BC79" s="3464">
        <f t="shared" si="275"/>
        <v>0</v>
      </c>
      <c r="BD79" s="3465">
        <f t="shared" si="276"/>
        <v>0</v>
      </c>
      <c r="BE79" s="3466">
        <f t="shared" si="277"/>
        <v>0</v>
      </c>
      <c r="BF79" s="3466">
        <f t="shared" si="278"/>
        <v>0</v>
      </c>
      <c r="BG79" s="3466">
        <f t="shared" si="279"/>
        <v>0</v>
      </c>
      <c r="BH79" s="3468">
        <f t="shared" si="280"/>
        <v>0</v>
      </c>
    </row>
    <row r="80" spans="1:60" ht="12.75">
      <c r="A80" s="118" t="s">
        <v>462</v>
      </c>
      <c r="B80" s="982" t="s">
        <v>278</v>
      </c>
      <c r="C80" s="3420">
        <v>4</v>
      </c>
      <c r="D80" s="3421">
        <v>6</v>
      </c>
      <c r="E80" s="3421">
        <v>6</v>
      </c>
      <c r="F80" s="3421">
        <v>6</v>
      </c>
      <c r="G80" s="3421">
        <v>6</v>
      </c>
      <c r="H80" s="3422">
        <v>6</v>
      </c>
      <c r="I80" s="1348">
        <f t="shared" si="250"/>
        <v>2</v>
      </c>
      <c r="J80" s="904">
        <f t="shared" si="251"/>
        <v>0.5</v>
      </c>
      <c r="K80" s="3420">
        <v>0</v>
      </c>
      <c r="L80" s="3421">
        <v>1</v>
      </c>
      <c r="M80" s="3421">
        <v>1</v>
      </c>
      <c r="N80" s="3421">
        <v>1</v>
      </c>
      <c r="O80" s="3421">
        <v>1</v>
      </c>
      <c r="P80" s="3422">
        <v>1</v>
      </c>
      <c r="Q80" s="1348">
        <f t="shared" si="238"/>
        <v>1</v>
      </c>
      <c r="R80" s="1211">
        <f t="shared" si="239"/>
        <v>0</v>
      </c>
      <c r="S80" s="3420">
        <v>0</v>
      </c>
      <c r="T80" s="3421">
        <v>1</v>
      </c>
      <c r="U80" s="3421">
        <v>1</v>
      </c>
      <c r="V80" s="3421">
        <v>1</v>
      </c>
      <c r="W80" s="3421">
        <v>1</v>
      </c>
      <c r="X80" s="3422">
        <v>1</v>
      </c>
      <c r="Y80" s="1348">
        <f t="shared" si="240"/>
        <v>1</v>
      </c>
      <c r="Z80" s="1211">
        <f t="shared" si="241"/>
        <v>0</v>
      </c>
      <c r="AA80" s="3420">
        <v>0.03</v>
      </c>
      <c r="AB80" s="3421">
        <v>1</v>
      </c>
      <c r="AC80" s="3421">
        <v>1</v>
      </c>
      <c r="AD80" s="3421">
        <v>1</v>
      </c>
      <c r="AE80" s="3421">
        <v>1</v>
      </c>
      <c r="AF80" s="3422">
        <v>1</v>
      </c>
      <c r="AG80" s="1348">
        <f t="shared" si="252"/>
        <v>0.97</v>
      </c>
      <c r="AH80" s="904">
        <f t="shared" si="253"/>
        <v>32.333333333333336</v>
      </c>
      <c r="AI80" s="3420"/>
      <c r="AJ80" s="3421"/>
      <c r="AK80" s="3421"/>
      <c r="AL80" s="3421"/>
      <c r="AM80" s="3421"/>
      <c r="AN80" s="3453"/>
      <c r="AO80" s="1348">
        <f t="shared" si="254"/>
        <v>0</v>
      </c>
      <c r="AP80" s="904">
        <f t="shared" si="255"/>
        <v>0</v>
      </c>
      <c r="AQ80" s="3420">
        <v>0.3</v>
      </c>
      <c r="AR80" s="3420">
        <v>1</v>
      </c>
      <c r="AS80" s="3420">
        <v>1</v>
      </c>
      <c r="AT80" s="3420">
        <v>1</v>
      </c>
      <c r="AU80" s="3420">
        <v>1</v>
      </c>
      <c r="AV80" s="3420">
        <v>1</v>
      </c>
      <c r="AW80" s="1202">
        <f t="shared" si="269"/>
        <v>4.03</v>
      </c>
      <c r="AX80" s="3443">
        <f t="shared" si="270"/>
        <v>9</v>
      </c>
      <c r="AY80" s="3443">
        <f t="shared" si="271"/>
        <v>9</v>
      </c>
      <c r="AZ80" s="3443">
        <f t="shared" si="272"/>
        <v>9</v>
      </c>
      <c r="BA80" s="3443">
        <f t="shared" si="273"/>
        <v>9</v>
      </c>
      <c r="BB80" s="3444">
        <f t="shared" si="274"/>
        <v>9</v>
      </c>
      <c r="BC80" s="3464">
        <f t="shared" si="275"/>
        <v>4.03</v>
      </c>
      <c r="BD80" s="3465">
        <f t="shared" si="276"/>
        <v>7</v>
      </c>
      <c r="BE80" s="3466">
        <f t="shared" si="277"/>
        <v>7</v>
      </c>
      <c r="BF80" s="3466">
        <f t="shared" si="278"/>
        <v>7</v>
      </c>
      <c r="BG80" s="3466">
        <f t="shared" si="279"/>
        <v>7</v>
      </c>
      <c r="BH80" s="3468">
        <f t="shared" si="280"/>
        <v>7</v>
      </c>
    </row>
    <row r="81" spans="1:60" ht="12.75">
      <c r="A81" s="118" t="s">
        <v>463</v>
      </c>
      <c r="B81" s="146" t="s">
        <v>280</v>
      </c>
      <c r="C81" s="3420">
        <v>5</v>
      </c>
      <c r="D81" s="3421">
        <v>5</v>
      </c>
      <c r="E81" s="3421">
        <v>5</v>
      </c>
      <c r="F81" s="3421">
        <v>5</v>
      </c>
      <c r="G81" s="3421">
        <v>5</v>
      </c>
      <c r="H81" s="3422">
        <v>5</v>
      </c>
      <c r="I81" s="1348">
        <f t="shared" si="250"/>
        <v>0</v>
      </c>
      <c r="J81" s="904">
        <f t="shared" si="251"/>
        <v>0</v>
      </c>
      <c r="K81" s="3420">
        <v>1</v>
      </c>
      <c r="L81" s="3421">
        <v>1.1000000000000001</v>
      </c>
      <c r="M81" s="3421">
        <v>1.1000000000000001</v>
      </c>
      <c r="N81" s="3421">
        <v>1.1000000000000001</v>
      </c>
      <c r="O81" s="3421">
        <v>1.1000000000000001</v>
      </c>
      <c r="P81" s="3422">
        <v>1.1000000000000001</v>
      </c>
      <c r="Q81" s="1348">
        <f t="shared" si="238"/>
        <v>0.10000000000000009</v>
      </c>
      <c r="R81" s="1211">
        <f t="shared" si="239"/>
        <v>0.10000000000000009</v>
      </c>
      <c r="S81" s="3420">
        <v>1</v>
      </c>
      <c r="T81" s="3421">
        <v>1</v>
      </c>
      <c r="U81" s="3421">
        <v>1</v>
      </c>
      <c r="V81" s="3421">
        <v>1</v>
      </c>
      <c r="W81" s="3421">
        <v>1</v>
      </c>
      <c r="X81" s="3422">
        <v>1</v>
      </c>
      <c r="Y81" s="1348">
        <f t="shared" si="240"/>
        <v>0</v>
      </c>
      <c r="Z81" s="1211">
        <f t="shared" si="241"/>
        <v>0</v>
      </c>
      <c r="AA81" s="3420">
        <v>0.04</v>
      </c>
      <c r="AB81" s="3421">
        <v>0.04</v>
      </c>
      <c r="AC81" s="3421">
        <v>0.04</v>
      </c>
      <c r="AD81" s="3421">
        <v>0.04</v>
      </c>
      <c r="AE81" s="3421">
        <v>0.04</v>
      </c>
      <c r="AF81" s="3422">
        <v>0.04</v>
      </c>
      <c r="AG81" s="1348">
        <f t="shared" si="252"/>
        <v>0</v>
      </c>
      <c r="AH81" s="904">
        <f t="shared" si="253"/>
        <v>0</v>
      </c>
      <c r="AI81" s="3420"/>
      <c r="AJ81" s="3421"/>
      <c r="AK81" s="3421"/>
      <c r="AL81" s="3421"/>
      <c r="AM81" s="3421"/>
      <c r="AN81" s="3453"/>
      <c r="AO81" s="1348">
        <f t="shared" si="254"/>
        <v>0</v>
      </c>
      <c r="AP81" s="904">
        <f t="shared" si="255"/>
        <v>0</v>
      </c>
      <c r="AQ81" s="3420">
        <v>1</v>
      </c>
      <c r="AR81" s="3420">
        <v>1</v>
      </c>
      <c r="AS81" s="3420">
        <v>1</v>
      </c>
      <c r="AT81" s="3420">
        <v>1</v>
      </c>
      <c r="AU81" s="3420">
        <v>1</v>
      </c>
      <c r="AV81" s="3420">
        <v>1</v>
      </c>
      <c r="AW81" s="1202">
        <f t="shared" si="269"/>
        <v>7.04</v>
      </c>
      <c r="AX81" s="3443">
        <f t="shared" si="270"/>
        <v>7.14</v>
      </c>
      <c r="AY81" s="3443">
        <f t="shared" si="271"/>
        <v>7.14</v>
      </c>
      <c r="AZ81" s="3443">
        <f t="shared" si="272"/>
        <v>7.14</v>
      </c>
      <c r="BA81" s="3443">
        <f t="shared" si="273"/>
        <v>7.14</v>
      </c>
      <c r="BB81" s="3444">
        <f t="shared" si="274"/>
        <v>7.14</v>
      </c>
      <c r="BC81" s="3464">
        <f t="shared" si="275"/>
        <v>5.04</v>
      </c>
      <c r="BD81" s="3465">
        <f t="shared" si="276"/>
        <v>5.04</v>
      </c>
      <c r="BE81" s="3466">
        <f t="shared" si="277"/>
        <v>5.04</v>
      </c>
      <c r="BF81" s="3466">
        <f t="shared" si="278"/>
        <v>5.04</v>
      </c>
      <c r="BG81" s="3466">
        <f t="shared" si="279"/>
        <v>5.04</v>
      </c>
      <c r="BH81" s="3468">
        <f t="shared" si="280"/>
        <v>5.04</v>
      </c>
    </row>
    <row r="82" spans="1:60" ht="12.75">
      <c r="A82" s="118" t="s">
        <v>464</v>
      </c>
      <c r="B82" s="270" t="s">
        <v>266</v>
      </c>
      <c r="C82" s="3420">
        <v>1</v>
      </c>
      <c r="D82" s="3421">
        <v>1</v>
      </c>
      <c r="E82" s="3421">
        <v>1</v>
      </c>
      <c r="F82" s="3421">
        <v>1</v>
      </c>
      <c r="G82" s="3421">
        <v>1</v>
      </c>
      <c r="H82" s="3422">
        <v>1</v>
      </c>
      <c r="I82" s="1348">
        <f t="shared" si="250"/>
        <v>0</v>
      </c>
      <c r="J82" s="904">
        <f t="shared" si="251"/>
        <v>0</v>
      </c>
      <c r="K82" s="3420">
        <v>0</v>
      </c>
      <c r="L82" s="3421"/>
      <c r="M82" s="3421"/>
      <c r="N82" s="3421"/>
      <c r="O82" s="3421"/>
      <c r="P82" s="3422"/>
      <c r="Q82" s="1348">
        <f t="shared" si="238"/>
        <v>0</v>
      </c>
      <c r="R82" s="1211">
        <f t="shared" si="239"/>
        <v>0</v>
      </c>
      <c r="S82" s="3420">
        <v>0</v>
      </c>
      <c r="T82" s="3421"/>
      <c r="U82" s="3421"/>
      <c r="V82" s="3421"/>
      <c r="W82" s="3421"/>
      <c r="X82" s="3422"/>
      <c r="Y82" s="1348">
        <f t="shared" si="240"/>
        <v>0</v>
      </c>
      <c r="Z82" s="1211">
        <f t="shared" si="241"/>
        <v>0</v>
      </c>
      <c r="AA82" s="3420">
        <v>0.01</v>
      </c>
      <c r="AB82" s="3421"/>
      <c r="AC82" s="3421"/>
      <c r="AD82" s="3421"/>
      <c r="AE82" s="3421"/>
      <c r="AF82" s="3422"/>
      <c r="AG82" s="1348">
        <f t="shared" si="252"/>
        <v>-0.01</v>
      </c>
      <c r="AH82" s="904">
        <f t="shared" si="253"/>
        <v>-1</v>
      </c>
      <c r="AI82" s="3420"/>
      <c r="AJ82" s="3421"/>
      <c r="AK82" s="3421"/>
      <c r="AL82" s="3421"/>
      <c r="AM82" s="3421"/>
      <c r="AN82" s="3453"/>
      <c r="AO82" s="1348">
        <f t="shared" si="254"/>
        <v>0</v>
      </c>
      <c r="AP82" s="904">
        <f t="shared" si="255"/>
        <v>0</v>
      </c>
      <c r="AQ82" s="3420">
        <v>0</v>
      </c>
      <c r="AR82" s="3420">
        <v>0</v>
      </c>
      <c r="AS82" s="3420">
        <v>0</v>
      </c>
      <c r="AT82" s="3420">
        <v>0</v>
      </c>
      <c r="AU82" s="3420">
        <v>0</v>
      </c>
      <c r="AV82" s="3420">
        <v>0</v>
      </c>
      <c r="AW82" s="1202">
        <f t="shared" si="269"/>
        <v>1.01</v>
      </c>
      <c r="AX82" s="3443">
        <f t="shared" si="270"/>
        <v>1</v>
      </c>
      <c r="AY82" s="3443">
        <f t="shared" si="271"/>
        <v>1</v>
      </c>
      <c r="AZ82" s="3443">
        <f t="shared" si="272"/>
        <v>1</v>
      </c>
      <c r="BA82" s="3443">
        <f t="shared" si="273"/>
        <v>1</v>
      </c>
      <c r="BB82" s="3444">
        <f t="shared" si="274"/>
        <v>1</v>
      </c>
      <c r="BC82" s="3464">
        <f t="shared" si="275"/>
        <v>1.01</v>
      </c>
      <c r="BD82" s="3465">
        <f t="shared" si="276"/>
        <v>1</v>
      </c>
      <c r="BE82" s="3466">
        <f t="shared" si="277"/>
        <v>1</v>
      </c>
      <c r="BF82" s="3466">
        <f t="shared" si="278"/>
        <v>1</v>
      </c>
      <c r="BG82" s="3466">
        <f t="shared" si="279"/>
        <v>1</v>
      </c>
      <c r="BH82" s="3468">
        <f t="shared" si="280"/>
        <v>1</v>
      </c>
    </row>
    <row r="83" spans="1:60" ht="12.75">
      <c r="A83" s="118" t="s">
        <v>465</v>
      </c>
      <c r="B83" s="146" t="s">
        <v>243</v>
      </c>
      <c r="C83" s="1278">
        <f>SUM(C84:C87)</f>
        <v>17</v>
      </c>
      <c r="D83" s="1224">
        <f t="shared" ref="D83:BB83" si="281">SUM(D84:D87)</f>
        <v>17</v>
      </c>
      <c r="E83" s="1225">
        <f t="shared" si="281"/>
        <v>17</v>
      </c>
      <c r="F83" s="1225">
        <f t="shared" si="281"/>
        <v>17</v>
      </c>
      <c r="G83" s="1225">
        <f t="shared" si="281"/>
        <v>17</v>
      </c>
      <c r="H83" s="1239">
        <f t="shared" si="281"/>
        <v>17</v>
      </c>
      <c r="I83" s="1347">
        <f t="shared" si="250"/>
        <v>0</v>
      </c>
      <c r="J83" s="784">
        <f t="shared" si="251"/>
        <v>0</v>
      </c>
      <c r="K83" s="1278">
        <f t="shared" si="281"/>
        <v>0</v>
      </c>
      <c r="L83" s="1224">
        <f t="shared" si="281"/>
        <v>0</v>
      </c>
      <c r="M83" s="1225">
        <f t="shared" si="281"/>
        <v>0</v>
      </c>
      <c r="N83" s="1225">
        <f t="shared" si="281"/>
        <v>0</v>
      </c>
      <c r="O83" s="1225">
        <f t="shared" si="281"/>
        <v>0</v>
      </c>
      <c r="P83" s="1239">
        <f t="shared" si="281"/>
        <v>0</v>
      </c>
      <c r="Q83" s="1352">
        <f t="shared" si="238"/>
        <v>0</v>
      </c>
      <c r="R83" s="965">
        <f t="shared" si="239"/>
        <v>0</v>
      </c>
      <c r="S83" s="1278">
        <f t="shared" si="281"/>
        <v>2</v>
      </c>
      <c r="T83" s="1224">
        <f t="shared" si="281"/>
        <v>2</v>
      </c>
      <c r="U83" s="1225">
        <f t="shared" si="281"/>
        <v>2</v>
      </c>
      <c r="V83" s="1225">
        <f t="shared" si="281"/>
        <v>2</v>
      </c>
      <c r="W83" s="1225">
        <f t="shared" si="281"/>
        <v>2</v>
      </c>
      <c r="X83" s="1239">
        <f t="shared" si="281"/>
        <v>2</v>
      </c>
      <c r="Y83" s="1352">
        <f t="shared" si="240"/>
        <v>0</v>
      </c>
      <c r="Z83" s="965">
        <f t="shared" si="241"/>
        <v>0</v>
      </c>
      <c r="AA83" s="1278">
        <f>SUM(AA84:AA87)</f>
        <v>0.13</v>
      </c>
      <c r="AB83" s="1224">
        <f t="shared" ref="AB83:AN83" si="282">SUM(AB84:AB87)</f>
        <v>0.13</v>
      </c>
      <c r="AC83" s="1225">
        <f t="shared" si="282"/>
        <v>0.13</v>
      </c>
      <c r="AD83" s="1225">
        <f t="shared" si="282"/>
        <v>0.13</v>
      </c>
      <c r="AE83" s="1225">
        <f t="shared" si="282"/>
        <v>0.13</v>
      </c>
      <c r="AF83" s="1239">
        <f t="shared" si="282"/>
        <v>0.13</v>
      </c>
      <c r="AG83" s="1347">
        <f t="shared" si="252"/>
        <v>0</v>
      </c>
      <c r="AH83" s="784">
        <f t="shared" si="253"/>
        <v>0</v>
      </c>
      <c r="AI83" s="1278">
        <f t="shared" si="282"/>
        <v>0</v>
      </c>
      <c r="AJ83" s="1224">
        <f t="shared" si="282"/>
        <v>0</v>
      </c>
      <c r="AK83" s="1225">
        <f t="shared" si="282"/>
        <v>0</v>
      </c>
      <c r="AL83" s="1225">
        <f t="shared" si="282"/>
        <v>0</v>
      </c>
      <c r="AM83" s="1225">
        <f t="shared" si="282"/>
        <v>0</v>
      </c>
      <c r="AN83" s="3454">
        <f t="shared" si="282"/>
        <v>0</v>
      </c>
      <c r="AO83" s="1347">
        <f t="shared" si="254"/>
        <v>0</v>
      </c>
      <c r="AP83" s="784">
        <f t="shared" si="255"/>
        <v>0</v>
      </c>
      <c r="AQ83" s="1278">
        <f t="shared" si="281"/>
        <v>11.8</v>
      </c>
      <c r="AR83" s="1224">
        <f t="shared" si="281"/>
        <v>10</v>
      </c>
      <c r="AS83" s="1225">
        <f t="shared" si="281"/>
        <v>10</v>
      </c>
      <c r="AT83" s="1225">
        <f t="shared" si="281"/>
        <v>10</v>
      </c>
      <c r="AU83" s="1225">
        <f t="shared" si="281"/>
        <v>10</v>
      </c>
      <c r="AV83" s="3454">
        <f t="shared" si="281"/>
        <v>10</v>
      </c>
      <c r="AW83" s="1278">
        <f t="shared" si="281"/>
        <v>19.13</v>
      </c>
      <c r="AX83" s="1224">
        <f t="shared" si="281"/>
        <v>19.13</v>
      </c>
      <c r="AY83" s="1225">
        <f t="shared" si="281"/>
        <v>19.13</v>
      </c>
      <c r="AZ83" s="1225">
        <f t="shared" si="281"/>
        <v>19.13</v>
      </c>
      <c r="BA83" s="1225">
        <f t="shared" si="281"/>
        <v>19.13</v>
      </c>
      <c r="BB83" s="3454">
        <f t="shared" si="281"/>
        <v>19.13</v>
      </c>
      <c r="BC83" s="1278">
        <f t="shared" ref="BC83:BH83" si="283">SUM(BC84:BC87)</f>
        <v>17.13</v>
      </c>
      <c r="BD83" s="1224">
        <f t="shared" si="283"/>
        <v>17.13</v>
      </c>
      <c r="BE83" s="1225">
        <f t="shared" si="283"/>
        <v>17.13</v>
      </c>
      <c r="BF83" s="1225">
        <f t="shared" si="283"/>
        <v>17.13</v>
      </c>
      <c r="BG83" s="1225">
        <f t="shared" si="283"/>
        <v>17.13</v>
      </c>
      <c r="BH83" s="3454">
        <f t="shared" si="283"/>
        <v>17.13</v>
      </c>
    </row>
    <row r="84" spans="1:60" s="737" customFormat="1" ht="12.75">
      <c r="A84" s="917" t="s">
        <v>639</v>
      </c>
      <c r="B84" s="451"/>
      <c r="C84" s="3420">
        <v>17</v>
      </c>
      <c r="D84" s="3421">
        <v>17</v>
      </c>
      <c r="E84" s="3421">
        <v>17</v>
      </c>
      <c r="F84" s="3421">
        <v>17</v>
      </c>
      <c r="G84" s="3421">
        <v>17</v>
      </c>
      <c r="H84" s="3422">
        <v>17</v>
      </c>
      <c r="I84" s="1348">
        <f t="shared" si="250"/>
        <v>0</v>
      </c>
      <c r="J84" s="904">
        <f t="shared" si="251"/>
        <v>0</v>
      </c>
      <c r="K84" s="3420"/>
      <c r="L84" s="3421"/>
      <c r="M84" s="3421"/>
      <c r="N84" s="3421"/>
      <c r="O84" s="3421"/>
      <c r="P84" s="3422"/>
      <c r="Q84" s="1348">
        <f t="shared" si="238"/>
        <v>0</v>
      </c>
      <c r="R84" s="1211">
        <f t="shared" si="239"/>
        <v>0</v>
      </c>
      <c r="S84" s="3420">
        <v>2</v>
      </c>
      <c r="T84" s="3421">
        <v>2</v>
      </c>
      <c r="U84" s="3421">
        <v>2</v>
      </c>
      <c r="V84" s="3421">
        <v>2</v>
      </c>
      <c r="W84" s="3421">
        <v>2</v>
      </c>
      <c r="X84" s="3422">
        <v>2</v>
      </c>
      <c r="Y84" s="1348">
        <f t="shared" si="240"/>
        <v>0</v>
      </c>
      <c r="Z84" s="1211">
        <f t="shared" si="241"/>
        <v>0</v>
      </c>
      <c r="AA84" s="3420">
        <v>0.13</v>
      </c>
      <c r="AB84" s="3421">
        <v>0.13</v>
      </c>
      <c r="AC84" s="3421">
        <v>0.13</v>
      </c>
      <c r="AD84" s="3421">
        <v>0.13</v>
      </c>
      <c r="AE84" s="3421">
        <v>0.13</v>
      </c>
      <c r="AF84" s="3422">
        <v>0.13</v>
      </c>
      <c r="AG84" s="1348">
        <f t="shared" si="252"/>
        <v>0</v>
      </c>
      <c r="AH84" s="904">
        <f t="shared" si="253"/>
        <v>0</v>
      </c>
      <c r="AI84" s="3420"/>
      <c r="AJ84" s="3421"/>
      <c r="AK84" s="3421"/>
      <c r="AL84" s="3421"/>
      <c r="AM84" s="3421"/>
      <c r="AN84" s="3453"/>
      <c r="AO84" s="1348">
        <f t="shared" si="254"/>
        <v>0</v>
      </c>
      <c r="AP84" s="904">
        <f t="shared" si="255"/>
        <v>0</v>
      </c>
      <c r="AQ84" s="3420">
        <v>11.8</v>
      </c>
      <c r="AR84" s="3420">
        <v>10</v>
      </c>
      <c r="AS84" s="3420">
        <v>10</v>
      </c>
      <c r="AT84" s="3420">
        <v>10</v>
      </c>
      <c r="AU84" s="3420">
        <v>10</v>
      </c>
      <c r="AV84" s="3420">
        <v>10</v>
      </c>
      <c r="AW84" s="1202">
        <f t="shared" ref="AW84:AW87" si="284">C84+K84+S84+AA84+AI84</f>
        <v>19.13</v>
      </c>
      <c r="AX84" s="3443">
        <f t="shared" ref="AX84:AX87" si="285">D84+L84+T84+AB84+AJ84</f>
        <v>19.13</v>
      </c>
      <c r="AY84" s="3443">
        <f t="shared" ref="AY84:AY87" si="286">E84+M84+U84+AC84+AK84</f>
        <v>19.13</v>
      </c>
      <c r="AZ84" s="3443">
        <f t="shared" ref="AZ84:AZ87" si="287">F84+N84+V84+AD84+AL84</f>
        <v>19.13</v>
      </c>
      <c r="BA84" s="3443">
        <f t="shared" ref="BA84:BA87" si="288">G84+O84+W84+AE84+AM84</f>
        <v>19.13</v>
      </c>
      <c r="BB84" s="3444">
        <f t="shared" ref="BB84:BB87" si="289">H84+P84+X84+AF84+AN84</f>
        <v>19.13</v>
      </c>
      <c r="BC84" s="3464">
        <f t="shared" ref="BC84:BC87" si="290">C84+AA84+AI84</f>
        <v>17.13</v>
      </c>
      <c r="BD84" s="3465">
        <f t="shared" ref="BD84:BD87" si="291">D84+AB84+AJ84</f>
        <v>17.13</v>
      </c>
      <c r="BE84" s="3466">
        <f t="shared" ref="BE84:BE87" si="292">E84+AC84+AK84</f>
        <v>17.13</v>
      </c>
      <c r="BF84" s="3466">
        <f t="shared" ref="BF84:BF87" si="293">F84+AD84+AL84</f>
        <v>17.13</v>
      </c>
      <c r="BG84" s="3466">
        <f t="shared" ref="BG84:BG87" si="294">G84+AE84+AM84</f>
        <v>17.13</v>
      </c>
      <c r="BH84" s="3468">
        <f t="shared" ref="BH84:BH87" si="295">H84+AF84+AN84</f>
        <v>17.13</v>
      </c>
    </row>
    <row r="85" spans="1:60" s="737" customFormat="1" ht="12.75">
      <c r="A85" s="917" t="s">
        <v>640</v>
      </c>
      <c r="B85" s="451"/>
      <c r="C85" s="3420"/>
      <c r="D85" s="3421"/>
      <c r="E85" s="3421"/>
      <c r="F85" s="3421"/>
      <c r="G85" s="3421"/>
      <c r="H85" s="3422"/>
      <c r="I85" s="1348">
        <f t="shared" si="250"/>
        <v>0</v>
      </c>
      <c r="J85" s="904">
        <f t="shared" si="251"/>
        <v>0</v>
      </c>
      <c r="K85" s="3420"/>
      <c r="L85" s="3421"/>
      <c r="M85" s="3421"/>
      <c r="N85" s="3421"/>
      <c r="O85" s="3421"/>
      <c r="P85" s="3422"/>
      <c r="Q85" s="1348">
        <f t="shared" si="238"/>
        <v>0</v>
      </c>
      <c r="R85" s="1211">
        <f t="shared" si="239"/>
        <v>0</v>
      </c>
      <c r="S85" s="3420"/>
      <c r="T85" s="3421"/>
      <c r="U85" s="3421"/>
      <c r="V85" s="3421"/>
      <c r="W85" s="3421"/>
      <c r="X85" s="3422"/>
      <c r="Y85" s="1348">
        <f t="shared" si="240"/>
        <v>0</v>
      </c>
      <c r="Z85" s="1211">
        <f t="shared" si="241"/>
        <v>0</v>
      </c>
      <c r="AA85" s="3420"/>
      <c r="AB85" s="3421"/>
      <c r="AC85" s="3421"/>
      <c r="AD85" s="3421"/>
      <c r="AE85" s="3421"/>
      <c r="AF85" s="3422"/>
      <c r="AG85" s="1348">
        <f t="shared" si="252"/>
        <v>0</v>
      </c>
      <c r="AH85" s="904">
        <f t="shared" si="253"/>
        <v>0</v>
      </c>
      <c r="AI85" s="3420"/>
      <c r="AJ85" s="3421"/>
      <c r="AK85" s="3421"/>
      <c r="AL85" s="3421"/>
      <c r="AM85" s="3421"/>
      <c r="AN85" s="3453"/>
      <c r="AO85" s="1348">
        <f t="shared" si="254"/>
        <v>0</v>
      </c>
      <c r="AP85" s="904">
        <f t="shared" si="255"/>
        <v>0</v>
      </c>
      <c r="AQ85" s="3420"/>
      <c r="AR85" s="3421"/>
      <c r="AS85" s="3421"/>
      <c r="AT85" s="3421"/>
      <c r="AU85" s="3421"/>
      <c r="AV85" s="3453"/>
      <c r="AW85" s="1202">
        <f t="shared" si="284"/>
        <v>0</v>
      </c>
      <c r="AX85" s="3443">
        <f t="shared" si="285"/>
        <v>0</v>
      </c>
      <c r="AY85" s="3443">
        <f t="shared" si="286"/>
        <v>0</v>
      </c>
      <c r="AZ85" s="3443">
        <f t="shared" si="287"/>
        <v>0</v>
      </c>
      <c r="BA85" s="3443">
        <f t="shared" si="288"/>
        <v>0</v>
      </c>
      <c r="BB85" s="3444">
        <f t="shared" si="289"/>
        <v>0</v>
      </c>
      <c r="BC85" s="3464">
        <f t="shared" si="290"/>
        <v>0</v>
      </c>
      <c r="BD85" s="3465">
        <f t="shared" si="291"/>
        <v>0</v>
      </c>
      <c r="BE85" s="3466">
        <f t="shared" si="292"/>
        <v>0</v>
      </c>
      <c r="BF85" s="3466">
        <f t="shared" si="293"/>
        <v>0</v>
      </c>
      <c r="BG85" s="3466">
        <f t="shared" si="294"/>
        <v>0</v>
      </c>
      <c r="BH85" s="3468">
        <f t="shared" si="295"/>
        <v>0</v>
      </c>
    </row>
    <row r="86" spans="1:60" s="737" customFormat="1" ht="12.75">
      <c r="A86" s="917" t="s">
        <v>641</v>
      </c>
      <c r="B86" s="451"/>
      <c r="C86" s="3445"/>
      <c r="D86" s="3421"/>
      <c r="E86" s="3421"/>
      <c r="F86" s="3421"/>
      <c r="G86" s="3421"/>
      <c r="H86" s="3422"/>
      <c r="I86" s="1348">
        <f t="shared" si="250"/>
        <v>0</v>
      </c>
      <c r="J86" s="904">
        <f t="shared" si="251"/>
        <v>0</v>
      </c>
      <c r="K86" s="3420"/>
      <c r="L86" s="3421"/>
      <c r="M86" s="3421"/>
      <c r="N86" s="3421"/>
      <c r="O86" s="3421"/>
      <c r="P86" s="3422"/>
      <c r="Q86" s="1348">
        <f t="shared" si="238"/>
        <v>0</v>
      </c>
      <c r="R86" s="1211">
        <f t="shared" si="239"/>
        <v>0</v>
      </c>
      <c r="S86" s="3420"/>
      <c r="T86" s="3421"/>
      <c r="U86" s="3421"/>
      <c r="V86" s="3421"/>
      <c r="W86" s="3421"/>
      <c r="X86" s="3422"/>
      <c r="Y86" s="1348">
        <f t="shared" si="240"/>
        <v>0</v>
      </c>
      <c r="Z86" s="1211">
        <f t="shared" si="241"/>
        <v>0</v>
      </c>
      <c r="AA86" s="3420"/>
      <c r="AB86" s="3421"/>
      <c r="AC86" s="3421"/>
      <c r="AD86" s="3421"/>
      <c r="AE86" s="3421"/>
      <c r="AF86" s="3422"/>
      <c r="AG86" s="1348">
        <f t="shared" si="252"/>
        <v>0</v>
      </c>
      <c r="AH86" s="904">
        <f t="shared" si="253"/>
        <v>0</v>
      </c>
      <c r="AI86" s="3420"/>
      <c r="AJ86" s="3421"/>
      <c r="AK86" s="3421"/>
      <c r="AL86" s="3421"/>
      <c r="AM86" s="3421"/>
      <c r="AN86" s="3453"/>
      <c r="AO86" s="1348">
        <f t="shared" si="254"/>
        <v>0</v>
      </c>
      <c r="AP86" s="904">
        <f t="shared" si="255"/>
        <v>0</v>
      </c>
      <c r="AQ86" s="3445"/>
      <c r="AR86" s="3421"/>
      <c r="AS86" s="3421"/>
      <c r="AT86" s="3421"/>
      <c r="AU86" s="3421"/>
      <c r="AV86" s="3453"/>
      <c r="AW86" s="1202">
        <f t="shared" si="284"/>
        <v>0</v>
      </c>
      <c r="AX86" s="3443">
        <f t="shared" si="285"/>
        <v>0</v>
      </c>
      <c r="AY86" s="3443">
        <f t="shared" si="286"/>
        <v>0</v>
      </c>
      <c r="AZ86" s="3443">
        <f t="shared" si="287"/>
        <v>0</v>
      </c>
      <c r="BA86" s="3443">
        <f t="shared" si="288"/>
        <v>0</v>
      </c>
      <c r="BB86" s="3444">
        <f t="shared" si="289"/>
        <v>0</v>
      </c>
      <c r="BC86" s="3464">
        <f t="shared" si="290"/>
        <v>0</v>
      </c>
      <c r="BD86" s="3465">
        <f t="shared" si="291"/>
        <v>0</v>
      </c>
      <c r="BE86" s="3466">
        <f t="shared" si="292"/>
        <v>0</v>
      </c>
      <c r="BF86" s="3466">
        <f t="shared" si="293"/>
        <v>0</v>
      </c>
      <c r="BG86" s="3466">
        <f t="shared" si="294"/>
        <v>0</v>
      </c>
      <c r="BH86" s="3468">
        <f t="shared" si="295"/>
        <v>0</v>
      </c>
    </row>
    <row r="87" spans="1:60" s="737" customFormat="1" ht="13.5" thickBot="1">
      <c r="A87" s="919" t="s">
        <v>642</v>
      </c>
      <c r="B87" s="451"/>
      <c r="C87" s="3420"/>
      <c r="D87" s="3421"/>
      <c r="E87" s="3421"/>
      <c r="F87" s="3421"/>
      <c r="G87" s="3421"/>
      <c r="H87" s="3422"/>
      <c r="I87" s="1348">
        <f t="shared" si="250"/>
        <v>0</v>
      </c>
      <c r="J87" s="904">
        <f t="shared" si="251"/>
        <v>0</v>
      </c>
      <c r="K87" s="3420"/>
      <c r="L87" s="3421"/>
      <c r="M87" s="3421"/>
      <c r="N87" s="3421"/>
      <c r="O87" s="3421"/>
      <c r="P87" s="3422"/>
      <c r="Q87" s="1348">
        <f t="shared" si="238"/>
        <v>0</v>
      </c>
      <c r="R87" s="1211">
        <f t="shared" si="239"/>
        <v>0</v>
      </c>
      <c r="S87" s="3420"/>
      <c r="T87" s="3421"/>
      <c r="U87" s="3421"/>
      <c r="V87" s="3421"/>
      <c r="W87" s="3421"/>
      <c r="X87" s="3422"/>
      <c r="Y87" s="1348">
        <f t="shared" si="240"/>
        <v>0</v>
      </c>
      <c r="Z87" s="1211">
        <f t="shared" si="241"/>
        <v>0</v>
      </c>
      <c r="AA87" s="3420"/>
      <c r="AB87" s="3421"/>
      <c r="AC87" s="3421"/>
      <c r="AD87" s="3421"/>
      <c r="AE87" s="3421"/>
      <c r="AF87" s="3422"/>
      <c r="AG87" s="1348">
        <f t="shared" si="252"/>
        <v>0</v>
      </c>
      <c r="AH87" s="904">
        <f t="shared" si="253"/>
        <v>0</v>
      </c>
      <c r="AI87" s="3420"/>
      <c r="AJ87" s="3421"/>
      <c r="AK87" s="3421"/>
      <c r="AL87" s="3421"/>
      <c r="AM87" s="3421"/>
      <c r="AN87" s="3453"/>
      <c r="AO87" s="1348">
        <f t="shared" si="254"/>
        <v>0</v>
      </c>
      <c r="AP87" s="904">
        <f t="shared" si="255"/>
        <v>0</v>
      </c>
      <c r="AQ87" s="3420"/>
      <c r="AR87" s="3421"/>
      <c r="AS87" s="3421"/>
      <c r="AT87" s="3421"/>
      <c r="AU87" s="3421"/>
      <c r="AV87" s="3453"/>
      <c r="AW87" s="1202">
        <f t="shared" si="284"/>
        <v>0</v>
      </c>
      <c r="AX87" s="3443">
        <f t="shared" si="285"/>
        <v>0</v>
      </c>
      <c r="AY87" s="3443">
        <f t="shared" si="286"/>
        <v>0</v>
      </c>
      <c r="AZ87" s="3443">
        <f t="shared" si="287"/>
        <v>0</v>
      </c>
      <c r="BA87" s="3443">
        <f t="shared" si="288"/>
        <v>0</v>
      </c>
      <c r="BB87" s="3444">
        <f t="shared" si="289"/>
        <v>0</v>
      </c>
      <c r="BC87" s="3464">
        <f t="shared" si="290"/>
        <v>0</v>
      </c>
      <c r="BD87" s="3465">
        <f t="shared" si="291"/>
        <v>0</v>
      </c>
      <c r="BE87" s="3466">
        <f t="shared" si="292"/>
        <v>0</v>
      </c>
      <c r="BF87" s="3466">
        <f t="shared" si="293"/>
        <v>0</v>
      </c>
      <c r="BG87" s="3466">
        <f t="shared" si="294"/>
        <v>0</v>
      </c>
      <c r="BH87" s="3468">
        <f t="shared" si="295"/>
        <v>0</v>
      </c>
    </row>
    <row r="88" spans="1:60" ht="13.5" thickBot="1">
      <c r="A88" s="5439" t="s">
        <v>282</v>
      </c>
      <c r="B88" s="5440"/>
      <c r="C88" s="1200">
        <f t="shared" ref="C88:BB88" si="296">C11+C29+C55+C59+C63+C70+C76</f>
        <v>11436.093000000001</v>
      </c>
      <c r="D88" s="993">
        <f t="shared" si="296"/>
        <v>10758.772272327446</v>
      </c>
      <c r="E88" s="1237">
        <f t="shared" si="296"/>
        <v>10774.357426347238</v>
      </c>
      <c r="F88" s="1237">
        <f t="shared" si="296"/>
        <v>11258.326140755124</v>
      </c>
      <c r="G88" s="1240">
        <f t="shared" si="296"/>
        <v>11986.882838469724</v>
      </c>
      <c r="H88" s="1240">
        <f t="shared" si="296"/>
        <v>12188.304267918858</v>
      </c>
      <c r="I88" s="1343">
        <f t="shared" si="250"/>
        <v>752.21126791885763</v>
      </c>
      <c r="J88" s="898">
        <f t="shared" si="251"/>
        <v>6.5775196819303369E-2</v>
      </c>
      <c r="K88" s="1200">
        <f t="shared" si="296"/>
        <v>460.87500000000006</v>
      </c>
      <c r="L88" s="1238">
        <f t="shared" si="296"/>
        <v>696.80238381462857</v>
      </c>
      <c r="M88" s="1237">
        <f t="shared" si="296"/>
        <v>787.27424856464017</v>
      </c>
      <c r="N88" s="1237">
        <f t="shared" si="296"/>
        <v>1113.6251684045021</v>
      </c>
      <c r="O88" s="1237">
        <f t="shared" si="296"/>
        <v>1357.7829176987436</v>
      </c>
      <c r="P88" s="1238">
        <f t="shared" si="296"/>
        <v>1393.9853830056149</v>
      </c>
      <c r="Q88" s="1343">
        <f t="shared" si="238"/>
        <v>933.11038300561495</v>
      </c>
      <c r="R88" s="962">
        <f t="shared" si="239"/>
        <v>2.0246495969744829</v>
      </c>
      <c r="S88" s="1200">
        <f t="shared" si="296"/>
        <v>1402.4610000000002</v>
      </c>
      <c r="T88" s="993">
        <f t="shared" si="296"/>
        <v>1643.3104249504454</v>
      </c>
      <c r="U88" s="1237">
        <f t="shared" si="296"/>
        <v>1871.0008091472678</v>
      </c>
      <c r="V88" s="1237">
        <f t="shared" si="296"/>
        <v>2173.2061900318813</v>
      </c>
      <c r="W88" s="1237">
        <f t="shared" si="296"/>
        <v>2323.5649603032307</v>
      </c>
      <c r="X88" s="1238">
        <f t="shared" si="296"/>
        <v>2365.5637879345445</v>
      </c>
      <c r="Y88" s="1343">
        <f t="shared" si="240"/>
        <v>963.10278793454427</v>
      </c>
      <c r="Z88" s="962">
        <f t="shared" si="241"/>
        <v>0.68672340117446695</v>
      </c>
      <c r="AA88" s="1200">
        <f t="shared" ref="AA88:AN88" si="297">AA11+AA29+AA55+AA59+AA63+AA70+AA76</f>
        <v>28.377999999999997</v>
      </c>
      <c r="AB88" s="993">
        <f t="shared" si="297"/>
        <v>176.14488261600005</v>
      </c>
      <c r="AC88" s="1237">
        <f t="shared" si="297"/>
        <v>244.74229233600002</v>
      </c>
      <c r="AD88" s="1237">
        <f t="shared" si="297"/>
        <v>241.966675178</v>
      </c>
      <c r="AE88" s="1237">
        <f t="shared" si="297"/>
        <v>239.51643779600002</v>
      </c>
      <c r="AF88" s="1238">
        <f t="shared" si="297"/>
        <v>237.04905646600002</v>
      </c>
      <c r="AG88" s="1343">
        <f t="shared" si="252"/>
        <v>208.67105646600004</v>
      </c>
      <c r="AH88" s="898">
        <f t="shared" si="253"/>
        <v>7.3532686047642564</v>
      </c>
      <c r="AI88" s="1200">
        <f t="shared" si="297"/>
        <v>0</v>
      </c>
      <c r="AJ88" s="993">
        <f t="shared" si="297"/>
        <v>0</v>
      </c>
      <c r="AK88" s="1237">
        <f t="shared" si="297"/>
        <v>0</v>
      </c>
      <c r="AL88" s="1237">
        <f t="shared" si="297"/>
        <v>0</v>
      </c>
      <c r="AM88" s="1237">
        <f t="shared" si="297"/>
        <v>0</v>
      </c>
      <c r="AN88" s="3459">
        <f t="shared" si="297"/>
        <v>0</v>
      </c>
      <c r="AO88" s="1343">
        <f t="shared" si="254"/>
        <v>0</v>
      </c>
      <c r="AP88" s="898">
        <f t="shared" si="255"/>
        <v>0</v>
      </c>
      <c r="AQ88" s="1200">
        <f t="shared" si="296"/>
        <v>197.391358</v>
      </c>
      <c r="AR88" s="993">
        <f t="shared" si="296"/>
        <v>222.93435799999997</v>
      </c>
      <c r="AS88" s="1237">
        <f t="shared" si="296"/>
        <v>249.391358</v>
      </c>
      <c r="AT88" s="1237">
        <f t="shared" si="296"/>
        <v>276.73135799999994</v>
      </c>
      <c r="AU88" s="1240">
        <f t="shared" si="296"/>
        <v>309.10135799999995</v>
      </c>
      <c r="AV88" s="2987">
        <f t="shared" si="296"/>
        <v>342.791358</v>
      </c>
      <c r="AW88" s="1200">
        <f t="shared" si="296"/>
        <v>13327.806999999999</v>
      </c>
      <c r="AX88" s="993">
        <f t="shared" si="296"/>
        <v>13275.029963708521</v>
      </c>
      <c r="AY88" s="1237">
        <f t="shared" si="296"/>
        <v>13677.374776395145</v>
      </c>
      <c r="AZ88" s="1237">
        <f t="shared" si="296"/>
        <v>14787.124174369503</v>
      </c>
      <c r="BA88" s="1237">
        <f t="shared" si="296"/>
        <v>15907.747154267698</v>
      </c>
      <c r="BB88" s="3459">
        <f t="shared" si="296"/>
        <v>16184.902495325017</v>
      </c>
      <c r="BC88" s="1200">
        <f t="shared" ref="BC88:BH88" si="298">BC11+BC29+BC55+BC59+BC63+BC70+BC76</f>
        <v>11464.470999999998</v>
      </c>
      <c r="BD88" s="993">
        <f t="shared" si="298"/>
        <v>10934.917154943447</v>
      </c>
      <c r="BE88" s="1237">
        <f t="shared" si="298"/>
        <v>11019.099718683239</v>
      </c>
      <c r="BF88" s="1237">
        <f t="shared" si="298"/>
        <v>11500.29281593312</v>
      </c>
      <c r="BG88" s="1237">
        <f t="shared" si="298"/>
        <v>12226.399276265725</v>
      </c>
      <c r="BH88" s="3459">
        <f t="shared" si="298"/>
        <v>12425.353324384856</v>
      </c>
    </row>
    <row r="89" spans="1:60" s="861" customFormat="1" thickBot="1">
      <c r="A89" s="271"/>
      <c r="B89" s="272" t="s">
        <v>1252</v>
      </c>
      <c r="C89" s="1209">
        <f>C12+C17+C19+C31+(C49+C50)+(C72+C73+C74)</f>
        <v>3826.6379999999999</v>
      </c>
      <c r="D89" s="3446">
        <f t="shared" ref="D89:AV89" si="299">D12+D17+D19+D31+(D49+D50)+(D72+D73+D74)</f>
        <v>3282.8933358316326</v>
      </c>
      <c r="E89" s="1244">
        <f t="shared" si="299"/>
        <v>2467.2231641373778</v>
      </c>
      <c r="F89" s="1244">
        <f t="shared" si="299"/>
        <v>2114.2124389167898</v>
      </c>
      <c r="G89" s="1244">
        <f t="shared" si="299"/>
        <v>1915.521205022015</v>
      </c>
      <c r="H89" s="3447">
        <f t="shared" si="299"/>
        <v>1800.1809413502758</v>
      </c>
      <c r="I89" s="1353">
        <f t="shared" si="250"/>
        <v>-2026.4570586497241</v>
      </c>
      <c r="J89" s="905">
        <f t="shared" si="251"/>
        <v>-0.52956591625592075</v>
      </c>
      <c r="K89" s="1209">
        <f t="shared" si="299"/>
        <v>6.3</v>
      </c>
      <c r="L89" s="3446">
        <f t="shared" si="299"/>
        <v>6.3999999999999995</v>
      </c>
      <c r="M89" s="1244">
        <f t="shared" si="299"/>
        <v>6.3999999999999995</v>
      </c>
      <c r="N89" s="1244">
        <f t="shared" si="299"/>
        <v>232.70674055800001</v>
      </c>
      <c r="O89" s="1244">
        <f t="shared" si="299"/>
        <v>232.70674055800001</v>
      </c>
      <c r="P89" s="3447">
        <f t="shared" si="299"/>
        <v>232.70674055800001</v>
      </c>
      <c r="Q89" s="1353">
        <f t="shared" si="238"/>
        <v>226.406740558</v>
      </c>
      <c r="R89" s="970">
        <f t="shared" si="239"/>
        <v>35.937577866349208</v>
      </c>
      <c r="S89" s="1209">
        <f t="shared" si="299"/>
        <v>422.15</v>
      </c>
      <c r="T89" s="3446">
        <f t="shared" si="299"/>
        <v>394.32620526088635</v>
      </c>
      <c r="U89" s="1244">
        <f t="shared" si="299"/>
        <v>416.50976992176805</v>
      </c>
      <c r="V89" s="1244">
        <f t="shared" si="299"/>
        <v>989.90666971671521</v>
      </c>
      <c r="W89" s="1244">
        <f t="shared" si="299"/>
        <v>928.39612089168395</v>
      </c>
      <c r="X89" s="3447">
        <f t="shared" si="299"/>
        <v>841.09710695074102</v>
      </c>
      <c r="Y89" s="1353">
        <f t="shared" si="240"/>
        <v>418.94710695074104</v>
      </c>
      <c r="Z89" s="970">
        <f t="shared" si="241"/>
        <v>0.99241290287987938</v>
      </c>
      <c r="AA89" s="1209">
        <f t="shared" si="299"/>
        <v>0</v>
      </c>
      <c r="AB89" s="3446">
        <f t="shared" si="299"/>
        <v>117.50975261600001</v>
      </c>
      <c r="AC89" s="1244">
        <f t="shared" si="299"/>
        <v>174.11516233600003</v>
      </c>
      <c r="AD89" s="1244">
        <f t="shared" si="299"/>
        <v>159.225545178</v>
      </c>
      <c r="AE89" s="1244">
        <f t="shared" si="299"/>
        <v>149.92230779599998</v>
      </c>
      <c r="AF89" s="3447">
        <f t="shared" si="299"/>
        <v>143.29592646600003</v>
      </c>
      <c r="AG89" s="1353">
        <f t="shared" si="252"/>
        <v>143.29592646600003</v>
      </c>
      <c r="AH89" s="905">
        <f t="shared" si="253"/>
        <v>0</v>
      </c>
      <c r="AI89" s="1209">
        <f t="shared" si="299"/>
        <v>0</v>
      </c>
      <c r="AJ89" s="3446">
        <f t="shared" si="299"/>
        <v>0</v>
      </c>
      <c r="AK89" s="1244">
        <f t="shared" si="299"/>
        <v>0</v>
      </c>
      <c r="AL89" s="1244">
        <f t="shared" si="299"/>
        <v>0</v>
      </c>
      <c r="AM89" s="1244">
        <f t="shared" si="299"/>
        <v>0</v>
      </c>
      <c r="AN89" s="3461">
        <f t="shared" si="299"/>
        <v>0</v>
      </c>
      <c r="AO89" s="1353">
        <f t="shared" si="254"/>
        <v>0</v>
      </c>
      <c r="AP89" s="905">
        <f t="shared" si="255"/>
        <v>0</v>
      </c>
      <c r="AQ89" s="1209">
        <f t="shared" si="299"/>
        <v>10.091358</v>
      </c>
      <c r="AR89" s="3446">
        <f t="shared" si="299"/>
        <v>10.091358</v>
      </c>
      <c r="AS89" s="1244">
        <f t="shared" si="299"/>
        <v>10.091358</v>
      </c>
      <c r="AT89" s="1244">
        <f t="shared" si="299"/>
        <v>10.091358</v>
      </c>
      <c r="AU89" s="1244">
        <f t="shared" si="299"/>
        <v>10.091358</v>
      </c>
      <c r="AV89" s="3461">
        <f t="shared" si="299"/>
        <v>10.091358</v>
      </c>
      <c r="AW89" s="1209">
        <f t="shared" ref="AW89:BB89" si="300">AW12+AW17+AW19+AW31+(AW49+AW50)+(AW72+AW73+AW74)</f>
        <v>4255.0879999999997</v>
      </c>
      <c r="AX89" s="3446">
        <f t="shared" si="300"/>
        <v>3801.1292937085195</v>
      </c>
      <c r="AY89" s="1244">
        <f t="shared" si="300"/>
        <v>3064.2480963951461</v>
      </c>
      <c r="AZ89" s="1244">
        <f t="shared" si="300"/>
        <v>3496.051394369505</v>
      </c>
      <c r="BA89" s="1244">
        <f t="shared" si="300"/>
        <v>3226.5463742676993</v>
      </c>
      <c r="BB89" s="3461">
        <f t="shared" si="300"/>
        <v>3017.2807153250174</v>
      </c>
      <c r="BC89" s="1209">
        <f t="shared" ref="BC89:BH89" si="301">BC12+BC17+BC19+BC31+(BC49+BC50)+(BC72+BC73+BC74)</f>
        <v>3826.6379999999999</v>
      </c>
      <c r="BD89" s="3446">
        <f t="shared" si="301"/>
        <v>3400.4030884476324</v>
      </c>
      <c r="BE89" s="1244">
        <f t="shared" si="301"/>
        <v>2641.3383264733779</v>
      </c>
      <c r="BF89" s="1244">
        <f t="shared" si="301"/>
        <v>2273.43798409479</v>
      </c>
      <c r="BG89" s="1244">
        <f t="shared" si="301"/>
        <v>2065.4435128180153</v>
      </c>
      <c r="BH89" s="3461">
        <f t="shared" si="301"/>
        <v>1943.4768678162759</v>
      </c>
    </row>
    <row r="90" spans="1:60" s="693" customFormat="1" thickBot="1">
      <c r="A90" s="271"/>
      <c r="B90" s="272" t="s">
        <v>643</v>
      </c>
      <c r="C90" s="3448">
        <f>C21+C24+C48+C61+C65+C68</f>
        <v>1904.0797599999999</v>
      </c>
      <c r="D90" s="3449">
        <f t="shared" ref="D90:AV90" si="302">D21+D24+D48+D61+D65+D68</f>
        <v>2104.62</v>
      </c>
      <c r="E90" s="1246">
        <f t="shared" si="302"/>
        <v>2152.62</v>
      </c>
      <c r="F90" s="1246">
        <f t="shared" si="302"/>
        <v>2213.62</v>
      </c>
      <c r="G90" s="1246">
        <f t="shared" si="302"/>
        <v>2285.62</v>
      </c>
      <c r="H90" s="3450">
        <f t="shared" si="302"/>
        <v>2285.62</v>
      </c>
      <c r="I90" s="1354">
        <f t="shared" si="250"/>
        <v>381.54024000000004</v>
      </c>
      <c r="J90" s="905">
        <f t="shared" si="251"/>
        <v>0.20038038742662759</v>
      </c>
      <c r="K90" s="3448">
        <f t="shared" si="302"/>
        <v>94.536370000000005</v>
      </c>
      <c r="L90" s="3449">
        <f t="shared" si="302"/>
        <v>297.55500000000001</v>
      </c>
      <c r="M90" s="1246">
        <f t="shared" si="302"/>
        <v>303.55500000000001</v>
      </c>
      <c r="N90" s="1246">
        <f t="shared" si="302"/>
        <v>307.55500000000001</v>
      </c>
      <c r="O90" s="1246">
        <f t="shared" si="302"/>
        <v>313.55500000000001</v>
      </c>
      <c r="P90" s="3450">
        <f t="shared" si="302"/>
        <v>317.55500000000001</v>
      </c>
      <c r="Q90" s="1354">
        <f t="shared" si="238"/>
        <v>223.01863</v>
      </c>
      <c r="R90" s="970">
        <f t="shared" si="239"/>
        <v>2.3590775698284161</v>
      </c>
      <c r="S90" s="3448">
        <f t="shared" si="302"/>
        <v>24.60191</v>
      </c>
      <c r="T90" s="3449">
        <f t="shared" si="302"/>
        <v>30</v>
      </c>
      <c r="U90" s="1246">
        <f t="shared" si="302"/>
        <v>30</v>
      </c>
      <c r="V90" s="1246">
        <f t="shared" si="302"/>
        <v>30</v>
      </c>
      <c r="W90" s="1246">
        <f t="shared" si="302"/>
        <v>30</v>
      </c>
      <c r="X90" s="3450">
        <f t="shared" si="302"/>
        <v>30</v>
      </c>
      <c r="Y90" s="1354">
        <f t="shared" si="240"/>
        <v>5.3980899999999998</v>
      </c>
      <c r="Z90" s="970">
        <f t="shared" si="241"/>
        <v>0.2194175167700394</v>
      </c>
      <c r="AA90" s="3448">
        <f t="shared" si="302"/>
        <v>1</v>
      </c>
      <c r="AB90" s="3449">
        <f t="shared" si="302"/>
        <v>1</v>
      </c>
      <c r="AC90" s="1246">
        <f t="shared" si="302"/>
        <v>13.2</v>
      </c>
      <c r="AD90" s="1246">
        <f t="shared" si="302"/>
        <v>22.265000000000001</v>
      </c>
      <c r="AE90" s="1246">
        <f t="shared" si="302"/>
        <v>28.698999999999998</v>
      </c>
      <c r="AF90" s="3450">
        <f t="shared" si="302"/>
        <v>22</v>
      </c>
      <c r="AG90" s="1354">
        <f t="shared" si="252"/>
        <v>21</v>
      </c>
      <c r="AH90" s="905">
        <f t="shared" si="253"/>
        <v>21</v>
      </c>
      <c r="AI90" s="3448">
        <f t="shared" si="302"/>
        <v>0</v>
      </c>
      <c r="AJ90" s="3449">
        <f t="shared" si="302"/>
        <v>0</v>
      </c>
      <c r="AK90" s="1246">
        <f t="shared" si="302"/>
        <v>0</v>
      </c>
      <c r="AL90" s="1246">
        <f t="shared" si="302"/>
        <v>0</v>
      </c>
      <c r="AM90" s="1246">
        <f t="shared" si="302"/>
        <v>0</v>
      </c>
      <c r="AN90" s="3462">
        <f t="shared" si="302"/>
        <v>0</v>
      </c>
      <c r="AO90" s="1354">
        <f t="shared" si="254"/>
        <v>0</v>
      </c>
      <c r="AP90" s="905">
        <f t="shared" si="255"/>
        <v>0</v>
      </c>
      <c r="AQ90" s="3448">
        <f t="shared" si="302"/>
        <v>5.6</v>
      </c>
      <c r="AR90" s="3449">
        <f t="shared" si="302"/>
        <v>7</v>
      </c>
      <c r="AS90" s="1246">
        <f t="shared" si="302"/>
        <v>7</v>
      </c>
      <c r="AT90" s="1246">
        <f t="shared" si="302"/>
        <v>8</v>
      </c>
      <c r="AU90" s="1246">
        <f t="shared" si="302"/>
        <v>9</v>
      </c>
      <c r="AV90" s="3462">
        <f t="shared" si="302"/>
        <v>10</v>
      </c>
      <c r="AW90" s="3448">
        <f t="shared" ref="AW90:BB90" si="303">AW21+AW24+AW48+AW61+AW65+AW68</f>
        <v>2024.2180399999997</v>
      </c>
      <c r="AX90" s="3449">
        <f t="shared" si="303"/>
        <v>2433.1749999999997</v>
      </c>
      <c r="AY90" s="1246">
        <f t="shared" si="303"/>
        <v>2499.3749999999995</v>
      </c>
      <c r="AZ90" s="1246">
        <f t="shared" si="303"/>
        <v>2573.4399999999996</v>
      </c>
      <c r="BA90" s="1246">
        <f t="shared" si="303"/>
        <v>2657.8739999999998</v>
      </c>
      <c r="BB90" s="3462">
        <f t="shared" si="303"/>
        <v>2655.1749999999997</v>
      </c>
      <c r="BC90" s="3448">
        <f t="shared" ref="BC90:BH90" si="304">BC21+BC24+BC48+BC61+BC65+BC68</f>
        <v>1905.0797599999999</v>
      </c>
      <c r="BD90" s="3449">
        <f t="shared" si="304"/>
        <v>2105.62</v>
      </c>
      <c r="BE90" s="1246">
        <f t="shared" si="304"/>
        <v>2165.8199999999997</v>
      </c>
      <c r="BF90" s="1246">
        <f t="shared" si="304"/>
        <v>2235.8849999999998</v>
      </c>
      <c r="BG90" s="1246">
        <f t="shared" si="304"/>
        <v>2314.319</v>
      </c>
      <c r="BH90" s="3462">
        <f t="shared" si="304"/>
        <v>2307.62</v>
      </c>
    </row>
    <row r="91" spans="1:60" s="693" customFormat="1" thickBot="1">
      <c r="A91" s="271"/>
      <c r="B91" s="272" t="s">
        <v>1250</v>
      </c>
      <c r="C91" s="1209">
        <f>C88-C55</f>
        <v>10801.653</v>
      </c>
      <c r="D91" s="3446">
        <f t="shared" ref="D91:AV91" si="305">D88-D55</f>
        <v>10177.044335831633</v>
      </c>
      <c r="E91" s="1244">
        <f t="shared" si="305"/>
        <v>10165.803164137378</v>
      </c>
      <c r="F91" s="1244">
        <f t="shared" si="305"/>
        <v>10589.592438916792</v>
      </c>
      <c r="G91" s="1244">
        <f t="shared" si="305"/>
        <v>11284.201205022015</v>
      </c>
      <c r="H91" s="3447">
        <f t="shared" si="305"/>
        <v>11460.260941350278</v>
      </c>
      <c r="I91" s="1353">
        <f t="shared" si="250"/>
        <v>658.60794135027754</v>
      </c>
      <c r="J91" s="905">
        <f t="shared" si="251"/>
        <v>6.0972884552973283E-2</v>
      </c>
      <c r="K91" s="1209">
        <f t="shared" si="305"/>
        <v>351.58500000000004</v>
      </c>
      <c r="L91" s="3446">
        <f t="shared" si="305"/>
        <v>599.29999999999995</v>
      </c>
      <c r="M91" s="1244">
        <f t="shared" si="305"/>
        <v>649.92899999999997</v>
      </c>
      <c r="N91" s="1244">
        <f t="shared" si="305"/>
        <v>924.45574055800012</v>
      </c>
      <c r="O91" s="1244">
        <f t="shared" si="305"/>
        <v>974.58574055800011</v>
      </c>
      <c r="P91" s="3447">
        <f t="shared" si="305"/>
        <v>1013.2157405580001</v>
      </c>
      <c r="Q91" s="1353">
        <f t="shared" si="238"/>
        <v>661.63074055800007</v>
      </c>
      <c r="R91" s="970">
        <f t="shared" si="239"/>
        <v>1.881851445761338</v>
      </c>
      <c r="S91" s="1209">
        <f t="shared" si="305"/>
        <v>1368.0810000000001</v>
      </c>
      <c r="T91" s="3446">
        <f t="shared" si="305"/>
        <v>1598.7602052608863</v>
      </c>
      <c r="U91" s="1244">
        <f t="shared" si="305"/>
        <v>1776.1227699217679</v>
      </c>
      <c r="V91" s="1244">
        <f t="shared" si="305"/>
        <v>2054.0666697167153</v>
      </c>
      <c r="W91" s="1244">
        <f t="shared" si="305"/>
        <v>2120.6561208916837</v>
      </c>
      <c r="X91" s="3447">
        <f t="shared" si="305"/>
        <v>2162.2271069507406</v>
      </c>
      <c r="Y91" s="1353">
        <f t="shared" si="240"/>
        <v>794.14610695074043</v>
      </c>
      <c r="Z91" s="970">
        <f t="shared" si="241"/>
        <v>0.58048178941944251</v>
      </c>
      <c r="AA91" s="1209">
        <f t="shared" si="305"/>
        <v>27.577999999999996</v>
      </c>
      <c r="AB91" s="3446">
        <f t="shared" si="305"/>
        <v>175.27175261600004</v>
      </c>
      <c r="AC91" s="1244">
        <f t="shared" si="305"/>
        <v>243.76916233600002</v>
      </c>
      <c r="AD91" s="1244">
        <f t="shared" si="305"/>
        <v>241.74354517800001</v>
      </c>
      <c r="AE91" s="1244">
        <f t="shared" si="305"/>
        <v>239.29330779600002</v>
      </c>
      <c r="AF91" s="3447">
        <f t="shared" si="305"/>
        <v>236.82592646600003</v>
      </c>
      <c r="AG91" s="1353">
        <f t="shared" si="252"/>
        <v>209.24792646600002</v>
      </c>
      <c r="AH91" s="905">
        <f t="shared" si="253"/>
        <v>7.5874946140401791</v>
      </c>
      <c r="AI91" s="1209">
        <f t="shared" si="305"/>
        <v>0</v>
      </c>
      <c r="AJ91" s="3446">
        <f t="shared" si="305"/>
        <v>0</v>
      </c>
      <c r="AK91" s="1244">
        <f t="shared" si="305"/>
        <v>0</v>
      </c>
      <c r="AL91" s="1244">
        <f t="shared" si="305"/>
        <v>0</v>
      </c>
      <c r="AM91" s="1244">
        <f t="shared" si="305"/>
        <v>0</v>
      </c>
      <c r="AN91" s="3461">
        <f t="shared" si="305"/>
        <v>0</v>
      </c>
      <c r="AO91" s="1353">
        <f t="shared" si="254"/>
        <v>0</v>
      </c>
      <c r="AP91" s="905">
        <f t="shared" si="255"/>
        <v>0</v>
      </c>
      <c r="AQ91" s="1209">
        <f t="shared" si="305"/>
        <v>194.391358</v>
      </c>
      <c r="AR91" s="3446">
        <f t="shared" si="305"/>
        <v>218.93435799999997</v>
      </c>
      <c r="AS91" s="1244">
        <f t="shared" si="305"/>
        <v>245.391358</v>
      </c>
      <c r="AT91" s="1244">
        <f t="shared" si="305"/>
        <v>272.73135799999994</v>
      </c>
      <c r="AU91" s="1244">
        <f t="shared" si="305"/>
        <v>305.10135799999995</v>
      </c>
      <c r="AV91" s="3461">
        <f t="shared" si="305"/>
        <v>338.791358</v>
      </c>
      <c r="AW91" s="1209">
        <f t="shared" ref="AW91:BB91" si="306">AW88-AW55</f>
        <v>12548.896999999999</v>
      </c>
      <c r="AX91" s="3446">
        <f t="shared" si="306"/>
        <v>12550.376293708521</v>
      </c>
      <c r="AY91" s="1244">
        <f t="shared" si="306"/>
        <v>12835.624096395146</v>
      </c>
      <c r="AZ91" s="1244">
        <f t="shared" si="306"/>
        <v>13809.858394369503</v>
      </c>
      <c r="BA91" s="1244">
        <f t="shared" si="306"/>
        <v>14618.736374267697</v>
      </c>
      <c r="BB91" s="3461">
        <f t="shared" si="306"/>
        <v>14872.529715325018</v>
      </c>
      <c r="BC91" s="1209">
        <f t="shared" ref="BC91:BH91" si="307">BC88-BC55</f>
        <v>10829.230999999998</v>
      </c>
      <c r="BD91" s="3446">
        <f t="shared" si="307"/>
        <v>10352.316088447635</v>
      </c>
      <c r="BE91" s="1244">
        <f t="shared" si="307"/>
        <v>10409.572326473379</v>
      </c>
      <c r="BF91" s="1244">
        <f t="shared" si="307"/>
        <v>10831.335984094789</v>
      </c>
      <c r="BG91" s="1244">
        <f t="shared" si="307"/>
        <v>11523.494512818015</v>
      </c>
      <c r="BH91" s="3461">
        <f t="shared" si="307"/>
        <v>11697.086867816275</v>
      </c>
    </row>
    <row r="92" spans="1:60" ht="12.75">
      <c r="A92" s="862"/>
      <c r="B92" s="863" t="s">
        <v>1592</v>
      </c>
      <c r="C92" s="3420">
        <v>6438</v>
      </c>
      <c r="D92" s="3421">
        <v>7475</v>
      </c>
      <c r="E92" s="3421">
        <v>7518</v>
      </c>
      <c r="F92" s="3421">
        <v>7769</v>
      </c>
      <c r="G92" s="3421">
        <v>8192</v>
      </c>
      <c r="H92" s="3422">
        <v>8340</v>
      </c>
      <c r="I92" s="1348">
        <f t="shared" si="250"/>
        <v>1902</v>
      </c>
      <c r="J92" s="1342">
        <f t="shared" si="251"/>
        <v>0.29543336439888163</v>
      </c>
      <c r="K92" s="3420">
        <v>250</v>
      </c>
      <c r="L92" s="3421">
        <v>252</v>
      </c>
      <c r="M92" s="3421">
        <v>326</v>
      </c>
      <c r="N92" s="3421">
        <v>584</v>
      </c>
      <c r="O92" s="3421">
        <v>601</v>
      </c>
      <c r="P92" s="3422">
        <v>636</v>
      </c>
      <c r="Q92" s="1348">
        <f t="shared" si="238"/>
        <v>386</v>
      </c>
      <c r="R92" s="1313">
        <f t="shared" si="239"/>
        <v>1.544</v>
      </c>
      <c r="S92" s="3420">
        <v>798</v>
      </c>
      <c r="T92" s="3421">
        <v>1018</v>
      </c>
      <c r="U92" s="3421">
        <v>1320</v>
      </c>
      <c r="V92" s="3421">
        <v>1745</v>
      </c>
      <c r="W92" s="3421">
        <v>1837</v>
      </c>
      <c r="X92" s="3422">
        <v>1894</v>
      </c>
      <c r="Y92" s="1348">
        <f t="shared" si="240"/>
        <v>1096</v>
      </c>
      <c r="Z92" s="1313">
        <f t="shared" si="241"/>
        <v>1.3734335839598997</v>
      </c>
      <c r="AA92" s="3420">
        <v>3</v>
      </c>
      <c r="AB92" s="3421">
        <v>9</v>
      </c>
      <c r="AC92" s="3421">
        <v>25</v>
      </c>
      <c r="AD92" s="3421">
        <v>25</v>
      </c>
      <c r="AE92" s="3421">
        <v>25</v>
      </c>
      <c r="AF92" s="3422">
        <v>25</v>
      </c>
      <c r="AG92" s="1348">
        <f>AF92-AA92</f>
        <v>22</v>
      </c>
      <c r="AH92" s="1342">
        <f>IFERROR((AF92-AA92)/AA92,0)</f>
        <v>7.333333333333333</v>
      </c>
      <c r="AI92" s="3420"/>
      <c r="AJ92" s="3421"/>
      <c r="AK92" s="3421"/>
      <c r="AL92" s="3421"/>
      <c r="AM92" s="3421"/>
      <c r="AN92" s="3422"/>
      <c r="AO92" s="1348">
        <f t="shared" si="254"/>
        <v>0</v>
      </c>
      <c r="AP92" s="1342">
        <f t="shared" si="255"/>
        <v>0</v>
      </c>
      <c r="AQ92" s="3420">
        <v>131</v>
      </c>
      <c r="AR92" s="3421">
        <v>147</v>
      </c>
      <c r="AS92" s="3421">
        <v>165</v>
      </c>
      <c r="AT92" s="3421">
        <v>184</v>
      </c>
      <c r="AU92" s="3421">
        <v>206</v>
      </c>
      <c r="AV92" s="3453">
        <v>229</v>
      </c>
      <c r="AW92" s="1202">
        <f>C92+K92+S92+AA92+AI92</f>
        <v>7489</v>
      </c>
      <c r="AX92" s="3443">
        <f t="shared" ref="AX92" si="308">D92+L92+T92+AB92+AJ92</f>
        <v>8754</v>
      </c>
      <c r="AY92" s="3443">
        <f t="shared" ref="AY92" si="309">E92+M92+U92+AC92+AK92</f>
        <v>9189</v>
      </c>
      <c r="AZ92" s="3443">
        <f t="shared" ref="AZ92" si="310">F92+N92+V92+AD92+AL92</f>
        <v>10123</v>
      </c>
      <c r="BA92" s="3443">
        <f t="shared" ref="BA92" si="311">G92+O92+W92+AE92+AM92</f>
        <v>10655</v>
      </c>
      <c r="BB92" s="3444">
        <f t="shared" ref="BB92" si="312">H92+P92+X92+AF92+AN92</f>
        <v>10895</v>
      </c>
      <c r="BC92" s="1202">
        <f t="shared" ref="BC92" si="313">I92+Q92+Y92+AG92+AO92</f>
        <v>3406</v>
      </c>
      <c r="BD92" s="3443">
        <f t="shared" ref="BD92" si="314">J92+R92+Z92+AH92+AP92</f>
        <v>10.546200281692114</v>
      </c>
      <c r="BE92" s="3443">
        <f t="shared" ref="BE92" si="315">K92+S92+AA92+AI92+AQ92</f>
        <v>1182</v>
      </c>
      <c r="BF92" s="3443">
        <f t="shared" ref="BF92" si="316">L92+T92+AB92+AJ92+AR92</f>
        <v>1426</v>
      </c>
      <c r="BG92" s="3443">
        <f t="shared" ref="BG92" si="317">M92+U92+AC92+AK92+AS92</f>
        <v>1836</v>
      </c>
      <c r="BH92" s="3452">
        <f t="shared" ref="BH92" si="318">N92+V92+AD92+AL92+AT92</f>
        <v>2538</v>
      </c>
    </row>
    <row r="93" spans="1:60" ht="12.75">
      <c r="A93" s="3908"/>
      <c r="B93" s="3910" t="s">
        <v>1593</v>
      </c>
      <c r="C93" s="1202">
        <f>C91-C92</f>
        <v>4363.6530000000002</v>
      </c>
      <c r="D93" s="3443">
        <f t="shared" ref="D93" si="319">D91-D92</f>
        <v>2702.0443358316334</v>
      </c>
      <c r="E93" s="3443">
        <f t="shared" ref="E93" si="320">E91-E92</f>
        <v>2647.8031641373782</v>
      </c>
      <c r="F93" s="3443">
        <f t="shared" ref="F93" si="321">F91-F92</f>
        <v>2820.5924389167922</v>
      </c>
      <c r="G93" s="3443">
        <f t="shared" ref="G93" si="322">G91-G92</f>
        <v>3092.2012050220146</v>
      </c>
      <c r="H93" s="3444">
        <f t="shared" ref="H93" si="323">H91-H92</f>
        <v>3120.2609413502778</v>
      </c>
      <c r="I93" s="1348">
        <f t="shared" si="250"/>
        <v>-1243.3920586497225</v>
      </c>
      <c r="J93" s="1342">
        <f t="shared" si="251"/>
        <v>-0.28494292709565183</v>
      </c>
      <c r="K93" s="1202">
        <f t="shared" ref="K93:AV93" si="324">K91-K92</f>
        <v>101.58500000000004</v>
      </c>
      <c r="L93" s="3443">
        <f t="shared" si="324"/>
        <v>347.29999999999995</v>
      </c>
      <c r="M93" s="3443">
        <f t="shared" si="324"/>
        <v>323.92899999999997</v>
      </c>
      <c r="N93" s="3443">
        <f t="shared" si="324"/>
        <v>340.45574055800012</v>
      </c>
      <c r="O93" s="3443">
        <f t="shared" si="324"/>
        <v>373.58574055800011</v>
      </c>
      <c r="P93" s="3444">
        <f t="shared" si="324"/>
        <v>377.21574055800011</v>
      </c>
      <c r="Q93" s="1348">
        <f t="shared" si="238"/>
        <v>275.63074055800007</v>
      </c>
      <c r="R93" s="1313">
        <f t="shared" si="239"/>
        <v>2.7133015756066348</v>
      </c>
      <c r="S93" s="1202">
        <f>S91-S92</f>
        <v>570.08100000000013</v>
      </c>
      <c r="T93" s="3443">
        <f t="shared" si="324"/>
        <v>580.76020526088632</v>
      </c>
      <c r="U93" s="3443">
        <f t="shared" si="324"/>
        <v>456.12276992176794</v>
      </c>
      <c r="V93" s="3443">
        <f t="shared" si="324"/>
        <v>309.0666697167153</v>
      </c>
      <c r="W93" s="3443">
        <f t="shared" si="324"/>
        <v>283.65612089168371</v>
      </c>
      <c r="X93" s="3444">
        <f t="shared" si="324"/>
        <v>268.22710695074056</v>
      </c>
      <c r="Y93" s="1348">
        <f t="shared" si="240"/>
        <v>-301.85389304925957</v>
      </c>
      <c r="Z93" s="1313">
        <f t="shared" si="241"/>
        <v>-0.52949298967911484</v>
      </c>
      <c r="AA93" s="1202">
        <f>AA91-AA92</f>
        <v>24.577999999999996</v>
      </c>
      <c r="AB93" s="3443">
        <f t="shared" ref="AB93:AF93" si="325">AB91-AB92</f>
        <v>166.27175261600004</v>
      </c>
      <c r="AC93" s="3443">
        <f t="shared" si="325"/>
        <v>218.76916233600002</v>
      </c>
      <c r="AD93" s="3443">
        <f t="shared" si="325"/>
        <v>216.74354517800001</v>
      </c>
      <c r="AE93" s="3443">
        <f t="shared" si="325"/>
        <v>214.29330779600002</v>
      </c>
      <c r="AF93" s="3444">
        <f t="shared" si="325"/>
        <v>211.82592646600003</v>
      </c>
      <c r="AG93" s="1348">
        <f>AF93-AA93</f>
        <v>187.24792646600002</v>
      </c>
      <c r="AH93" s="1342">
        <f>IFERROR((AF93-AA93)/AA93,0)</f>
        <v>7.618517636341446</v>
      </c>
      <c r="AI93" s="1202">
        <f t="shared" ref="AI93:AN93" si="326">AI91-AI92</f>
        <v>0</v>
      </c>
      <c r="AJ93" s="3443">
        <f t="shared" si="326"/>
        <v>0</v>
      </c>
      <c r="AK93" s="3443">
        <f t="shared" si="326"/>
        <v>0</v>
      </c>
      <c r="AL93" s="3443">
        <f t="shared" si="326"/>
        <v>0</v>
      </c>
      <c r="AM93" s="3443">
        <f t="shared" si="326"/>
        <v>0</v>
      </c>
      <c r="AN93" s="3444">
        <f t="shared" si="326"/>
        <v>0</v>
      </c>
      <c r="AO93" s="1348">
        <f>AN93-AI93</f>
        <v>0</v>
      </c>
      <c r="AP93" s="1342">
        <f>IFERROR((AN93-AI93)/AI93,0)</f>
        <v>0</v>
      </c>
      <c r="AQ93" s="1202">
        <f t="shared" si="324"/>
        <v>63.391357999999997</v>
      </c>
      <c r="AR93" s="3443">
        <f t="shared" si="324"/>
        <v>71.934357999999975</v>
      </c>
      <c r="AS93" s="3443">
        <f t="shared" si="324"/>
        <v>80.391357999999997</v>
      </c>
      <c r="AT93" s="3443">
        <f t="shared" si="324"/>
        <v>88.731357999999943</v>
      </c>
      <c r="AU93" s="3443">
        <f t="shared" si="324"/>
        <v>99.101357999999948</v>
      </c>
      <c r="AV93" s="3452">
        <f t="shared" si="324"/>
        <v>109.791358</v>
      </c>
      <c r="AW93" s="1202">
        <f>AW91-AW92</f>
        <v>5059.896999999999</v>
      </c>
      <c r="AX93" s="3443">
        <f t="shared" ref="AX93" si="327">AX91-AX92</f>
        <v>3796.3762937085212</v>
      </c>
      <c r="AY93" s="3443">
        <f t="shared" ref="AY93" si="328">AY91-AY92</f>
        <v>3646.6240963951459</v>
      </c>
      <c r="AZ93" s="3443">
        <f t="shared" ref="AZ93" si="329">AZ91-AZ92</f>
        <v>3686.858394369503</v>
      </c>
      <c r="BA93" s="3443">
        <f t="shared" ref="BA93" si="330">BA91-BA92</f>
        <v>3963.7363742676971</v>
      </c>
      <c r="BB93" s="3452">
        <f t="shared" ref="BB93" si="331">BB91-BB92</f>
        <v>3977.5297153250176</v>
      </c>
      <c r="BC93" s="1202">
        <f t="shared" ref="BC93" si="332">BC91-BC92</f>
        <v>7423.2309999999979</v>
      </c>
      <c r="BD93" s="3443">
        <f t="shared" ref="BD93" si="333">BD91-BD92</f>
        <v>10341.769888165942</v>
      </c>
      <c r="BE93" s="3443">
        <f t="shared" ref="BE93" si="334">BE91-BE92</f>
        <v>9227.5723264733788</v>
      </c>
      <c r="BF93" s="3443">
        <f t="shared" ref="BF93" si="335">BF91-BF92</f>
        <v>9405.3359840947887</v>
      </c>
      <c r="BG93" s="3443">
        <f t="shared" ref="BG93" si="336">BG91-BG92</f>
        <v>9687.4945128180152</v>
      </c>
      <c r="BH93" s="3452">
        <f t="shared" ref="BH93" si="337">BH91-BH92</f>
        <v>9159.0868678162751</v>
      </c>
    </row>
    <row r="94" spans="1:60" ht="13.5" thickBot="1">
      <c r="A94" s="920"/>
      <c r="B94" s="921" t="s">
        <v>1530</v>
      </c>
      <c r="C94" s="3420">
        <v>3074</v>
      </c>
      <c r="D94" s="3421">
        <v>1304</v>
      </c>
      <c r="E94" s="3421">
        <v>1516</v>
      </c>
      <c r="F94" s="3421">
        <v>1317</v>
      </c>
      <c r="G94" s="3421">
        <v>1279</v>
      </c>
      <c r="H94" s="3422">
        <v>1332</v>
      </c>
      <c r="I94" s="1348">
        <f t="shared" ref="I94" si="338">H94-C94</f>
        <v>-1742</v>
      </c>
      <c r="J94" s="1342">
        <f t="shared" ref="J94" si="339">IFERROR((H94-C94)/C94,0)</f>
        <v>-0.5666883539362394</v>
      </c>
      <c r="K94" s="3420">
        <v>120</v>
      </c>
      <c r="L94" s="3421">
        <v>44</v>
      </c>
      <c r="M94" s="3421">
        <v>66</v>
      </c>
      <c r="N94" s="3421">
        <v>99</v>
      </c>
      <c r="O94" s="3421">
        <v>94</v>
      </c>
      <c r="P94" s="3422">
        <v>102</v>
      </c>
      <c r="Q94" s="1348">
        <f t="shared" ref="Q94" si="340">P94-K94</f>
        <v>-18</v>
      </c>
      <c r="R94" s="1313">
        <f t="shared" ref="R94" si="341">IFERROR((P94-K94)/K94,0)</f>
        <v>-0.15</v>
      </c>
      <c r="S94" s="3420">
        <v>384</v>
      </c>
      <c r="T94" s="3421">
        <v>178</v>
      </c>
      <c r="U94" s="3421">
        <v>266</v>
      </c>
      <c r="V94" s="3421">
        <v>296</v>
      </c>
      <c r="W94" s="3421">
        <v>187</v>
      </c>
      <c r="X94" s="3422">
        <v>303</v>
      </c>
      <c r="Y94" s="1348">
        <f t="shared" ref="Y94" si="342">X94-S94</f>
        <v>-81</v>
      </c>
      <c r="Z94" s="1313">
        <f t="shared" ref="Z94" si="343">IFERROR((X94-S94)/S94,0)</f>
        <v>-0.2109375</v>
      </c>
      <c r="AA94" s="3420">
        <v>26</v>
      </c>
      <c r="AB94" s="3421">
        <v>2</v>
      </c>
      <c r="AC94" s="3421">
        <v>5</v>
      </c>
      <c r="AD94" s="3421">
        <v>4</v>
      </c>
      <c r="AE94" s="3421">
        <v>4</v>
      </c>
      <c r="AF94" s="3422">
        <v>4</v>
      </c>
      <c r="AG94" s="1348">
        <f>AF94-AA94</f>
        <v>-22</v>
      </c>
      <c r="AH94" s="1342">
        <f>IFERROR((AF94-AA94)/AA94,0)</f>
        <v>-0.84615384615384615</v>
      </c>
      <c r="AI94" s="3420"/>
      <c r="AJ94" s="3421"/>
      <c r="AK94" s="3421"/>
      <c r="AL94" s="3421"/>
      <c r="AM94" s="3421"/>
      <c r="AN94" s="3422"/>
      <c r="AO94" s="1348">
        <f>AN94-AI94</f>
        <v>0</v>
      </c>
      <c r="AP94" s="1342">
        <f>IFERROR((AN94-AI94)/AI94,0)</f>
        <v>0</v>
      </c>
      <c r="AQ94" s="3420">
        <v>60</v>
      </c>
      <c r="AR94" s="3421">
        <v>26</v>
      </c>
      <c r="AS94" s="3421">
        <v>33</v>
      </c>
      <c r="AT94" s="3421">
        <v>31</v>
      </c>
      <c r="AU94" s="3421">
        <v>32</v>
      </c>
      <c r="AV94" s="3453">
        <v>37</v>
      </c>
      <c r="AW94" s="3904">
        <f>C94+K94+S94+AA94+AI94</f>
        <v>3604</v>
      </c>
      <c r="AX94" s="3905">
        <f t="shared" ref="AX94" si="344">D94+L94+T94+AB94+AJ94</f>
        <v>1528</v>
      </c>
      <c r="AY94" s="3905">
        <f t="shared" ref="AY94" si="345">E94+M94+U94+AC94+AK94</f>
        <v>1853</v>
      </c>
      <c r="AZ94" s="3905">
        <f t="shared" ref="AZ94" si="346">F94+N94+V94+AD94+AL94</f>
        <v>1716</v>
      </c>
      <c r="BA94" s="3905">
        <f t="shared" ref="BA94" si="347">G94+O94+W94+AE94+AM94</f>
        <v>1564</v>
      </c>
      <c r="BB94" s="3906">
        <f t="shared" ref="BB94" si="348">H94+P94+X94+AF94+AN94</f>
        <v>1741</v>
      </c>
      <c r="BC94" s="3904">
        <f>I94+Q94+Y94+AG94+AO94</f>
        <v>-1863</v>
      </c>
      <c r="BD94" s="3905">
        <f t="shared" ref="BD94" si="349">J94+R94+Z94+AH94+AP94</f>
        <v>-1.7737797000900857</v>
      </c>
      <c r="BE94" s="3905">
        <f t="shared" ref="BE94" si="350">K94+S94+AA94+AI94+AQ94</f>
        <v>590</v>
      </c>
      <c r="BF94" s="3905">
        <f t="shared" ref="BF94" si="351">L94+T94+AB94+AJ94+AR94</f>
        <v>250</v>
      </c>
      <c r="BG94" s="3905">
        <f t="shared" ref="BG94" si="352">M94+U94+AC94+AK94+AS94</f>
        <v>370</v>
      </c>
      <c r="BH94" s="3906">
        <f t="shared" ref="BH94" si="353">N94+V94+AD94+AL94+AT94</f>
        <v>430</v>
      </c>
    </row>
    <row r="95" spans="1:60" s="693" customFormat="1" ht="24.75" thickBot="1">
      <c r="A95" s="271"/>
      <c r="B95" s="272" t="s">
        <v>1251</v>
      </c>
      <c r="C95" s="1209">
        <f t="shared" ref="C95:G95" si="354">C88-C58</f>
        <v>11039.653</v>
      </c>
      <c r="D95" s="3446">
        <f t="shared" si="354"/>
        <v>10533.792272327446</v>
      </c>
      <c r="E95" s="1244">
        <f t="shared" si="354"/>
        <v>10585.017426347238</v>
      </c>
      <c r="F95" s="1244">
        <f t="shared" si="354"/>
        <v>11052.376140755123</v>
      </c>
      <c r="G95" s="1244">
        <f t="shared" si="354"/>
        <v>11757.082838469725</v>
      </c>
      <c r="H95" s="3447">
        <f t="shared" ref="H95:AV95" si="355">H88-H58</f>
        <v>11963.624267918858</v>
      </c>
      <c r="I95" s="1353">
        <f t="shared" si="250"/>
        <v>923.97126791885785</v>
      </c>
      <c r="J95" s="905">
        <f t="shared" si="251"/>
        <v>8.3695680282601076E-2</v>
      </c>
      <c r="K95" s="1209">
        <f t="shared" si="355"/>
        <v>422.58500000000004</v>
      </c>
      <c r="L95" s="3446">
        <f t="shared" si="355"/>
        <v>685.91238381462858</v>
      </c>
      <c r="M95" s="1244">
        <f t="shared" si="355"/>
        <v>786.53424856464017</v>
      </c>
      <c r="N95" s="1244">
        <f t="shared" si="355"/>
        <v>1101.1051684045021</v>
      </c>
      <c r="O95" s="1244">
        <f t="shared" si="355"/>
        <v>1135.1329176987435</v>
      </c>
      <c r="P95" s="3447">
        <f t="shared" si="355"/>
        <v>1171.8753830056148</v>
      </c>
      <c r="Q95" s="1353">
        <f t="shared" si="238"/>
        <v>749.29038300561479</v>
      </c>
      <c r="R95" s="970">
        <f t="shared" si="239"/>
        <v>1.7731116414582031</v>
      </c>
      <c r="S95" s="1209">
        <f t="shared" si="355"/>
        <v>1387.1810000000003</v>
      </c>
      <c r="T95" s="3446">
        <f t="shared" si="355"/>
        <v>1642.7304249504455</v>
      </c>
      <c r="U95" s="1244">
        <f t="shared" si="355"/>
        <v>1870.7308091472678</v>
      </c>
      <c r="V95" s="1244">
        <f t="shared" si="355"/>
        <v>2172.7061900318813</v>
      </c>
      <c r="W95" s="1244">
        <f t="shared" si="355"/>
        <v>2238.6349603032309</v>
      </c>
      <c r="X95" s="3447">
        <f t="shared" si="355"/>
        <v>2281.1637879345444</v>
      </c>
      <c r="Y95" s="1353">
        <f t="shared" si="240"/>
        <v>893.98278793454415</v>
      </c>
      <c r="Z95" s="970">
        <f t="shared" si="241"/>
        <v>0.64446008699264479</v>
      </c>
      <c r="AA95" s="1209">
        <f t="shared" si="355"/>
        <v>28.377999999999997</v>
      </c>
      <c r="AB95" s="3446">
        <f t="shared" si="355"/>
        <v>176.14488261600005</v>
      </c>
      <c r="AC95" s="1244">
        <f t="shared" si="355"/>
        <v>244.74229233600002</v>
      </c>
      <c r="AD95" s="1244">
        <f t="shared" si="355"/>
        <v>241.966675178</v>
      </c>
      <c r="AE95" s="1244">
        <f t="shared" si="355"/>
        <v>239.51643779600002</v>
      </c>
      <c r="AF95" s="3447">
        <f t="shared" si="355"/>
        <v>237.04905646600002</v>
      </c>
      <c r="AG95" s="1353">
        <f t="shared" si="252"/>
        <v>208.67105646600004</v>
      </c>
      <c r="AH95" s="905">
        <f t="shared" si="253"/>
        <v>7.3532686047642564</v>
      </c>
      <c r="AI95" s="1209">
        <f t="shared" si="355"/>
        <v>0</v>
      </c>
      <c r="AJ95" s="3446">
        <f t="shared" si="355"/>
        <v>0</v>
      </c>
      <c r="AK95" s="1244">
        <f t="shared" si="355"/>
        <v>0</v>
      </c>
      <c r="AL95" s="1244">
        <f t="shared" si="355"/>
        <v>0</v>
      </c>
      <c r="AM95" s="1244">
        <f t="shared" si="355"/>
        <v>0</v>
      </c>
      <c r="AN95" s="3461">
        <f t="shared" si="355"/>
        <v>0</v>
      </c>
      <c r="AO95" s="1353">
        <f t="shared" si="254"/>
        <v>0</v>
      </c>
      <c r="AP95" s="905">
        <f t="shared" si="255"/>
        <v>0</v>
      </c>
      <c r="AQ95" s="1209">
        <f t="shared" si="355"/>
        <v>197.391358</v>
      </c>
      <c r="AR95" s="3446">
        <f t="shared" si="355"/>
        <v>222.93435799999997</v>
      </c>
      <c r="AS95" s="1244">
        <f t="shared" si="355"/>
        <v>249.391358</v>
      </c>
      <c r="AT95" s="1244">
        <f t="shared" si="355"/>
        <v>276.73135799999994</v>
      </c>
      <c r="AU95" s="1244">
        <f t="shared" si="355"/>
        <v>309.10135799999995</v>
      </c>
      <c r="AV95" s="3461">
        <f t="shared" si="355"/>
        <v>342.791358</v>
      </c>
      <c r="AW95" s="1209">
        <f t="shared" ref="AW95:BB95" si="356">AW88-AW58</f>
        <v>12877.796999999999</v>
      </c>
      <c r="AX95" s="3446">
        <f t="shared" si="356"/>
        <v>13038.57996370852</v>
      </c>
      <c r="AY95" s="1244">
        <f t="shared" si="356"/>
        <v>13487.024776395145</v>
      </c>
      <c r="AZ95" s="1244">
        <f t="shared" si="356"/>
        <v>14568.154174369503</v>
      </c>
      <c r="BA95" s="1244">
        <f t="shared" si="356"/>
        <v>15370.367154267697</v>
      </c>
      <c r="BB95" s="3461">
        <f t="shared" si="356"/>
        <v>15653.712495325017</v>
      </c>
      <c r="BC95" s="1209">
        <f t="shared" ref="BC95:BH95" si="357">BC88-BC58</f>
        <v>11068.030999999997</v>
      </c>
      <c r="BD95" s="3446">
        <f t="shared" si="357"/>
        <v>10709.937154943447</v>
      </c>
      <c r="BE95" s="1244">
        <f t="shared" si="357"/>
        <v>10829.759718683239</v>
      </c>
      <c r="BF95" s="1244">
        <f t="shared" si="357"/>
        <v>11294.34281593312</v>
      </c>
      <c r="BG95" s="1244">
        <f t="shared" si="357"/>
        <v>11996.599276265726</v>
      </c>
      <c r="BH95" s="3461">
        <f t="shared" si="357"/>
        <v>12200.673324384856</v>
      </c>
    </row>
    <row r="96" spans="1:60" ht="15.75" thickBot="1">
      <c r="A96" s="772"/>
      <c r="B96" s="773"/>
      <c r="C96" s="773"/>
      <c r="D96" s="773"/>
      <c r="E96" s="773"/>
      <c r="F96" s="773"/>
      <c r="G96" s="773"/>
      <c r="H96" s="773"/>
      <c r="I96" s="930"/>
      <c r="J96" s="773"/>
      <c r="K96" s="773"/>
      <c r="L96" s="773"/>
      <c r="M96" s="773"/>
      <c r="N96" s="773"/>
      <c r="O96" s="773"/>
      <c r="P96" s="773"/>
      <c r="Q96" s="930"/>
      <c r="R96" s="773"/>
      <c r="S96" s="773"/>
      <c r="T96" s="773"/>
      <c r="U96" s="773"/>
      <c r="V96" s="773"/>
      <c r="W96" s="773"/>
      <c r="X96" s="773"/>
      <c r="Y96" s="930"/>
      <c r="Z96" s="773"/>
      <c r="AA96" s="773"/>
      <c r="AB96" s="773"/>
      <c r="AC96" s="773"/>
      <c r="AD96" s="773"/>
      <c r="AE96" s="773"/>
      <c r="AF96" s="773"/>
      <c r="AG96" s="930"/>
      <c r="AH96" s="773"/>
      <c r="AI96" s="773"/>
      <c r="AJ96" s="773"/>
      <c r="AK96" s="773"/>
      <c r="AL96" s="773"/>
      <c r="AM96" s="773"/>
      <c r="AN96" s="773"/>
      <c r="AO96" s="930"/>
      <c r="AP96" s="773"/>
      <c r="AQ96" s="773"/>
      <c r="AR96" s="773"/>
      <c r="AS96" s="773"/>
      <c r="AT96" s="773"/>
      <c r="AU96" s="773"/>
      <c r="AV96" s="773"/>
      <c r="AW96" s="773"/>
      <c r="AX96" s="773"/>
      <c r="AY96" s="773"/>
      <c r="AZ96" s="773"/>
      <c r="BA96" s="773"/>
      <c r="BB96" s="773"/>
      <c r="BC96" s="773"/>
      <c r="BD96" s="773"/>
      <c r="BE96" s="773"/>
      <c r="BF96" s="773"/>
      <c r="BG96" s="773"/>
      <c r="BH96" s="773"/>
    </row>
    <row r="97" spans="1:60" ht="15" customHeight="1">
      <c r="A97" s="772"/>
      <c r="B97" s="5448" t="s">
        <v>85</v>
      </c>
      <c r="C97" s="5441" t="s">
        <v>212</v>
      </c>
      <c r="D97" s="5442"/>
      <c r="E97" s="5442"/>
      <c r="F97" s="5442"/>
      <c r="G97" s="5442"/>
      <c r="H97" s="5443"/>
      <c r="I97" s="931"/>
      <c r="J97" s="906"/>
      <c r="K97" s="5444" t="s">
        <v>213</v>
      </c>
      <c r="L97" s="5445"/>
      <c r="M97" s="5445"/>
      <c r="N97" s="5445"/>
      <c r="O97" s="5445"/>
      <c r="P97" s="5446"/>
      <c r="Q97" s="936"/>
      <c r="R97" s="911"/>
      <c r="S97" s="5447" t="s">
        <v>214</v>
      </c>
      <c r="T97" s="5445"/>
      <c r="U97" s="5445"/>
      <c r="V97" s="5445"/>
      <c r="W97" s="5445"/>
      <c r="X97" s="5446"/>
      <c r="Y97" s="936"/>
      <c r="Z97" s="906"/>
      <c r="AL97" s="752"/>
      <c r="BB97" s="752"/>
      <c r="BH97" s="752"/>
    </row>
    <row r="98" spans="1:60" ht="15.75" thickBot="1">
      <c r="A98" s="772"/>
      <c r="B98" s="5449"/>
      <c r="C98" s="774" t="str">
        <f t="shared" ref="C98:X98" si="358">C10</f>
        <v>2020 г.</v>
      </c>
      <c r="D98" s="775" t="str">
        <f t="shared" si="358"/>
        <v>2022 г.</v>
      </c>
      <c r="E98" s="775" t="str">
        <f t="shared" si="358"/>
        <v>2023 г.</v>
      </c>
      <c r="F98" s="775" t="str">
        <f t="shared" si="358"/>
        <v>2024 г.</v>
      </c>
      <c r="G98" s="775" t="str">
        <f t="shared" si="358"/>
        <v>2025 г.</v>
      </c>
      <c r="H98" s="776" t="str">
        <f t="shared" si="358"/>
        <v>2026 г.</v>
      </c>
      <c r="I98" s="932"/>
      <c r="J98" s="907"/>
      <c r="K98" s="777" t="str">
        <f t="shared" si="358"/>
        <v>2020 г.</v>
      </c>
      <c r="L98" s="775" t="str">
        <f t="shared" si="358"/>
        <v>2022 г.</v>
      </c>
      <c r="M98" s="775" t="str">
        <f t="shared" si="358"/>
        <v>2023 г.</v>
      </c>
      <c r="N98" s="775" t="str">
        <f t="shared" si="358"/>
        <v>2024 г.</v>
      </c>
      <c r="O98" s="775" t="str">
        <f t="shared" si="358"/>
        <v>2025 г.</v>
      </c>
      <c r="P98" s="776" t="str">
        <f t="shared" si="358"/>
        <v>2026 г.</v>
      </c>
      <c r="Q98" s="937"/>
      <c r="R98" s="912"/>
      <c r="S98" s="774" t="str">
        <f t="shared" si="358"/>
        <v>2020 г.</v>
      </c>
      <c r="T98" s="775" t="str">
        <f t="shared" si="358"/>
        <v>2022 г.</v>
      </c>
      <c r="U98" s="775" t="str">
        <f t="shared" si="358"/>
        <v>2023 г.</v>
      </c>
      <c r="V98" s="775" t="str">
        <f t="shared" si="358"/>
        <v>2024 г.</v>
      </c>
      <c r="W98" s="775" t="str">
        <f t="shared" si="358"/>
        <v>2025 г.</v>
      </c>
      <c r="X98" s="776" t="str">
        <f t="shared" si="358"/>
        <v>2026 г.</v>
      </c>
      <c r="Y98" s="937"/>
      <c r="Z98" s="907"/>
      <c r="AL98" s="752"/>
      <c r="BB98" s="752"/>
      <c r="BH98" s="752"/>
    </row>
    <row r="99" spans="1:60" ht="36">
      <c r="A99" s="772"/>
      <c r="B99" s="1111" t="s">
        <v>937</v>
      </c>
      <c r="C99" s="1112">
        <f t="shared" ref="C99:X99" si="359">C29-C31</f>
        <v>1991</v>
      </c>
      <c r="D99" s="1113">
        <f t="shared" si="359"/>
        <v>1459.1949999999999</v>
      </c>
      <c r="E99" s="1113">
        <f t="shared" si="359"/>
        <v>1582.48</v>
      </c>
      <c r="F99" s="1113">
        <f t="shared" si="359"/>
        <v>1582.48</v>
      </c>
      <c r="G99" s="1113">
        <f t="shared" si="359"/>
        <v>1582.48</v>
      </c>
      <c r="H99" s="1114">
        <f t="shared" si="359"/>
        <v>1582.48</v>
      </c>
      <c r="I99" s="1115"/>
      <c r="J99" s="1116"/>
      <c r="K99" s="1117">
        <f t="shared" si="359"/>
        <v>48.69</v>
      </c>
      <c r="L99" s="1113">
        <f t="shared" si="359"/>
        <v>212.95000000000002</v>
      </c>
      <c r="M99" s="1113">
        <f t="shared" si="359"/>
        <v>227.07899999999998</v>
      </c>
      <c r="N99" s="1113">
        <f t="shared" si="359"/>
        <v>229.429</v>
      </c>
      <c r="O99" s="1113">
        <f t="shared" si="359"/>
        <v>229.429</v>
      </c>
      <c r="P99" s="1114">
        <f t="shared" si="359"/>
        <v>229.429</v>
      </c>
      <c r="Q99" s="1118"/>
      <c r="R99" s="1119"/>
      <c r="S99" s="1112">
        <f t="shared" si="359"/>
        <v>340.01700000000005</v>
      </c>
      <c r="T99" s="1113">
        <f t="shared" si="359"/>
        <v>525.23399999999992</v>
      </c>
      <c r="U99" s="1113">
        <f t="shared" si="359"/>
        <v>618.01300000000003</v>
      </c>
      <c r="V99" s="1113">
        <f t="shared" si="359"/>
        <v>245.70399999999998</v>
      </c>
      <c r="W99" s="1113">
        <f t="shared" si="359"/>
        <v>249.52799999999999</v>
      </c>
      <c r="X99" s="1114">
        <f t="shared" si="359"/>
        <v>191.2</v>
      </c>
      <c r="Y99" s="1118"/>
      <c r="Z99" s="1116"/>
      <c r="AL99" s="752"/>
      <c r="AR99" s="752"/>
      <c r="AS99" s="721"/>
      <c r="AT99" s="721"/>
      <c r="AU99" s="721"/>
      <c r="AV99" s="721"/>
      <c r="AW99" s="721"/>
      <c r="AX99" s="721"/>
      <c r="AY99" s="721"/>
      <c r="AZ99" s="721"/>
      <c r="BA99" s="721"/>
      <c r="BB99" s="721"/>
      <c r="BC99" s="721"/>
      <c r="BD99" s="721"/>
      <c r="BE99" s="721"/>
      <c r="BF99" s="721"/>
      <c r="BG99" s="721"/>
      <c r="BH99" s="721"/>
    </row>
    <row r="100" spans="1:60">
      <c r="A100" s="772"/>
      <c r="B100" s="1120" t="s">
        <v>938</v>
      </c>
      <c r="C100" s="1121">
        <f t="shared" ref="C100:X100" si="360">C59+C63</f>
        <v>4015.0149999999999</v>
      </c>
      <c r="D100" s="1122">
        <f t="shared" si="360"/>
        <v>4498.25</v>
      </c>
      <c r="E100" s="1122">
        <f t="shared" si="360"/>
        <v>5179.3999999999996</v>
      </c>
      <c r="F100" s="1122">
        <f t="shared" si="360"/>
        <v>5956.2</v>
      </c>
      <c r="G100" s="1122">
        <f t="shared" si="360"/>
        <v>6849.5</v>
      </c>
      <c r="H100" s="1123">
        <f t="shared" si="360"/>
        <v>7140.7</v>
      </c>
      <c r="I100" s="1124"/>
      <c r="J100" s="1125"/>
      <c r="K100" s="1126">
        <f t="shared" si="360"/>
        <v>238.16200000000001</v>
      </c>
      <c r="L100" s="1122">
        <f t="shared" si="360"/>
        <v>259.85000000000002</v>
      </c>
      <c r="M100" s="1122">
        <f t="shared" si="360"/>
        <v>296.35000000000002</v>
      </c>
      <c r="N100" s="1122">
        <f t="shared" si="360"/>
        <v>342.42</v>
      </c>
      <c r="O100" s="1122">
        <f t="shared" si="360"/>
        <v>392.75</v>
      </c>
      <c r="P100" s="1123">
        <f t="shared" si="360"/>
        <v>431.46000000000004</v>
      </c>
      <c r="Q100" s="1127"/>
      <c r="R100" s="1128"/>
      <c r="S100" s="1121">
        <f t="shared" si="360"/>
        <v>565.798</v>
      </c>
      <c r="T100" s="1122">
        <f t="shared" si="360"/>
        <v>635.5</v>
      </c>
      <c r="U100" s="1122">
        <f t="shared" si="360"/>
        <v>732.28</v>
      </c>
      <c r="V100" s="1122">
        <f t="shared" si="360"/>
        <v>840.3</v>
      </c>
      <c r="W100" s="1122">
        <f t="shared" si="360"/>
        <v>968.2</v>
      </c>
      <c r="X100" s="1123">
        <f t="shared" si="360"/>
        <v>1097</v>
      </c>
      <c r="Y100" s="1127"/>
      <c r="Z100" s="1125"/>
      <c r="AH100" s="758"/>
      <c r="AI100" s="758"/>
      <c r="AJ100" s="758"/>
      <c r="AL100" s="752"/>
      <c r="AM100" s="758"/>
      <c r="AN100" s="758"/>
      <c r="AP100" s="758"/>
      <c r="AR100" s="752"/>
      <c r="AS100" s="721"/>
      <c r="AT100" s="721"/>
      <c r="AU100" s="721"/>
      <c r="AV100" s="721"/>
      <c r="AW100" s="721"/>
      <c r="AX100" s="721"/>
      <c r="AY100" s="721"/>
      <c r="AZ100" s="721"/>
      <c r="BA100" s="721"/>
      <c r="BB100" s="721"/>
      <c r="BC100" s="721"/>
      <c r="BD100" s="721"/>
      <c r="BE100" s="721"/>
      <c r="BF100" s="721"/>
      <c r="BG100" s="721"/>
      <c r="BH100" s="721"/>
    </row>
    <row r="101" spans="1:60">
      <c r="A101" s="772"/>
      <c r="B101" s="1120" t="s">
        <v>939</v>
      </c>
      <c r="C101" s="1121">
        <f t="shared" ref="C101:X101" si="361">C90</f>
        <v>1904.0797599999999</v>
      </c>
      <c r="D101" s="1122">
        <f t="shared" si="361"/>
        <v>2104.62</v>
      </c>
      <c r="E101" s="1122">
        <f t="shared" si="361"/>
        <v>2152.62</v>
      </c>
      <c r="F101" s="1122">
        <f t="shared" si="361"/>
        <v>2213.62</v>
      </c>
      <c r="G101" s="1122">
        <f t="shared" si="361"/>
        <v>2285.62</v>
      </c>
      <c r="H101" s="1123">
        <f t="shared" si="361"/>
        <v>2285.62</v>
      </c>
      <c r="I101" s="1124"/>
      <c r="J101" s="1125"/>
      <c r="K101" s="1126">
        <f t="shared" si="361"/>
        <v>94.536370000000005</v>
      </c>
      <c r="L101" s="1122">
        <f t="shared" si="361"/>
        <v>297.55500000000001</v>
      </c>
      <c r="M101" s="1122">
        <f t="shared" si="361"/>
        <v>303.55500000000001</v>
      </c>
      <c r="N101" s="1122">
        <f t="shared" si="361"/>
        <v>307.55500000000001</v>
      </c>
      <c r="O101" s="1122">
        <f t="shared" si="361"/>
        <v>313.55500000000001</v>
      </c>
      <c r="P101" s="1123">
        <f t="shared" si="361"/>
        <v>317.55500000000001</v>
      </c>
      <c r="Q101" s="1127"/>
      <c r="R101" s="1128"/>
      <c r="S101" s="1121">
        <f t="shared" si="361"/>
        <v>24.60191</v>
      </c>
      <c r="T101" s="1122">
        <f t="shared" si="361"/>
        <v>30</v>
      </c>
      <c r="U101" s="1122">
        <f t="shared" si="361"/>
        <v>30</v>
      </c>
      <c r="V101" s="1122">
        <f t="shared" si="361"/>
        <v>30</v>
      </c>
      <c r="W101" s="1122">
        <f t="shared" si="361"/>
        <v>30</v>
      </c>
      <c r="X101" s="1123">
        <f t="shared" si="361"/>
        <v>30</v>
      </c>
      <c r="Y101" s="1127"/>
      <c r="Z101" s="1125"/>
      <c r="AL101" s="752"/>
      <c r="AR101" s="752"/>
      <c r="AS101" s="721"/>
      <c r="AT101" s="721"/>
      <c r="AU101" s="721"/>
      <c r="AV101" s="721"/>
      <c r="AW101" s="721"/>
      <c r="AX101" s="721"/>
      <c r="AY101" s="721"/>
      <c r="AZ101" s="721"/>
      <c r="BA101" s="721"/>
      <c r="BB101" s="721"/>
      <c r="BC101" s="721"/>
      <c r="BD101" s="721"/>
      <c r="BE101" s="721"/>
      <c r="BF101" s="721"/>
      <c r="BG101" s="721"/>
      <c r="BH101" s="721"/>
    </row>
    <row r="102" spans="1:60" ht="15.75" thickBot="1">
      <c r="A102" s="772"/>
      <c r="B102" s="1129" t="s">
        <v>940</v>
      </c>
      <c r="C102" s="1130">
        <f t="shared" ref="C102:X102" si="362">C89</f>
        <v>3826.6379999999999</v>
      </c>
      <c r="D102" s="1131">
        <f t="shared" si="362"/>
        <v>3282.8933358316326</v>
      </c>
      <c r="E102" s="1131">
        <f t="shared" si="362"/>
        <v>2467.2231641373778</v>
      </c>
      <c r="F102" s="1131">
        <f t="shared" si="362"/>
        <v>2114.2124389167898</v>
      </c>
      <c r="G102" s="1131">
        <f t="shared" si="362"/>
        <v>1915.521205022015</v>
      </c>
      <c r="H102" s="1132">
        <f t="shared" si="362"/>
        <v>1800.1809413502758</v>
      </c>
      <c r="I102" s="1133"/>
      <c r="J102" s="1134"/>
      <c r="K102" s="1135">
        <f t="shared" si="362"/>
        <v>6.3</v>
      </c>
      <c r="L102" s="1131">
        <f t="shared" si="362"/>
        <v>6.3999999999999995</v>
      </c>
      <c r="M102" s="1131">
        <f t="shared" si="362"/>
        <v>6.3999999999999995</v>
      </c>
      <c r="N102" s="1131">
        <f t="shared" si="362"/>
        <v>232.70674055800001</v>
      </c>
      <c r="O102" s="1131">
        <f t="shared" si="362"/>
        <v>232.70674055800001</v>
      </c>
      <c r="P102" s="1132">
        <f t="shared" si="362"/>
        <v>232.70674055800001</v>
      </c>
      <c r="Q102" s="1136"/>
      <c r="R102" s="1137"/>
      <c r="S102" s="1130">
        <f t="shared" si="362"/>
        <v>422.15</v>
      </c>
      <c r="T102" s="1131">
        <f t="shared" si="362"/>
        <v>394.32620526088635</v>
      </c>
      <c r="U102" s="1131">
        <f t="shared" si="362"/>
        <v>416.50976992176805</v>
      </c>
      <c r="V102" s="1131">
        <f t="shared" si="362"/>
        <v>989.90666971671521</v>
      </c>
      <c r="W102" s="1131">
        <f t="shared" si="362"/>
        <v>928.39612089168395</v>
      </c>
      <c r="X102" s="1132">
        <f t="shared" si="362"/>
        <v>841.09710695074102</v>
      </c>
      <c r="Y102" s="1136"/>
      <c r="Z102" s="1134"/>
      <c r="AS102" s="721"/>
      <c r="AT102" s="721"/>
      <c r="AU102" s="721"/>
      <c r="AV102" s="721"/>
      <c r="AW102" s="721"/>
      <c r="AX102" s="721"/>
      <c r="AY102" s="721"/>
      <c r="AZ102" s="721"/>
      <c r="BA102" s="721"/>
      <c r="BB102" s="721"/>
      <c r="BC102" s="721"/>
      <c r="BD102" s="721"/>
      <c r="BE102" s="721"/>
      <c r="BF102" s="721"/>
      <c r="BG102" s="721"/>
      <c r="BH102" s="721"/>
    </row>
    <row r="103" spans="1:60" ht="15.75" thickBot="1">
      <c r="A103" s="772"/>
      <c r="B103" s="1138"/>
      <c r="C103" s="1139"/>
      <c r="D103" s="1140"/>
      <c r="E103" s="1140"/>
      <c r="F103" s="1140"/>
      <c r="G103" s="1140"/>
      <c r="H103" s="1141"/>
      <c r="I103" s="1142"/>
      <c r="J103" s="1143"/>
      <c r="K103" s="1144"/>
      <c r="L103" s="1145"/>
      <c r="M103" s="1145"/>
      <c r="N103" s="1145"/>
      <c r="O103" s="1145"/>
      <c r="P103" s="1146"/>
      <c r="Q103" s="1147"/>
      <c r="R103" s="1148"/>
      <c r="S103" s="1149"/>
      <c r="T103" s="1145"/>
      <c r="U103" s="1145"/>
      <c r="V103" s="1145"/>
      <c r="W103" s="1145"/>
      <c r="X103" s="1141"/>
      <c r="Y103" s="1147"/>
      <c r="Z103" s="1143"/>
      <c r="AS103" s="721"/>
      <c r="AT103" s="721"/>
      <c r="AU103" s="721"/>
      <c r="AV103" s="721"/>
      <c r="AW103" s="721"/>
      <c r="AX103" s="721"/>
      <c r="AY103" s="721"/>
      <c r="AZ103" s="721"/>
      <c r="BA103" s="721"/>
      <c r="BB103" s="721"/>
      <c r="BC103" s="721"/>
      <c r="BD103" s="721"/>
      <c r="BE103" s="721"/>
      <c r="BF103" s="721"/>
      <c r="BG103" s="721"/>
      <c r="BH103" s="721"/>
    </row>
    <row r="104" spans="1:60">
      <c r="A104" s="772"/>
      <c r="B104" s="1150" t="s">
        <v>932</v>
      </c>
      <c r="C104" s="1151">
        <f>'2. Променливи'!E25</f>
        <v>1481.721</v>
      </c>
      <c r="D104" s="1152">
        <f>'2. Променливи'!F25</f>
        <v>1483.261</v>
      </c>
      <c r="E104" s="1152">
        <f>'2. Променливи'!G25</f>
        <v>1484.8009999999999</v>
      </c>
      <c r="F104" s="1152">
        <f>'2. Променливи'!H25</f>
        <v>1484.8009999999999</v>
      </c>
      <c r="G104" s="1152">
        <f>'2. Променливи'!I25</f>
        <v>1484.8009999999999</v>
      </c>
      <c r="H104" s="1153">
        <f>'2. Променливи'!J25</f>
        <v>1484.8009999999999</v>
      </c>
      <c r="I104" s="1154"/>
      <c r="J104" s="1155"/>
      <c r="K104" s="1156"/>
      <c r="L104" s="1157"/>
      <c r="M104" s="1157"/>
      <c r="N104" s="1157"/>
      <c r="O104" s="1157"/>
      <c r="P104" s="1158"/>
      <c r="Q104" s="1159"/>
      <c r="R104" s="1160"/>
      <c r="S104" s="1161"/>
      <c r="T104" s="1157"/>
      <c r="U104" s="1157"/>
      <c r="V104" s="1157"/>
      <c r="W104" s="1157"/>
      <c r="X104" s="1158"/>
      <c r="Y104" s="1159"/>
      <c r="Z104" s="1155"/>
      <c r="AG104" s="925"/>
      <c r="AH104" s="762"/>
      <c r="AI104" s="762"/>
      <c r="AJ104" s="762"/>
      <c r="AK104" s="762"/>
      <c r="AL104" s="762"/>
      <c r="AM104" s="762"/>
      <c r="AN104" s="762"/>
      <c r="AO104" s="925"/>
      <c r="AP104" s="762"/>
      <c r="AQ104" s="762"/>
      <c r="AR104" s="762"/>
      <c r="AS104" s="721"/>
      <c r="AT104" s="721"/>
      <c r="AU104" s="721"/>
      <c r="AV104" s="721"/>
      <c r="AW104" s="721"/>
      <c r="AX104" s="721"/>
      <c r="AY104" s="721"/>
      <c r="AZ104" s="721"/>
      <c r="BA104" s="721"/>
      <c r="BB104" s="721"/>
      <c r="BC104" s="721"/>
      <c r="BD104" s="721"/>
      <c r="BE104" s="721"/>
      <c r="BF104" s="721"/>
      <c r="BG104" s="721"/>
      <c r="BH104" s="721"/>
    </row>
    <row r="105" spans="1:60">
      <c r="A105" s="772"/>
      <c r="B105" s="1120" t="s">
        <v>933</v>
      </c>
      <c r="C105" s="1162"/>
      <c r="D105" s="1163"/>
      <c r="E105" s="1163"/>
      <c r="F105" s="1163"/>
      <c r="G105" s="1163"/>
      <c r="H105" s="1164"/>
      <c r="I105" s="1124"/>
      <c r="J105" s="1165"/>
      <c r="K105" s="1166">
        <f>'2. Променливи'!E31</f>
        <v>305.69</v>
      </c>
      <c r="L105" s="1167">
        <f>'2. Променливи'!F31</f>
        <v>323.65350000000001</v>
      </c>
      <c r="M105" s="1167">
        <f>'2. Променливи'!G31</f>
        <v>341.61700000000002</v>
      </c>
      <c r="N105" s="1167">
        <f>'2. Променливи'!H31</f>
        <v>341.61700000000002</v>
      </c>
      <c r="O105" s="1167">
        <f>'2. Променливи'!I31</f>
        <v>341.61700000000002</v>
      </c>
      <c r="P105" s="1168">
        <f>'2. Променливи'!J31</f>
        <v>341.61700000000002</v>
      </c>
      <c r="Q105" s="1127"/>
      <c r="R105" s="1169"/>
      <c r="S105" s="1170"/>
      <c r="T105" s="1163"/>
      <c r="U105" s="1163"/>
      <c r="V105" s="1163"/>
      <c r="W105" s="1163"/>
      <c r="X105" s="1164"/>
      <c r="Y105" s="1127"/>
      <c r="Z105" s="1165"/>
      <c r="AG105" s="925"/>
      <c r="AH105" s="762"/>
      <c r="AI105" s="762"/>
      <c r="AJ105" s="762"/>
      <c r="AK105" s="762"/>
      <c r="AL105" s="762"/>
      <c r="AM105" s="762"/>
      <c r="AN105" s="762"/>
      <c r="AO105" s="925"/>
      <c r="AP105" s="762"/>
      <c r="AQ105" s="762"/>
      <c r="AR105" s="762"/>
      <c r="AS105" s="721"/>
      <c r="AT105" s="721"/>
      <c r="AU105" s="721"/>
      <c r="AV105" s="721"/>
      <c r="AW105" s="721"/>
      <c r="AX105" s="721"/>
      <c r="AY105" s="721"/>
      <c r="AZ105" s="721"/>
      <c r="BA105" s="721"/>
      <c r="BB105" s="721"/>
      <c r="BC105" s="721"/>
      <c r="BD105" s="721"/>
      <c r="BE105" s="721"/>
      <c r="BF105" s="721"/>
      <c r="BG105" s="721"/>
      <c r="BH105" s="721"/>
    </row>
    <row r="106" spans="1:60">
      <c r="A106" s="772"/>
      <c r="B106" s="1120" t="s">
        <v>934</v>
      </c>
      <c r="C106" s="1171">
        <f>'4. Отчет и прогн. потребление'!D9/1000</f>
        <v>26840.866979999999</v>
      </c>
      <c r="D106" s="1167">
        <f>'4. Отчет и прогн. потребление'!E9/1000</f>
        <v>22574.258293524632</v>
      </c>
      <c r="E106" s="1167">
        <f>'4. Отчет и прогн. потребление'!F9/1000</f>
        <v>16090.453515435454</v>
      </c>
      <c r="F106" s="1167">
        <f>'4. Отчет и прогн. потребление'!G9/1000</f>
        <v>13347.149172197709</v>
      </c>
      <c r="G106" s="1167">
        <f>'4. Отчет и прогн. потребление'!H9/1000</f>
        <v>11713.844828960024</v>
      </c>
      <c r="H106" s="1168">
        <f>'4. Отчет и прогн. потребление'!I9/1000</f>
        <v>10606.612383868609</v>
      </c>
      <c r="I106" s="1172"/>
      <c r="J106" s="1173"/>
      <c r="K106" s="1174"/>
      <c r="L106" s="1163"/>
      <c r="M106" s="1163"/>
      <c r="N106" s="1163"/>
      <c r="O106" s="1163"/>
      <c r="P106" s="1164"/>
      <c r="Q106" s="1175"/>
      <c r="R106" s="1176"/>
      <c r="S106" s="1170"/>
      <c r="T106" s="1163"/>
      <c r="U106" s="1163"/>
      <c r="V106" s="1163"/>
      <c r="W106" s="1163"/>
      <c r="X106" s="1164"/>
      <c r="Y106" s="1175"/>
      <c r="Z106" s="1173"/>
      <c r="AG106" s="925"/>
      <c r="AH106" s="762"/>
      <c r="AI106" s="762"/>
      <c r="AJ106" s="762"/>
      <c r="AK106" s="762"/>
      <c r="AL106" s="762"/>
      <c r="AM106" s="762"/>
      <c r="AN106" s="762"/>
      <c r="AO106" s="925"/>
      <c r="AP106" s="762"/>
      <c r="AQ106" s="762"/>
      <c r="AR106" s="762"/>
      <c r="AS106" s="721"/>
      <c r="AT106" s="721"/>
      <c r="AU106" s="721"/>
      <c r="AV106" s="721"/>
      <c r="AW106" s="721"/>
      <c r="AX106" s="721"/>
      <c r="AY106" s="721"/>
      <c r="AZ106" s="721"/>
      <c r="BA106" s="721"/>
      <c r="BB106" s="721"/>
      <c r="BC106" s="721"/>
      <c r="BD106" s="721"/>
      <c r="BE106" s="721"/>
      <c r="BF106" s="721"/>
      <c r="BG106" s="721"/>
      <c r="BH106" s="721"/>
    </row>
    <row r="107" spans="1:60">
      <c r="A107" s="772"/>
      <c r="B107" s="3831" t="s">
        <v>935</v>
      </c>
      <c r="C107" s="1170"/>
      <c r="D107" s="1163"/>
      <c r="E107" s="1163"/>
      <c r="F107" s="1163"/>
      <c r="G107" s="1163"/>
      <c r="H107" s="1164"/>
      <c r="I107" s="1124"/>
      <c r="J107" s="1165"/>
      <c r="K107" s="1166">
        <f>'4. Отчет и прогн. потребление'!D48/1000</f>
        <v>3525.8519999999999</v>
      </c>
      <c r="L107" s="1167">
        <f>'4. Отчет и прогн. потребление'!E48/1000</f>
        <v>3883.1309666666662</v>
      </c>
      <c r="M107" s="1167">
        <f>'4. Отчет и прогн. потребление'!F48/1000</f>
        <v>3871.1903909444463</v>
      </c>
      <c r="N107" s="1167">
        <f>'4. Отчет и прогн. потребление'!G48/1000</f>
        <v>4082.7090899444488</v>
      </c>
      <c r="O107" s="1167">
        <f>'4. Отчет и прогн. потребление'!H48/1000</f>
        <v>4046.0788889444516</v>
      </c>
      <c r="P107" s="1168">
        <f>'4. Отчет и прогн. потребление'!I48/1000</f>
        <v>4016.2794053974508</v>
      </c>
      <c r="Q107" s="1127"/>
      <c r="R107" s="1169"/>
      <c r="S107" s="1170"/>
      <c r="T107" s="1163"/>
      <c r="U107" s="1163"/>
      <c r="V107" s="1163"/>
      <c r="W107" s="1163"/>
      <c r="X107" s="1164"/>
      <c r="Y107" s="1127"/>
      <c r="Z107" s="1165"/>
      <c r="AG107" s="925"/>
      <c r="AH107" s="762"/>
      <c r="AI107" s="762"/>
      <c r="AJ107" s="762"/>
      <c r="AK107" s="762"/>
      <c r="AL107" s="762"/>
      <c r="AM107" s="762"/>
      <c r="AN107" s="762"/>
      <c r="AO107" s="925"/>
      <c r="AP107" s="762"/>
      <c r="AQ107" s="762"/>
      <c r="AR107" s="762"/>
      <c r="AS107" s="721"/>
      <c r="AT107" s="721"/>
      <c r="AU107" s="721"/>
      <c r="AV107" s="721"/>
      <c r="AW107" s="721"/>
      <c r="AX107" s="721"/>
      <c r="AY107" s="721"/>
      <c r="AZ107" s="721"/>
      <c r="BA107" s="721"/>
      <c r="BB107" s="721"/>
      <c r="BC107" s="721"/>
      <c r="BD107" s="721"/>
      <c r="BE107" s="721"/>
      <c r="BF107" s="721"/>
      <c r="BG107" s="721"/>
      <c r="BH107" s="721"/>
    </row>
    <row r="108" spans="1:60" ht="15.75" thickBot="1">
      <c r="A108" s="772"/>
      <c r="B108" s="3832" t="s">
        <v>936</v>
      </c>
      <c r="C108" s="458"/>
      <c r="D108" s="459"/>
      <c r="E108" s="459"/>
      <c r="F108" s="459"/>
      <c r="G108" s="459"/>
      <c r="H108" s="460"/>
      <c r="I108" s="1177"/>
      <c r="J108" s="1037"/>
      <c r="K108" s="1044"/>
      <c r="L108" s="459"/>
      <c r="M108" s="459"/>
      <c r="N108" s="459"/>
      <c r="O108" s="459"/>
      <c r="P108" s="460"/>
      <c r="Q108" s="1178"/>
      <c r="R108" s="1179"/>
      <c r="S108" s="1180">
        <f>'2. Променливи'!E66/1000</f>
        <v>9043.7829999999994</v>
      </c>
      <c r="T108" s="1181">
        <f>'2. Променливи'!F66/1000</f>
        <v>10449.044</v>
      </c>
      <c r="U108" s="1181">
        <f>'2. Променливи'!G66/1000</f>
        <v>10377.606</v>
      </c>
      <c r="V108" s="1181">
        <f>'2. Променливи'!H66/1000</f>
        <v>10256.165999999999</v>
      </c>
      <c r="W108" s="1181">
        <f>'2. Променливи'!I66/1000</f>
        <v>10134.727000000001</v>
      </c>
      <c r="X108" s="1182">
        <f>'2. Променливи'!J66/1000</f>
        <v>10014.701999999999</v>
      </c>
      <c r="Y108" s="1178"/>
      <c r="Z108" s="1037"/>
      <c r="AG108" s="925"/>
      <c r="AH108" s="762"/>
      <c r="AI108" s="762"/>
      <c r="AJ108" s="762"/>
      <c r="AK108" s="762"/>
      <c r="AL108" s="762"/>
      <c r="AM108" s="762"/>
      <c r="AN108" s="762"/>
      <c r="AO108" s="925"/>
      <c r="AP108" s="762"/>
      <c r="AQ108" s="762"/>
      <c r="AR108" s="762"/>
      <c r="AS108" s="721"/>
      <c r="AT108" s="721"/>
      <c r="AU108" s="721"/>
      <c r="AV108" s="721"/>
      <c r="AW108" s="721"/>
      <c r="AX108" s="721"/>
      <c r="AY108" s="721"/>
      <c r="AZ108" s="721"/>
      <c r="BA108" s="721"/>
      <c r="BB108" s="721"/>
      <c r="BC108" s="721"/>
      <c r="BD108" s="721"/>
      <c r="BE108" s="721"/>
      <c r="BF108" s="721"/>
      <c r="BG108" s="721"/>
      <c r="BH108" s="721"/>
    </row>
    <row r="109" spans="1:60" ht="15.75" thickBot="1">
      <c r="A109" s="772"/>
      <c r="B109" s="1183"/>
      <c r="C109" s="1184"/>
      <c r="D109" s="1185"/>
      <c r="E109" s="1185"/>
      <c r="F109" s="1185"/>
      <c r="G109" s="1185"/>
      <c r="H109" s="1186"/>
      <c r="I109" s="1187"/>
      <c r="J109" s="1188"/>
      <c r="K109" s="1189"/>
      <c r="L109" s="1190"/>
      <c r="M109" s="1190"/>
      <c r="N109" s="1190"/>
      <c r="O109" s="1190"/>
      <c r="P109" s="1191"/>
      <c r="Q109" s="1192"/>
      <c r="R109" s="1193"/>
      <c r="S109" s="1194"/>
      <c r="T109" s="1190"/>
      <c r="U109" s="1190"/>
      <c r="V109" s="1190"/>
      <c r="W109" s="1190"/>
      <c r="X109" s="1195"/>
      <c r="Y109" s="1192"/>
      <c r="Z109" s="1188"/>
      <c r="AG109" s="925"/>
      <c r="AH109" s="762"/>
      <c r="AI109" s="762"/>
      <c r="AJ109" s="762"/>
      <c r="AK109" s="762"/>
      <c r="AL109" s="762"/>
      <c r="AM109" s="762"/>
      <c r="AN109" s="762"/>
      <c r="AO109" s="925"/>
      <c r="AP109" s="762"/>
      <c r="AQ109" s="762"/>
      <c r="AR109" s="762"/>
      <c r="AS109" s="721"/>
      <c r="AT109" s="721"/>
      <c r="AU109" s="721"/>
      <c r="AV109" s="721"/>
      <c r="AW109" s="721"/>
      <c r="AX109" s="721"/>
      <c r="AY109" s="721"/>
      <c r="AZ109" s="721"/>
      <c r="BA109" s="721"/>
      <c r="BB109" s="721"/>
      <c r="BC109" s="721"/>
      <c r="BD109" s="721"/>
      <c r="BE109" s="721"/>
      <c r="BF109" s="721"/>
      <c r="BG109" s="721"/>
      <c r="BH109" s="721"/>
    </row>
    <row r="110" spans="1:60" ht="54.75" customHeight="1">
      <c r="A110" s="772"/>
      <c r="B110" s="778" t="s">
        <v>941</v>
      </c>
      <c r="C110" s="386">
        <f>IFERROR(C99/C104,0)</f>
        <v>1.3437077560485409</v>
      </c>
      <c r="D110" s="387">
        <f>IFERROR(D99/D104,0)</f>
        <v>0.98377493913748149</v>
      </c>
      <c r="E110" s="387">
        <f t="shared" ref="E110:H110" si="363">IFERROR(E99/E104,0)</f>
        <v>1.0657859201334052</v>
      </c>
      <c r="F110" s="387">
        <f t="shared" si="363"/>
        <v>1.0657859201334052</v>
      </c>
      <c r="G110" s="387">
        <f>IFERROR(G99/G104,0)</f>
        <v>1.0657859201334052</v>
      </c>
      <c r="H110" s="388">
        <f t="shared" si="363"/>
        <v>1.0657859201334052</v>
      </c>
      <c r="I110" s="933"/>
      <c r="J110" s="908"/>
      <c r="K110" s="389">
        <f>IFERROR(K99/K105,0)</f>
        <v>0.15927900814550688</v>
      </c>
      <c r="L110" s="387">
        <f t="shared" ref="L110:P110" si="364">IFERROR(L99/L105,0)</f>
        <v>0.65795673459424975</v>
      </c>
      <c r="M110" s="387">
        <f t="shared" si="364"/>
        <v>0.6647180907273349</v>
      </c>
      <c r="N110" s="387">
        <f t="shared" si="364"/>
        <v>0.67159713948661803</v>
      </c>
      <c r="O110" s="387">
        <f t="shared" si="364"/>
        <v>0.67159713948661803</v>
      </c>
      <c r="P110" s="388">
        <f t="shared" si="364"/>
        <v>0.67159713948661803</v>
      </c>
      <c r="Q110" s="938"/>
      <c r="R110" s="913"/>
      <c r="S110" s="386">
        <f>IFERROR(S99/S108,0)</f>
        <v>3.7596766751258857E-2</v>
      </c>
      <c r="T110" s="387">
        <f t="shared" ref="T110:X110" si="365">IFERROR(T99/T108,0)</f>
        <v>5.0266225312095528E-2</v>
      </c>
      <c r="U110" s="387">
        <f t="shared" si="365"/>
        <v>5.9552559617314441E-2</v>
      </c>
      <c r="V110" s="387">
        <f t="shared" si="365"/>
        <v>2.3956710529061249E-2</v>
      </c>
      <c r="W110" s="387">
        <f t="shared" si="365"/>
        <v>2.462108747477855E-2</v>
      </c>
      <c r="X110" s="388">
        <f t="shared" si="365"/>
        <v>1.9091931042980612E-2</v>
      </c>
      <c r="Y110" s="938"/>
      <c r="Z110" s="908"/>
      <c r="AG110" s="925"/>
      <c r="AH110" s="762"/>
      <c r="AI110" s="762"/>
      <c r="AJ110" s="762"/>
      <c r="AK110" s="762"/>
      <c r="AL110" s="762"/>
      <c r="AM110" s="762"/>
      <c r="AN110" s="762"/>
      <c r="AO110" s="925"/>
      <c r="AP110" s="762"/>
      <c r="AQ110" s="762"/>
      <c r="AR110" s="762"/>
      <c r="AS110" s="721"/>
      <c r="AT110" s="721"/>
      <c r="AU110" s="721"/>
      <c r="AV110" s="721"/>
      <c r="AW110" s="721"/>
      <c r="AX110" s="721"/>
      <c r="AY110" s="721"/>
      <c r="AZ110" s="721"/>
      <c r="BA110" s="721"/>
      <c r="BB110" s="721"/>
      <c r="BC110" s="721"/>
      <c r="BD110" s="721"/>
      <c r="BE110" s="721"/>
      <c r="BF110" s="721"/>
      <c r="BG110" s="721"/>
      <c r="BH110" s="721"/>
    </row>
    <row r="111" spans="1:60" ht="36">
      <c r="A111" s="772"/>
      <c r="B111" s="779" t="s">
        <v>942</v>
      </c>
      <c r="C111" s="390">
        <f>IFERROR(C100/C104,0)</f>
        <v>2.7096970347319096</v>
      </c>
      <c r="D111" s="391">
        <f t="shared" ref="D111:H111" si="366">IFERROR(D100/D104,0)</f>
        <v>3.0326759754352066</v>
      </c>
      <c r="E111" s="391">
        <f t="shared" si="366"/>
        <v>3.4882789006742319</v>
      </c>
      <c r="F111" s="391">
        <f t="shared" si="366"/>
        <v>4.0114466517735377</v>
      </c>
      <c r="G111" s="391">
        <f t="shared" si="366"/>
        <v>4.6130760957192249</v>
      </c>
      <c r="H111" s="392">
        <f t="shared" si="366"/>
        <v>4.8091966532888923</v>
      </c>
      <c r="I111" s="934"/>
      <c r="J111" s="909"/>
      <c r="K111" s="393">
        <f>IFERROR(K100/K105,0)</f>
        <v>0.77909647028034945</v>
      </c>
      <c r="L111" s="391">
        <f t="shared" ref="L111:P111" si="367">IFERROR(L100/L105,0)</f>
        <v>0.80286479213109085</v>
      </c>
      <c r="M111" s="391">
        <f t="shared" si="367"/>
        <v>0.86749195736746121</v>
      </c>
      <c r="N111" s="391">
        <f t="shared" si="367"/>
        <v>1.0023505855973209</v>
      </c>
      <c r="O111" s="391">
        <f t="shared" si="367"/>
        <v>1.1496793192376258</v>
      </c>
      <c r="P111" s="392">
        <f t="shared" si="367"/>
        <v>1.2629933522043693</v>
      </c>
      <c r="Q111" s="939"/>
      <c r="R111" s="914"/>
      <c r="S111" s="390">
        <f>IFERROR(S100/S108,0)</f>
        <v>6.256209376098476E-2</v>
      </c>
      <c r="T111" s="391">
        <f t="shared" ref="T111:X111" si="368">IFERROR(T100/T108,0)</f>
        <v>6.0818961045622934E-2</v>
      </c>
      <c r="U111" s="391">
        <f t="shared" si="368"/>
        <v>7.0563480633201919E-2</v>
      </c>
      <c r="V111" s="391">
        <f t="shared" si="368"/>
        <v>8.1931201191556377E-2</v>
      </c>
      <c r="W111" s="391">
        <f t="shared" si="368"/>
        <v>9.5532913713413298E-2</v>
      </c>
      <c r="X111" s="392">
        <f t="shared" si="368"/>
        <v>0.10953895582714294</v>
      </c>
      <c r="Y111" s="939"/>
      <c r="Z111" s="909"/>
      <c r="AG111" s="925"/>
      <c r="AH111" s="762"/>
      <c r="AI111" s="762"/>
      <c r="AJ111" s="762"/>
      <c r="AK111" s="762"/>
      <c r="AL111" s="762"/>
      <c r="AM111" s="762"/>
      <c r="AN111" s="762"/>
      <c r="AO111" s="925"/>
      <c r="AP111" s="762"/>
      <c r="AQ111" s="762"/>
      <c r="AR111" s="762"/>
      <c r="AS111" s="721"/>
      <c r="AT111" s="721"/>
      <c r="AU111" s="721"/>
      <c r="AV111" s="721"/>
      <c r="AW111" s="721"/>
      <c r="AX111" s="721"/>
      <c r="AY111" s="721"/>
      <c r="AZ111" s="721"/>
      <c r="BA111" s="721"/>
      <c r="BB111" s="721"/>
      <c r="BC111" s="721"/>
      <c r="BD111" s="721"/>
      <c r="BE111" s="721"/>
      <c r="BF111" s="721"/>
      <c r="BG111" s="721"/>
      <c r="BH111" s="721"/>
    </row>
    <row r="112" spans="1:60" ht="36">
      <c r="A112" s="772"/>
      <c r="B112" s="779" t="s">
        <v>943</v>
      </c>
      <c r="C112" s="390">
        <f>IFERROR(C101/C104,0)</f>
        <v>1.2850460781753108</v>
      </c>
      <c r="D112" s="391">
        <f t="shared" ref="D112:H112" si="369">IFERROR(D101/D104,0)</f>
        <v>1.4189141358129149</v>
      </c>
      <c r="E112" s="391">
        <f t="shared" si="369"/>
        <v>1.449770036523413</v>
      </c>
      <c r="F112" s="391">
        <f t="shared" si="369"/>
        <v>1.4908529829923336</v>
      </c>
      <c r="G112" s="391">
        <f t="shared" si="369"/>
        <v>1.5393443296441744</v>
      </c>
      <c r="H112" s="392">
        <f t="shared" si="369"/>
        <v>1.5393443296441744</v>
      </c>
      <c r="I112" s="934"/>
      <c r="J112" s="909"/>
      <c r="K112" s="393">
        <f>IFERROR(K101/K105,0)</f>
        <v>0.30925568386273677</v>
      </c>
      <c r="L112" s="391">
        <f t="shared" ref="L112:P112" si="370">IFERROR(L101/L105,0)</f>
        <v>0.91936283710820366</v>
      </c>
      <c r="M112" s="391">
        <f t="shared" si="370"/>
        <v>0.88858282813794398</v>
      </c>
      <c r="N112" s="391">
        <f t="shared" si="370"/>
        <v>0.90029184730268108</v>
      </c>
      <c r="O112" s="391">
        <f t="shared" si="370"/>
        <v>0.91785537604978673</v>
      </c>
      <c r="P112" s="392">
        <f t="shared" si="370"/>
        <v>0.92956439521452383</v>
      </c>
      <c r="Q112" s="939"/>
      <c r="R112" s="914"/>
      <c r="S112" s="390">
        <f>IFERROR(S101/S108,0)</f>
        <v>2.7203118429533308E-3</v>
      </c>
      <c r="T112" s="391">
        <f t="shared" ref="T112:X112" si="371">IFERROR(T101/T108,0)</f>
        <v>2.87107605250777E-3</v>
      </c>
      <c r="U112" s="391">
        <f t="shared" si="371"/>
        <v>2.8908401417436741E-3</v>
      </c>
      <c r="V112" s="391">
        <f t="shared" si="371"/>
        <v>2.9250696605339658E-3</v>
      </c>
      <c r="W112" s="391">
        <f t="shared" si="371"/>
        <v>2.9601192020268525E-3</v>
      </c>
      <c r="X112" s="392">
        <f t="shared" si="371"/>
        <v>2.9955958749446564E-3</v>
      </c>
      <c r="Y112" s="939"/>
      <c r="Z112" s="909"/>
      <c r="AG112" s="925"/>
      <c r="AH112" s="762"/>
      <c r="AI112" s="762"/>
      <c r="AJ112" s="762"/>
      <c r="AK112" s="762"/>
      <c r="AL112" s="762"/>
      <c r="AM112" s="762"/>
      <c r="AN112" s="762"/>
      <c r="AO112" s="925"/>
      <c r="AP112" s="762"/>
      <c r="AQ112" s="762"/>
      <c r="AR112" s="762"/>
      <c r="AS112" s="721"/>
      <c r="AT112" s="721"/>
      <c r="AU112" s="721"/>
      <c r="AV112" s="721"/>
      <c r="AW112" s="721"/>
      <c r="AX112" s="721"/>
      <c r="AY112" s="721"/>
      <c r="AZ112" s="721"/>
      <c r="BA112" s="721"/>
      <c r="BB112" s="721"/>
      <c r="BC112" s="721"/>
      <c r="BD112" s="721"/>
      <c r="BE112" s="721"/>
      <c r="BF112" s="721"/>
      <c r="BG112" s="721"/>
      <c r="BH112" s="721"/>
    </row>
    <row r="113" spans="1:60" ht="36.75" thickBot="1">
      <c r="A113" s="772"/>
      <c r="B113" s="780" t="s">
        <v>944</v>
      </c>
      <c r="C113" s="394">
        <f>IFERROR(C102/C106,0)</f>
        <v>0.14256760047472952</v>
      </c>
      <c r="D113" s="395">
        <f t="shared" ref="D113:H113" si="372">IFERROR(D102/D106,0)</f>
        <v>0.14542640972497964</v>
      </c>
      <c r="E113" s="395">
        <f t="shared" si="372"/>
        <v>0.15333459443952829</v>
      </c>
      <c r="F113" s="395">
        <f t="shared" si="372"/>
        <v>0.15840179888906333</v>
      </c>
      <c r="G113" s="395">
        <f t="shared" si="372"/>
        <v>0.16352625743225577</v>
      </c>
      <c r="H113" s="396">
        <f t="shared" si="372"/>
        <v>0.16972251612476535</v>
      </c>
      <c r="I113" s="935"/>
      <c r="J113" s="910"/>
      <c r="K113" s="397">
        <f>IFERROR(K102/K107,0)</f>
        <v>1.7868021686673178E-3</v>
      </c>
      <c r="L113" s="395">
        <f t="shared" ref="L113:P113" si="373">IFERROR(L102/L107,0)</f>
        <v>1.6481545574791284E-3</v>
      </c>
      <c r="M113" s="395">
        <f t="shared" si="373"/>
        <v>1.6532382429371047E-3</v>
      </c>
      <c r="N113" s="395">
        <f t="shared" si="373"/>
        <v>5.6998119491576689E-2</v>
      </c>
      <c r="O113" s="395">
        <f t="shared" si="373"/>
        <v>5.7514138242299312E-2</v>
      </c>
      <c r="P113" s="396">
        <f t="shared" si="373"/>
        <v>5.7940874393665687E-2</v>
      </c>
      <c r="Q113" s="940"/>
      <c r="R113" s="915"/>
      <c r="S113" s="394">
        <f>IFERROR(S102/S108,0)</f>
        <v>4.6678475146960073E-2</v>
      </c>
      <c r="T113" s="395">
        <f t="shared" ref="T113:X113" si="374">IFERROR(T102/T108,0)</f>
        <v>3.773801749335981E-2</v>
      </c>
      <c r="U113" s="395">
        <f t="shared" si="374"/>
        <v>4.0135438743942299E-2</v>
      </c>
      <c r="V113" s="395">
        <f t="shared" si="374"/>
        <v>9.6518198878286027E-2</v>
      </c>
      <c r="W113" s="395">
        <f t="shared" si="374"/>
        <v>9.1605439484623893E-2</v>
      </c>
      <c r="X113" s="396">
        <f t="shared" si="374"/>
        <v>8.3986234133650819E-2</v>
      </c>
      <c r="Y113" s="940"/>
      <c r="Z113" s="910"/>
      <c r="AG113" s="925"/>
      <c r="AH113" s="762"/>
      <c r="AI113" s="762"/>
      <c r="AJ113" s="762"/>
      <c r="AK113" s="762"/>
      <c r="AL113" s="762"/>
      <c r="AM113" s="762"/>
      <c r="AN113" s="762"/>
      <c r="AO113" s="925"/>
      <c r="AP113" s="762"/>
      <c r="AQ113" s="762"/>
      <c r="AR113" s="762"/>
      <c r="AS113" s="721"/>
      <c r="AT113" s="721"/>
      <c r="AU113" s="721"/>
      <c r="AV113" s="721"/>
      <c r="AW113" s="721"/>
      <c r="AX113" s="721"/>
      <c r="AY113" s="721"/>
      <c r="AZ113" s="721"/>
      <c r="BA113" s="721"/>
      <c r="BB113" s="721"/>
      <c r="BC113" s="721"/>
      <c r="BD113" s="721"/>
      <c r="BE113" s="721"/>
      <c r="BF113" s="721"/>
      <c r="BG113" s="721"/>
      <c r="BH113" s="721"/>
    </row>
    <row r="114" spans="1:60">
      <c r="A114" s="772"/>
      <c r="B114" s="772"/>
      <c r="C114" s="3414"/>
      <c r="D114" s="3414"/>
      <c r="E114" s="3414"/>
      <c r="F114" s="3414"/>
      <c r="G114" s="3414"/>
      <c r="H114" s="3414"/>
      <c r="I114" s="930"/>
      <c r="J114" s="773"/>
      <c r="K114" s="773"/>
      <c r="L114" s="773"/>
      <c r="M114" s="773"/>
      <c r="N114" s="773"/>
      <c r="O114" s="773"/>
      <c r="P114" s="773"/>
      <c r="Q114" s="930"/>
      <c r="R114" s="773"/>
      <c r="S114" s="773"/>
      <c r="T114" s="773"/>
      <c r="U114" s="773"/>
      <c r="V114" s="773"/>
      <c r="W114" s="773"/>
      <c r="X114" s="3391"/>
      <c r="Y114" s="930"/>
      <c r="Z114" s="773"/>
      <c r="AA114" s="751"/>
      <c r="AB114" s="751"/>
      <c r="AC114" s="751"/>
      <c r="AD114" s="751"/>
      <c r="AE114" s="751"/>
      <c r="AG114" s="928"/>
      <c r="AH114" s="751"/>
      <c r="AI114" s="751"/>
      <c r="AJ114" s="751"/>
      <c r="AK114" s="751"/>
      <c r="AL114" s="751"/>
      <c r="AM114" s="751"/>
      <c r="AO114" s="928"/>
      <c r="AP114" s="751"/>
      <c r="AW114" s="762"/>
      <c r="AX114" s="762"/>
      <c r="AY114" s="762"/>
      <c r="AZ114" s="762"/>
      <c r="BA114" s="762"/>
      <c r="BB114" s="762"/>
      <c r="BC114" s="762"/>
      <c r="BD114" s="762"/>
      <c r="BE114" s="762"/>
      <c r="BF114" s="762"/>
      <c r="BG114" s="762"/>
      <c r="BH114" s="762"/>
    </row>
    <row r="115" spans="1:60">
      <c r="A115" s="772"/>
      <c r="B115" s="772"/>
      <c r="C115" s="3391"/>
      <c r="D115" s="3391"/>
      <c r="E115" s="3391"/>
      <c r="F115" s="3391"/>
      <c r="G115" s="3391"/>
      <c r="H115" s="3391"/>
      <c r="I115" s="930"/>
      <c r="J115" s="773"/>
      <c r="K115" s="773"/>
      <c r="L115" s="773"/>
      <c r="M115" s="773"/>
      <c r="N115" s="773"/>
      <c r="O115" s="773"/>
      <c r="P115" s="773"/>
      <c r="Q115" s="930"/>
      <c r="R115" s="773"/>
      <c r="S115" s="773"/>
      <c r="T115" s="773"/>
      <c r="U115" s="773"/>
      <c r="V115" s="773"/>
      <c r="W115" s="773"/>
      <c r="X115" s="3391"/>
      <c r="Y115" s="930"/>
      <c r="Z115" s="773"/>
      <c r="AA115" s="751"/>
      <c r="AB115" s="751"/>
      <c r="AC115" s="751"/>
      <c r="AD115" s="751"/>
      <c r="AE115" s="751"/>
      <c r="AG115" s="928"/>
      <c r="AH115" s="751"/>
      <c r="AI115" s="751"/>
      <c r="AJ115" s="751"/>
      <c r="AK115" s="751"/>
      <c r="AL115" s="751"/>
      <c r="AM115" s="751"/>
      <c r="AO115" s="928"/>
      <c r="AP115" s="751"/>
      <c r="AW115" s="762"/>
      <c r="AX115" s="762"/>
      <c r="AY115" s="762"/>
      <c r="AZ115" s="762"/>
      <c r="BA115" s="762"/>
      <c r="BB115" s="762"/>
      <c r="BC115" s="762"/>
      <c r="BD115" s="762"/>
      <c r="BE115" s="762"/>
      <c r="BF115" s="762"/>
      <c r="BG115" s="762"/>
      <c r="BH115" s="762"/>
    </row>
    <row r="116" spans="1:60">
      <c r="A116" s="772"/>
      <c r="B116" s="3415" t="str">
        <f>'Приложение '!B81</f>
        <v>Дата: 24 юни 2021 година</v>
      </c>
      <c r="C116" s="3391"/>
      <c r="D116" s="3391"/>
      <c r="E116" s="3391"/>
      <c r="F116" s="3391"/>
      <c r="G116" s="3391"/>
      <c r="H116" s="3391"/>
      <c r="I116" s="3392"/>
      <c r="J116" s="3391"/>
      <c r="K116" s="3391"/>
      <c r="L116" s="3391"/>
      <c r="M116" s="3391"/>
      <c r="N116" s="3391"/>
      <c r="O116" s="3391"/>
      <c r="P116" s="3391"/>
      <c r="Q116" s="3416" t="str">
        <f>'Приложение '!C81</f>
        <v xml:space="preserve">Гл. счетоводител/Фин.директор: </v>
      </c>
      <c r="R116" s="3417" t="str">
        <f>'Приложение '!D81</f>
        <v>..............................................</v>
      </c>
      <c r="S116" s="3391"/>
      <c r="T116" s="3391"/>
      <c r="U116" s="3391"/>
      <c r="V116" s="3391"/>
      <c r="W116" s="3391"/>
      <c r="X116" s="3351"/>
      <c r="Y116" s="3392"/>
      <c r="Z116" s="3391"/>
      <c r="AF116" s="46"/>
      <c r="AN116" s="46"/>
      <c r="AQ116" s="46"/>
      <c r="AR116" s="46"/>
      <c r="AS116" s="46"/>
      <c r="AT116" s="46"/>
      <c r="AU116" s="46"/>
      <c r="AV116" s="46"/>
      <c r="AW116" s="762"/>
      <c r="AX116" s="762"/>
      <c r="AY116" s="762"/>
      <c r="AZ116" s="762"/>
      <c r="BA116" s="762"/>
      <c r="BB116" s="762"/>
      <c r="BC116" s="762"/>
      <c r="BD116" s="762"/>
      <c r="BE116" s="762"/>
      <c r="BF116" s="762"/>
      <c r="BG116" s="762"/>
      <c r="BH116" s="762"/>
    </row>
    <row r="117" spans="1:60">
      <c r="A117" s="772"/>
      <c r="B117" s="772"/>
      <c r="C117" s="3391"/>
      <c r="D117" s="3391"/>
      <c r="E117" s="3391"/>
      <c r="F117" s="3391"/>
      <c r="G117" s="3391"/>
      <c r="H117" s="3391"/>
      <c r="I117" s="3392"/>
      <c r="J117" s="3391"/>
      <c r="K117" s="3391"/>
      <c r="L117" s="3391"/>
      <c r="M117" s="3391"/>
      <c r="N117" s="3391"/>
      <c r="O117" s="3391"/>
      <c r="P117" s="3391"/>
      <c r="Q117" s="3416"/>
      <c r="R117" s="3418" t="str">
        <f>'Приложение '!D82</f>
        <v>(подпис)</v>
      </c>
      <c r="S117" s="3391"/>
      <c r="T117" s="3391"/>
      <c r="U117" s="3391"/>
      <c r="V117" s="3391"/>
      <c r="W117" s="3391"/>
      <c r="X117" s="2944"/>
      <c r="Y117" s="3392"/>
      <c r="Z117" s="3391"/>
      <c r="AF117" s="752"/>
      <c r="AN117" s="752"/>
      <c r="AQ117" s="48"/>
      <c r="AR117" s="753"/>
      <c r="AS117" s="754"/>
      <c r="AT117" s="36"/>
      <c r="AU117" s="754"/>
      <c r="AV117" s="752"/>
      <c r="AW117" s="762"/>
      <c r="AX117" s="762"/>
      <c r="AY117" s="762"/>
      <c r="AZ117" s="762"/>
      <c r="BA117" s="762"/>
      <c r="BB117" s="762"/>
      <c r="BC117" s="762"/>
      <c r="BD117" s="762"/>
      <c r="BE117" s="762"/>
      <c r="BF117" s="762"/>
      <c r="BG117" s="762"/>
      <c r="BH117" s="762"/>
    </row>
    <row r="118" spans="1:60">
      <c r="A118" s="772"/>
      <c r="B118" s="772"/>
      <c r="C118" s="3391"/>
      <c r="D118" s="3391"/>
      <c r="E118" s="3391"/>
      <c r="F118" s="3391"/>
      <c r="G118" s="3391"/>
      <c r="H118" s="3391"/>
      <c r="I118" s="3392"/>
      <c r="J118" s="3391"/>
      <c r="K118" s="3391"/>
      <c r="L118" s="3391"/>
      <c r="M118" s="3391"/>
      <c r="N118" s="3391"/>
      <c r="O118" s="3391"/>
      <c r="P118" s="3391"/>
      <c r="Q118" s="3416"/>
      <c r="R118" s="3417"/>
      <c r="S118" s="3391"/>
      <c r="T118" s="3391"/>
      <c r="U118" s="3391"/>
      <c r="V118" s="3391"/>
      <c r="W118" s="3391"/>
      <c r="X118" s="2944"/>
      <c r="Y118" s="3392"/>
      <c r="Z118" s="3391"/>
      <c r="AF118" s="752"/>
      <c r="AN118" s="752"/>
      <c r="AQ118" s="752"/>
      <c r="AR118" s="755"/>
      <c r="AS118" s="756"/>
      <c r="AT118" s="757"/>
      <c r="AU118" s="754"/>
      <c r="AV118" s="752"/>
      <c r="AW118" s="762"/>
      <c r="AX118" s="762"/>
      <c r="AY118" s="762"/>
      <c r="AZ118" s="762"/>
      <c r="BA118" s="762"/>
      <c r="BB118" s="762"/>
      <c r="BC118" s="762"/>
      <c r="BD118" s="762"/>
      <c r="BE118" s="762"/>
      <c r="BF118" s="762"/>
      <c r="BG118" s="762"/>
      <c r="BH118" s="762"/>
    </row>
    <row r="119" spans="1:60">
      <c r="A119" s="772"/>
      <c r="B119" s="2937" t="s">
        <v>191</v>
      </c>
      <c r="C119" s="3391"/>
      <c r="D119" s="3391"/>
      <c r="E119" s="3391"/>
      <c r="F119" s="3391"/>
      <c r="G119" s="3391"/>
      <c r="H119" s="3391"/>
      <c r="I119" s="3392"/>
      <c r="J119" s="3391"/>
      <c r="K119" s="3391"/>
      <c r="L119" s="3391"/>
      <c r="M119" s="3391"/>
      <c r="N119" s="3391"/>
      <c r="O119" s="3391"/>
      <c r="P119" s="3391"/>
      <c r="Q119" s="3416"/>
      <c r="R119" s="3417"/>
      <c r="S119" s="3391"/>
      <c r="T119" s="3391"/>
      <c r="U119" s="3391"/>
      <c r="V119" s="3391"/>
      <c r="W119" s="3391"/>
      <c r="X119" s="2944"/>
      <c r="Y119" s="3392"/>
      <c r="Z119" s="3391"/>
      <c r="AF119" s="752"/>
      <c r="AN119" s="752"/>
      <c r="AQ119" s="752"/>
      <c r="AR119" s="755"/>
      <c r="AS119" s="756"/>
      <c r="AT119" s="757"/>
      <c r="AU119" s="754"/>
      <c r="AV119" s="752"/>
      <c r="AW119" s="762"/>
      <c r="AX119" s="762"/>
      <c r="AY119" s="762"/>
      <c r="AZ119" s="762"/>
      <c r="BA119" s="762"/>
      <c r="BB119" s="762"/>
      <c r="BC119" s="762"/>
      <c r="BD119" s="762"/>
      <c r="BE119" s="762"/>
      <c r="BF119" s="762"/>
      <c r="BG119" s="762"/>
      <c r="BH119" s="762"/>
    </row>
    <row r="120" spans="1:60">
      <c r="A120" s="772"/>
      <c r="B120" s="1578" t="s">
        <v>1067</v>
      </c>
      <c r="C120" s="3391"/>
      <c r="D120" s="3391"/>
      <c r="E120" s="3391"/>
      <c r="F120" s="3391"/>
      <c r="G120" s="3391"/>
      <c r="H120" s="3391"/>
      <c r="I120" s="3392"/>
      <c r="J120" s="3391"/>
      <c r="K120" s="3391"/>
      <c r="L120" s="3391"/>
      <c r="M120" s="3391"/>
      <c r="N120" s="3391"/>
      <c r="O120" s="3391"/>
      <c r="P120" s="3391"/>
      <c r="Q120" s="3416" t="str">
        <f>'Приложение '!C85</f>
        <v xml:space="preserve">Управител/Изп.директор: </v>
      </c>
      <c r="R120" s="3417" t="str">
        <f>'Приложение '!D85</f>
        <v>.............................................</v>
      </c>
      <c r="S120" s="3391"/>
      <c r="T120" s="3391"/>
      <c r="U120" s="3391"/>
      <c r="V120" s="3391"/>
      <c r="W120" s="3391"/>
      <c r="X120" s="2944"/>
      <c r="Y120" s="3392"/>
      <c r="Z120" s="3391"/>
      <c r="AF120" s="752"/>
      <c r="AN120" s="752"/>
      <c r="AQ120" s="752"/>
      <c r="AR120" s="755"/>
      <c r="AS120" s="756"/>
      <c r="AT120" s="757"/>
      <c r="AU120" s="754"/>
      <c r="AV120" s="752"/>
      <c r="AW120" s="762"/>
      <c r="AX120" s="762"/>
      <c r="AY120" s="762"/>
      <c r="AZ120" s="762"/>
      <c r="BA120" s="762"/>
      <c r="BB120" s="762"/>
      <c r="BC120" s="762"/>
      <c r="BD120" s="762"/>
      <c r="BE120" s="762"/>
      <c r="BF120" s="762"/>
      <c r="BG120" s="762"/>
      <c r="BH120" s="762"/>
    </row>
    <row r="121" spans="1:60" s="49" customFormat="1">
      <c r="A121" s="772"/>
      <c r="B121" s="1578" t="s">
        <v>1066</v>
      </c>
      <c r="C121" s="3391"/>
      <c r="D121" s="3391"/>
      <c r="E121" s="3391"/>
      <c r="F121" s="3391"/>
      <c r="G121" s="3391"/>
      <c r="H121" s="3391"/>
      <c r="I121" s="3392"/>
      <c r="J121" s="3391"/>
      <c r="K121" s="3391"/>
      <c r="L121" s="3391"/>
      <c r="M121" s="3391"/>
      <c r="N121" s="3391"/>
      <c r="O121" s="3391"/>
      <c r="P121" s="3391"/>
      <c r="Q121" s="3419"/>
      <c r="R121" s="3418" t="str">
        <f>'Приложение '!D86</f>
        <v>(подпис и печат)</v>
      </c>
      <c r="S121" s="3419"/>
      <c r="T121" s="3391"/>
      <c r="U121" s="3391"/>
      <c r="V121" s="3391"/>
      <c r="W121" s="3391"/>
      <c r="X121" s="2944"/>
      <c r="Y121" s="3392"/>
      <c r="Z121" s="772"/>
      <c r="AC121" s="50"/>
      <c r="AD121" s="50"/>
      <c r="AE121" s="50"/>
      <c r="AF121" s="752"/>
      <c r="AG121" s="922"/>
      <c r="AH121" s="50"/>
      <c r="AI121" s="50"/>
      <c r="AJ121" s="50"/>
      <c r="AK121" s="50"/>
      <c r="AL121" s="50"/>
      <c r="AM121" s="50"/>
      <c r="AN121" s="752"/>
      <c r="AO121" s="922"/>
      <c r="AP121" s="50"/>
      <c r="AQ121" s="752"/>
      <c r="AR121" s="755"/>
      <c r="AS121" s="756"/>
      <c r="AT121" s="757"/>
      <c r="AU121" s="754"/>
      <c r="AV121" s="752"/>
      <c r="AW121" s="762"/>
      <c r="AX121" s="762"/>
      <c r="AY121" s="762"/>
      <c r="AZ121" s="762"/>
      <c r="BA121" s="762"/>
      <c r="BB121" s="762"/>
      <c r="BC121" s="762"/>
      <c r="BD121" s="762"/>
      <c r="BE121" s="762"/>
      <c r="BF121" s="762"/>
      <c r="BG121" s="762"/>
      <c r="BH121" s="762"/>
    </row>
    <row r="122" spans="1:60" s="49" customFormat="1">
      <c r="A122" s="772"/>
      <c r="B122" s="772"/>
      <c r="C122" s="3419"/>
      <c r="D122" s="3419"/>
      <c r="E122" s="3419"/>
      <c r="F122" s="3419"/>
      <c r="G122" s="3419"/>
      <c r="H122" s="3419"/>
      <c r="I122" s="3392"/>
      <c r="J122" s="3419"/>
      <c r="K122" s="3419"/>
      <c r="L122" s="3419"/>
      <c r="M122" s="3419"/>
      <c r="N122" s="3419"/>
      <c r="O122" s="3419"/>
      <c r="P122" s="3419"/>
      <c r="Q122" s="3392"/>
      <c r="R122" s="3419"/>
      <c r="S122" s="3419"/>
      <c r="T122" s="3419"/>
      <c r="U122" s="3419"/>
      <c r="V122" s="3419"/>
      <c r="W122" s="3391"/>
      <c r="X122" s="2944"/>
      <c r="Y122" s="3392"/>
      <c r="Z122" s="772"/>
      <c r="AC122" s="758"/>
      <c r="AD122" s="758"/>
      <c r="AE122" s="50"/>
      <c r="AF122" s="752"/>
      <c r="AG122" s="922"/>
      <c r="AH122" s="758"/>
      <c r="AI122" s="758"/>
      <c r="AJ122" s="758"/>
      <c r="AK122" s="758"/>
      <c r="AL122" s="758"/>
      <c r="AM122" s="50"/>
      <c r="AN122" s="752"/>
      <c r="AO122" s="922"/>
      <c r="AP122" s="758"/>
      <c r="AQ122" s="759"/>
      <c r="AR122" s="752"/>
      <c r="AS122" s="754"/>
      <c r="AT122" s="36"/>
      <c r="AU122" s="754"/>
      <c r="AV122" s="752"/>
      <c r="AW122" s="762"/>
      <c r="AX122" s="762"/>
      <c r="AY122" s="762"/>
      <c r="AZ122" s="762"/>
      <c r="BA122" s="762"/>
      <c r="BB122" s="762"/>
      <c r="BC122" s="762"/>
      <c r="BD122" s="762"/>
      <c r="BE122" s="762"/>
      <c r="BF122" s="762"/>
      <c r="BG122" s="762"/>
      <c r="BH122" s="762"/>
    </row>
    <row r="123" spans="1:60" s="49" customFormat="1">
      <c r="A123" s="25"/>
      <c r="C123" s="50"/>
      <c r="D123" s="50"/>
      <c r="E123" s="50"/>
      <c r="F123" s="50"/>
      <c r="G123" s="50"/>
      <c r="H123" s="50"/>
      <c r="I123" s="922"/>
      <c r="J123" s="50"/>
      <c r="K123" s="50"/>
      <c r="L123" s="50"/>
      <c r="M123" s="50"/>
      <c r="N123" s="50"/>
      <c r="O123" s="50"/>
      <c r="P123" s="50"/>
      <c r="Q123" s="922"/>
      <c r="R123" s="50"/>
      <c r="S123" s="50"/>
      <c r="T123" s="50"/>
      <c r="U123" s="50"/>
      <c r="V123" s="50"/>
      <c r="W123" s="50"/>
      <c r="X123" s="752"/>
      <c r="Y123" s="922"/>
      <c r="Z123" s="50"/>
      <c r="AA123" s="723"/>
      <c r="AB123" s="50"/>
      <c r="AC123" s="50"/>
      <c r="AD123" s="50"/>
      <c r="AE123" s="50"/>
      <c r="AF123" s="752"/>
      <c r="AG123" s="922"/>
      <c r="AH123" s="50"/>
      <c r="AI123" s="50"/>
      <c r="AJ123" s="50"/>
      <c r="AK123" s="50"/>
      <c r="AL123" s="50"/>
      <c r="AM123" s="50"/>
      <c r="AN123" s="752"/>
      <c r="AO123" s="922"/>
      <c r="AP123" s="50"/>
      <c r="AR123" s="761"/>
      <c r="AS123" s="756"/>
      <c r="AT123" s="757"/>
      <c r="AU123" s="754"/>
      <c r="AV123" s="752"/>
      <c r="AW123" s="762"/>
      <c r="AX123" s="762"/>
      <c r="AY123" s="762"/>
      <c r="AZ123" s="762"/>
      <c r="BA123" s="762"/>
      <c r="BB123" s="762"/>
      <c r="BC123" s="762"/>
      <c r="BD123" s="762"/>
      <c r="BE123" s="762"/>
      <c r="BF123" s="762"/>
      <c r="BG123" s="762"/>
      <c r="BH123" s="762"/>
    </row>
    <row r="124" spans="1:60" s="49" customFormat="1">
      <c r="C124" s="50"/>
      <c r="D124" s="50"/>
      <c r="E124" s="50"/>
      <c r="F124" s="50"/>
      <c r="G124" s="50"/>
      <c r="H124" s="50"/>
      <c r="I124" s="922"/>
      <c r="J124" s="50"/>
      <c r="K124" s="50"/>
      <c r="L124" s="50"/>
      <c r="M124" s="50"/>
      <c r="N124" s="50"/>
      <c r="O124" s="50"/>
      <c r="P124" s="50"/>
      <c r="Q124" s="922"/>
      <c r="R124" s="50"/>
      <c r="S124" s="50"/>
      <c r="T124" s="50"/>
      <c r="U124" s="50"/>
      <c r="V124" s="50"/>
      <c r="W124" s="50"/>
      <c r="X124" s="50"/>
      <c r="Y124" s="922"/>
      <c r="Z124" s="50"/>
      <c r="AA124" s="50"/>
      <c r="AB124" s="50"/>
      <c r="AC124" s="50"/>
      <c r="AD124" s="50"/>
      <c r="AE124" s="50"/>
      <c r="AF124" s="50"/>
      <c r="AG124" s="922"/>
      <c r="AH124" s="50"/>
      <c r="AI124" s="50"/>
      <c r="AJ124" s="50"/>
      <c r="AK124" s="50"/>
      <c r="AL124" s="50"/>
      <c r="AM124" s="50"/>
      <c r="AN124" s="50"/>
      <c r="AO124" s="922"/>
      <c r="AP124" s="50"/>
      <c r="AQ124" s="50"/>
      <c r="AR124" s="762"/>
      <c r="AS124" s="762"/>
      <c r="AT124" s="762"/>
      <c r="AU124" s="762"/>
      <c r="AV124" s="762"/>
      <c r="AW124" s="762"/>
      <c r="AX124" s="762"/>
      <c r="AY124" s="762"/>
      <c r="AZ124" s="762"/>
      <c r="BA124" s="762"/>
      <c r="BB124" s="762"/>
      <c r="BC124" s="762"/>
      <c r="BD124" s="762"/>
      <c r="BE124" s="762"/>
      <c r="BF124" s="762"/>
      <c r="BG124" s="762"/>
      <c r="BH124" s="762"/>
    </row>
    <row r="125" spans="1:60" s="49" customFormat="1">
      <c r="C125" s="50"/>
      <c r="D125" s="50"/>
      <c r="E125" s="50"/>
      <c r="F125" s="50"/>
      <c r="G125" s="50"/>
      <c r="H125" s="50"/>
      <c r="I125" s="922"/>
      <c r="J125" s="50"/>
      <c r="K125" s="50"/>
      <c r="L125" s="50"/>
      <c r="M125" s="50"/>
      <c r="N125" s="50"/>
      <c r="O125" s="50"/>
      <c r="P125" s="50"/>
      <c r="Q125" s="922"/>
      <c r="R125" s="50"/>
      <c r="S125" s="50"/>
      <c r="T125" s="50"/>
      <c r="U125" s="50"/>
      <c r="V125" s="50"/>
      <c r="W125" s="50"/>
      <c r="X125" s="50"/>
      <c r="Y125" s="922"/>
      <c r="Z125" s="50"/>
      <c r="AA125" s="50"/>
      <c r="AB125" s="50"/>
      <c r="AC125" s="50"/>
      <c r="AD125" s="50"/>
      <c r="AE125" s="50"/>
      <c r="AF125" s="50"/>
      <c r="AG125" s="922"/>
      <c r="AH125" s="50"/>
      <c r="AI125" s="50"/>
      <c r="AJ125" s="50"/>
      <c r="AK125" s="50"/>
      <c r="AL125" s="50"/>
      <c r="AM125" s="50"/>
      <c r="AN125" s="50"/>
      <c r="AO125" s="922"/>
      <c r="AP125" s="50"/>
      <c r="AQ125" s="50"/>
      <c r="AR125" s="762"/>
      <c r="AS125" s="762"/>
      <c r="AT125" s="762"/>
      <c r="AU125" s="762"/>
      <c r="AV125" s="762"/>
      <c r="AW125" s="762"/>
      <c r="AX125" s="762"/>
      <c r="AY125" s="762"/>
      <c r="AZ125" s="762"/>
      <c r="BA125" s="762"/>
      <c r="BB125" s="762"/>
      <c r="BC125" s="762"/>
      <c r="BD125" s="762"/>
      <c r="BE125" s="762"/>
      <c r="BF125" s="762"/>
      <c r="BG125" s="762"/>
      <c r="BH125" s="762"/>
    </row>
    <row r="126" spans="1:60" s="49" customFormat="1">
      <c r="A126" s="763"/>
      <c r="B126" s="764"/>
      <c r="C126" s="765"/>
      <c r="D126" s="765"/>
      <c r="E126" s="765"/>
      <c r="F126" s="765"/>
      <c r="G126" s="766"/>
      <c r="H126" s="766"/>
      <c r="I126" s="927"/>
      <c r="J126" s="766"/>
      <c r="K126" s="766"/>
      <c r="L126" s="766"/>
      <c r="M126" s="766"/>
      <c r="N126" s="766"/>
      <c r="O126" s="766"/>
      <c r="P126" s="766"/>
      <c r="Q126" s="927"/>
      <c r="R126" s="766"/>
      <c r="S126" s="762"/>
      <c r="T126" s="762"/>
      <c r="U126" s="762"/>
      <c r="V126" s="762"/>
      <c r="W126" s="762"/>
      <c r="X126" s="762"/>
      <c r="Y126" s="927"/>
      <c r="Z126" s="766"/>
      <c r="AA126" s="762"/>
      <c r="AB126" s="762"/>
      <c r="AC126" s="762"/>
      <c r="AD126" s="762"/>
      <c r="AE126" s="762"/>
      <c r="AF126" s="762"/>
      <c r="AG126" s="927"/>
      <c r="AH126" s="766"/>
      <c r="AI126" s="762"/>
      <c r="AJ126" s="762"/>
      <c r="AK126" s="762"/>
      <c r="AL126" s="762"/>
      <c r="AM126" s="762"/>
      <c r="AN126" s="762"/>
      <c r="AO126" s="927"/>
      <c r="AP126" s="766"/>
      <c r="AQ126" s="762"/>
      <c r="AR126" s="762"/>
      <c r="AS126" s="762"/>
      <c r="AT126" s="762"/>
      <c r="AW126" s="762"/>
      <c r="AX126" s="762"/>
      <c r="AY126" s="762"/>
      <c r="AZ126" s="762"/>
      <c r="BA126" s="762"/>
      <c r="BB126" s="762"/>
      <c r="BC126" s="762"/>
      <c r="BD126" s="762"/>
      <c r="BE126" s="762"/>
      <c r="BF126" s="762"/>
      <c r="BG126" s="762"/>
      <c r="BH126" s="762"/>
    </row>
    <row r="127" spans="1:60" s="49" customFormat="1">
      <c r="A127" s="767"/>
      <c r="B127" s="5438"/>
      <c r="C127" s="729"/>
      <c r="D127" s="729"/>
      <c r="E127" s="729"/>
      <c r="F127" s="729"/>
      <c r="G127" s="762"/>
      <c r="H127" s="762"/>
      <c r="I127" s="925"/>
      <c r="J127" s="762"/>
      <c r="K127" s="762"/>
      <c r="L127" s="762"/>
      <c r="M127" s="762"/>
      <c r="N127" s="762"/>
      <c r="O127" s="762"/>
      <c r="P127" s="762"/>
      <c r="Q127" s="925"/>
      <c r="R127" s="762"/>
      <c r="S127" s="762"/>
      <c r="T127" s="762"/>
      <c r="U127" s="762"/>
      <c r="V127" s="762"/>
      <c r="W127" s="762"/>
      <c r="X127" s="762"/>
      <c r="Y127" s="925"/>
      <c r="Z127" s="762"/>
      <c r="AA127" s="762"/>
      <c r="AB127" s="762"/>
      <c r="AC127" s="762"/>
      <c r="AD127" s="762"/>
      <c r="AE127" s="762"/>
      <c r="AF127" s="762"/>
      <c r="AG127" s="925"/>
      <c r="AH127" s="762"/>
      <c r="AI127" s="762"/>
      <c r="AJ127" s="762"/>
      <c r="AK127" s="762"/>
      <c r="AL127" s="762"/>
      <c r="AM127" s="762"/>
      <c r="AN127" s="762"/>
      <c r="AO127" s="925"/>
      <c r="AP127" s="762"/>
      <c r="AQ127" s="762"/>
      <c r="AR127" s="762"/>
      <c r="AS127" s="762"/>
      <c r="AT127" s="50"/>
      <c r="AW127" s="762"/>
      <c r="AX127" s="762"/>
      <c r="AY127" s="762"/>
      <c r="AZ127" s="762"/>
      <c r="BA127" s="762"/>
      <c r="BB127" s="762"/>
      <c r="BC127" s="762"/>
      <c r="BD127" s="762"/>
      <c r="BE127" s="762"/>
      <c r="BF127" s="762"/>
      <c r="BG127" s="762"/>
      <c r="BH127" s="762"/>
    </row>
    <row r="128" spans="1:60" s="49" customFormat="1">
      <c r="A128" s="767"/>
      <c r="B128" s="5438"/>
      <c r="C128" s="729"/>
      <c r="D128" s="729"/>
      <c r="E128" s="729"/>
      <c r="F128" s="729"/>
      <c r="G128" s="762"/>
      <c r="H128" s="762"/>
      <c r="I128" s="925"/>
      <c r="J128" s="762"/>
      <c r="K128" s="762"/>
      <c r="L128" s="762"/>
      <c r="M128" s="762"/>
      <c r="N128" s="762"/>
      <c r="O128" s="762"/>
      <c r="P128" s="762"/>
      <c r="Q128" s="925"/>
      <c r="R128" s="762"/>
      <c r="S128" s="762"/>
      <c r="T128" s="762"/>
      <c r="U128" s="762"/>
      <c r="V128" s="762"/>
      <c r="W128" s="762"/>
      <c r="X128" s="762"/>
      <c r="Y128" s="925"/>
      <c r="Z128" s="762"/>
      <c r="AA128" s="762"/>
      <c r="AB128" s="762"/>
      <c r="AC128" s="762"/>
      <c r="AD128" s="762"/>
      <c r="AE128" s="762"/>
      <c r="AF128" s="762"/>
      <c r="AG128" s="925"/>
      <c r="AH128" s="762"/>
      <c r="AI128" s="762"/>
      <c r="AJ128" s="762"/>
      <c r="AK128" s="762"/>
      <c r="AL128" s="762"/>
      <c r="AM128" s="762"/>
      <c r="AN128" s="762"/>
      <c r="AO128" s="925"/>
      <c r="AP128" s="762"/>
      <c r="AQ128" s="762"/>
      <c r="AR128" s="762"/>
      <c r="AS128" s="762"/>
      <c r="AT128" s="762"/>
      <c r="AW128" s="762"/>
      <c r="AX128" s="762"/>
      <c r="AY128" s="762"/>
      <c r="AZ128" s="762"/>
      <c r="BA128" s="762"/>
      <c r="BB128" s="762"/>
      <c r="BC128" s="762"/>
      <c r="BD128" s="762"/>
      <c r="BE128" s="762"/>
      <c r="BF128" s="762"/>
      <c r="BG128" s="762"/>
      <c r="BH128" s="762"/>
    </row>
    <row r="129" spans="1:60" s="49" customFormat="1">
      <c r="A129" s="767"/>
      <c r="B129" s="767"/>
      <c r="C129" s="762"/>
      <c r="D129" s="762"/>
      <c r="E129" s="762"/>
      <c r="F129" s="762"/>
      <c r="G129" s="762"/>
      <c r="H129" s="762"/>
      <c r="I129" s="925"/>
      <c r="J129" s="762"/>
      <c r="K129" s="762"/>
      <c r="L129" s="762"/>
      <c r="M129" s="762"/>
      <c r="N129" s="762"/>
      <c r="O129" s="762"/>
      <c r="P129" s="762"/>
      <c r="Q129" s="925"/>
      <c r="R129" s="762"/>
      <c r="S129" s="762"/>
      <c r="T129" s="762"/>
      <c r="U129" s="762"/>
      <c r="V129" s="762"/>
      <c r="W129" s="762"/>
      <c r="X129" s="762"/>
      <c r="Y129" s="925"/>
      <c r="Z129" s="762"/>
      <c r="AA129" s="762"/>
      <c r="AB129" s="762"/>
      <c r="AC129" s="762"/>
      <c r="AD129" s="762"/>
      <c r="AE129" s="762"/>
      <c r="AF129" s="762"/>
      <c r="AG129" s="925"/>
      <c r="AH129" s="762"/>
      <c r="AI129" s="762"/>
      <c r="AJ129" s="762"/>
      <c r="AK129" s="762"/>
      <c r="AL129" s="762"/>
      <c r="AM129" s="762"/>
      <c r="AN129" s="762"/>
      <c r="AO129" s="925"/>
      <c r="AP129" s="762"/>
      <c r="AQ129" s="762"/>
      <c r="AR129" s="762"/>
      <c r="AS129" s="762"/>
      <c r="AT129" s="762"/>
      <c r="AU129" s="762"/>
      <c r="AV129" s="762"/>
      <c r="AW129" s="762"/>
      <c r="AX129" s="762"/>
      <c r="AY129" s="762"/>
      <c r="AZ129" s="762"/>
      <c r="BA129" s="762"/>
      <c r="BB129" s="762"/>
      <c r="BC129" s="762"/>
      <c r="BD129" s="762"/>
      <c r="BE129" s="762"/>
      <c r="BF129" s="762"/>
      <c r="BG129" s="762"/>
      <c r="BH129" s="762"/>
    </row>
    <row r="130" spans="1:60" s="49" customFormat="1">
      <c r="A130" s="767"/>
      <c r="B130" s="767"/>
      <c r="C130" s="762"/>
      <c r="D130" s="762"/>
      <c r="E130" s="762"/>
      <c r="F130" s="762"/>
      <c r="G130" s="762"/>
      <c r="H130" s="762"/>
      <c r="I130" s="925"/>
      <c r="J130" s="762"/>
      <c r="K130" s="762"/>
      <c r="L130" s="762"/>
      <c r="M130" s="762"/>
      <c r="N130" s="762"/>
      <c r="O130" s="762"/>
      <c r="P130" s="762"/>
      <c r="Q130" s="925"/>
      <c r="R130" s="762"/>
      <c r="S130" s="762"/>
      <c r="T130" s="762"/>
      <c r="U130" s="762"/>
      <c r="V130" s="762"/>
      <c r="W130" s="762"/>
      <c r="X130" s="762"/>
      <c r="Y130" s="925"/>
      <c r="Z130" s="762"/>
      <c r="AA130" s="762"/>
      <c r="AB130" s="762"/>
      <c r="AC130" s="762"/>
      <c r="AD130" s="762"/>
      <c r="AE130" s="762"/>
      <c r="AF130" s="762"/>
      <c r="AG130" s="925"/>
      <c r="AH130" s="762"/>
      <c r="AI130" s="762"/>
      <c r="AJ130" s="762"/>
      <c r="AK130" s="762"/>
      <c r="AL130" s="762"/>
      <c r="AM130" s="762"/>
      <c r="AN130" s="762"/>
      <c r="AO130" s="925"/>
      <c r="AP130" s="762"/>
      <c r="AQ130" s="762"/>
      <c r="AR130" s="762"/>
      <c r="AS130" s="762"/>
      <c r="AT130" s="762"/>
      <c r="AU130" s="762"/>
      <c r="AV130" s="762"/>
      <c r="AW130" s="762"/>
      <c r="AX130" s="762"/>
      <c r="AY130" s="762"/>
      <c r="AZ130" s="762"/>
      <c r="BA130" s="762"/>
      <c r="BB130" s="762"/>
      <c r="BC130" s="762"/>
      <c r="BD130" s="762"/>
      <c r="BE130" s="762"/>
      <c r="BF130" s="762"/>
      <c r="BG130" s="762"/>
      <c r="BH130" s="762"/>
    </row>
    <row r="131" spans="1:60" s="49" customFormat="1">
      <c r="A131" s="767"/>
      <c r="B131" s="767"/>
      <c r="C131" s="762"/>
      <c r="D131" s="762"/>
      <c r="E131" s="762"/>
      <c r="F131" s="762"/>
      <c r="G131" s="762"/>
      <c r="H131" s="762"/>
      <c r="I131" s="925"/>
      <c r="J131" s="762"/>
      <c r="K131" s="762"/>
      <c r="L131" s="762"/>
      <c r="M131" s="762"/>
      <c r="N131" s="762"/>
      <c r="O131" s="762"/>
      <c r="P131" s="762"/>
      <c r="Q131" s="925"/>
      <c r="R131" s="762"/>
      <c r="S131" s="762"/>
      <c r="T131" s="762"/>
      <c r="U131" s="762"/>
      <c r="V131" s="762"/>
      <c r="W131" s="762"/>
      <c r="X131" s="762"/>
      <c r="Y131" s="925"/>
      <c r="Z131" s="762"/>
      <c r="AA131" s="762"/>
      <c r="AB131" s="762"/>
      <c r="AC131" s="762"/>
      <c r="AD131" s="762"/>
      <c r="AE131" s="762"/>
      <c r="AF131" s="762"/>
      <c r="AG131" s="925"/>
      <c r="AH131" s="762"/>
      <c r="AI131" s="762"/>
      <c r="AJ131" s="762"/>
      <c r="AK131" s="762"/>
      <c r="AL131" s="762"/>
      <c r="AM131" s="762"/>
      <c r="AN131" s="762"/>
      <c r="AO131" s="925"/>
      <c r="AP131" s="762"/>
      <c r="AQ131" s="762"/>
      <c r="AR131" s="762"/>
      <c r="AS131" s="762"/>
      <c r="AT131" s="762"/>
      <c r="AU131" s="762"/>
      <c r="AV131" s="762"/>
      <c r="AW131" s="762"/>
      <c r="AX131" s="762"/>
      <c r="AY131" s="762"/>
      <c r="AZ131" s="762"/>
      <c r="BA131" s="762"/>
      <c r="BB131" s="762"/>
      <c r="BC131" s="762"/>
      <c r="BD131" s="762"/>
      <c r="BE131" s="762"/>
      <c r="BF131" s="762"/>
      <c r="BG131" s="762"/>
      <c r="BH131" s="762"/>
    </row>
    <row r="132" spans="1:60" s="49" customFormat="1">
      <c r="A132" s="767"/>
      <c r="B132" s="767"/>
      <c r="C132" s="762"/>
      <c r="D132" s="762"/>
      <c r="E132" s="762"/>
      <c r="F132" s="762"/>
      <c r="G132" s="762"/>
      <c r="H132" s="762"/>
      <c r="I132" s="925"/>
      <c r="J132" s="762"/>
      <c r="K132" s="762"/>
      <c r="L132" s="762"/>
      <c r="M132" s="762"/>
      <c r="N132" s="762"/>
      <c r="O132" s="762"/>
      <c r="P132" s="762"/>
      <c r="Q132" s="925"/>
      <c r="R132" s="762"/>
      <c r="S132" s="762"/>
      <c r="T132" s="762"/>
      <c r="U132" s="762"/>
      <c r="V132" s="762"/>
      <c r="W132" s="762"/>
      <c r="X132" s="762"/>
      <c r="Y132" s="925"/>
      <c r="Z132" s="762"/>
      <c r="AA132" s="762"/>
      <c r="AB132" s="762"/>
      <c r="AC132" s="762"/>
      <c r="AD132" s="762"/>
      <c r="AE132" s="762"/>
      <c r="AF132" s="762"/>
      <c r="AG132" s="925"/>
      <c r="AH132" s="762"/>
      <c r="AI132" s="762"/>
      <c r="AJ132" s="762"/>
      <c r="AK132" s="762"/>
      <c r="AL132" s="762"/>
      <c r="AM132" s="762"/>
      <c r="AN132" s="762"/>
      <c r="AO132" s="925"/>
      <c r="AP132" s="762"/>
      <c r="AQ132" s="762"/>
      <c r="AR132" s="762"/>
      <c r="AS132" s="762"/>
      <c r="AT132" s="762"/>
      <c r="AU132" s="762"/>
      <c r="AV132" s="766"/>
      <c r="AW132" s="762"/>
      <c r="AX132" s="762"/>
      <c r="AY132" s="762"/>
      <c r="AZ132" s="762"/>
      <c r="BA132" s="762"/>
      <c r="BB132" s="762"/>
      <c r="BC132" s="762"/>
      <c r="BD132" s="762"/>
      <c r="BE132" s="762"/>
      <c r="BF132" s="762"/>
      <c r="BG132" s="762"/>
      <c r="BH132" s="762"/>
    </row>
    <row r="133" spans="1:60" s="49" customFormat="1">
      <c r="A133" s="767"/>
      <c r="B133" s="767"/>
      <c r="C133" s="762"/>
      <c r="D133" s="762"/>
      <c r="E133" s="762"/>
      <c r="F133" s="762"/>
      <c r="G133" s="762"/>
      <c r="H133" s="762"/>
      <c r="I133" s="925"/>
      <c r="J133" s="762"/>
      <c r="K133" s="762"/>
      <c r="L133" s="762"/>
      <c r="M133" s="762"/>
      <c r="N133" s="762"/>
      <c r="O133" s="762"/>
      <c r="P133" s="762"/>
      <c r="Q133" s="925"/>
      <c r="R133" s="762"/>
      <c r="S133" s="762"/>
      <c r="T133" s="762"/>
      <c r="U133" s="762"/>
      <c r="V133" s="762"/>
      <c r="W133" s="762"/>
      <c r="X133" s="762"/>
      <c r="Y133" s="925"/>
      <c r="Z133" s="762"/>
      <c r="AA133" s="762"/>
      <c r="AB133" s="762"/>
      <c r="AC133" s="762"/>
      <c r="AD133" s="762"/>
      <c r="AE133" s="762"/>
      <c r="AF133" s="762"/>
      <c r="AG133" s="925"/>
      <c r="AH133" s="762"/>
      <c r="AI133" s="762"/>
      <c r="AJ133" s="762"/>
      <c r="AK133" s="762"/>
      <c r="AL133" s="762"/>
      <c r="AM133" s="762"/>
      <c r="AN133" s="762"/>
      <c r="AO133" s="925"/>
      <c r="AP133" s="762"/>
      <c r="AQ133" s="762"/>
      <c r="AR133" s="762"/>
      <c r="AS133" s="762"/>
      <c r="AT133" s="762"/>
      <c r="AU133" s="762"/>
      <c r="AV133" s="762"/>
      <c r="AW133" s="762"/>
      <c r="AX133" s="762"/>
      <c r="AY133" s="762"/>
      <c r="AZ133" s="762"/>
      <c r="BA133" s="762"/>
      <c r="BB133" s="762"/>
      <c r="BC133" s="762"/>
      <c r="BD133" s="762"/>
      <c r="BE133" s="762"/>
      <c r="BF133" s="762"/>
      <c r="BG133" s="762"/>
      <c r="BH133" s="762"/>
    </row>
    <row r="134" spans="1:60" s="49" customFormat="1">
      <c r="A134" s="767"/>
      <c r="B134" s="767"/>
      <c r="C134" s="762"/>
      <c r="D134" s="762"/>
      <c r="E134" s="762"/>
      <c r="F134" s="762"/>
      <c r="G134" s="762"/>
      <c r="H134" s="762"/>
      <c r="I134" s="925"/>
      <c r="J134" s="762"/>
      <c r="K134" s="762"/>
      <c r="L134" s="762"/>
      <c r="M134" s="762"/>
      <c r="N134" s="762"/>
      <c r="O134" s="762"/>
      <c r="P134" s="762"/>
      <c r="Q134" s="925"/>
      <c r="R134" s="762"/>
      <c r="S134" s="762"/>
      <c r="T134" s="762"/>
      <c r="U134" s="762"/>
      <c r="V134" s="762"/>
      <c r="W134" s="762"/>
      <c r="X134" s="762"/>
      <c r="Y134" s="925"/>
      <c r="Z134" s="762"/>
      <c r="AA134" s="762"/>
      <c r="AB134" s="762"/>
      <c r="AC134" s="762"/>
      <c r="AD134" s="762"/>
      <c r="AE134" s="762"/>
      <c r="AF134" s="762"/>
      <c r="AG134" s="925"/>
      <c r="AH134" s="762"/>
      <c r="AI134" s="762"/>
      <c r="AJ134" s="762"/>
      <c r="AK134" s="762"/>
      <c r="AL134" s="762"/>
      <c r="AM134" s="762"/>
      <c r="AN134" s="762"/>
      <c r="AO134" s="925"/>
      <c r="AP134" s="762"/>
      <c r="AQ134" s="762"/>
      <c r="AR134" s="762"/>
      <c r="AS134" s="762"/>
      <c r="AT134" s="762"/>
      <c r="AU134" s="762"/>
      <c r="AV134" s="762"/>
      <c r="AW134" s="762"/>
      <c r="AX134" s="762"/>
      <c r="AY134" s="762"/>
      <c r="AZ134" s="762"/>
      <c r="BA134" s="762"/>
      <c r="BB134" s="762"/>
      <c r="BC134" s="762"/>
      <c r="BD134" s="762"/>
      <c r="BE134" s="762"/>
      <c r="BF134" s="762"/>
      <c r="BG134" s="762"/>
      <c r="BH134" s="762"/>
    </row>
    <row r="135" spans="1:60" s="49" customFormat="1">
      <c r="A135" s="767"/>
      <c r="B135" s="767"/>
      <c r="C135" s="762"/>
      <c r="D135" s="762"/>
      <c r="E135" s="762"/>
      <c r="F135" s="762"/>
      <c r="G135" s="762"/>
      <c r="H135" s="762"/>
      <c r="I135" s="925"/>
      <c r="J135" s="762"/>
      <c r="K135" s="762"/>
      <c r="L135" s="762"/>
      <c r="M135" s="762"/>
      <c r="N135" s="762"/>
      <c r="O135" s="762"/>
      <c r="P135" s="762"/>
      <c r="Q135" s="925"/>
      <c r="R135" s="762"/>
      <c r="S135" s="762"/>
      <c r="T135" s="762"/>
      <c r="U135" s="762"/>
      <c r="V135" s="762"/>
      <c r="W135" s="762"/>
      <c r="X135" s="762"/>
      <c r="Y135" s="925"/>
      <c r="Z135" s="762"/>
      <c r="AA135" s="762"/>
      <c r="AB135" s="762"/>
      <c r="AC135" s="762"/>
      <c r="AD135" s="762"/>
      <c r="AE135" s="762"/>
      <c r="AF135" s="762"/>
      <c r="AG135" s="925"/>
      <c r="AH135" s="762"/>
      <c r="AI135" s="762"/>
      <c r="AJ135" s="762"/>
      <c r="AK135" s="762"/>
      <c r="AL135" s="762"/>
      <c r="AM135" s="762"/>
      <c r="AN135" s="762"/>
      <c r="AO135" s="925"/>
      <c r="AP135" s="762"/>
      <c r="AQ135" s="762"/>
      <c r="AR135" s="762"/>
      <c r="AS135" s="762"/>
      <c r="AT135" s="762"/>
      <c r="AU135" s="762"/>
      <c r="AV135" s="762"/>
      <c r="AW135" s="762"/>
      <c r="AX135" s="762"/>
      <c r="AY135" s="762"/>
      <c r="AZ135" s="762"/>
      <c r="BA135" s="762"/>
      <c r="BB135" s="762"/>
      <c r="BC135" s="762"/>
      <c r="BD135" s="762"/>
      <c r="BE135" s="762"/>
      <c r="BF135" s="762"/>
      <c r="BG135" s="762"/>
      <c r="BH135" s="762"/>
    </row>
    <row r="136" spans="1:60" s="49" customFormat="1">
      <c r="A136" s="767"/>
      <c r="B136" s="767"/>
      <c r="C136" s="762"/>
      <c r="D136" s="762"/>
      <c r="E136" s="762"/>
      <c r="F136" s="762"/>
      <c r="G136" s="762"/>
      <c r="H136" s="762"/>
      <c r="I136" s="925"/>
      <c r="J136" s="762"/>
      <c r="K136" s="762"/>
      <c r="L136" s="762"/>
      <c r="M136" s="762"/>
      <c r="N136" s="762"/>
      <c r="O136" s="762"/>
      <c r="P136" s="762"/>
      <c r="Q136" s="925"/>
      <c r="R136" s="762"/>
      <c r="S136" s="762"/>
      <c r="T136" s="762"/>
      <c r="U136" s="762"/>
      <c r="V136" s="762"/>
      <c r="W136" s="762"/>
      <c r="X136" s="762"/>
      <c r="Y136" s="925"/>
      <c r="Z136" s="762"/>
      <c r="AA136" s="762"/>
      <c r="AB136" s="762"/>
      <c r="AC136" s="762"/>
      <c r="AD136" s="762"/>
      <c r="AE136" s="762"/>
      <c r="AF136" s="762"/>
      <c r="AG136" s="925"/>
      <c r="AH136" s="762"/>
      <c r="AI136" s="762"/>
      <c r="AJ136" s="762"/>
      <c r="AK136" s="762"/>
      <c r="AL136" s="762"/>
      <c r="AM136" s="762"/>
      <c r="AN136" s="762"/>
      <c r="AO136" s="925"/>
      <c r="AP136" s="762"/>
      <c r="AQ136" s="762"/>
      <c r="AR136" s="762"/>
      <c r="AS136" s="762"/>
      <c r="AT136" s="762"/>
      <c r="AU136" s="762"/>
      <c r="AV136" s="762"/>
      <c r="AW136" s="762"/>
      <c r="AX136" s="762"/>
      <c r="AY136" s="762"/>
      <c r="AZ136" s="762"/>
      <c r="BA136" s="762"/>
      <c r="BB136" s="762"/>
      <c r="BC136" s="762"/>
      <c r="BD136" s="762"/>
      <c r="BE136" s="762"/>
      <c r="BF136" s="762"/>
      <c r="BG136" s="762"/>
      <c r="BH136" s="762"/>
    </row>
    <row r="137" spans="1:60" s="49" customFormat="1">
      <c r="A137" s="767"/>
      <c r="B137" s="767"/>
      <c r="C137" s="762"/>
      <c r="D137" s="762"/>
      <c r="E137" s="762"/>
      <c r="F137" s="762"/>
      <c r="G137" s="762"/>
      <c r="H137" s="762"/>
      <c r="I137" s="925"/>
      <c r="J137" s="762"/>
      <c r="K137" s="762"/>
      <c r="L137" s="762"/>
      <c r="M137" s="762"/>
      <c r="N137" s="762"/>
      <c r="O137" s="762"/>
      <c r="P137" s="762"/>
      <c r="Q137" s="925"/>
      <c r="R137" s="762"/>
      <c r="S137" s="762"/>
      <c r="T137" s="762"/>
      <c r="U137" s="762"/>
      <c r="V137" s="762"/>
      <c r="W137" s="762"/>
      <c r="X137" s="762"/>
      <c r="Y137" s="925"/>
      <c r="Z137" s="762"/>
      <c r="AA137" s="762"/>
      <c r="AB137" s="762"/>
      <c r="AC137" s="762"/>
      <c r="AD137" s="762"/>
      <c r="AE137" s="762"/>
      <c r="AF137" s="762"/>
      <c r="AG137" s="925"/>
      <c r="AH137" s="762"/>
      <c r="AI137" s="762"/>
      <c r="AJ137" s="762"/>
      <c r="AK137" s="762"/>
      <c r="AL137" s="762"/>
      <c r="AM137" s="762"/>
      <c r="AN137" s="762"/>
      <c r="AO137" s="925"/>
      <c r="AP137" s="762"/>
      <c r="AQ137" s="762"/>
      <c r="AR137" s="762"/>
      <c r="AS137" s="762"/>
      <c r="AT137" s="762"/>
      <c r="AU137" s="762"/>
      <c r="AV137" s="762"/>
      <c r="AW137" s="762"/>
      <c r="AX137" s="762"/>
      <c r="AY137" s="762"/>
      <c r="AZ137" s="762"/>
      <c r="BA137" s="762"/>
      <c r="BB137" s="762"/>
      <c r="BC137" s="762"/>
      <c r="BD137" s="762"/>
      <c r="BE137" s="762"/>
      <c r="BF137" s="762"/>
      <c r="BG137" s="762"/>
      <c r="BH137" s="762"/>
    </row>
    <row r="138" spans="1:60" s="49" customFormat="1">
      <c r="A138" s="767"/>
      <c r="B138" s="767"/>
      <c r="C138" s="762"/>
      <c r="D138" s="762"/>
      <c r="E138" s="762"/>
      <c r="F138" s="762"/>
      <c r="G138" s="762"/>
      <c r="H138" s="762"/>
      <c r="I138" s="925"/>
      <c r="J138" s="762"/>
      <c r="K138" s="762"/>
      <c r="L138" s="762"/>
      <c r="M138" s="762"/>
      <c r="N138" s="762"/>
      <c r="O138" s="762"/>
      <c r="P138" s="762"/>
      <c r="Q138" s="925"/>
      <c r="R138" s="762"/>
      <c r="S138" s="762"/>
      <c r="T138" s="762"/>
      <c r="U138" s="762"/>
      <c r="V138" s="762"/>
      <c r="W138" s="762"/>
      <c r="X138" s="762"/>
      <c r="Y138" s="925"/>
      <c r="Z138" s="762"/>
      <c r="AA138" s="762"/>
      <c r="AB138" s="762"/>
      <c r="AC138" s="762"/>
      <c r="AD138" s="762"/>
      <c r="AE138" s="762"/>
      <c r="AF138" s="762"/>
      <c r="AG138" s="925"/>
      <c r="AH138" s="762"/>
      <c r="AI138" s="762"/>
      <c r="AJ138" s="762"/>
      <c r="AK138" s="762"/>
      <c r="AL138" s="762"/>
      <c r="AM138" s="762"/>
      <c r="AN138" s="762"/>
      <c r="AO138" s="925"/>
      <c r="AP138" s="762"/>
      <c r="AQ138" s="762"/>
      <c r="AR138" s="762"/>
      <c r="AS138" s="762"/>
      <c r="AT138" s="762"/>
      <c r="AU138" s="762"/>
      <c r="AV138" s="762"/>
      <c r="AW138" s="762"/>
      <c r="AX138" s="762"/>
      <c r="AY138" s="762"/>
      <c r="AZ138" s="762"/>
      <c r="BA138" s="762"/>
      <c r="BB138" s="762"/>
      <c r="BC138" s="762"/>
      <c r="BD138" s="762"/>
      <c r="BE138" s="762"/>
      <c r="BF138" s="762"/>
      <c r="BG138" s="762"/>
      <c r="BH138" s="762"/>
    </row>
    <row r="139" spans="1:60" s="49" customFormat="1">
      <c r="A139" s="767"/>
      <c r="B139" s="767"/>
      <c r="C139" s="762"/>
      <c r="D139" s="762"/>
      <c r="E139" s="762"/>
      <c r="F139" s="762"/>
      <c r="G139" s="762"/>
      <c r="H139" s="762"/>
      <c r="I139" s="925"/>
      <c r="J139" s="762"/>
      <c r="K139" s="762"/>
      <c r="L139" s="762"/>
      <c r="M139" s="762"/>
      <c r="N139" s="762"/>
      <c r="O139" s="762"/>
      <c r="P139" s="762"/>
      <c r="Q139" s="925"/>
      <c r="R139" s="762"/>
      <c r="S139" s="762"/>
      <c r="T139" s="762"/>
      <c r="U139" s="762"/>
      <c r="V139" s="762"/>
      <c r="W139" s="762"/>
      <c r="X139" s="762"/>
      <c r="Y139" s="925"/>
      <c r="Z139" s="762"/>
      <c r="AA139" s="762"/>
      <c r="AB139" s="762"/>
      <c r="AC139" s="762"/>
      <c r="AD139" s="762"/>
      <c r="AE139" s="762"/>
      <c r="AF139" s="762"/>
      <c r="AG139" s="925"/>
      <c r="AH139" s="762"/>
      <c r="AI139" s="762"/>
      <c r="AJ139" s="762"/>
      <c r="AK139" s="762"/>
      <c r="AL139" s="762"/>
      <c r="AM139" s="762"/>
      <c r="AN139" s="762"/>
      <c r="AO139" s="925"/>
      <c r="AP139" s="762"/>
      <c r="AQ139" s="762"/>
      <c r="AR139" s="762"/>
      <c r="AS139" s="762"/>
      <c r="AT139" s="762"/>
      <c r="AU139" s="762"/>
      <c r="AV139" s="762"/>
      <c r="AW139" s="762"/>
      <c r="AX139" s="762"/>
      <c r="AY139" s="762"/>
      <c r="AZ139" s="762"/>
      <c r="BA139" s="762"/>
      <c r="BB139" s="762"/>
      <c r="BC139" s="762"/>
      <c r="BD139" s="762"/>
      <c r="BE139" s="762"/>
      <c r="BF139" s="762"/>
      <c r="BG139" s="762"/>
      <c r="BH139" s="762"/>
    </row>
    <row r="140" spans="1:60" s="49" customFormat="1">
      <c r="A140" s="767"/>
      <c r="B140" s="767"/>
      <c r="C140" s="762"/>
      <c r="D140" s="762"/>
      <c r="E140" s="762"/>
      <c r="F140" s="762"/>
      <c r="G140" s="762"/>
      <c r="H140" s="762"/>
      <c r="I140" s="925"/>
      <c r="J140" s="762"/>
      <c r="K140" s="762"/>
      <c r="L140" s="762"/>
      <c r="M140" s="762"/>
      <c r="N140" s="762"/>
      <c r="O140" s="762"/>
      <c r="P140" s="762"/>
      <c r="Q140" s="925"/>
      <c r="R140" s="762"/>
      <c r="S140" s="762"/>
      <c r="T140" s="762"/>
      <c r="U140" s="762"/>
      <c r="V140" s="762"/>
      <c r="W140" s="762"/>
      <c r="X140" s="762"/>
      <c r="Y140" s="925"/>
      <c r="Z140" s="762"/>
      <c r="AA140" s="762"/>
      <c r="AB140" s="762"/>
      <c r="AC140" s="762"/>
      <c r="AD140" s="762"/>
      <c r="AE140" s="762"/>
      <c r="AF140" s="762"/>
      <c r="AG140" s="925"/>
      <c r="AH140" s="762"/>
      <c r="AI140" s="762"/>
      <c r="AJ140" s="762"/>
      <c r="AK140" s="762"/>
      <c r="AL140" s="762"/>
      <c r="AM140" s="762"/>
      <c r="AN140" s="762"/>
      <c r="AO140" s="925"/>
      <c r="AP140" s="762"/>
      <c r="AQ140" s="762"/>
      <c r="AR140" s="762"/>
      <c r="AS140" s="762"/>
      <c r="AT140" s="762"/>
      <c r="AU140" s="762"/>
      <c r="AV140" s="762"/>
      <c r="AW140" s="762"/>
      <c r="AX140" s="762"/>
      <c r="AY140" s="762"/>
      <c r="AZ140" s="762"/>
      <c r="BA140" s="762"/>
      <c r="BB140" s="762"/>
      <c r="BC140" s="762"/>
      <c r="BD140" s="762"/>
      <c r="BE140" s="762"/>
      <c r="BF140" s="762"/>
      <c r="BG140" s="762"/>
      <c r="BH140" s="762"/>
    </row>
    <row r="141" spans="1:60" s="49" customFormat="1">
      <c r="A141" s="767"/>
      <c r="B141" s="767"/>
      <c r="C141" s="762"/>
      <c r="D141" s="762"/>
      <c r="E141" s="762"/>
      <c r="F141" s="762"/>
      <c r="G141" s="762"/>
      <c r="H141" s="762"/>
      <c r="I141" s="925"/>
      <c r="J141" s="762"/>
      <c r="K141" s="762"/>
      <c r="L141" s="762"/>
      <c r="M141" s="762"/>
      <c r="N141" s="762"/>
      <c r="O141" s="762"/>
      <c r="P141" s="762"/>
      <c r="Q141" s="925"/>
      <c r="R141" s="762"/>
      <c r="S141" s="762"/>
      <c r="T141" s="762"/>
      <c r="U141" s="762"/>
      <c r="V141" s="762"/>
      <c r="W141" s="762"/>
      <c r="X141" s="762"/>
      <c r="Y141" s="925"/>
      <c r="Z141" s="762"/>
      <c r="AA141" s="762"/>
      <c r="AB141" s="762"/>
      <c r="AC141" s="762"/>
      <c r="AD141" s="762"/>
      <c r="AE141" s="762"/>
      <c r="AF141" s="762"/>
      <c r="AG141" s="925"/>
      <c r="AH141" s="762"/>
      <c r="AI141" s="762"/>
      <c r="AJ141" s="762"/>
      <c r="AK141" s="762"/>
      <c r="AL141" s="762"/>
      <c r="AM141" s="762"/>
      <c r="AN141" s="762"/>
      <c r="AO141" s="925"/>
      <c r="AP141" s="762"/>
      <c r="AQ141" s="762"/>
      <c r="AR141" s="762"/>
      <c r="AS141" s="762"/>
      <c r="AT141" s="762"/>
      <c r="AU141" s="762"/>
      <c r="AV141" s="762"/>
      <c r="AW141" s="762"/>
      <c r="AX141" s="762"/>
      <c r="AY141" s="762"/>
      <c r="AZ141" s="762"/>
      <c r="BA141" s="762"/>
      <c r="BB141" s="762"/>
      <c r="BC141" s="762"/>
      <c r="BD141" s="762"/>
      <c r="BE141" s="762"/>
      <c r="BF141" s="762"/>
      <c r="BG141" s="762"/>
      <c r="BH141" s="762"/>
    </row>
    <row r="142" spans="1:60" s="49" customFormat="1">
      <c r="A142" s="767"/>
      <c r="B142" s="767"/>
      <c r="C142" s="762"/>
      <c r="D142" s="762"/>
      <c r="E142" s="762"/>
      <c r="F142" s="762"/>
      <c r="G142" s="762"/>
      <c r="H142" s="762"/>
      <c r="I142" s="925"/>
      <c r="J142" s="762"/>
      <c r="K142" s="762"/>
      <c r="L142" s="762"/>
      <c r="M142" s="762"/>
      <c r="N142" s="762"/>
      <c r="O142" s="762"/>
      <c r="P142" s="762"/>
      <c r="Q142" s="925"/>
      <c r="R142" s="762"/>
      <c r="S142" s="762"/>
      <c r="T142" s="762"/>
      <c r="U142" s="762"/>
      <c r="V142" s="762"/>
      <c r="W142" s="762"/>
      <c r="X142" s="762"/>
      <c r="Y142" s="925"/>
      <c r="Z142" s="762"/>
      <c r="AA142" s="762"/>
      <c r="AB142" s="762"/>
      <c r="AC142" s="762"/>
      <c r="AD142" s="762"/>
      <c r="AE142" s="762"/>
      <c r="AF142" s="762"/>
      <c r="AG142" s="925"/>
      <c r="AH142" s="762"/>
      <c r="AI142" s="762"/>
      <c r="AJ142" s="762"/>
      <c r="AK142" s="762"/>
      <c r="AL142" s="762"/>
      <c r="AM142" s="762"/>
      <c r="AN142" s="762"/>
      <c r="AO142" s="925"/>
      <c r="AP142" s="762"/>
      <c r="AQ142" s="762"/>
      <c r="AR142" s="762"/>
      <c r="AS142" s="762"/>
      <c r="AT142" s="762"/>
      <c r="AU142" s="762"/>
      <c r="AV142" s="762"/>
      <c r="AW142" s="762"/>
      <c r="AX142" s="762"/>
      <c r="AY142" s="762"/>
      <c r="AZ142" s="762"/>
      <c r="BA142" s="762"/>
      <c r="BB142" s="762"/>
      <c r="BC142" s="762"/>
      <c r="BD142" s="762"/>
      <c r="BE142" s="762"/>
      <c r="BF142" s="762"/>
      <c r="BG142" s="762"/>
      <c r="BH142" s="762"/>
    </row>
    <row r="143" spans="1:60" s="49" customFormat="1">
      <c r="A143" s="767"/>
      <c r="B143" s="767"/>
      <c r="C143" s="762"/>
      <c r="D143" s="762"/>
      <c r="E143" s="762"/>
      <c r="F143" s="762"/>
      <c r="G143" s="762"/>
      <c r="H143" s="762"/>
      <c r="I143" s="925"/>
      <c r="J143" s="762"/>
      <c r="K143" s="762"/>
      <c r="L143" s="762"/>
      <c r="M143" s="762"/>
      <c r="N143" s="762"/>
      <c r="O143" s="762"/>
      <c r="P143" s="762"/>
      <c r="Q143" s="925"/>
      <c r="R143" s="762"/>
      <c r="S143" s="762"/>
      <c r="T143" s="762"/>
      <c r="U143" s="762"/>
      <c r="V143" s="762"/>
      <c r="W143" s="762"/>
      <c r="X143" s="762"/>
      <c r="Y143" s="925"/>
      <c r="Z143" s="762"/>
      <c r="AA143" s="762"/>
      <c r="AB143" s="762"/>
      <c r="AC143" s="762"/>
      <c r="AD143" s="762"/>
      <c r="AE143" s="762"/>
      <c r="AF143" s="762"/>
      <c r="AG143" s="925"/>
      <c r="AH143" s="762"/>
      <c r="AI143" s="762"/>
      <c r="AJ143" s="762"/>
      <c r="AK143" s="762"/>
      <c r="AL143" s="762"/>
      <c r="AM143" s="762"/>
      <c r="AN143" s="762"/>
      <c r="AO143" s="925"/>
      <c r="AP143" s="762"/>
      <c r="AQ143" s="762"/>
      <c r="AR143" s="762"/>
      <c r="AS143" s="762"/>
      <c r="AT143" s="762"/>
      <c r="AU143" s="762"/>
      <c r="AV143" s="762"/>
      <c r="AW143" s="762"/>
      <c r="AX143" s="762"/>
      <c r="AY143" s="762"/>
      <c r="AZ143" s="762"/>
      <c r="BA143" s="762"/>
      <c r="BB143" s="762"/>
      <c r="BC143" s="762"/>
      <c r="BD143" s="762"/>
      <c r="BE143" s="762"/>
      <c r="BF143" s="762"/>
      <c r="BG143" s="762"/>
      <c r="BH143" s="762"/>
    </row>
    <row r="144" spans="1:60" s="49" customFormat="1">
      <c r="A144" s="767"/>
      <c r="B144" s="767"/>
      <c r="C144" s="762"/>
      <c r="D144" s="762"/>
      <c r="E144" s="762"/>
      <c r="F144" s="762"/>
      <c r="G144" s="762"/>
      <c r="H144" s="762"/>
      <c r="I144" s="925"/>
      <c r="J144" s="762"/>
      <c r="K144" s="762"/>
      <c r="L144" s="762"/>
      <c r="M144" s="762"/>
      <c r="N144" s="762"/>
      <c r="O144" s="762"/>
      <c r="P144" s="762"/>
      <c r="Q144" s="925"/>
      <c r="R144" s="762"/>
      <c r="S144" s="762"/>
      <c r="T144" s="762"/>
      <c r="U144" s="762"/>
      <c r="V144" s="762"/>
      <c r="W144" s="762"/>
      <c r="X144" s="762"/>
      <c r="Y144" s="925"/>
      <c r="Z144" s="762"/>
      <c r="AA144" s="762"/>
      <c r="AB144" s="762"/>
      <c r="AC144" s="762"/>
      <c r="AD144" s="762"/>
      <c r="AE144" s="762"/>
      <c r="AF144" s="762"/>
      <c r="AG144" s="925"/>
      <c r="AH144" s="762"/>
      <c r="AI144" s="762"/>
      <c r="AJ144" s="762"/>
      <c r="AK144" s="762"/>
      <c r="AL144" s="762"/>
      <c r="AM144" s="762"/>
      <c r="AN144" s="762"/>
      <c r="AO144" s="925"/>
      <c r="AP144" s="762"/>
      <c r="AQ144" s="762"/>
      <c r="AR144" s="762"/>
      <c r="AS144" s="762"/>
      <c r="AT144" s="762"/>
      <c r="AU144" s="762"/>
      <c r="AV144" s="762"/>
      <c r="AW144" s="762"/>
      <c r="AX144" s="762"/>
      <c r="AY144" s="762"/>
      <c r="AZ144" s="762"/>
      <c r="BA144" s="762"/>
      <c r="BB144" s="762"/>
      <c r="BC144" s="762"/>
      <c r="BD144" s="762"/>
      <c r="BE144" s="762"/>
      <c r="BF144" s="762"/>
      <c r="BG144" s="762"/>
      <c r="BH144" s="762"/>
    </row>
    <row r="145" spans="1:60" s="49" customFormat="1">
      <c r="A145" s="767"/>
      <c r="B145" s="767"/>
      <c r="C145" s="762"/>
      <c r="D145" s="762"/>
      <c r="E145" s="762"/>
      <c r="F145" s="762"/>
      <c r="G145" s="762"/>
      <c r="H145" s="762"/>
      <c r="I145" s="925"/>
      <c r="J145" s="762"/>
      <c r="K145" s="762"/>
      <c r="L145" s="762"/>
      <c r="M145" s="762"/>
      <c r="N145" s="762"/>
      <c r="O145" s="762"/>
      <c r="P145" s="762"/>
      <c r="Q145" s="925"/>
      <c r="R145" s="762"/>
      <c r="S145" s="762"/>
      <c r="T145" s="762"/>
      <c r="U145" s="762"/>
      <c r="V145" s="762"/>
      <c r="W145" s="762"/>
      <c r="X145" s="762"/>
      <c r="Y145" s="925"/>
      <c r="Z145" s="762"/>
      <c r="AA145" s="762"/>
      <c r="AB145" s="762"/>
      <c r="AC145" s="762"/>
      <c r="AD145" s="762"/>
      <c r="AE145" s="762"/>
      <c r="AF145" s="762"/>
      <c r="AG145" s="925"/>
      <c r="AH145" s="762"/>
      <c r="AI145" s="762"/>
      <c r="AJ145" s="762"/>
      <c r="AK145" s="762"/>
      <c r="AL145" s="762"/>
      <c r="AM145" s="762"/>
      <c r="AN145" s="762"/>
      <c r="AO145" s="925"/>
      <c r="AP145" s="762"/>
      <c r="AQ145" s="762"/>
      <c r="AR145" s="762"/>
      <c r="AS145" s="762"/>
      <c r="AT145" s="762"/>
      <c r="AU145" s="762"/>
      <c r="AV145" s="762"/>
      <c r="AW145" s="762"/>
      <c r="AX145" s="762"/>
      <c r="AY145" s="762"/>
      <c r="AZ145" s="762"/>
      <c r="BA145" s="762"/>
      <c r="BB145" s="762"/>
      <c r="BC145" s="762"/>
      <c r="BD145" s="762"/>
      <c r="BE145" s="762"/>
      <c r="BF145" s="762"/>
      <c r="BG145" s="762"/>
      <c r="BH145" s="762"/>
    </row>
    <row r="146" spans="1:60" s="49" customFormat="1">
      <c r="A146" s="767"/>
      <c r="B146" s="767"/>
      <c r="C146" s="762"/>
      <c r="D146" s="762"/>
      <c r="E146" s="762"/>
      <c r="F146" s="762"/>
      <c r="G146" s="762"/>
      <c r="H146" s="762"/>
      <c r="I146" s="925"/>
      <c r="J146" s="762"/>
      <c r="K146" s="762"/>
      <c r="L146" s="762"/>
      <c r="M146" s="762"/>
      <c r="N146" s="762"/>
      <c r="O146" s="762"/>
      <c r="P146" s="762"/>
      <c r="Q146" s="925"/>
      <c r="R146" s="762"/>
      <c r="S146" s="762"/>
      <c r="T146" s="762"/>
      <c r="U146" s="762"/>
      <c r="V146" s="762"/>
      <c r="W146" s="762"/>
      <c r="X146" s="762"/>
      <c r="Y146" s="925"/>
      <c r="Z146" s="762"/>
      <c r="AA146" s="762"/>
      <c r="AB146" s="762"/>
      <c r="AC146" s="762"/>
      <c r="AD146" s="762"/>
      <c r="AE146" s="762"/>
      <c r="AF146" s="762"/>
      <c r="AG146" s="925"/>
      <c r="AH146" s="762"/>
      <c r="AI146" s="762"/>
      <c r="AJ146" s="762"/>
      <c r="AK146" s="762"/>
      <c r="AL146" s="762"/>
      <c r="AM146" s="762"/>
      <c r="AN146" s="762"/>
      <c r="AO146" s="925"/>
      <c r="AP146" s="762"/>
      <c r="AQ146" s="762"/>
      <c r="AR146" s="762"/>
      <c r="AS146" s="762"/>
      <c r="AT146" s="762"/>
      <c r="AU146" s="762"/>
      <c r="AV146" s="762"/>
      <c r="AW146" s="762"/>
      <c r="AX146" s="762"/>
      <c r="AY146" s="762"/>
      <c r="AZ146" s="762"/>
      <c r="BA146" s="762"/>
      <c r="BB146" s="762"/>
      <c r="BC146" s="762"/>
      <c r="BD146" s="762"/>
      <c r="BE146" s="762"/>
      <c r="BF146" s="762"/>
      <c r="BG146" s="762"/>
      <c r="BH146" s="762"/>
    </row>
    <row r="147" spans="1:60" s="49" customFormat="1">
      <c r="A147" s="767"/>
      <c r="B147" s="767"/>
      <c r="C147" s="762"/>
      <c r="D147" s="762"/>
      <c r="E147" s="762"/>
      <c r="F147" s="762"/>
      <c r="G147" s="762"/>
      <c r="H147" s="762"/>
      <c r="I147" s="925"/>
      <c r="J147" s="762"/>
      <c r="K147" s="762"/>
      <c r="L147" s="762"/>
      <c r="M147" s="762"/>
      <c r="N147" s="762"/>
      <c r="O147" s="762"/>
      <c r="P147" s="762"/>
      <c r="Q147" s="925"/>
      <c r="R147" s="762"/>
      <c r="S147" s="762"/>
      <c r="T147" s="762"/>
      <c r="U147" s="762"/>
      <c r="V147" s="762"/>
      <c r="W147" s="762"/>
      <c r="X147" s="762"/>
      <c r="Y147" s="925"/>
      <c r="Z147" s="762"/>
      <c r="AA147" s="762"/>
      <c r="AB147" s="762"/>
      <c r="AC147" s="762"/>
      <c r="AD147" s="762"/>
      <c r="AE147" s="762"/>
      <c r="AF147" s="762"/>
      <c r="AG147" s="925"/>
      <c r="AH147" s="762"/>
      <c r="AI147" s="762"/>
      <c r="AJ147" s="762"/>
      <c r="AK147" s="762"/>
      <c r="AL147" s="762"/>
      <c r="AM147" s="762"/>
      <c r="AN147" s="762"/>
      <c r="AO147" s="925"/>
      <c r="AP147" s="762"/>
      <c r="AQ147" s="762"/>
      <c r="AR147" s="762"/>
      <c r="AS147" s="762"/>
      <c r="AT147" s="762"/>
      <c r="AU147" s="762"/>
      <c r="AV147" s="762"/>
      <c r="AW147" s="762"/>
      <c r="AX147" s="762"/>
      <c r="AY147" s="762"/>
      <c r="AZ147" s="762"/>
      <c r="BA147" s="762"/>
      <c r="BB147" s="762"/>
      <c r="BC147" s="762"/>
      <c r="BD147" s="762"/>
      <c r="BE147" s="762"/>
      <c r="BF147" s="762"/>
      <c r="BG147" s="762"/>
      <c r="BH147" s="762"/>
    </row>
    <row r="148" spans="1:60" s="49" customFormat="1">
      <c r="A148" s="767"/>
      <c r="B148" s="767"/>
      <c r="C148" s="762"/>
      <c r="D148" s="762"/>
      <c r="E148" s="762"/>
      <c r="F148" s="762"/>
      <c r="G148" s="762"/>
      <c r="H148" s="762"/>
      <c r="I148" s="925"/>
      <c r="J148" s="762"/>
      <c r="K148" s="762"/>
      <c r="L148" s="762"/>
      <c r="M148" s="762"/>
      <c r="N148" s="762"/>
      <c r="O148" s="762"/>
      <c r="P148" s="762"/>
      <c r="Q148" s="925"/>
      <c r="R148" s="762"/>
      <c r="S148" s="762"/>
      <c r="T148" s="762"/>
      <c r="U148" s="762"/>
      <c r="V148" s="762"/>
      <c r="W148" s="762"/>
      <c r="X148" s="762"/>
      <c r="Y148" s="925"/>
      <c r="Z148" s="762"/>
      <c r="AA148" s="762"/>
      <c r="AB148" s="762"/>
      <c r="AC148" s="762"/>
      <c r="AD148" s="762"/>
      <c r="AE148" s="762"/>
      <c r="AF148" s="762"/>
      <c r="AG148" s="925"/>
      <c r="AH148" s="762"/>
      <c r="AI148" s="762"/>
      <c r="AJ148" s="762"/>
      <c r="AK148" s="762"/>
      <c r="AL148" s="762"/>
      <c r="AM148" s="762"/>
      <c r="AN148" s="762"/>
      <c r="AO148" s="925"/>
      <c r="AP148" s="762"/>
      <c r="AQ148" s="762"/>
      <c r="AR148" s="762"/>
      <c r="AS148" s="762"/>
      <c r="AT148" s="762"/>
      <c r="AU148" s="762"/>
      <c r="AV148" s="762"/>
      <c r="AW148" s="762"/>
      <c r="AX148" s="762"/>
      <c r="AY148" s="762"/>
      <c r="AZ148" s="762"/>
      <c r="BA148" s="762"/>
      <c r="BB148" s="762"/>
      <c r="BC148" s="762"/>
      <c r="BD148" s="762"/>
      <c r="BE148" s="762"/>
      <c r="BF148" s="762"/>
      <c r="BG148" s="762"/>
      <c r="BH148" s="762"/>
    </row>
    <row r="149" spans="1:60" s="49" customFormat="1">
      <c r="A149" s="767"/>
      <c r="B149" s="767"/>
      <c r="C149" s="762"/>
      <c r="D149" s="762"/>
      <c r="E149" s="762"/>
      <c r="F149" s="762"/>
      <c r="G149" s="762"/>
      <c r="H149" s="762"/>
      <c r="I149" s="925"/>
      <c r="J149" s="762"/>
      <c r="K149" s="762"/>
      <c r="L149" s="762"/>
      <c r="M149" s="762"/>
      <c r="N149" s="762"/>
      <c r="O149" s="762"/>
      <c r="P149" s="762"/>
      <c r="Q149" s="925"/>
      <c r="R149" s="762"/>
      <c r="S149" s="762"/>
      <c r="T149" s="762"/>
      <c r="U149" s="762"/>
      <c r="V149" s="762"/>
      <c r="W149" s="762"/>
      <c r="X149" s="762"/>
      <c r="Y149" s="925"/>
      <c r="Z149" s="762"/>
      <c r="AA149" s="762"/>
      <c r="AB149" s="762"/>
      <c r="AC149" s="762"/>
      <c r="AD149" s="762"/>
      <c r="AE149" s="762"/>
      <c r="AF149" s="762"/>
      <c r="AG149" s="925"/>
      <c r="AH149" s="762"/>
      <c r="AI149" s="762"/>
      <c r="AJ149" s="762"/>
      <c r="AK149" s="762"/>
      <c r="AL149" s="762"/>
      <c r="AM149" s="762"/>
      <c r="AN149" s="762"/>
      <c r="AO149" s="925"/>
      <c r="AP149" s="762"/>
      <c r="AQ149" s="762"/>
      <c r="AR149" s="762"/>
      <c r="AS149" s="762"/>
      <c r="AT149" s="762"/>
      <c r="AU149" s="762"/>
      <c r="AV149" s="762"/>
      <c r="AW149" s="762"/>
      <c r="AX149" s="762"/>
      <c r="AY149" s="762"/>
      <c r="AZ149" s="762"/>
      <c r="BA149" s="762"/>
      <c r="BB149" s="762"/>
      <c r="BC149" s="762"/>
      <c r="BD149" s="762"/>
      <c r="BE149" s="762"/>
      <c r="BF149" s="762"/>
      <c r="BG149" s="762"/>
      <c r="BH149" s="762"/>
    </row>
    <row r="150" spans="1:60" s="49" customFormat="1">
      <c r="A150" s="767"/>
      <c r="B150" s="767"/>
      <c r="C150" s="762"/>
      <c r="D150" s="762"/>
      <c r="E150" s="762"/>
      <c r="F150" s="762"/>
      <c r="G150" s="762"/>
      <c r="H150" s="762"/>
      <c r="I150" s="925"/>
      <c r="J150" s="762"/>
      <c r="K150" s="762"/>
      <c r="L150" s="762"/>
      <c r="M150" s="762"/>
      <c r="N150" s="762"/>
      <c r="O150" s="762"/>
      <c r="P150" s="762"/>
      <c r="Q150" s="925"/>
      <c r="R150" s="762"/>
      <c r="S150" s="762"/>
      <c r="T150" s="762"/>
      <c r="U150" s="762"/>
      <c r="V150" s="762"/>
      <c r="W150" s="762"/>
      <c r="X150" s="762"/>
      <c r="Y150" s="925"/>
      <c r="Z150" s="762"/>
      <c r="AA150" s="762"/>
      <c r="AB150" s="762"/>
      <c r="AC150" s="762"/>
      <c r="AD150" s="762"/>
      <c r="AE150" s="762"/>
      <c r="AF150" s="762"/>
      <c r="AG150" s="925"/>
      <c r="AH150" s="762"/>
      <c r="AI150" s="762"/>
      <c r="AJ150" s="762"/>
      <c r="AK150" s="762"/>
      <c r="AL150" s="762"/>
      <c r="AM150" s="762"/>
      <c r="AN150" s="762"/>
      <c r="AO150" s="925"/>
      <c r="AP150" s="762"/>
      <c r="AQ150" s="762"/>
      <c r="AR150" s="762"/>
      <c r="AS150" s="762"/>
      <c r="AT150" s="762"/>
      <c r="AU150" s="762"/>
      <c r="AV150" s="762"/>
      <c r="AW150" s="762"/>
      <c r="AX150" s="762"/>
      <c r="AY150" s="762"/>
      <c r="AZ150" s="762"/>
      <c r="BA150" s="762"/>
      <c r="BB150" s="762"/>
      <c r="BC150" s="762"/>
      <c r="BD150" s="762"/>
      <c r="BE150" s="762"/>
      <c r="BF150" s="762"/>
      <c r="BG150" s="762"/>
      <c r="BH150" s="762"/>
    </row>
    <row r="151" spans="1:60" s="49" customFormat="1">
      <c r="A151" s="767"/>
      <c r="B151" s="767"/>
      <c r="C151" s="762"/>
      <c r="D151" s="762"/>
      <c r="E151" s="762"/>
      <c r="F151" s="762"/>
      <c r="G151" s="762"/>
      <c r="H151" s="762"/>
      <c r="I151" s="925"/>
      <c r="J151" s="762"/>
      <c r="K151" s="762"/>
      <c r="L151" s="762"/>
      <c r="M151" s="762"/>
      <c r="N151" s="762"/>
      <c r="O151" s="762"/>
      <c r="P151" s="762"/>
      <c r="Q151" s="925"/>
      <c r="R151" s="762"/>
      <c r="S151" s="762"/>
      <c r="T151" s="762"/>
      <c r="U151" s="762"/>
      <c r="V151" s="762"/>
      <c r="W151" s="762"/>
      <c r="X151" s="762"/>
      <c r="Y151" s="925"/>
      <c r="Z151" s="762"/>
      <c r="AA151" s="762"/>
      <c r="AB151" s="762"/>
      <c r="AC151" s="762"/>
      <c r="AD151" s="762"/>
      <c r="AE151" s="762"/>
      <c r="AF151" s="762"/>
      <c r="AG151" s="925"/>
      <c r="AH151" s="762"/>
      <c r="AI151" s="762"/>
      <c r="AJ151" s="762"/>
      <c r="AK151" s="762"/>
      <c r="AL151" s="762"/>
      <c r="AM151" s="762"/>
      <c r="AN151" s="762"/>
      <c r="AO151" s="925"/>
      <c r="AP151" s="762"/>
      <c r="AQ151" s="762"/>
      <c r="AR151" s="762"/>
      <c r="AS151" s="762"/>
      <c r="AT151" s="762"/>
      <c r="AU151" s="762"/>
      <c r="AV151" s="762"/>
      <c r="AW151" s="762"/>
      <c r="AX151" s="762"/>
      <c r="AY151" s="762"/>
      <c r="AZ151" s="762"/>
      <c r="BA151" s="762"/>
      <c r="BB151" s="762"/>
      <c r="BC151" s="762"/>
      <c r="BD151" s="762"/>
      <c r="BE151" s="762"/>
      <c r="BF151" s="762"/>
      <c r="BG151" s="762"/>
      <c r="BH151" s="762"/>
    </row>
    <row r="152" spans="1:60" s="49" customFormat="1">
      <c r="A152" s="767"/>
      <c r="B152" s="767"/>
      <c r="C152" s="762"/>
      <c r="D152" s="762"/>
      <c r="E152" s="762"/>
      <c r="F152" s="762"/>
      <c r="G152" s="762"/>
      <c r="H152" s="762"/>
      <c r="I152" s="925"/>
      <c r="J152" s="762"/>
      <c r="K152" s="762"/>
      <c r="L152" s="762"/>
      <c r="M152" s="762"/>
      <c r="N152" s="762"/>
      <c r="O152" s="762"/>
      <c r="P152" s="762"/>
      <c r="Q152" s="925"/>
      <c r="R152" s="762"/>
      <c r="S152" s="762"/>
      <c r="T152" s="762"/>
      <c r="U152" s="762"/>
      <c r="V152" s="762"/>
      <c r="W152" s="762"/>
      <c r="X152" s="762"/>
      <c r="Y152" s="925"/>
      <c r="Z152" s="762"/>
      <c r="AA152" s="762"/>
      <c r="AB152" s="762"/>
      <c r="AC152" s="762"/>
      <c r="AD152" s="762"/>
      <c r="AE152" s="762"/>
      <c r="AF152" s="762"/>
      <c r="AG152" s="925"/>
      <c r="AH152" s="762"/>
      <c r="AI152" s="762"/>
      <c r="AJ152" s="762"/>
      <c r="AK152" s="762"/>
      <c r="AL152" s="762"/>
      <c r="AM152" s="762"/>
      <c r="AN152" s="762"/>
      <c r="AO152" s="925"/>
      <c r="AP152" s="762"/>
      <c r="AQ152" s="762"/>
      <c r="AR152" s="762"/>
      <c r="AS152" s="762"/>
      <c r="AT152" s="762"/>
      <c r="AU152" s="762"/>
      <c r="AV152" s="762"/>
      <c r="AW152" s="762"/>
      <c r="AX152" s="762"/>
      <c r="AY152" s="762"/>
      <c r="AZ152" s="762"/>
      <c r="BA152" s="762"/>
      <c r="BB152" s="762"/>
      <c r="BC152" s="762"/>
      <c r="BD152" s="762"/>
      <c r="BE152" s="762"/>
      <c r="BF152" s="762"/>
      <c r="BG152" s="762"/>
      <c r="BH152" s="762"/>
    </row>
    <row r="153" spans="1:60" s="49" customFormat="1">
      <c r="A153" s="767"/>
      <c r="B153" s="767"/>
      <c r="C153" s="762"/>
      <c r="D153" s="762"/>
      <c r="E153" s="762"/>
      <c r="F153" s="762"/>
      <c r="G153" s="762"/>
      <c r="H153" s="762"/>
      <c r="I153" s="925"/>
      <c r="J153" s="762"/>
      <c r="K153" s="762"/>
      <c r="L153" s="762"/>
      <c r="M153" s="762"/>
      <c r="N153" s="762"/>
      <c r="O153" s="762"/>
      <c r="P153" s="762"/>
      <c r="Q153" s="925"/>
      <c r="R153" s="762"/>
      <c r="S153" s="762"/>
      <c r="T153" s="762"/>
      <c r="U153" s="762"/>
      <c r="V153" s="762"/>
      <c r="W153" s="762"/>
      <c r="X153" s="762"/>
      <c r="Y153" s="925"/>
      <c r="Z153" s="762"/>
      <c r="AA153" s="762"/>
      <c r="AB153" s="762"/>
      <c r="AC153" s="762"/>
      <c r="AD153" s="762"/>
      <c r="AE153" s="762"/>
      <c r="AF153" s="762"/>
      <c r="AG153" s="925"/>
      <c r="AH153" s="762"/>
      <c r="AI153" s="762"/>
      <c r="AJ153" s="762"/>
      <c r="AK153" s="762"/>
      <c r="AL153" s="762"/>
      <c r="AM153" s="762"/>
      <c r="AN153" s="762"/>
      <c r="AO153" s="925"/>
      <c r="AP153" s="762"/>
      <c r="AQ153" s="762"/>
      <c r="AR153" s="762"/>
      <c r="AS153" s="762"/>
      <c r="AT153" s="762"/>
      <c r="AU153" s="762"/>
      <c r="AV153" s="762"/>
      <c r="AW153" s="762"/>
      <c r="AX153" s="762"/>
      <c r="AY153" s="762"/>
      <c r="AZ153" s="762"/>
      <c r="BA153" s="762"/>
      <c r="BB153" s="762"/>
      <c r="BC153" s="762"/>
      <c r="BD153" s="762"/>
      <c r="BE153" s="762"/>
      <c r="BF153" s="762"/>
      <c r="BG153" s="762"/>
      <c r="BH153" s="762"/>
    </row>
    <row r="154" spans="1:60" s="49" customFormat="1">
      <c r="A154" s="767"/>
      <c r="B154" s="767"/>
      <c r="C154" s="762"/>
      <c r="D154" s="762"/>
      <c r="E154" s="762"/>
      <c r="F154" s="762"/>
      <c r="G154" s="762"/>
      <c r="H154" s="762"/>
      <c r="I154" s="925"/>
      <c r="J154" s="762"/>
      <c r="K154" s="762"/>
      <c r="L154" s="762"/>
      <c r="M154" s="762"/>
      <c r="N154" s="762"/>
      <c r="O154" s="762"/>
      <c r="P154" s="762"/>
      <c r="Q154" s="925"/>
      <c r="R154" s="762"/>
      <c r="S154" s="762"/>
      <c r="T154" s="762"/>
      <c r="U154" s="762"/>
      <c r="V154" s="762"/>
      <c r="W154" s="762"/>
      <c r="X154" s="762"/>
      <c r="Y154" s="925"/>
      <c r="Z154" s="762"/>
      <c r="AA154" s="762"/>
      <c r="AB154" s="762"/>
      <c r="AC154" s="762"/>
      <c r="AD154" s="762"/>
      <c r="AE154" s="762"/>
      <c r="AF154" s="762"/>
      <c r="AG154" s="925"/>
      <c r="AH154" s="762"/>
      <c r="AI154" s="762"/>
      <c r="AJ154" s="762"/>
      <c r="AK154" s="762"/>
      <c r="AL154" s="762"/>
      <c r="AM154" s="762"/>
      <c r="AN154" s="762"/>
      <c r="AO154" s="925"/>
      <c r="AP154" s="762"/>
      <c r="AQ154" s="762"/>
      <c r="AR154" s="762"/>
      <c r="AS154" s="762"/>
      <c r="AT154" s="762"/>
      <c r="AU154" s="762"/>
      <c r="AV154" s="762"/>
      <c r="AW154" s="762"/>
      <c r="AX154" s="762"/>
      <c r="AY154" s="762"/>
      <c r="AZ154" s="762"/>
      <c r="BA154" s="762"/>
      <c r="BB154" s="762"/>
      <c r="BC154" s="762"/>
      <c r="BD154" s="762"/>
      <c r="BE154" s="762"/>
      <c r="BF154" s="762"/>
      <c r="BG154" s="762"/>
      <c r="BH154" s="762"/>
    </row>
    <row r="155" spans="1:60" s="49" customFormat="1">
      <c r="A155" s="767"/>
      <c r="B155" s="767"/>
      <c r="C155" s="762"/>
      <c r="D155" s="762"/>
      <c r="E155" s="762"/>
      <c r="F155" s="762"/>
      <c r="G155" s="762"/>
      <c r="H155" s="762"/>
      <c r="I155" s="925"/>
      <c r="J155" s="762"/>
      <c r="K155" s="762"/>
      <c r="L155" s="762"/>
      <c r="M155" s="762"/>
      <c r="N155" s="762"/>
      <c r="O155" s="762"/>
      <c r="P155" s="762"/>
      <c r="Q155" s="925"/>
      <c r="R155" s="762"/>
      <c r="S155" s="762"/>
      <c r="T155" s="762"/>
      <c r="U155" s="762"/>
      <c r="V155" s="762"/>
      <c r="W155" s="762"/>
      <c r="X155" s="762"/>
      <c r="Y155" s="925"/>
      <c r="Z155" s="762"/>
      <c r="AA155" s="762"/>
      <c r="AB155" s="762"/>
      <c r="AC155" s="762"/>
      <c r="AD155" s="762"/>
      <c r="AE155" s="762"/>
      <c r="AF155" s="762"/>
      <c r="AG155" s="925"/>
      <c r="AH155" s="762"/>
      <c r="AI155" s="762"/>
      <c r="AJ155" s="762"/>
      <c r="AK155" s="762"/>
      <c r="AL155" s="762"/>
      <c r="AM155" s="762"/>
      <c r="AN155" s="762"/>
      <c r="AO155" s="925"/>
      <c r="AP155" s="762"/>
      <c r="AQ155" s="762"/>
      <c r="AR155" s="762"/>
      <c r="AS155" s="762"/>
      <c r="AT155" s="762"/>
      <c r="AU155" s="762"/>
      <c r="AV155" s="762"/>
      <c r="AW155" s="762"/>
      <c r="AX155" s="762"/>
      <c r="AY155" s="762"/>
      <c r="AZ155" s="762"/>
      <c r="BA155" s="762"/>
      <c r="BB155" s="762"/>
      <c r="BC155" s="762"/>
      <c r="BD155" s="762"/>
      <c r="BE155" s="762"/>
      <c r="BF155" s="762"/>
      <c r="BG155" s="762"/>
      <c r="BH155" s="762"/>
    </row>
    <row r="156" spans="1:60" s="49" customFormat="1">
      <c r="A156" s="767"/>
      <c r="B156" s="767"/>
      <c r="C156" s="762"/>
      <c r="D156" s="762"/>
      <c r="E156" s="762"/>
      <c r="F156" s="762"/>
      <c r="G156" s="762"/>
      <c r="H156" s="762"/>
      <c r="I156" s="925"/>
      <c r="J156" s="762"/>
      <c r="K156" s="762"/>
      <c r="L156" s="762"/>
      <c r="M156" s="762"/>
      <c r="N156" s="762"/>
      <c r="O156" s="762"/>
      <c r="P156" s="762"/>
      <c r="Q156" s="925"/>
      <c r="R156" s="762"/>
      <c r="S156" s="762"/>
      <c r="T156" s="762"/>
      <c r="U156" s="762"/>
      <c r="V156" s="762"/>
      <c r="W156" s="762"/>
      <c r="X156" s="762"/>
      <c r="Y156" s="925"/>
      <c r="Z156" s="762"/>
      <c r="AA156" s="762"/>
      <c r="AB156" s="762"/>
      <c r="AC156" s="762"/>
      <c r="AD156" s="762"/>
      <c r="AE156" s="762"/>
      <c r="AF156" s="762"/>
      <c r="AG156" s="925"/>
      <c r="AH156" s="762"/>
      <c r="AI156" s="762"/>
      <c r="AJ156" s="762"/>
      <c r="AK156" s="762"/>
      <c r="AL156" s="762"/>
      <c r="AM156" s="762"/>
      <c r="AN156" s="762"/>
      <c r="AO156" s="925"/>
      <c r="AP156" s="762"/>
      <c r="AQ156" s="762"/>
      <c r="AR156" s="762"/>
      <c r="AS156" s="762"/>
      <c r="AT156" s="762"/>
      <c r="AU156" s="762"/>
      <c r="AV156" s="762"/>
      <c r="AW156" s="762"/>
      <c r="AX156" s="762"/>
      <c r="AY156" s="762"/>
      <c r="AZ156" s="762"/>
      <c r="BA156" s="762"/>
      <c r="BB156" s="762"/>
      <c r="BC156" s="762"/>
      <c r="BD156" s="762"/>
      <c r="BE156" s="762"/>
      <c r="BF156" s="762"/>
      <c r="BG156" s="762"/>
      <c r="BH156" s="762"/>
    </row>
    <row r="157" spans="1:60" s="49" customFormat="1">
      <c r="A157" s="767"/>
      <c r="B157" s="767"/>
      <c r="C157" s="762"/>
      <c r="D157" s="762"/>
      <c r="E157" s="762"/>
      <c r="F157" s="762"/>
      <c r="G157" s="762"/>
      <c r="H157" s="762"/>
      <c r="I157" s="925"/>
      <c r="J157" s="762"/>
      <c r="K157" s="762"/>
      <c r="L157" s="762"/>
      <c r="M157" s="762"/>
      <c r="N157" s="762"/>
      <c r="O157" s="762"/>
      <c r="P157" s="762"/>
      <c r="Q157" s="925"/>
      <c r="R157" s="762"/>
      <c r="S157" s="762"/>
      <c r="T157" s="762"/>
      <c r="U157" s="762"/>
      <c r="V157" s="762"/>
      <c r="W157" s="762"/>
      <c r="X157" s="762"/>
      <c r="Y157" s="925"/>
      <c r="Z157" s="762"/>
      <c r="AA157" s="762"/>
      <c r="AB157" s="762"/>
      <c r="AC157" s="762"/>
      <c r="AD157" s="762"/>
      <c r="AE157" s="762"/>
      <c r="AF157" s="762"/>
      <c r="AG157" s="925"/>
      <c r="AH157" s="762"/>
      <c r="AI157" s="762"/>
      <c r="AJ157" s="762"/>
      <c r="AK157" s="762"/>
      <c r="AL157" s="762"/>
      <c r="AM157" s="762"/>
      <c r="AN157" s="762"/>
      <c r="AO157" s="925"/>
      <c r="AP157" s="762"/>
      <c r="AQ157" s="762"/>
      <c r="AR157" s="762"/>
      <c r="AS157" s="762"/>
      <c r="AT157" s="762"/>
      <c r="AU157" s="762"/>
      <c r="AV157" s="762"/>
      <c r="AW157" s="762"/>
      <c r="AX157" s="762"/>
      <c r="AY157" s="762"/>
      <c r="AZ157" s="762"/>
      <c r="BA157" s="762"/>
      <c r="BB157" s="762"/>
      <c r="BC157" s="762"/>
      <c r="BD157" s="762"/>
      <c r="BE157" s="762"/>
      <c r="BF157" s="762"/>
      <c r="BG157" s="762"/>
      <c r="BH157" s="762"/>
    </row>
    <row r="158" spans="1:60" s="49" customFormat="1">
      <c r="A158" s="767"/>
      <c r="B158" s="767"/>
      <c r="C158" s="762"/>
      <c r="D158" s="762"/>
      <c r="E158" s="762"/>
      <c r="F158" s="762"/>
      <c r="G158" s="762"/>
      <c r="H158" s="762"/>
      <c r="I158" s="925"/>
      <c r="J158" s="762"/>
      <c r="K158" s="762"/>
      <c r="L158" s="762"/>
      <c r="M158" s="762"/>
      <c r="N158" s="762"/>
      <c r="O158" s="762"/>
      <c r="P158" s="762"/>
      <c r="Q158" s="925"/>
      <c r="R158" s="762"/>
      <c r="S158" s="762"/>
      <c r="T158" s="762"/>
      <c r="U158" s="762"/>
      <c r="V158" s="762"/>
      <c r="W158" s="762"/>
      <c r="X158" s="762"/>
      <c r="Y158" s="925"/>
      <c r="Z158" s="762"/>
      <c r="AA158" s="762"/>
      <c r="AB158" s="762"/>
      <c r="AC158" s="762"/>
      <c r="AD158" s="762"/>
      <c r="AE158" s="762"/>
      <c r="AF158" s="762"/>
      <c r="AG158" s="925"/>
      <c r="AH158" s="762"/>
      <c r="AI158" s="762"/>
      <c r="AJ158" s="762"/>
      <c r="AK158" s="762"/>
      <c r="AL158" s="762"/>
      <c r="AM158" s="762"/>
      <c r="AN158" s="762"/>
      <c r="AO158" s="925"/>
      <c r="AP158" s="762"/>
      <c r="AQ158" s="762"/>
      <c r="AR158" s="762"/>
      <c r="AS158" s="762"/>
      <c r="AT158" s="762"/>
      <c r="AU158" s="762"/>
      <c r="AV158" s="762"/>
      <c r="AW158" s="762"/>
      <c r="AX158" s="762"/>
      <c r="AY158" s="762"/>
      <c r="AZ158" s="762"/>
      <c r="BA158" s="762"/>
      <c r="BB158" s="762"/>
      <c r="BC158" s="762"/>
      <c r="BD158" s="762"/>
      <c r="BE158" s="762"/>
      <c r="BF158" s="762"/>
      <c r="BG158" s="762"/>
      <c r="BH158" s="762"/>
    </row>
    <row r="159" spans="1:60" s="49" customFormat="1">
      <c r="A159" s="767"/>
      <c r="B159" s="767"/>
      <c r="C159" s="762"/>
      <c r="D159" s="762"/>
      <c r="E159" s="762"/>
      <c r="F159" s="762"/>
      <c r="G159" s="762"/>
      <c r="H159" s="762"/>
      <c r="I159" s="925"/>
      <c r="J159" s="762"/>
      <c r="K159" s="762"/>
      <c r="L159" s="762"/>
      <c r="M159" s="762"/>
      <c r="N159" s="762"/>
      <c r="O159" s="762"/>
      <c r="P159" s="762"/>
      <c r="Q159" s="925"/>
      <c r="R159" s="762"/>
      <c r="S159" s="762"/>
      <c r="T159" s="762"/>
      <c r="U159" s="762"/>
      <c r="V159" s="762"/>
      <c r="W159" s="762"/>
      <c r="X159" s="762"/>
      <c r="Y159" s="925"/>
      <c r="Z159" s="762"/>
      <c r="AA159" s="762"/>
      <c r="AB159" s="762"/>
      <c r="AC159" s="762"/>
      <c r="AD159" s="762"/>
      <c r="AE159" s="762"/>
      <c r="AF159" s="762"/>
      <c r="AG159" s="925"/>
      <c r="AH159" s="762"/>
      <c r="AI159" s="762"/>
      <c r="AJ159" s="762"/>
      <c r="AK159" s="762"/>
      <c r="AL159" s="762"/>
      <c r="AM159" s="762"/>
      <c r="AN159" s="762"/>
      <c r="AO159" s="925"/>
      <c r="AP159" s="762"/>
      <c r="AQ159" s="762"/>
      <c r="AR159" s="762"/>
      <c r="AS159" s="762"/>
      <c r="AT159" s="762"/>
      <c r="AU159" s="762"/>
      <c r="AV159" s="762"/>
      <c r="AW159" s="762"/>
      <c r="AX159" s="762"/>
      <c r="AY159" s="762"/>
      <c r="AZ159" s="762"/>
      <c r="BA159" s="762"/>
      <c r="BB159" s="762"/>
      <c r="BC159" s="762"/>
      <c r="BD159" s="762"/>
      <c r="BE159" s="762"/>
      <c r="BF159" s="762"/>
      <c r="BG159" s="762"/>
      <c r="BH159" s="762"/>
    </row>
    <row r="160" spans="1:60" s="49" customFormat="1">
      <c r="A160" s="767"/>
      <c r="B160" s="767"/>
      <c r="C160" s="762"/>
      <c r="D160" s="762"/>
      <c r="E160" s="762"/>
      <c r="F160" s="762"/>
      <c r="G160" s="762"/>
      <c r="H160" s="762"/>
      <c r="I160" s="925"/>
      <c r="J160" s="762"/>
      <c r="K160" s="762"/>
      <c r="L160" s="762"/>
      <c r="M160" s="762"/>
      <c r="N160" s="762"/>
      <c r="O160" s="762"/>
      <c r="P160" s="762"/>
      <c r="Q160" s="925"/>
      <c r="R160" s="762"/>
      <c r="S160" s="762"/>
      <c r="T160" s="762"/>
      <c r="U160" s="762"/>
      <c r="V160" s="762"/>
      <c r="W160" s="762"/>
      <c r="X160" s="762"/>
      <c r="Y160" s="925"/>
      <c r="Z160" s="762"/>
      <c r="AA160" s="762"/>
      <c r="AB160" s="762"/>
      <c r="AC160" s="762"/>
      <c r="AD160" s="762"/>
      <c r="AE160" s="762"/>
      <c r="AF160" s="762"/>
      <c r="AG160" s="925"/>
      <c r="AH160" s="762"/>
      <c r="AI160" s="762"/>
      <c r="AJ160" s="762"/>
      <c r="AK160" s="762"/>
      <c r="AL160" s="762"/>
      <c r="AM160" s="762"/>
      <c r="AN160" s="762"/>
      <c r="AO160" s="925"/>
      <c r="AP160" s="762"/>
      <c r="AQ160" s="762"/>
      <c r="AR160" s="762"/>
      <c r="AS160" s="762"/>
      <c r="AT160" s="762"/>
      <c r="AU160" s="762"/>
      <c r="AV160" s="762"/>
      <c r="AW160" s="762"/>
      <c r="AX160" s="762"/>
      <c r="AY160" s="762"/>
      <c r="AZ160" s="762"/>
      <c r="BA160" s="762"/>
      <c r="BB160" s="762"/>
      <c r="BC160" s="762"/>
      <c r="BD160" s="762"/>
      <c r="BE160" s="762"/>
      <c r="BF160" s="762"/>
      <c r="BG160" s="762"/>
      <c r="BH160" s="762"/>
    </row>
    <row r="161" spans="1:60" s="49" customFormat="1">
      <c r="A161" s="767"/>
      <c r="B161" s="767"/>
      <c r="C161" s="762"/>
      <c r="D161" s="762"/>
      <c r="E161" s="762"/>
      <c r="F161" s="762"/>
      <c r="G161" s="762"/>
      <c r="H161" s="762"/>
      <c r="I161" s="925"/>
      <c r="J161" s="762"/>
      <c r="K161" s="762"/>
      <c r="L161" s="762"/>
      <c r="M161" s="762"/>
      <c r="N161" s="762"/>
      <c r="O161" s="762"/>
      <c r="P161" s="762"/>
      <c r="Q161" s="925"/>
      <c r="R161" s="762"/>
      <c r="S161" s="762"/>
      <c r="T161" s="762"/>
      <c r="U161" s="762"/>
      <c r="V161" s="762"/>
      <c r="W161" s="762"/>
      <c r="X161" s="762"/>
      <c r="Y161" s="925"/>
      <c r="Z161" s="762"/>
      <c r="AA161" s="762"/>
      <c r="AB161" s="762"/>
      <c r="AC161" s="762"/>
      <c r="AD161" s="762"/>
      <c r="AE161" s="762"/>
      <c r="AF161" s="762"/>
      <c r="AG161" s="925"/>
      <c r="AH161" s="762"/>
      <c r="AI161" s="762"/>
      <c r="AJ161" s="762"/>
      <c r="AK161" s="762"/>
      <c r="AL161" s="762"/>
      <c r="AM161" s="762"/>
      <c r="AN161" s="762"/>
      <c r="AO161" s="925"/>
      <c r="AP161" s="762"/>
      <c r="AQ161" s="762"/>
      <c r="AR161" s="762"/>
      <c r="AS161" s="762"/>
      <c r="AT161" s="762"/>
      <c r="AU161" s="762"/>
      <c r="AV161" s="762"/>
      <c r="AW161" s="762"/>
      <c r="AX161" s="762"/>
      <c r="AY161" s="762"/>
      <c r="AZ161" s="762"/>
      <c r="BA161" s="762"/>
      <c r="BB161" s="762"/>
      <c r="BC161" s="762"/>
      <c r="BD161" s="762"/>
      <c r="BE161" s="762"/>
      <c r="BF161" s="762"/>
      <c r="BG161" s="762"/>
      <c r="BH161" s="762"/>
    </row>
    <row r="162" spans="1:60" s="49" customFormat="1">
      <c r="A162" s="767"/>
      <c r="B162" s="767"/>
      <c r="C162" s="762"/>
      <c r="D162" s="762"/>
      <c r="E162" s="762"/>
      <c r="F162" s="762"/>
      <c r="G162" s="762"/>
      <c r="H162" s="762"/>
      <c r="I162" s="925"/>
      <c r="J162" s="762"/>
      <c r="K162" s="762"/>
      <c r="L162" s="762"/>
      <c r="M162" s="762"/>
      <c r="N162" s="762"/>
      <c r="O162" s="762"/>
      <c r="P162" s="762"/>
      <c r="Q162" s="925"/>
      <c r="R162" s="762"/>
      <c r="S162" s="762"/>
      <c r="T162" s="762"/>
      <c r="U162" s="762"/>
      <c r="V162" s="762"/>
      <c r="W162" s="762"/>
      <c r="X162" s="762"/>
      <c r="Y162" s="925"/>
      <c r="Z162" s="762"/>
      <c r="AA162" s="762"/>
      <c r="AB162" s="762"/>
      <c r="AC162" s="762"/>
      <c r="AD162" s="762"/>
      <c r="AE162" s="762"/>
      <c r="AF162" s="762"/>
      <c r="AG162" s="925"/>
      <c r="AH162" s="762"/>
      <c r="AI162" s="762"/>
      <c r="AJ162" s="762"/>
      <c r="AK162" s="762"/>
      <c r="AL162" s="762"/>
      <c r="AM162" s="762"/>
      <c r="AN162" s="762"/>
      <c r="AO162" s="925"/>
      <c r="AP162" s="762"/>
      <c r="AQ162" s="762"/>
      <c r="AR162" s="762"/>
      <c r="AS162" s="762"/>
      <c r="AT162" s="762"/>
      <c r="AU162" s="762"/>
      <c r="AV162" s="762"/>
      <c r="AW162" s="762"/>
      <c r="AX162" s="762"/>
      <c r="AY162" s="762"/>
      <c r="AZ162" s="762"/>
      <c r="BA162" s="762"/>
      <c r="BB162" s="762"/>
      <c r="BC162" s="762"/>
      <c r="BD162" s="762"/>
      <c r="BE162" s="762"/>
      <c r="BF162" s="762"/>
      <c r="BG162" s="762"/>
      <c r="BH162" s="762"/>
    </row>
    <row r="163" spans="1:60" s="49" customFormat="1">
      <c r="A163" s="767"/>
      <c r="B163" s="767"/>
      <c r="C163" s="762"/>
      <c r="D163" s="762"/>
      <c r="E163" s="762"/>
      <c r="F163" s="762"/>
      <c r="G163" s="762"/>
      <c r="H163" s="762"/>
      <c r="I163" s="925"/>
      <c r="J163" s="762"/>
      <c r="K163" s="762"/>
      <c r="L163" s="762"/>
      <c r="M163" s="762"/>
      <c r="N163" s="762"/>
      <c r="O163" s="762"/>
      <c r="P163" s="762"/>
      <c r="Q163" s="925"/>
      <c r="R163" s="762"/>
      <c r="S163" s="762"/>
      <c r="T163" s="762"/>
      <c r="U163" s="762"/>
      <c r="V163" s="762"/>
      <c r="W163" s="762"/>
      <c r="X163" s="762"/>
      <c r="Y163" s="925"/>
      <c r="Z163" s="762"/>
      <c r="AA163" s="762"/>
      <c r="AB163" s="762"/>
      <c r="AC163" s="762"/>
      <c r="AD163" s="762"/>
      <c r="AE163" s="762"/>
      <c r="AF163" s="762"/>
      <c r="AG163" s="925"/>
      <c r="AH163" s="762"/>
      <c r="AI163" s="762"/>
      <c r="AJ163" s="762"/>
      <c r="AK163" s="762"/>
      <c r="AL163" s="762"/>
      <c r="AM163" s="762"/>
      <c r="AN163" s="762"/>
      <c r="AO163" s="925"/>
      <c r="AP163" s="762"/>
      <c r="AQ163" s="762"/>
      <c r="AR163" s="762"/>
      <c r="AS163" s="762"/>
      <c r="AT163" s="762"/>
      <c r="AU163" s="762"/>
      <c r="AV163" s="762"/>
      <c r="AW163" s="762"/>
      <c r="AX163" s="762"/>
      <c r="AY163" s="762"/>
      <c r="AZ163" s="762"/>
      <c r="BA163" s="762"/>
      <c r="BB163" s="762"/>
      <c r="BC163" s="762"/>
      <c r="BD163" s="762"/>
      <c r="BE163" s="762"/>
      <c r="BF163" s="762"/>
      <c r="BG163" s="762"/>
      <c r="BH163" s="762"/>
    </row>
    <row r="164" spans="1:60" s="49" customFormat="1">
      <c r="A164" s="767"/>
      <c r="B164" s="767"/>
      <c r="C164" s="762"/>
      <c r="D164" s="762"/>
      <c r="E164" s="762"/>
      <c r="F164" s="762"/>
      <c r="G164" s="762"/>
      <c r="H164" s="762"/>
      <c r="I164" s="925"/>
      <c r="J164" s="762"/>
      <c r="K164" s="762"/>
      <c r="L164" s="762"/>
      <c r="M164" s="762"/>
      <c r="N164" s="762"/>
      <c r="O164" s="762"/>
      <c r="P164" s="762"/>
      <c r="Q164" s="925"/>
      <c r="R164" s="762"/>
      <c r="S164" s="762"/>
      <c r="T164" s="762"/>
      <c r="U164" s="762"/>
      <c r="V164" s="762"/>
      <c r="W164" s="762"/>
      <c r="X164" s="762"/>
      <c r="Y164" s="925"/>
      <c r="Z164" s="762"/>
      <c r="AA164" s="762"/>
      <c r="AB164" s="762"/>
      <c r="AC164" s="762"/>
      <c r="AD164" s="762"/>
      <c r="AE164" s="762"/>
      <c r="AF164" s="762"/>
      <c r="AG164" s="925"/>
      <c r="AH164" s="762"/>
      <c r="AI164" s="762"/>
      <c r="AJ164" s="762"/>
      <c r="AK164" s="762"/>
      <c r="AL164" s="762"/>
      <c r="AM164" s="762"/>
      <c r="AN164" s="762"/>
      <c r="AO164" s="925"/>
      <c r="AP164" s="762"/>
      <c r="AQ164" s="762"/>
      <c r="AR164" s="762"/>
      <c r="AS164" s="762"/>
      <c r="AT164" s="762"/>
      <c r="AU164" s="762"/>
      <c r="AV164" s="762"/>
      <c r="AW164" s="762"/>
      <c r="AX164" s="762"/>
      <c r="AY164" s="762"/>
      <c r="AZ164" s="762"/>
      <c r="BA164" s="762"/>
      <c r="BB164" s="762"/>
      <c r="BC164" s="762"/>
      <c r="BD164" s="762"/>
      <c r="BE164" s="762"/>
      <c r="BF164" s="762"/>
      <c r="BG164" s="762"/>
      <c r="BH164" s="762"/>
    </row>
    <row r="165" spans="1:60" s="49" customFormat="1">
      <c r="A165" s="767"/>
      <c r="B165" s="767"/>
      <c r="C165" s="762"/>
      <c r="D165" s="762"/>
      <c r="E165" s="762"/>
      <c r="F165" s="762"/>
      <c r="G165" s="762"/>
      <c r="H165" s="762"/>
      <c r="I165" s="925"/>
      <c r="J165" s="762"/>
      <c r="K165" s="762"/>
      <c r="L165" s="762"/>
      <c r="M165" s="762"/>
      <c r="N165" s="762"/>
      <c r="O165" s="762"/>
      <c r="P165" s="762"/>
      <c r="Q165" s="925"/>
      <c r="R165" s="762"/>
      <c r="S165" s="762"/>
      <c r="T165" s="762"/>
      <c r="U165" s="762"/>
      <c r="V165" s="762"/>
      <c r="W165" s="762"/>
      <c r="X165" s="762"/>
      <c r="Y165" s="925"/>
      <c r="Z165" s="762"/>
      <c r="AA165" s="762"/>
      <c r="AB165" s="762"/>
      <c r="AC165" s="762"/>
      <c r="AD165" s="762"/>
      <c r="AE165" s="762"/>
      <c r="AF165" s="762"/>
      <c r="AG165" s="925"/>
      <c r="AH165" s="762"/>
      <c r="AI165" s="762"/>
      <c r="AJ165" s="762"/>
      <c r="AK165" s="762"/>
      <c r="AL165" s="762"/>
      <c r="AM165" s="762"/>
      <c r="AN165" s="762"/>
      <c r="AO165" s="925"/>
      <c r="AP165" s="762"/>
      <c r="AQ165" s="762"/>
      <c r="AR165" s="762"/>
      <c r="AS165" s="762"/>
      <c r="AT165" s="762"/>
      <c r="AU165" s="762"/>
      <c r="AV165" s="762"/>
      <c r="AW165" s="762"/>
      <c r="AX165" s="762"/>
      <c r="AY165" s="762"/>
      <c r="AZ165" s="762"/>
      <c r="BA165" s="762"/>
      <c r="BB165" s="762"/>
      <c r="BC165" s="762"/>
      <c r="BD165" s="762"/>
      <c r="BE165" s="762"/>
      <c r="BF165" s="762"/>
      <c r="BG165" s="762"/>
      <c r="BH165" s="762"/>
    </row>
    <row r="166" spans="1:60" s="49" customFormat="1">
      <c r="A166" s="767"/>
      <c r="B166" s="767"/>
      <c r="C166" s="762"/>
      <c r="D166" s="762"/>
      <c r="E166" s="762"/>
      <c r="F166" s="762"/>
      <c r="G166" s="762"/>
      <c r="H166" s="762"/>
      <c r="I166" s="925"/>
      <c r="J166" s="762"/>
      <c r="K166" s="762"/>
      <c r="L166" s="762"/>
      <c r="M166" s="762"/>
      <c r="N166" s="762"/>
      <c r="O166" s="762"/>
      <c r="P166" s="762"/>
      <c r="Q166" s="925"/>
      <c r="R166" s="762"/>
      <c r="S166" s="762"/>
      <c r="T166" s="762"/>
      <c r="U166" s="762"/>
      <c r="V166" s="762"/>
      <c r="W166" s="762"/>
      <c r="X166" s="762"/>
      <c r="Y166" s="925"/>
      <c r="Z166" s="762"/>
      <c r="AA166" s="762"/>
      <c r="AB166" s="762"/>
      <c r="AC166" s="762"/>
      <c r="AD166" s="762"/>
      <c r="AE166" s="762"/>
      <c r="AF166" s="762"/>
      <c r="AG166" s="925"/>
      <c r="AH166" s="762"/>
      <c r="AI166" s="762"/>
      <c r="AJ166" s="762"/>
      <c r="AK166" s="762"/>
      <c r="AL166" s="762"/>
      <c r="AM166" s="762"/>
      <c r="AN166" s="762"/>
      <c r="AO166" s="925"/>
      <c r="AP166" s="762"/>
      <c r="AQ166" s="762"/>
      <c r="AR166" s="762"/>
      <c r="AS166" s="762"/>
      <c r="AT166" s="762"/>
      <c r="AU166" s="762"/>
      <c r="AV166" s="762"/>
      <c r="AW166" s="762"/>
      <c r="AX166" s="762"/>
      <c r="AY166" s="762"/>
      <c r="AZ166" s="762"/>
      <c r="BA166" s="762"/>
      <c r="BB166" s="762"/>
      <c r="BC166" s="762"/>
      <c r="BD166" s="762"/>
      <c r="BE166" s="762"/>
      <c r="BF166" s="762"/>
      <c r="BG166" s="762"/>
      <c r="BH166" s="762"/>
    </row>
    <row r="167" spans="1:60" s="49" customFormat="1">
      <c r="A167" s="767"/>
      <c r="B167" s="767"/>
      <c r="C167" s="762"/>
      <c r="D167" s="762"/>
      <c r="E167" s="762"/>
      <c r="F167" s="762"/>
      <c r="G167" s="762"/>
      <c r="H167" s="762"/>
      <c r="I167" s="925"/>
      <c r="J167" s="762"/>
      <c r="K167" s="762"/>
      <c r="L167" s="762"/>
      <c r="M167" s="762"/>
      <c r="N167" s="762"/>
      <c r="O167" s="762"/>
      <c r="P167" s="762"/>
      <c r="Q167" s="925"/>
      <c r="R167" s="762"/>
      <c r="S167" s="762"/>
      <c r="T167" s="762"/>
      <c r="U167" s="762"/>
      <c r="V167" s="762"/>
      <c r="W167" s="762"/>
      <c r="X167" s="762"/>
      <c r="Y167" s="925"/>
      <c r="Z167" s="762"/>
      <c r="AA167" s="762"/>
      <c r="AB167" s="762"/>
      <c r="AC167" s="762"/>
      <c r="AD167" s="762"/>
      <c r="AE167" s="762"/>
      <c r="AF167" s="762"/>
      <c r="AG167" s="925"/>
      <c r="AH167" s="762"/>
      <c r="AI167" s="762"/>
      <c r="AJ167" s="762"/>
      <c r="AK167" s="762"/>
      <c r="AL167" s="762"/>
      <c r="AM167" s="762"/>
      <c r="AN167" s="762"/>
      <c r="AO167" s="925"/>
      <c r="AP167" s="762"/>
      <c r="AQ167" s="762"/>
      <c r="AR167" s="762"/>
      <c r="AS167" s="762"/>
      <c r="AT167" s="762"/>
      <c r="AU167" s="762"/>
      <c r="AV167" s="762"/>
      <c r="AW167" s="762"/>
      <c r="AX167" s="762"/>
      <c r="AY167" s="762"/>
      <c r="AZ167" s="762"/>
      <c r="BA167" s="762"/>
      <c r="BB167" s="762"/>
      <c r="BC167" s="762"/>
      <c r="BD167" s="762"/>
      <c r="BE167" s="762"/>
      <c r="BF167" s="762"/>
      <c r="BG167" s="762"/>
      <c r="BH167" s="762"/>
    </row>
    <row r="168" spans="1:60" s="49" customFormat="1">
      <c r="A168" s="767"/>
      <c r="B168" s="767"/>
      <c r="C168" s="762"/>
      <c r="D168" s="762"/>
      <c r="E168" s="762"/>
      <c r="F168" s="762"/>
      <c r="G168" s="762"/>
      <c r="H168" s="762"/>
      <c r="I168" s="925"/>
      <c r="J168" s="762"/>
      <c r="K168" s="762"/>
      <c r="L168" s="762"/>
      <c r="M168" s="762"/>
      <c r="N168" s="762"/>
      <c r="O168" s="762"/>
      <c r="P168" s="762"/>
      <c r="Q168" s="925"/>
      <c r="R168" s="762"/>
      <c r="S168" s="762"/>
      <c r="T168" s="762"/>
      <c r="U168" s="762"/>
      <c r="V168" s="762"/>
      <c r="W168" s="762"/>
      <c r="X168" s="762"/>
      <c r="Y168" s="925"/>
      <c r="Z168" s="762"/>
      <c r="AA168" s="762"/>
      <c r="AB168" s="762"/>
      <c r="AC168" s="762"/>
      <c r="AD168" s="762"/>
      <c r="AE168" s="762"/>
      <c r="AF168" s="762"/>
      <c r="AG168" s="925"/>
      <c r="AH168" s="762"/>
      <c r="AI168" s="762"/>
      <c r="AJ168" s="762"/>
      <c r="AK168" s="762"/>
      <c r="AL168" s="762"/>
      <c r="AM168" s="762"/>
      <c r="AN168" s="762"/>
      <c r="AO168" s="925"/>
      <c r="AP168" s="762"/>
      <c r="AQ168" s="762"/>
      <c r="AR168" s="762"/>
      <c r="AS168" s="762"/>
      <c r="AT168" s="762"/>
      <c r="AU168" s="762"/>
      <c r="AV168" s="762"/>
      <c r="AW168" s="762"/>
      <c r="AX168" s="762"/>
      <c r="AY168" s="762"/>
      <c r="AZ168" s="762"/>
      <c r="BA168" s="762"/>
      <c r="BB168" s="762"/>
      <c r="BC168" s="762"/>
      <c r="BD168" s="762"/>
      <c r="BE168" s="762"/>
      <c r="BF168" s="762"/>
      <c r="BG168" s="762"/>
      <c r="BH168" s="762"/>
    </row>
    <row r="169" spans="1:60" s="49" customFormat="1">
      <c r="A169" s="767"/>
      <c r="B169" s="767"/>
      <c r="C169" s="762"/>
      <c r="D169" s="762"/>
      <c r="E169" s="762"/>
      <c r="F169" s="762"/>
      <c r="G169" s="762"/>
      <c r="H169" s="762"/>
      <c r="I169" s="925"/>
      <c r="J169" s="762"/>
      <c r="K169" s="762"/>
      <c r="L169" s="762"/>
      <c r="M169" s="762"/>
      <c r="N169" s="762"/>
      <c r="O169" s="762"/>
      <c r="P169" s="762"/>
      <c r="Q169" s="925"/>
      <c r="R169" s="762"/>
      <c r="S169" s="762"/>
      <c r="T169" s="762"/>
      <c r="U169" s="762"/>
      <c r="V169" s="762"/>
      <c r="W169" s="762"/>
      <c r="X169" s="762"/>
      <c r="Y169" s="925"/>
      <c r="Z169" s="762"/>
      <c r="AA169" s="762"/>
      <c r="AB169" s="762"/>
      <c r="AC169" s="762"/>
      <c r="AD169" s="762"/>
      <c r="AE169" s="762"/>
      <c r="AF169" s="762"/>
      <c r="AG169" s="925"/>
      <c r="AH169" s="762"/>
      <c r="AI169" s="762"/>
      <c r="AJ169" s="762"/>
      <c r="AK169" s="762"/>
      <c r="AL169" s="762"/>
      <c r="AM169" s="762"/>
      <c r="AN169" s="762"/>
      <c r="AO169" s="925"/>
      <c r="AP169" s="762"/>
      <c r="AQ169" s="762"/>
      <c r="AR169" s="762"/>
      <c r="AS169" s="762"/>
      <c r="AT169" s="762"/>
      <c r="AU169" s="762"/>
      <c r="AV169" s="762"/>
      <c r="AW169" s="762"/>
      <c r="AX169" s="762"/>
      <c r="AY169" s="762"/>
      <c r="AZ169" s="762"/>
      <c r="BA169" s="762"/>
      <c r="BB169" s="762"/>
      <c r="BC169" s="762"/>
      <c r="BD169" s="762"/>
      <c r="BE169" s="762"/>
      <c r="BF169" s="762"/>
      <c r="BG169" s="762"/>
      <c r="BH169" s="762"/>
    </row>
    <row r="170" spans="1:60" s="49" customFormat="1">
      <c r="A170" s="767"/>
      <c r="B170" s="767"/>
      <c r="C170" s="762"/>
      <c r="D170" s="762"/>
      <c r="E170" s="762"/>
      <c r="F170" s="762"/>
      <c r="G170" s="762"/>
      <c r="H170" s="762"/>
      <c r="I170" s="925"/>
      <c r="J170" s="762"/>
      <c r="K170" s="762"/>
      <c r="L170" s="762"/>
      <c r="M170" s="762"/>
      <c r="N170" s="762"/>
      <c r="O170" s="762"/>
      <c r="P170" s="762"/>
      <c r="Q170" s="925"/>
      <c r="R170" s="762"/>
      <c r="S170" s="762"/>
      <c r="T170" s="762"/>
      <c r="U170" s="762"/>
      <c r="V170" s="762"/>
      <c r="W170" s="762"/>
      <c r="X170" s="762"/>
      <c r="Y170" s="925"/>
      <c r="Z170" s="762"/>
      <c r="AA170" s="762"/>
      <c r="AB170" s="762"/>
      <c r="AC170" s="762"/>
      <c r="AD170" s="762"/>
      <c r="AE170" s="762"/>
      <c r="AF170" s="762"/>
      <c r="AG170" s="925"/>
      <c r="AH170" s="762"/>
      <c r="AI170" s="762"/>
      <c r="AJ170" s="762"/>
      <c r="AK170" s="762"/>
      <c r="AL170" s="762"/>
      <c r="AM170" s="762"/>
      <c r="AN170" s="762"/>
      <c r="AO170" s="925"/>
      <c r="AP170" s="762"/>
      <c r="AQ170" s="762"/>
      <c r="AR170" s="762"/>
      <c r="AS170" s="762"/>
      <c r="AT170" s="762"/>
      <c r="AU170" s="762"/>
      <c r="AV170" s="762"/>
      <c r="AW170" s="762"/>
      <c r="AX170" s="762"/>
      <c r="AY170" s="762"/>
      <c r="AZ170" s="762"/>
      <c r="BA170" s="762"/>
      <c r="BB170" s="762"/>
      <c r="BC170" s="762"/>
      <c r="BD170" s="762"/>
      <c r="BE170" s="762"/>
      <c r="BF170" s="762"/>
      <c r="BG170" s="762"/>
      <c r="BH170" s="762"/>
    </row>
    <row r="171" spans="1:60" s="49" customFormat="1">
      <c r="A171" s="767"/>
      <c r="B171" s="767"/>
      <c r="C171" s="762"/>
      <c r="D171" s="762"/>
      <c r="E171" s="762"/>
      <c r="F171" s="762"/>
      <c r="G171" s="762"/>
      <c r="H171" s="762"/>
      <c r="I171" s="925"/>
      <c r="J171" s="762"/>
      <c r="K171" s="762"/>
      <c r="L171" s="762"/>
      <c r="M171" s="762"/>
      <c r="N171" s="762"/>
      <c r="O171" s="762"/>
      <c r="P171" s="762"/>
      <c r="Q171" s="925"/>
      <c r="R171" s="762"/>
      <c r="S171" s="762"/>
      <c r="T171" s="762"/>
      <c r="U171" s="762"/>
      <c r="V171" s="762"/>
      <c r="W171" s="762"/>
      <c r="X171" s="762"/>
      <c r="Y171" s="925"/>
      <c r="Z171" s="762"/>
      <c r="AA171" s="762"/>
      <c r="AB171" s="762"/>
      <c r="AC171" s="762"/>
      <c r="AD171" s="762"/>
      <c r="AE171" s="762"/>
      <c r="AF171" s="762"/>
      <c r="AG171" s="925"/>
      <c r="AH171" s="762"/>
      <c r="AI171" s="762"/>
      <c r="AJ171" s="762"/>
      <c r="AK171" s="762"/>
      <c r="AL171" s="762"/>
      <c r="AM171" s="762"/>
      <c r="AN171" s="762"/>
      <c r="AO171" s="925"/>
      <c r="AP171" s="762"/>
      <c r="AQ171" s="762"/>
      <c r="AR171" s="762"/>
      <c r="AS171" s="762"/>
      <c r="AT171" s="762"/>
      <c r="AU171" s="762"/>
      <c r="AV171" s="762"/>
      <c r="AW171" s="762"/>
      <c r="AX171" s="762"/>
      <c r="AY171" s="762"/>
      <c r="AZ171" s="762"/>
      <c r="BA171" s="762"/>
      <c r="BB171" s="762"/>
      <c r="BC171" s="762"/>
      <c r="BD171" s="762"/>
      <c r="BE171" s="762"/>
      <c r="BF171" s="762"/>
      <c r="BG171" s="762"/>
      <c r="BH171" s="762"/>
    </row>
    <row r="172" spans="1:60" s="49" customFormat="1">
      <c r="A172" s="767"/>
      <c r="B172" s="767"/>
      <c r="C172" s="762"/>
      <c r="D172" s="762"/>
      <c r="E172" s="762"/>
      <c r="F172" s="762"/>
      <c r="G172" s="762"/>
      <c r="H172" s="762"/>
      <c r="I172" s="925"/>
      <c r="J172" s="762"/>
      <c r="K172" s="762"/>
      <c r="L172" s="762"/>
      <c r="M172" s="762"/>
      <c r="N172" s="762"/>
      <c r="O172" s="762"/>
      <c r="P172" s="762"/>
      <c r="Q172" s="925"/>
      <c r="R172" s="762"/>
      <c r="S172" s="762"/>
      <c r="T172" s="762"/>
      <c r="U172" s="762"/>
      <c r="V172" s="762"/>
      <c r="W172" s="762"/>
      <c r="X172" s="762"/>
      <c r="Y172" s="925"/>
      <c r="Z172" s="762"/>
      <c r="AA172" s="762"/>
      <c r="AB172" s="762"/>
      <c r="AC172" s="762"/>
      <c r="AD172" s="762"/>
      <c r="AE172" s="762"/>
      <c r="AF172" s="762"/>
      <c r="AG172" s="925"/>
      <c r="AH172" s="762"/>
      <c r="AI172" s="762"/>
      <c r="AJ172" s="762"/>
      <c r="AK172" s="762"/>
      <c r="AL172" s="762"/>
      <c r="AM172" s="762"/>
      <c r="AN172" s="762"/>
      <c r="AO172" s="925"/>
      <c r="AP172" s="762"/>
      <c r="AQ172" s="762"/>
      <c r="AR172" s="762"/>
      <c r="AS172" s="762"/>
      <c r="AT172" s="762"/>
      <c r="AU172" s="762"/>
      <c r="AV172" s="762"/>
      <c r="AW172" s="762"/>
      <c r="AX172" s="762"/>
      <c r="AY172" s="762"/>
      <c r="AZ172" s="762"/>
      <c r="BA172" s="762"/>
      <c r="BB172" s="762"/>
      <c r="BC172" s="762"/>
      <c r="BD172" s="762"/>
      <c r="BE172" s="762"/>
      <c r="BF172" s="762"/>
      <c r="BG172" s="762"/>
      <c r="BH172" s="762"/>
    </row>
    <row r="173" spans="1:60" s="49" customFormat="1">
      <c r="A173" s="767"/>
      <c r="B173" s="767"/>
      <c r="C173" s="762"/>
      <c r="D173" s="762"/>
      <c r="E173" s="762"/>
      <c r="F173" s="762"/>
      <c r="G173" s="762"/>
      <c r="H173" s="762"/>
      <c r="I173" s="925"/>
      <c r="J173" s="762"/>
      <c r="K173" s="762"/>
      <c r="L173" s="762"/>
      <c r="M173" s="762"/>
      <c r="N173" s="762"/>
      <c r="O173" s="762"/>
      <c r="P173" s="762"/>
      <c r="Q173" s="925"/>
      <c r="R173" s="762"/>
      <c r="S173" s="762"/>
      <c r="T173" s="762"/>
      <c r="U173" s="762"/>
      <c r="V173" s="762"/>
      <c r="W173" s="762"/>
      <c r="X173" s="762"/>
      <c r="Y173" s="925"/>
      <c r="Z173" s="762"/>
      <c r="AA173" s="762"/>
      <c r="AB173" s="762"/>
      <c r="AC173" s="762"/>
      <c r="AD173" s="762"/>
      <c r="AE173" s="762"/>
      <c r="AF173" s="762"/>
      <c r="AG173" s="925"/>
      <c r="AH173" s="762"/>
      <c r="AI173" s="762"/>
      <c r="AJ173" s="762"/>
      <c r="AK173" s="762"/>
      <c r="AL173" s="762"/>
      <c r="AM173" s="762"/>
      <c r="AN173" s="762"/>
      <c r="AO173" s="925"/>
      <c r="AP173" s="762"/>
      <c r="AQ173" s="762"/>
      <c r="AR173" s="762"/>
      <c r="AS173" s="762"/>
      <c r="AT173" s="762"/>
      <c r="AU173" s="762"/>
      <c r="AV173" s="762"/>
      <c r="AW173" s="762"/>
      <c r="AX173" s="762"/>
      <c r="AY173" s="762"/>
      <c r="AZ173" s="762"/>
      <c r="BA173" s="762"/>
      <c r="BB173" s="762"/>
      <c r="BC173" s="762"/>
      <c r="BD173" s="762"/>
      <c r="BE173" s="762"/>
      <c r="BF173" s="762"/>
      <c r="BG173" s="762"/>
      <c r="BH173" s="762"/>
    </row>
    <row r="174" spans="1:60" s="49" customFormat="1">
      <c r="A174" s="767"/>
      <c r="B174" s="767"/>
      <c r="C174" s="762"/>
      <c r="D174" s="762"/>
      <c r="E174" s="762"/>
      <c r="F174" s="762"/>
      <c r="G174" s="762"/>
      <c r="H174" s="762"/>
      <c r="I174" s="925"/>
      <c r="J174" s="762"/>
      <c r="K174" s="762"/>
      <c r="L174" s="762"/>
      <c r="M174" s="762"/>
      <c r="N174" s="762"/>
      <c r="O174" s="762"/>
      <c r="P174" s="762"/>
      <c r="Q174" s="925"/>
      <c r="R174" s="762"/>
      <c r="S174" s="762"/>
      <c r="T174" s="762"/>
      <c r="U174" s="762"/>
      <c r="V174" s="762"/>
      <c r="W174" s="762"/>
      <c r="X174" s="762"/>
      <c r="Y174" s="925"/>
      <c r="Z174" s="762"/>
      <c r="AA174" s="762"/>
      <c r="AB174" s="762"/>
      <c r="AC174" s="762"/>
      <c r="AD174" s="762"/>
      <c r="AE174" s="762"/>
      <c r="AF174" s="762"/>
      <c r="AG174" s="925"/>
      <c r="AH174" s="762"/>
      <c r="AI174" s="762"/>
      <c r="AJ174" s="762"/>
      <c r="AK174" s="762"/>
      <c r="AL174" s="762"/>
      <c r="AM174" s="762"/>
      <c r="AN174" s="762"/>
      <c r="AO174" s="925"/>
      <c r="AP174" s="762"/>
      <c r="AQ174" s="762"/>
      <c r="AR174" s="762"/>
      <c r="AS174" s="762"/>
      <c r="AT174" s="762"/>
      <c r="AU174" s="762"/>
      <c r="AV174" s="762"/>
      <c r="AW174" s="762"/>
      <c r="AX174" s="762"/>
      <c r="AY174" s="762"/>
      <c r="AZ174" s="762"/>
      <c r="BA174" s="762"/>
      <c r="BB174" s="762"/>
      <c r="BC174" s="762"/>
      <c r="BD174" s="762"/>
      <c r="BE174" s="762"/>
      <c r="BF174" s="762"/>
      <c r="BG174" s="762"/>
      <c r="BH174" s="762"/>
    </row>
    <row r="175" spans="1:60" s="49" customFormat="1">
      <c r="A175" s="767"/>
      <c r="B175" s="767"/>
      <c r="C175" s="762"/>
      <c r="D175" s="762"/>
      <c r="E175" s="762"/>
      <c r="F175" s="762"/>
      <c r="G175" s="762"/>
      <c r="H175" s="762"/>
      <c r="I175" s="925"/>
      <c r="J175" s="762"/>
      <c r="K175" s="762"/>
      <c r="L175" s="762"/>
      <c r="M175" s="762"/>
      <c r="N175" s="762"/>
      <c r="O175" s="762"/>
      <c r="P175" s="762"/>
      <c r="Q175" s="925"/>
      <c r="R175" s="762"/>
      <c r="S175" s="762"/>
      <c r="T175" s="762"/>
      <c r="U175" s="762"/>
      <c r="V175" s="762"/>
      <c r="W175" s="762"/>
      <c r="X175" s="762"/>
      <c r="Y175" s="925"/>
      <c r="Z175" s="762"/>
      <c r="AA175" s="762"/>
      <c r="AB175" s="762"/>
      <c r="AC175" s="762"/>
      <c r="AD175" s="762"/>
      <c r="AE175" s="762"/>
      <c r="AF175" s="762"/>
      <c r="AG175" s="925"/>
      <c r="AH175" s="762"/>
      <c r="AI175" s="762"/>
      <c r="AJ175" s="762"/>
      <c r="AK175" s="762"/>
      <c r="AL175" s="762"/>
      <c r="AM175" s="762"/>
      <c r="AN175" s="762"/>
      <c r="AO175" s="925"/>
      <c r="AP175" s="762"/>
      <c r="AQ175" s="762"/>
      <c r="AR175" s="762"/>
      <c r="AS175" s="762"/>
      <c r="AT175" s="762"/>
      <c r="AU175" s="762"/>
      <c r="AV175" s="762"/>
      <c r="AW175" s="762"/>
      <c r="AX175" s="762"/>
      <c r="AY175" s="762"/>
      <c r="AZ175" s="762"/>
      <c r="BA175" s="762"/>
      <c r="BB175" s="762"/>
      <c r="BC175" s="762"/>
      <c r="BD175" s="762"/>
      <c r="BE175" s="762"/>
      <c r="BF175" s="762"/>
      <c r="BG175" s="762"/>
      <c r="BH175" s="762"/>
    </row>
    <row r="176" spans="1:60" s="49" customFormat="1">
      <c r="A176" s="767"/>
      <c r="B176" s="767"/>
      <c r="C176" s="762"/>
      <c r="D176" s="762"/>
      <c r="E176" s="762"/>
      <c r="F176" s="762"/>
      <c r="G176" s="762"/>
      <c r="H176" s="762"/>
      <c r="I176" s="925"/>
      <c r="J176" s="762"/>
      <c r="K176" s="762"/>
      <c r="L176" s="762"/>
      <c r="M176" s="762"/>
      <c r="N176" s="762"/>
      <c r="O176" s="762"/>
      <c r="P176" s="762"/>
      <c r="Q176" s="925"/>
      <c r="R176" s="762"/>
      <c r="S176" s="762"/>
      <c r="T176" s="762"/>
      <c r="U176" s="762"/>
      <c r="V176" s="762"/>
      <c r="W176" s="762"/>
      <c r="X176" s="762"/>
      <c r="Y176" s="925"/>
      <c r="Z176" s="762"/>
      <c r="AA176" s="762"/>
      <c r="AB176" s="762"/>
      <c r="AC176" s="762"/>
      <c r="AD176" s="762"/>
      <c r="AE176" s="762"/>
      <c r="AF176" s="762"/>
      <c r="AG176" s="925"/>
      <c r="AH176" s="762"/>
      <c r="AI176" s="762"/>
      <c r="AJ176" s="762"/>
      <c r="AK176" s="762"/>
      <c r="AL176" s="762"/>
      <c r="AM176" s="762"/>
      <c r="AN176" s="762"/>
      <c r="AO176" s="925"/>
      <c r="AP176" s="762"/>
      <c r="AQ176" s="762"/>
      <c r="AR176" s="762"/>
      <c r="AS176" s="762"/>
      <c r="AT176" s="762"/>
      <c r="AU176" s="762"/>
      <c r="AV176" s="762"/>
      <c r="AW176" s="762"/>
      <c r="AX176" s="762"/>
      <c r="AY176" s="762"/>
      <c r="AZ176" s="762"/>
      <c r="BA176" s="762"/>
      <c r="BB176" s="762"/>
      <c r="BC176" s="762"/>
      <c r="BD176" s="762"/>
      <c r="BE176" s="762"/>
      <c r="BF176" s="762"/>
      <c r="BG176" s="762"/>
      <c r="BH176" s="762"/>
    </row>
    <row r="177" spans="1:60" s="49" customFormat="1">
      <c r="A177" s="767"/>
      <c r="B177" s="767"/>
      <c r="C177" s="762"/>
      <c r="D177" s="762"/>
      <c r="E177" s="762"/>
      <c r="F177" s="762"/>
      <c r="G177" s="762"/>
      <c r="H177" s="762"/>
      <c r="I177" s="925"/>
      <c r="J177" s="762"/>
      <c r="K177" s="762"/>
      <c r="L177" s="762"/>
      <c r="M177" s="762"/>
      <c r="N177" s="762"/>
      <c r="O177" s="762"/>
      <c r="P177" s="762"/>
      <c r="Q177" s="925"/>
      <c r="R177" s="762"/>
      <c r="S177" s="762"/>
      <c r="T177" s="762"/>
      <c r="U177" s="762"/>
      <c r="V177" s="762"/>
      <c r="W177" s="762"/>
      <c r="X177" s="762"/>
      <c r="Y177" s="925"/>
      <c r="Z177" s="762"/>
      <c r="AA177" s="762"/>
      <c r="AB177" s="762"/>
      <c r="AC177" s="762"/>
      <c r="AD177" s="762"/>
      <c r="AE177" s="762"/>
      <c r="AF177" s="762"/>
      <c r="AG177" s="925"/>
      <c r="AH177" s="762"/>
      <c r="AI177" s="762"/>
      <c r="AJ177" s="762"/>
      <c r="AK177" s="762"/>
      <c r="AL177" s="762"/>
      <c r="AM177" s="762"/>
      <c r="AN177" s="762"/>
      <c r="AO177" s="925"/>
      <c r="AP177" s="762"/>
      <c r="AQ177" s="762"/>
      <c r="AR177" s="762"/>
      <c r="AS177" s="762"/>
      <c r="AT177" s="762"/>
      <c r="AU177" s="762"/>
      <c r="AV177" s="762"/>
      <c r="AW177" s="762"/>
      <c r="AX177" s="762"/>
      <c r="AY177" s="762"/>
      <c r="AZ177" s="762"/>
      <c r="BA177" s="762"/>
      <c r="BB177" s="762"/>
      <c r="BC177" s="762"/>
      <c r="BD177" s="762"/>
      <c r="BE177" s="762"/>
      <c r="BF177" s="762"/>
      <c r="BG177" s="762"/>
      <c r="BH177" s="762"/>
    </row>
    <row r="178" spans="1:60" s="49" customFormat="1">
      <c r="A178" s="767"/>
      <c r="B178" s="767"/>
      <c r="C178" s="762"/>
      <c r="D178" s="762"/>
      <c r="E178" s="762"/>
      <c r="F178" s="762"/>
      <c r="G178" s="762"/>
      <c r="H178" s="762"/>
      <c r="I178" s="925"/>
      <c r="J178" s="762"/>
      <c r="K178" s="762"/>
      <c r="L178" s="762"/>
      <c r="M178" s="762"/>
      <c r="N178" s="762"/>
      <c r="O178" s="762"/>
      <c r="P178" s="762"/>
      <c r="Q178" s="925"/>
      <c r="R178" s="762"/>
      <c r="S178" s="762"/>
      <c r="T178" s="762"/>
      <c r="U178" s="762"/>
      <c r="V178" s="762"/>
      <c r="W178" s="762"/>
      <c r="X178" s="762"/>
      <c r="Y178" s="925"/>
      <c r="Z178" s="762"/>
      <c r="AA178" s="762"/>
      <c r="AB178" s="762"/>
      <c r="AC178" s="762"/>
      <c r="AD178" s="762"/>
      <c r="AE178" s="762"/>
      <c r="AF178" s="762"/>
      <c r="AG178" s="925"/>
      <c r="AH178" s="762"/>
      <c r="AI178" s="762"/>
      <c r="AJ178" s="762"/>
      <c r="AK178" s="762"/>
      <c r="AL178" s="762"/>
      <c r="AM178" s="762"/>
      <c r="AN178" s="762"/>
      <c r="AO178" s="925"/>
      <c r="AP178" s="762"/>
      <c r="AQ178" s="762"/>
      <c r="AR178" s="762"/>
      <c r="AS178" s="762"/>
      <c r="AT178" s="762"/>
      <c r="AU178" s="762"/>
      <c r="AV178" s="762"/>
      <c r="AW178" s="762"/>
      <c r="AX178" s="762"/>
      <c r="AY178" s="762"/>
      <c r="AZ178" s="762"/>
      <c r="BA178" s="762"/>
      <c r="BB178" s="762"/>
      <c r="BC178" s="762"/>
      <c r="BD178" s="762"/>
      <c r="BE178" s="762"/>
      <c r="BF178" s="762"/>
      <c r="BG178" s="762"/>
      <c r="BH178" s="762"/>
    </row>
    <row r="179" spans="1:60" s="49" customFormat="1">
      <c r="A179" s="767"/>
      <c r="B179" s="767"/>
      <c r="C179" s="762"/>
      <c r="D179" s="762"/>
      <c r="E179" s="762"/>
      <c r="F179" s="762"/>
      <c r="G179" s="762"/>
      <c r="H179" s="762"/>
      <c r="I179" s="925"/>
      <c r="J179" s="762"/>
      <c r="K179" s="762"/>
      <c r="L179" s="762"/>
      <c r="M179" s="762"/>
      <c r="N179" s="762"/>
      <c r="O179" s="762"/>
      <c r="P179" s="762"/>
      <c r="Q179" s="925"/>
      <c r="R179" s="762"/>
      <c r="S179" s="762"/>
      <c r="T179" s="762"/>
      <c r="U179" s="762"/>
      <c r="V179" s="762"/>
      <c r="W179" s="762"/>
      <c r="X179" s="762"/>
      <c r="Y179" s="925"/>
      <c r="Z179" s="762"/>
      <c r="AA179" s="762"/>
      <c r="AB179" s="762"/>
      <c r="AC179" s="762"/>
      <c r="AD179" s="762"/>
      <c r="AE179" s="762"/>
      <c r="AF179" s="762"/>
      <c r="AG179" s="925"/>
      <c r="AH179" s="762"/>
      <c r="AI179" s="762"/>
      <c r="AJ179" s="762"/>
      <c r="AK179" s="762"/>
      <c r="AL179" s="762"/>
      <c r="AM179" s="762"/>
      <c r="AN179" s="762"/>
      <c r="AO179" s="925"/>
      <c r="AP179" s="762"/>
      <c r="AQ179" s="762"/>
      <c r="AR179" s="762"/>
      <c r="AS179" s="762"/>
      <c r="AT179" s="762"/>
      <c r="AU179" s="762"/>
      <c r="AV179" s="762"/>
      <c r="AW179" s="762"/>
      <c r="AX179" s="762"/>
      <c r="AY179" s="762"/>
      <c r="AZ179" s="762"/>
      <c r="BA179" s="762"/>
      <c r="BB179" s="762"/>
      <c r="BC179" s="762"/>
      <c r="BD179" s="762"/>
      <c r="BE179" s="762"/>
      <c r="BF179" s="762"/>
      <c r="BG179" s="762"/>
      <c r="BH179" s="762"/>
    </row>
    <row r="180" spans="1:60" s="49" customFormat="1">
      <c r="A180" s="767"/>
      <c r="B180" s="767"/>
      <c r="C180" s="762"/>
      <c r="D180" s="762"/>
      <c r="E180" s="762"/>
      <c r="F180" s="762"/>
      <c r="G180" s="762"/>
      <c r="H180" s="762"/>
      <c r="I180" s="925"/>
      <c r="J180" s="762"/>
      <c r="K180" s="762"/>
      <c r="L180" s="762"/>
      <c r="M180" s="762"/>
      <c r="N180" s="762"/>
      <c r="O180" s="762"/>
      <c r="P180" s="762"/>
      <c r="Q180" s="925"/>
      <c r="R180" s="762"/>
      <c r="S180" s="762"/>
      <c r="T180" s="762"/>
      <c r="U180" s="762"/>
      <c r="V180" s="762"/>
      <c r="W180" s="762"/>
      <c r="X180" s="762"/>
      <c r="Y180" s="925"/>
      <c r="Z180" s="762"/>
      <c r="AA180" s="762"/>
      <c r="AB180" s="762"/>
      <c r="AC180" s="762"/>
      <c r="AD180" s="762"/>
      <c r="AE180" s="762"/>
      <c r="AF180" s="762"/>
      <c r="AG180" s="925"/>
      <c r="AH180" s="762"/>
      <c r="AI180" s="762"/>
      <c r="AJ180" s="762"/>
      <c r="AK180" s="762"/>
      <c r="AL180" s="762"/>
      <c r="AM180" s="762"/>
      <c r="AN180" s="762"/>
      <c r="AO180" s="925"/>
      <c r="AP180" s="762"/>
      <c r="AQ180" s="762"/>
      <c r="AR180" s="762"/>
      <c r="AS180" s="762"/>
      <c r="AT180" s="762"/>
      <c r="AU180" s="762"/>
      <c r="AV180" s="762"/>
      <c r="AW180" s="762"/>
      <c r="AX180" s="762"/>
      <c r="AY180" s="762"/>
      <c r="AZ180" s="762"/>
      <c r="BA180" s="762"/>
      <c r="BB180" s="762"/>
      <c r="BC180" s="762"/>
      <c r="BD180" s="762"/>
      <c r="BE180" s="762"/>
      <c r="BF180" s="762"/>
      <c r="BG180" s="762"/>
      <c r="BH180" s="762"/>
    </row>
    <row r="181" spans="1:60" s="49" customFormat="1">
      <c r="A181" s="767"/>
      <c r="B181" s="767"/>
      <c r="C181" s="762"/>
      <c r="D181" s="762"/>
      <c r="E181" s="762"/>
      <c r="F181" s="762"/>
      <c r="G181" s="762"/>
      <c r="H181" s="762"/>
      <c r="I181" s="925"/>
      <c r="J181" s="762"/>
      <c r="K181" s="762"/>
      <c r="L181" s="762"/>
      <c r="M181" s="762"/>
      <c r="N181" s="762"/>
      <c r="O181" s="762"/>
      <c r="P181" s="762"/>
      <c r="Q181" s="925"/>
      <c r="R181" s="762"/>
      <c r="S181" s="762"/>
      <c r="T181" s="762"/>
      <c r="U181" s="762"/>
      <c r="V181" s="762"/>
      <c r="W181" s="762"/>
      <c r="X181" s="762"/>
      <c r="Y181" s="925"/>
      <c r="Z181" s="762"/>
      <c r="AA181" s="762"/>
      <c r="AB181" s="762"/>
      <c r="AC181" s="762"/>
      <c r="AD181" s="762"/>
      <c r="AE181" s="762"/>
      <c r="AF181" s="762"/>
      <c r="AG181" s="925"/>
      <c r="AH181" s="762"/>
      <c r="AI181" s="762"/>
      <c r="AJ181" s="762"/>
      <c r="AK181" s="762"/>
      <c r="AL181" s="762"/>
      <c r="AM181" s="762"/>
      <c r="AN181" s="762"/>
      <c r="AO181" s="925"/>
      <c r="AP181" s="762"/>
      <c r="AQ181" s="762"/>
      <c r="AR181" s="762"/>
      <c r="AS181" s="762"/>
      <c r="AT181" s="762"/>
      <c r="AU181" s="762"/>
      <c r="AV181" s="762"/>
      <c r="AW181" s="762"/>
      <c r="AX181" s="762"/>
      <c r="AY181" s="762"/>
      <c r="AZ181" s="762"/>
      <c r="BA181" s="762"/>
      <c r="BB181" s="762"/>
      <c r="BC181" s="762"/>
      <c r="BD181" s="762"/>
      <c r="BE181" s="762"/>
      <c r="BF181" s="762"/>
      <c r="BG181" s="762"/>
      <c r="BH181" s="762"/>
    </row>
    <row r="182" spans="1:60" s="49" customFormat="1">
      <c r="A182" s="767"/>
      <c r="B182" s="767"/>
      <c r="C182" s="762"/>
      <c r="D182" s="762"/>
      <c r="E182" s="762"/>
      <c r="F182" s="762"/>
      <c r="G182" s="762"/>
      <c r="H182" s="762"/>
      <c r="I182" s="925"/>
      <c r="J182" s="762"/>
      <c r="K182" s="762"/>
      <c r="L182" s="762"/>
      <c r="M182" s="762"/>
      <c r="N182" s="762"/>
      <c r="O182" s="762"/>
      <c r="P182" s="762"/>
      <c r="Q182" s="925"/>
      <c r="R182" s="762"/>
      <c r="S182" s="762"/>
      <c r="T182" s="762"/>
      <c r="U182" s="762"/>
      <c r="V182" s="762"/>
      <c r="W182" s="762"/>
      <c r="X182" s="762"/>
      <c r="Y182" s="925"/>
      <c r="Z182" s="762"/>
      <c r="AA182" s="762"/>
      <c r="AB182" s="762"/>
      <c r="AC182" s="762"/>
      <c r="AD182" s="762"/>
      <c r="AE182" s="762"/>
      <c r="AF182" s="762"/>
      <c r="AG182" s="925"/>
      <c r="AH182" s="762"/>
      <c r="AI182" s="762"/>
      <c r="AJ182" s="762"/>
      <c r="AK182" s="762"/>
      <c r="AL182" s="762"/>
      <c r="AM182" s="762"/>
      <c r="AN182" s="762"/>
      <c r="AO182" s="925"/>
      <c r="AP182" s="762"/>
      <c r="AQ182" s="762"/>
      <c r="AR182" s="762"/>
      <c r="AS182" s="762"/>
      <c r="AT182" s="762"/>
      <c r="AU182" s="762"/>
      <c r="AV182" s="762"/>
      <c r="AW182" s="762"/>
      <c r="AX182" s="762"/>
      <c r="AY182" s="762"/>
      <c r="AZ182" s="762"/>
      <c r="BA182" s="762"/>
      <c r="BB182" s="762"/>
      <c r="BC182" s="762"/>
      <c r="BD182" s="762"/>
      <c r="BE182" s="762"/>
      <c r="BF182" s="762"/>
      <c r="BG182" s="762"/>
      <c r="BH182" s="762"/>
    </row>
    <row r="183" spans="1:60" s="49" customFormat="1">
      <c r="A183" s="767"/>
      <c r="B183" s="767"/>
      <c r="C183" s="762"/>
      <c r="D183" s="762"/>
      <c r="E183" s="762"/>
      <c r="F183" s="762"/>
      <c r="G183" s="762"/>
      <c r="H183" s="762"/>
      <c r="I183" s="925"/>
      <c r="J183" s="762"/>
      <c r="K183" s="762"/>
      <c r="L183" s="762"/>
      <c r="M183" s="762"/>
      <c r="N183" s="762"/>
      <c r="O183" s="762"/>
      <c r="P183" s="762"/>
      <c r="Q183" s="925"/>
      <c r="R183" s="762"/>
      <c r="S183" s="762"/>
      <c r="T183" s="762"/>
      <c r="U183" s="762"/>
      <c r="V183" s="762"/>
      <c r="W183" s="762"/>
      <c r="X183" s="762"/>
      <c r="Y183" s="925"/>
      <c r="Z183" s="762"/>
      <c r="AA183" s="762"/>
      <c r="AB183" s="762"/>
      <c r="AC183" s="762"/>
      <c r="AD183" s="762"/>
      <c r="AE183" s="762"/>
      <c r="AF183" s="762"/>
      <c r="AG183" s="925"/>
      <c r="AH183" s="762"/>
      <c r="AI183" s="762"/>
      <c r="AJ183" s="762"/>
      <c r="AK183" s="762"/>
      <c r="AL183" s="762"/>
      <c r="AM183" s="762"/>
      <c r="AN183" s="762"/>
      <c r="AO183" s="925"/>
      <c r="AP183" s="762"/>
      <c r="AQ183" s="762"/>
      <c r="AR183" s="762"/>
      <c r="AS183" s="762"/>
      <c r="AT183" s="762"/>
      <c r="AU183" s="762"/>
      <c r="AV183" s="762"/>
      <c r="AW183" s="762"/>
      <c r="AX183" s="762"/>
      <c r="AY183" s="762"/>
      <c r="AZ183" s="762"/>
      <c r="BA183" s="762"/>
      <c r="BB183" s="762"/>
      <c r="BC183" s="762"/>
      <c r="BD183" s="762"/>
      <c r="BE183" s="762"/>
      <c r="BF183" s="762"/>
      <c r="BG183" s="762"/>
      <c r="BH183" s="762"/>
    </row>
    <row r="184" spans="1:60" s="49" customFormat="1">
      <c r="A184" s="767"/>
      <c r="B184" s="767"/>
      <c r="C184" s="762"/>
      <c r="D184" s="762"/>
      <c r="E184" s="762"/>
      <c r="F184" s="762"/>
      <c r="G184" s="762"/>
      <c r="H184" s="762"/>
      <c r="I184" s="925"/>
      <c r="J184" s="762"/>
      <c r="K184" s="762"/>
      <c r="L184" s="762"/>
      <c r="M184" s="762"/>
      <c r="N184" s="762"/>
      <c r="O184" s="762"/>
      <c r="P184" s="762"/>
      <c r="Q184" s="925"/>
      <c r="R184" s="762"/>
      <c r="S184" s="762"/>
      <c r="T184" s="762"/>
      <c r="U184" s="762"/>
      <c r="V184" s="762"/>
      <c r="W184" s="762"/>
      <c r="X184" s="762"/>
      <c r="Y184" s="925"/>
      <c r="Z184" s="762"/>
      <c r="AA184" s="762"/>
      <c r="AB184" s="762"/>
      <c r="AC184" s="762"/>
      <c r="AD184" s="762"/>
      <c r="AE184" s="762"/>
      <c r="AF184" s="762"/>
      <c r="AG184" s="925"/>
      <c r="AH184" s="762"/>
      <c r="AI184" s="762"/>
      <c r="AJ184" s="762"/>
      <c r="AK184" s="762"/>
      <c r="AL184" s="762"/>
      <c r="AM184" s="762"/>
      <c r="AN184" s="762"/>
      <c r="AO184" s="925"/>
      <c r="AP184" s="762"/>
      <c r="AQ184" s="762"/>
      <c r="AR184" s="762"/>
      <c r="AS184" s="762"/>
      <c r="AT184" s="762"/>
      <c r="AU184" s="762"/>
      <c r="AV184" s="762"/>
      <c r="AW184" s="762"/>
      <c r="AX184" s="762"/>
      <c r="AY184" s="762"/>
      <c r="AZ184" s="762"/>
      <c r="BA184" s="762"/>
      <c r="BB184" s="762"/>
      <c r="BC184" s="762"/>
      <c r="BD184" s="762"/>
      <c r="BE184" s="762"/>
      <c r="BF184" s="762"/>
      <c r="BG184" s="762"/>
      <c r="BH184" s="762"/>
    </row>
    <row r="185" spans="1:60" s="49" customFormat="1">
      <c r="A185" s="767"/>
      <c r="B185" s="767"/>
      <c r="C185" s="762"/>
      <c r="D185" s="762"/>
      <c r="E185" s="762"/>
      <c r="F185" s="762"/>
      <c r="G185" s="762"/>
      <c r="H185" s="762"/>
      <c r="I185" s="925"/>
      <c r="J185" s="762"/>
      <c r="K185" s="762"/>
      <c r="L185" s="762"/>
      <c r="M185" s="762"/>
      <c r="N185" s="762"/>
      <c r="O185" s="762"/>
      <c r="P185" s="762"/>
      <c r="Q185" s="925"/>
      <c r="R185" s="762"/>
      <c r="S185" s="762"/>
      <c r="T185" s="762"/>
      <c r="U185" s="762"/>
      <c r="V185" s="762"/>
      <c r="W185" s="762"/>
      <c r="X185" s="762"/>
      <c r="Y185" s="925"/>
      <c r="Z185" s="762"/>
      <c r="AA185" s="762"/>
      <c r="AB185" s="762"/>
      <c r="AC185" s="762"/>
      <c r="AD185" s="762"/>
      <c r="AE185" s="762"/>
      <c r="AF185" s="762"/>
      <c r="AG185" s="925"/>
      <c r="AH185" s="762"/>
      <c r="AI185" s="762"/>
      <c r="AJ185" s="762"/>
      <c r="AK185" s="762"/>
      <c r="AL185" s="762"/>
      <c r="AM185" s="762"/>
      <c r="AN185" s="762"/>
      <c r="AO185" s="925"/>
      <c r="AP185" s="762"/>
      <c r="AQ185" s="762"/>
      <c r="AR185" s="762"/>
      <c r="AS185" s="762"/>
      <c r="AT185" s="762"/>
      <c r="AU185" s="762"/>
      <c r="AV185" s="762"/>
      <c r="AW185" s="762"/>
      <c r="AX185" s="762"/>
      <c r="AY185" s="762"/>
      <c r="AZ185" s="762"/>
      <c r="BA185" s="762"/>
      <c r="BB185" s="762"/>
      <c r="BC185" s="762"/>
      <c r="BD185" s="762"/>
      <c r="BE185" s="762"/>
      <c r="BF185" s="762"/>
      <c r="BG185" s="762"/>
      <c r="BH185" s="762"/>
    </row>
    <row r="186" spans="1:60" s="49" customFormat="1">
      <c r="A186" s="767"/>
      <c r="B186" s="767"/>
      <c r="C186" s="762"/>
      <c r="D186" s="762"/>
      <c r="E186" s="762"/>
      <c r="F186" s="762"/>
      <c r="G186" s="762"/>
      <c r="H186" s="762"/>
      <c r="I186" s="925"/>
      <c r="J186" s="762"/>
      <c r="K186" s="762"/>
      <c r="L186" s="762"/>
      <c r="M186" s="762"/>
      <c r="N186" s="762"/>
      <c r="O186" s="762"/>
      <c r="P186" s="762"/>
      <c r="Q186" s="925"/>
      <c r="R186" s="762"/>
      <c r="S186" s="762"/>
      <c r="T186" s="762"/>
      <c r="U186" s="762"/>
      <c r="V186" s="762"/>
      <c r="W186" s="762"/>
      <c r="X186" s="762"/>
      <c r="Y186" s="925"/>
      <c r="Z186" s="762"/>
      <c r="AA186" s="762"/>
      <c r="AB186" s="762"/>
      <c r="AC186" s="762"/>
      <c r="AD186" s="762"/>
      <c r="AE186" s="762"/>
      <c r="AF186" s="762"/>
      <c r="AG186" s="925"/>
      <c r="AH186" s="762"/>
      <c r="AI186" s="762"/>
      <c r="AJ186" s="762"/>
      <c r="AK186" s="762"/>
      <c r="AL186" s="762"/>
      <c r="AM186" s="762"/>
      <c r="AN186" s="762"/>
      <c r="AO186" s="925"/>
      <c r="AP186" s="762"/>
      <c r="AQ186" s="762"/>
      <c r="AR186" s="762"/>
      <c r="AS186" s="762"/>
      <c r="AT186" s="762"/>
      <c r="AU186" s="762"/>
      <c r="AV186" s="762"/>
      <c r="AW186" s="762"/>
      <c r="AX186" s="762"/>
      <c r="AY186" s="762"/>
      <c r="AZ186" s="762"/>
      <c r="BA186" s="762"/>
      <c r="BB186" s="762"/>
      <c r="BC186" s="762"/>
      <c r="BD186" s="762"/>
      <c r="BE186" s="762"/>
      <c r="BF186" s="762"/>
      <c r="BG186" s="762"/>
      <c r="BH186" s="762"/>
    </row>
    <row r="187" spans="1:60" s="49" customFormat="1">
      <c r="A187" s="767"/>
      <c r="B187" s="767"/>
      <c r="C187" s="762"/>
      <c r="D187" s="762"/>
      <c r="E187" s="762"/>
      <c r="F187" s="762"/>
      <c r="G187" s="762"/>
      <c r="H187" s="762"/>
      <c r="I187" s="925"/>
      <c r="J187" s="762"/>
      <c r="K187" s="762"/>
      <c r="L187" s="762"/>
      <c r="M187" s="762"/>
      <c r="N187" s="762"/>
      <c r="O187" s="762"/>
      <c r="P187" s="762"/>
      <c r="Q187" s="925"/>
      <c r="R187" s="762"/>
      <c r="S187" s="762"/>
      <c r="T187" s="762"/>
      <c r="U187" s="762"/>
      <c r="V187" s="762"/>
      <c r="W187" s="762"/>
      <c r="X187" s="762"/>
      <c r="Y187" s="925"/>
      <c r="Z187" s="762"/>
      <c r="AA187" s="762"/>
      <c r="AB187" s="762"/>
      <c r="AC187" s="762"/>
      <c r="AD187" s="762"/>
      <c r="AE187" s="762"/>
      <c r="AF187" s="762"/>
      <c r="AG187" s="925"/>
      <c r="AH187" s="762"/>
      <c r="AI187" s="762"/>
      <c r="AJ187" s="762"/>
      <c r="AK187" s="762"/>
      <c r="AL187" s="762"/>
      <c r="AM187" s="762"/>
      <c r="AN187" s="762"/>
      <c r="AO187" s="925"/>
      <c r="AP187" s="762"/>
      <c r="AQ187" s="762"/>
      <c r="AR187" s="762"/>
      <c r="AS187" s="762"/>
      <c r="AT187" s="762"/>
      <c r="AU187" s="762"/>
      <c r="AV187" s="762"/>
      <c r="AW187" s="762"/>
      <c r="AX187" s="762"/>
      <c r="AY187" s="762"/>
      <c r="AZ187" s="762"/>
      <c r="BA187" s="762"/>
      <c r="BB187" s="762"/>
      <c r="BC187" s="762"/>
      <c r="BD187" s="762"/>
      <c r="BE187" s="762"/>
      <c r="BF187" s="762"/>
      <c r="BG187" s="762"/>
      <c r="BH187" s="762"/>
    </row>
    <row r="188" spans="1:60" s="49" customFormat="1">
      <c r="A188" s="767"/>
      <c r="B188" s="767"/>
      <c r="C188" s="762"/>
      <c r="D188" s="762"/>
      <c r="E188" s="762"/>
      <c r="F188" s="762"/>
      <c r="G188" s="762"/>
      <c r="H188" s="762"/>
      <c r="I188" s="925"/>
      <c r="J188" s="762"/>
      <c r="K188" s="762"/>
      <c r="L188" s="762"/>
      <c r="M188" s="762"/>
      <c r="N188" s="762"/>
      <c r="O188" s="762"/>
      <c r="P188" s="762"/>
      <c r="Q188" s="925"/>
      <c r="R188" s="762"/>
      <c r="S188" s="762"/>
      <c r="T188" s="762"/>
      <c r="U188" s="762"/>
      <c r="V188" s="762"/>
      <c r="W188" s="762"/>
      <c r="X188" s="762"/>
      <c r="Y188" s="925"/>
      <c r="Z188" s="762"/>
      <c r="AA188" s="762"/>
      <c r="AB188" s="762"/>
      <c r="AC188" s="762"/>
      <c r="AD188" s="762"/>
      <c r="AE188" s="762"/>
      <c r="AF188" s="762"/>
      <c r="AG188" s="925"/>
      <c r="AH188" s="762"/>
      <c r="AI188" s="762"/>
      <c r="AJ188" s="762"/>
      <c r="AK188" s="762"/>
      <c r="AL188" s="762"/>
      <c r="AM188" s="762"/>
      <c r="AN188" s="762"/>
      <c r="AO188" s="925"/>
      <c r="AP188" s="762"/>
      <c r="AQ188" s="762"/>
      <c r="AR188" s="762"/>
      <c r="AS188" s="762"/>
      <c r="AT188" s="762"/>
      <c r="AU188" s="762"/>
      <c r="AV188" s="762"/>
      <c r="AW188" s="762"/>
      <c r="AX188" s="762"/>
      <c r="AY188" s="762"/>
      <c r="AZ188" s="762"/>
      <c r="BA188" s="762"/>
      <c r="BB188" s="762"/>
      <c r="BC188" s="762"/>
      <c r="BD188" s="762"/>
      <c r="BE188" s="762"/>
      <c r="BF188" s="762"/>
      <c r="BG188" s="762"/>
      <c r="BH188" s="762"/>
    </row>
    <row r="189" spans="1:60" s="49" customFormat="1">
      <c r="A189" s="767"/>
      <c r="B189" s="767"/>
      <c r="C189" s="762"/>
      <c r="D189" s="762"/>
      <c r="E189" s="762"/>
      <c r="F189" s="762"/>
      <c r="G189" s="762"/>
      <c r="H189" s="762"/>
      <c r="I189" s="925"/>
      <c r="J189" s="762"/>
      <c r="K189" s="762"/>
      <c r="L189" s="762"/>
      <c r="M189" s="762"/>
      <c r="N189" s="762"/>
      <c r="O189" s="762"/>
      <c r="P189" s="762"/>
      <c r="Q189" s="925"/>
      <c r="R189" s="762"/>
      <c r="S189" s="762"/>
      <c r="T189" s="762"/>
      <c r="U189" s="762"/>
      <c r="V189" s="762"/>
      <c r="W189" s="762"/>
      <c r="X189" s="762"/>
      <c r="Y189" s="925"/>
      <c r="Z189" s="762"/>
      <c r="AA189" s="762"/>
      <c r="AB189" s="762"/>
      <c r="AC189" s="762"/>
      <c r="AD189" s="762"/>
      <c r="AE189" s="762"/>
      <c r="AF189" s="762"/>
      <c r="AG189" s="925"/>
      <c r="AH189" s="762"/>
      <c r="AI189" s="762"/>
      <c r="AJ189" s="762"/>
      <c r="AK189" s="762"/>
      <c r="AL189" s="762"/>
      <c r="AM189" s="762"/>
      <c r="AN189" s="762"/>
      <c r="AO189" s="925"/>
      <c r="AP189" s="762"/>
      <c r="AQ189" s="762"/>
      <c r="AR189" s="762"/>
      <c r="AS189" s="762"/>
      <c r="AT189" s="762"/>
      <c r="AU189" s="762"/>
      <c r="AV189" s="762"/>
      <c r="AW189" s="762"/>
      <c r="AX189" s="762"/>
      <c r="AY189" s="762"/>
      <c r="AZ189" s="762"/>
      <c r="BA189" s="762"/>
      <c r="BB189" s="762"/>
      <c r="BC189" s="762"/>
      <c r="BD189" s="762"/>
      <c r="BE189" s="762"/>
      <c r="BF189" s="762"/>
      <c r="BG189" s="762"/>
      <c r="BH189" s="762"/>
    </row>
    <row r="190" spans="1:60" s="49" customFormat="1">
      <c r="A190" s="767"/>
      <c r="B190" s="767"/>
      <c r="C190" s="762"/>
      <c r="D190" s="762"/>
      <c r="E190" s="762"/>
      <c r="F190" s="762"/>
      <c r="G190" s="762"/>
      <c r="H190" s="762"/>
      <c r="I190" s="925"/>
      <c r="J190" s="762"/>
      <c r="K190" s="762"/>
      <c r="L190" s="762"/>
      <c r="M190" s="762"/>
      <c r="N190" s="762"/>
      <c r="O190" s="762"/>
      <c r="P190" s="762"/>
      <c r="Q190" s="925"/>
      <c r="R190" s="762"/>
      <c r="S190" s="762"/>
      <c r="T190" s="762"/>
      <c r="U190" s="762"/>
      <c r="V190" s="762"/>
      <c r="W190" s="762"/>
      <c r="X190" s="762"/>
      <c r="Y190" s="925"/>
      <c r="Z190" s="762"/>
      <c r="AA190" s="762"/>
      <c r="AB190" s="762"/>
      <c r="AC190" s="762"/>
      <c r="AD190" s="762"/>
      <c r="AE190" s="762"/>
      <c r="AF190" s="762"/>
      <c r="AG190" s="925"/>
      <c r="AH190" s="762"/>
      <c r="AI190" s="762"/>
      <c r="AJ190" s="762"/>
      <c r="AK190" s="762"/>
      <c r="AL190" s="762"/>
      <c r="AM190" s="762"/>
      <c r="AN190" s="762"/>
      <c r="AO190" s="925"/>
      <c r="AP190" s="762"/>
      <c r="AQ190" s="762"/>
      <c r="AR190" s="762"/>
      <c r="AS190" s="762"/>
      <c r="AT190" s="762"/>
      <c r="AU190" s="762"/>
      <c r="AV190" s="762"/>
      <c r="AW190" s="762"/>
      <c r="AX190" s="762"/>
      <c r="AY190" s="762"/>
      <c r="AZ190" s="762"/>
      <c r="BA190" s="762"/>
      <c r="BB190" s="762"/>
      <c r="BC190" s="762"/>
      <c r="BD190" s="762"/>
      <c r="BE190" s="762"/>
      <c r="BF190" s="762"/>
      <c r="BG190" s="762"/>
      <c r="BH190" s="762"/>
    </row>
    <row r="191" spans="1:60" s="49" customFormat="1">
      <c r="A191" s="767"/>
      <c r="B191" s="767"/>
      <c r="C191" s="762"/>
      <c r="D191" s="762"/>
      <c r="E191" s="762"/>
      <c r="F191" s="762"/>
      <c r="G191" s="762"/>
      <c r="H191" s="762"/>
      <c r="I191" s="925"/>
      <c r="J191" s="762"/>
      <c r="K191" s="762"/>
      <c r="L191" s="762"/>
      <c r="M191" s="762"/>
      <c r="N191" s="762"/>
      <c r="O191" s="762"/>
      <c r="P191" s="762"/>
      <c r="Q191" s="925"/>
      <c r="R191" s="762"/>
      <c r="S191" s="762"/>
      <c r="T191" s="762"/>
      <c r="U191" s="762"/>
      <c r="V191" s="762"/>
      <c r="W191" s="762"/>
      <c r="X191" s="762"/>
      <c r="Y191" s="925"/>
      <c r="Z191" s="762"/>
      <c r="AA191" s="762"/>
      <c r="AB191" s="762"/>
      <c r="AC191" s="762"/>
      <c r="AD191" s="762"/>
      <c r="AE191" s="762"/>
      <c r="AF191" s="762"/>
      <c r="AG191" s="925"/>
      <c r="AH191" s="762"/>
      <c r="AI191" s="762"/>
      <c r="AJ191" s="762"/>
      <c r="AK191" s="762"/>
      <c r="AL191" s="762"/>
      <c r="AM191" s="762"/>
      <c r="AN191" s="762"/>
      <c r="AO191" s="925"/>
      <c r="AP191" s="762"/>
      <c r="AQ191" s="762"/>
      <c r="AR191" s="762"/>
      <c r="AS191" s="762"/>
      <c r="AT191" s="762"/>
      <c r="AU191" s="762"/>
      <c r="AV191" s="762"/>
      <c r="AW191" s="762"/>
      <c r="AX191" s="762"/>
      <c r="AY191" s="762"/>
      <c r="AZ191" s="762"/>
      <c r="BA191" s="762"/>
      <c r="BB191" s="762"/>
      <c r="BC191" s="762"/>
      <c r="BD191" s="762"/>
      <c r="BE191" s="762"/>
      <c r="BF191" s="762"/>
      <c r="BG191" s="762"/>
      <c r="BH191" s="762"/>
    </row>
    <row r="192" spans="1:60" s="49" customFormat="1">
      <c r="A192" s="767"/>
      <c r="B192" s="767"/>
      <c r="C192" s="762"/>
      <c r="D192" s="762"/>
      <c r="E192" s="762"/>
      <c r="F192" s="762"/>
      <c r="G192" s="762"/>
      <c r="H192" s="762"/>
      <c r="I192" s="925"/>
      <c r="J192" s="762"/>
      <c r="K192" s="762"/>
      <c r="L192" s="762"/>
      <c r="M192" s="762"/>
      <c r="N192" s="762"/>
      <c r="O192" s="762"/>
      <c r="P192" s="762"/>
      <c r="Q192" s="925"/>
      <c r="R192" s="762"/>
      <c r="S192" s="762"/>
      <c r="T192" s="762"/>
      <c r="U192" s="762"/>
      <c r="V192" s="762"/>
      <c r="W192" s="762"/>
      <c r="X192" s="762"/>
      <c r="Y192" s="925"/>
      <c r="Z192" s="762"/>
      <c r="AA192" s="762"/>
      <c r="AB192" s="762"/>
      <c r="AC192" s="762"/>
      <c r="AD192" s="762"/>
      <c r="AE192" s="762"/>
      <c r="AF192" s="762"/>
      <c r="AG192" s="925"/>
      <c r="AH192" s="762"/>
      <c r="AI192" s="762"/>
      <c r="AJ192" s="762"/>
      <c r="AK192" s="762"/>
      <c r="AL192" s="762"/>
      <c r="AM192" s="762"/>
      <c r="AN192" s="762"/>
      <c r="AO192" s="925"/>
      <c r="AP192" s="762"/>
      <c r="AQ192" s="762"/>
      <c r="AR192" s="762"/>
      <c r="AS192" s="762"/>
      <c r="AT192" s="762"/>
      <c r="AU192" s="762"/>
      <c r="AV192" s="762"/>
      <c r="AW192" s="762"/>
      <c r="AX192" s="762"/>
      <c r="AY192" s="762"/>
      <c r="AZ192" s="762"/>
      <c r="BA192" s="762"/>
      <c r="BB192" s="762"/>
      <c r="BC192" s="762"/>
      <c r="BD192" s="762"/>
      <c r="BE192" s="762"/>
      <c r="BF192" s="762"/>
      <c r="BG192" s="762"/>
      <c r="BH192" s="762"/>
    </row>
    <row r="193" spans="1:60" s="49" customFormat="1">
      <c r="A193" s="767"/>
      <c r="B193" s="767"/>
      <c r="C193" s="762"/>
      <c r="D193" s="762"/>
      <c r="E193" s="762"/>
      <c r="F193" s="762"/>
      <c r="G193" s="762"/>
      <c r="H193" s="762"/>
      <c r="I193" s="925"/>
      <c r="J193" s="762"/>
      <c r="K193" s="762"/>
      <c r="L193" s="762"/>
      <c r="M193" s="762"/>
      <c r="N193" s="762"/>
      <c r="O193" s="762"/>
      <c r="P193" s="762"/>
      <c r="Q193" s="925"/>
      <c r="R193" s="762"/>
      <c r="S193" s="762"/>
      <c r="T193" s="762"/>
      <c r="U193" s="762"/>
      <c r="V193" s="762"/>
      <c r="W193" s="762"/>
      <c r="X193" s="762"/>
      <c r="Y193" s="925"/>
      <c r="Z193" s="762"/>
      <c r="AA193" s="762"/>
      <c r="AB193" s="762"/>
      <c r="AC193" s="762"/>
      <c r="AD193" s="762"/>
      <c r="AE193" s="762"/>
      <c r="AF193" s="762"/>
      <c r="AG193" s="925"/>
      <c r="AH193" s="762"/>
      <c r="AI193" s="762"/>
      <c r="AJ193" s="762"/>
      <c r="AK193" s="762"/>
      <c r="AL193" s="762"/>
      <c r="AM193" s="762"/>
      <c r="AN193" s="762"/>
      <c r="AO193" s="925"/>
      <c r="AP193" s="762"/>
      <c r="AQ193" s="762"/>
      <c r="AR193" s="762"/>
      <c r="AS193" s="762"/>
      <c r="AT193" s="762"/>
      <c r="AU193" s="762"/>
      <c r="AV193" s="762"/>
      <c r="AW193" s="762"/>
      <c r="AX193" s="762"/>
      <c r="AY193" s="762"/>
      <c r="AZ193" s="762"/>
      <c r="BA193" s="762"/>
      <c r="BB193" s="762"/>
      <c r="BC193" s="762"/>
      <c r="BD193" s="762"/>
      <c r="BE193" s="762"/>
      <c r="BF193" s="762"/>
      <c r="BG193" s="762"/>
      <c r="BH193" s="762"/>
    </row>
    <row r="194" spans="1:60" s="49" customFormat="1">
      <c r="A194" s="767"/>
      <c r="B194" s="767"/>
      <c r="C194" s="762"/>
      <c r="D194" s="762"/>
      <c r="E194" s="762"/>
      <c r="F194" s="762"/>
      <c r="G194" s="762"/>
      <c r="H194" s="762"/>
      <c r="I194" s="925"/>
      <c r="J194" s="762"/>
      <c r="K194" s="762"/>
      <c r="L194" s="762"/>
      <c r="M194" s="762"/>
      <c r="N194" s="762"/>
      <c r="O194" s="762"/>
      <c r="P194" s="762"/>
      <c r="Q194" s="925"/>
      <c r="R194" s="762"/>
      <c r="S194" s="762"/>
      <c r="T194" s="762"/>
      <c r="U194" s="762"/>
      <c r="V194" s="762"/>
      <c r="W194" s="762"/>
      <c r="X194" s="762"/>
      <c r="Y194" s="925"/>
      <c r="Z194" s="762"/>
      <c r="AA194" s="762"/>
      <c r="AB194" s="762"/>
      <c r="AC194" s="762"/>
      <c r="AD194" s="762"/>
      <c r="AE194" s="762"/>
      <c r="AF194" s="762"/>
      <c r="AG194" s="925"/>
      <c r="AH194" s="762"/>
      <c r="AI194" s="762"/>
      <c r="AJ194" s="762"/>
      <c r="AK194" s="762"/>
      <c r="AL194" s="762"/>
      <c r="AM194" s="762"/>
      <c r="AN194" s="762"/>
      <c r="AO194" s="925"/>
      <c r="AP194" s="762"/>
      <c r="AQ194" s="762"/>
      <c r="AR194" s="762"/>
      <c r="AS194" s="762"/>
      <c r="AT194" s="762"/>
      <c r="AU194" s="762"/>
      <c r="AV194" s="762"/>
      <c r="AW194" s="762"/>
      <c r="AX194" s="762"/>
      <c r="AY194" s="762"/>
      <c r="AZ194" s="762"/>
      <c r="BA194" s="762"/>
      <c r="BB194" s="762"/>
      <c r="BC194" s="762"/>
      <c r="BD194" s="762"/>
      <c r="BE194" s="762"/>
      <c r="BF194" s="762"/>
      <c r="BG194" s="762"/>
      <c r="BH194" s="762"/>
    </row>
    <row r="195" spans="1:60" s="49" customFormat="1">
      <c r="A195" s="767"/>
      <c r="B195" s="767"/>
      <c r="C195" s="762"/>
      <c r="D195" s="762"/>
      <c r="E195" s="762"/>
      <c r="F195" s="762"/>
      <c r="G195" s="762"/>
      <c r="H195" s="762"/>
      <c r="I195" s="925"/>
      <c r="J195" s="762"/>
      <c r="K195" s="762"/>
      <c r="L195" s="762"/>
      <c r="M195" s="762"/>
      <c r="N195" s="762"/>
      <c r="O195" s="762"/>
      <c r="P195" s="762"/>
      <c r="Q195" s="925"/>
      <c r="R195" s="762"/>
      <c r="S195" s="762"/>
      <c r="T195" s="762"/>
      <c r="U195" s="762"/>
      <c r="V195" s="762"/>
      <c r="W195" s="762"/>
      <c r="X195" s="762"/>
      <c r="Y195" s="925"/>
      <c r="Z195" s="762"/>
      <c r="AA195" s="762"/>
      <c r="AB195" s="762"/>
      <c r="AC195" s="762"/>
      <c r="AD195" s="762"/>
      <c r="AE195" s="762"/>
      <c r="AF195" s="762"/>
      <c r="AG195" s="925"/>
      <c r="AH195" s="762"/>
      <c r="AI195" s="762"/>
      <c r="AJ195" s="762"/>
      <c r="AK195" s="762"/>
      <c r="AL195" s="762"/>
      <c r="AM195" s="762"/>
      <c r="AN195" s="762"/>
      <c r="AO195" s="925"/>
      <c r="AP195" s="762"/>
      <c r="AQ195" s="762"/>
      <c r="AR195" s="762"/>
      <c r="AS195" s="762"/>
      <c r="AT195" s="762"/>
      <c r="AU195" s="762"/>
      <c r="AV195" s="762"/>
      <c r="AW195" s="762"/>
      <c r="AX195" s="762"/>
      <c r="AY195" s="762"/>
      <c r="AZ195" s="762"/>
      <c r="BA195" s="762"/>
      <c r="BB195" s="762"/>
      <c r="BC195" s="762"/>
      <c r="BD195" s="762"/>
      <c r="BE195" s="762"/>
      <c r="BF195" s="762"/>
      <c r="BG195" s="762"/>
      <c r="BH195" s="762"/>
    </row>
    <row r="196" spans="1:60" s="49" customFormat="1">
      <c r="A196" s="767"/>
      <c r="B196" s="767"/>
      <c r="C196" s="762"/>
      <c r="D196" s="762"/>
      <c r="E196" s="762"/>
      <c r="F196" s="762"/>
      <c r="G196" s="762"/>
      <c r="H196" s="762"/>
      <c r="I196" s="925"/>
      <c r="J196" s="762"/>
      <c r="K196" s="762"/>
      <c r="L196" s="762"/>
      <c r="M196" s="762"/>
      <c r="N196" s="762"/>
      <c r="O196" s="762"/>
      <c r="P196" s="762"/>
      <c r="Q196" s="925"/>
      <c r="R196" s="762"/>
      <c r="S196" s="762"/>
      <c r="T196" s="762"/>
      <c r="U196" s="762"/>
      <c r="V196" s="762"/>
      <c r="W196" s="762"/>
      <c r="X196" s="762"/>
      <c r="Y196" s="925"/>
      <c r="Z196" s="762"/>
      <c r="AA196" s="762"/>
      <c r="AB196" s="762"/>
      <c r="AC196" s="762"/>
      <c r="AD196" s="762"/>
      <c r="AE196" s="762"/>
      <c r="AF196" s="762"/>
      <c r="AG196" s="925"/>
      <c r="AH196" s="762"/>
      <c r="AI196" s="762"/>
      <c r="AJ196" s="762"/>
      <c r="AK196" s="762"/>
      <c r="AL196" s="762"/>
      <c r="AM196" s="762"/>
      <c r="AN196" s="762"/>
      <c r="AO196" s="925"/>
      <c r="AP196" s="762"/>
      <c r="AQ196" s="762"/>
      <c r="AR196" s="762"/>
      <c r="AS196" s="762"/>
      <c r="AT196" s="762"/>
      <c r="AU196" s="762"/>
      <c r="AV196" s="762"/>
      <c r="AW196" s="762"/>
      <c r="AX196" s="762"/>
      <c r="AY196" s="762"/>
      <c r="AZ196" s="762"/>
      <c r="BA196" s="762"/>
      <c r="BB196" s="762"/>
      <c r="BC196" s="762"/>
      <c r="BD196" s="762"/>
      <c r="BE196" s="762"/>
      <c r="BF196" s="762"/>
      <c r="BG196" s="762"/>
      <c r="BH196" s="762"/>
    </row>
    <row r="197" spans="1:60" s="49" customFormat="1">
      <c r="A197" s="767"/>
      <c r="B197" s="767"/>
      <c r="C197" s="762"/>
      <c r="D197" s="762"/>
      <c r="E197" s="762"/>
      <c r="F197" s="762"/>
      <c r="G197" s="762"/>
      <c r="H197" s="762"/>
      <c r="I197" s="925"/>
      <c r="J197" s="762"/>
      <c r="K197" s="762"/>
      <c r="L197" s="762"/>
      <c r="M197" s="762"/>
      <c r="N197" s="762"/>
      <c r="O197" s="762"/>
      <c r="P197" s="762"/>
      <c r="Q197" s="925"/>
      <c r="R197" s="762"/>
      <c r="S197" s="762"/>
      <c r="T197" s="762"/>
      <c r="U197" s="762"/>
      <c r="V197" s="762"/>
      <c r="W197" s="762"/>
      <c r="X197" s="762"/>
      <c r="Y197" s="925"/>
      <c r="Z197" s="762"/>
      <c r="AA197" s="762"/>
      <c r="AB197" s="762"/>
      <c r="AC197" s="762"/>
      <c r="AD197" s="762"/>
      <c r="AE197" s="762"/>
      <c r="AF197" s="762"/>
      <c r="AG197" s="925"/>
      <c r="AH197" s="762"/>
      <c r="AI197" s="762"/>
      <c r="AJ197" s="762"/>
      <c r="AK197" s="762"/>
      <c r="AL197" s="762"/>
      <c r="AM197" s="762"/>
      <c r="AN197" s="762"/>
      <c r="AO197" s="925"/>
      <c r="AP197" s="762"/>
      <c r="AQ197" s="762"/>
      <c r="AR197" s="762"/>
      <c r="AS197" s="762"/>
      <c r="AT197" s="762"/>
      <c r="AU197" s="762"/>
      <c r="AV197" s="762"/>
      <c r="AW197" s="762"/>
      <c r="AX197" s="762"/>
      <c r="AY197" s="762"/>
      <c r="AZ197" s="762"/>
      <c r="BA197" s="762"/>
      <c r="BB197" s="762"/>
      <c r="BC197" s="762"/>
      <c r="BD197" s="762"/>
      <c r="BE197" s="762"/>
      <c r="BF197" s="762"/>
      <c r="BG197" s="762"/>
      <c r="BH197" s="762"/>
    </row>
    <row r="198" spans="1:60" s="49" customFormat="1">
      <c r="A198" s="767"/>
      <c r="B198" s="767"/>
      <c r="C198" s="762"/>
      <c r="D198" s="762"/>
      <c r="E198" s="762"/>
      <c r="F198" s="762"/>
      <c r="G198" s="762"/>
      <c r="H198" s="762"/>
      <c r="I198" s="925"/>
      <c r="J198" s="762"/>
      <c r="K198" s="762"/>
      <c r="L198" s="762"/>
      <c r="M198" s="762"/>
      <c r="N198" s="762"/>
      <c r="O198" s="762"/>
      <c r="P198" s="762"/>
      <c r="Q198" s="925"/>
      <c r="R198" s="762"/>
      <c r="S198" s="762"/>
      <c r="T198" s="762"/>
      <c r="U198" s="762"/>
      <c r="V198" s="762"/>
      <c r="W198" s="762"/>
      <c r="X198" s="762"/>
      <c r="Y198" s="925"/>
      <c r="Z198" s="762"/>
      <c r="AA198" s="762"/>
      <c r="AB198" s="762"/>
      <c r="AC198" s="762"/>
      <c r="AD198" s="762"/>
      <c r="AE198" s="762"/>
      <c r="AF198" s="762"/>
      <c r="AG198" s="925"/>
      <c r="AH198" s="762"/>
      <c r="AI198" s="762"/>
      <c r="AJ198" s="762"/>
      <c r="AK198" s="762"/>
      <c r="AL198" s="762"/>
      <c r="AM198" s="762"/>
      <c r="AN198" s="762"/>
      <c r="AO198" s="925"/>
      <c r="AP198" s="762"/>
      <c r="AQ198" s="762"/>
      <c r="AR198" s="762"/>
      <c r="AS198" s="762"/>
      <c r="AT198" s="762"/>
      <c r="AU198" s="762"/>
      <c r="AV198" s="762"/>
      <c r="AW198" s="762"/>
      <c r="AX198" s="762"/>
      <c r="AY198" s="762"/>
      <c r="AZ198" s="762"/>
      <c r="BA198" s="762"/>
      <c r="BB198" s="762"/>
      <c r="BC198" s="762"/>
      <c r="BD198" s="762"/>
      <c r="BE198" s="762"/>
      <c r="BF198" s="762"/>
      <c r="BG198" s="762"/>
      <c r="BH198" s="762"/>
    </row>
    <row r="199" spans="1:60" s="49" customFormat="1">
      <c r="A199" s="767"/>
      <c r="B199" s="767"/>
      <c r="C199" s="762"/>
      <c r="D199" s="762"/>
      <c r="E199" s="762"/>
      <c r="F199" s="762"/>
      <c r="G199" s="762"/>
      <c r="H199" s="762"/>
      <c r="I199" s="925"/>
      <c r="J199" s="762"/>
      <c r="K199" s="762"/>
      <c r="L199" s="762"/>
      <c r="M199" s="762"/>
      <c r="N199" s="762"/>
      <c r="O199" s="762"/>
      <c r="P199" s="762"/>
      <c r="Q199" s="925"/>
      <c r="R199" s="762"/>
      <c r="S199" s="762"/>
      <c r="T199" s="762"/>
      <c r="U199" s="762"/>
      <c r="V199" s="762"/>
      <c r="W199" s="762"/>
      <c r="X199" s="762"/>
      <c r="Y199" s="925"/>
      <c r="Z199" s="762"/>
      <c r="AA199" s="762"/>
      <c r="AB199" s="762"/>
      <c r="AC199" s="762"/>
      <c r="AD199" s="762"/>
      <c r="AE199" s="762"/>
      <c r="AF199" s="762"/>
      <c r="AG199" s="925"/>
      <c r="AH199" s="762"/>
      <c r="AI199" s="762"/>
      <c r="AJ199" s="762"/>
      <c r="AK199" s="762"/>
      <c r="AL199" s="762"/>
      <c r="AM199" s="762"/>
      <c r="AN199" s="762"/>
      <c r="AO199" s="925"/>
      <c r="AP199" s="762"/>
      <c r="AQ199" s="762"/>
      <c r="AR199" s="762"/>
      <c r="AS199" s="762"/>
      <c r="AT199" s="762"/>
      <c r="AU199" s="762"/>
      <c r="AV199" s="762"/>
      <c r="AW199" s="762"/>
      <c r="AX199" s="762"/>
      <c r="AY199" s="762"/>
      <c r="AZ199" s="762"/>
      <c r="BA199" s="762"/>
      <c r="BB199" s="762"/>
      <c r="BC199" s="762"/>
      <c r="BD199" s="762"/>
      <c r="BE199" s="762"/>
      <c r="BF199" s="762"/>
      <c r="BG199" s="762"/>
      <c r="BH199" s="762"/>
    </row>
    <row r="200" spans="1:60" s="49" customFormat="1">
      <c r="A200" s="767"/>
      <c r="B200" s="767"/>
      <c r="C200" s="762"/>
      <c r="D200" s="762"/>
      <c r="E200" s="762"/>
      <c r="F200" s="762"/>
      <c r="G200" s="762"/>
      <c r="H200" s="762"/>
      <c r="I200" s="925"/>
      <c r="J200" s="762"/>
      <c r="K200" s="762"/>
      <c r="L200" s="762"/>
      <c r="M200" s="762"/>
      <c r="N200" s="762"/>
      <c r="O200" s="762"/>
      <c r="P200" s="762"/>
      <c r="Q200" s="925"/>
      <c r="R200" s="762"/>
      <c r="S200" s="762"/>
      <c r="T200" s="762"/>
      <c r="U200" s="762"/>
      <c r="V200" s="762"/>
      <c r="W200" s="762"/>
      <c r="X200" s="762"/>
      <c r="Y200" s="925"/>
      <c r="Z200" s="762"/>
      <c r="AA200" s="762"/>
      <c r="AB200" s="762"/>
      <c r="AC200" s="762"/>
      <c r="AD200" s="762"/>
      <c r="AE200" s="762"/>
      <c r="AF200" s="762"/>
      <c r="AG200" s="925"/>
      <c r="AH200" s="762"/>
      <c r="AI200" s="762"/>
      <c r="AJ200" s="762"/>
      <c r="AK200" s="762"/>
      <c r="AL200" s="762"/>
      <c r="AM200" s="762"/>
      <c r="AN200" s="762"/>
      <c r="AO200" s="925"/>
      <c r="AP200" s="762"/>
      <c r="AQ200" s="762"/>
      <c r="AR200" s="762"/>
      <c r="AS200" s="762"/>
      <c r="AT200" s="762"/>
      <c r="AU200" s="762"/>
      <c r="AV200" s="762"/>
      <c r="AW200" s="762"/>
      <c r="AX200" s="762"/>
      <c r="AY200" s="762"/>
      <c r="AZ200" s="762"/>
      <c r="BA200" s="762"/>
      <c r="BB200" s="762"/>
      <c r="BC200" s="762"/>
      <c r="BD200" s="762"/>
      <c r="BE200" s="762"/>
      <c r="BF200" s="762"/>
      <c r="BG200" s="762"/>
      <c r="BH200" s="762"/>
    </row>
    <row r="201" spans="1:60" s="49" customFormat="1">
      <c r="A201" s="767"/>
      <c r="B201" s="767"/>
      <c r="C201" s="762"/>
      <c r="D201" s="762"/>
      <c r="E201" s="762"/>
      <c r="F201" s="762"/>
      <c r="G201" s="762"/>
      <c r="H201" s="762"/>
      <c r="I201" s="925"/>
      <c r="J201" s="762"/>
      <c r="K201" s="762"/>
      <c r="L201" s="762"/>
      <c r="M201" s="762"/>
      <c r="N201" s="762"/>
      <c r="O201" s="762"/>
      <c r="P201" s="762"/>
      <c r="Q201" s="925"/>
      <c r="R201" s="762"/>
      <c r="S201" s="762"/>
      <c r="T201" s="762"/>
      <c r="U201" s="762"/>
      <c r="V201" s="762"/>
      <c r="W201" s="762"/>
      <c r="X201" s="762"/>
      <c r="Y201" s="925"/>
      <c r="Z201" s="762"/>
      <c r="AA201" s="762"/>
      <c r="AB201" s="762"/>
      <c r="AC201" s="762"/>
      <c r="AD201" s="762"/>
      <c r="AE201" s="762"/>
      <c r="AF201" s="762"/>
      <c r="AG201" s="925"/>
      <c r="AH201" s="762"/>
      <c r="AI201" s="762"/>
      <c r="AJ201" s="762"/>
      <c r="AK201" s="762"/>
      <c r="AL201" s="762"/>
      <c r="AM201" s="762"/>
      <c r="AN201" s="762"/>
      <c r="AO201" s="925"/>
      <c r="AP201" s="762"/>
      <c r="AQ201" s="762"/>
      <c r="AR201" s="762"/>
      <c r="AS201" s="762"/>
      <c r="AT201" s="762"/>
      <c r="AU201" s="762"/>
      <c r="AV201" s="762"/>
      <c r="AW201" s="762"/>
      <c r="AX201" s="762"/>
      <c r="AY201" s="762"/>
      <c r="AZ201" s="762"/>
      <c r="BA201" s="762"/>
      <c r="BB201" s="762"/>
      <c r="BC201" s="762"/>
      <c r="BD201" s="762"/>
      <c r="BE201" s="762"/>
      <c r="BF201" s="762"/>
      <c r="BG201" s="762"/>
      <c r="BH201" s="762"/>
    </row>
    <row r="202" spans="1:60" s="49" customFormat="1">
      <c r="A202" s="767"/>
      <c r="B202" s="767"/>
      <c r="C202" s="762"/>
      <c r="D202" s="762"/>
      <c r="E202" s="762"/>
      <c r="F202" s="762"/>
      <c r="G202" s="762"/>
      <c r="H202" s="762"/>
      <c r="I202" s="925"/>
      <c r="J202" s="762"/>
      <c r="K202" s="762"/>
      <c r="L202" s="762"/>
      <c r="M202" s="762"/>
      <c r="N202" s="762"/>
      <c r="O202" s="762"/>
      <c r="P202" s="762"/>
      <c r="Q202" s="925"/>
      <c r="R202" s="762"/>
      <c r="S202" s="762"/>
      <c r="T202" s="762"/>
      <c r="U202" s="762"/>
      <c r="V202" s="762"/>
      <c r="W202" s="762"/>
      <c r="X202" s="762"/>
      <c r="Y202" s="925"/>
      <c r="Z202" s="762"/>
      <c r="AA202" s="762"/>
      <c r="AB202" s="762"/>
      <c r="AC202" s="762"/>
      <c r="AD202" s="762"/>
      <c r="AE202" s="762"/>
      <c r="AF202" s="762"/>
      <c r="AG202" s="925"/>
      <c r="AH202" s="762"/>
      <c r="AI202" s="762"/>
      <c r="AJ202" s="762"/>
      <c r="AK202" s="762"/>
      <c r="AL202" s="762"/>
      <c r="AM202" s="762"/>
      <c r="AN202" s="762"/>
      <c r="AO202" s="925"/>
      <c r="AP202" s="762"/>
      <c r="AQ202" s="762"/>
      <c r="AR202" s="762"/>
      <c r="AS202" s="762"/>
      <c r="AT202" s="762"/>
      <c r="AU202" s="762"/>
      <c r="AV202" s="762"/>
      <c r="AW202" s="762"/>
      <c r="AX202" s="762"/>
      <c r="AY202" s="762"/>
      <c r="AZ202" s="762"/>
      <c r="BA202" s="762"/>
      <c r="BB202" s="762"/>
      <c r="BC202" s="762"/>
      <c r="BD202" s="762"/>
      <c r="BE202" s="762"/>
      <c r="BF202" s="762"/>
      <c r="BG202" s="762"/>
      <c r="BH202" s="762"/>
    </row>
    <row r="203" spans="1:60" s="49" customFormat="1">
      <c r="A203" s="767"/>
      <c r="B203" s="767"/>
      <c r="C203" s="762"/>
      <c r="D203" s="762"/>
      <c r="E203" s="762"/>
      <c r="F203" s="762"/>
      <c r="G203" s="762"/>
      <c r="H203" s="762"/>
      <c r="I203" s="925"/>
      <c r="J203" s="762"/>
      <c r="K203" s="762"/>
      <c r="L203" s="762"/>
      <c r="M203" s="762"/>
      <c r="N203" s="762"/>
      <c r="O203" s="762"/>
      <c r="P203" s="762"/>
      <c r="Q203" s="925"/>
      <c r="R203" s="762"/>
      <c r="S203" s="762"/>
      <c r="T203" s="762"/>
      <c r="U203" s="762"/>
      <c r="V203" s="762"/>
      <c r="W203" s="762"/>
      <c r="X203" s="762"/>
      <c r="Y203" s="925"/>
      <c r="Z203" s="762"/>
      <c r="AA203" s="762"/>
      <c r="AB203" s="762"/>
      <c r="AC203" s="762"/>
      <c r="AD203" s="762"/>
      <c r="AE203" s="762"/>
      <c r="AF203" s="762"/>
      <c r="AG203" s="925"/>
      <c r="AH203" s="762"/>
      <c r="AI203" s="762"/>
      <c r="AJ203" s="762"/>
      <c r="AK203" s="762"/>
      <c r="AL203" s="762"/>
      <c r="AM203" s="762"/>
      <c r="AN203" s="762"/>
      <c r="AO203" s="925"/>
      <c r="AP203" s="762"/>
      <c r="AQ203" s="762"/>
      <c r="AR203" s="762"/>
      <c r="AS203" s="762"/>
      <c r="AT203" s="762"/>
      <c r="AU203" s="762"/>
      <c r="AV203" s="762"/>
      <c r="AW203" s="762"/>
      <c r="AX203" s="762"/>
      <c r="AY203" s="762"/>
      <c r="AZ203" s="762"/>
      <c r="BA203" s="762"/>
      <c r="BB203" s="762"/>
      <c r="BC203" s="762"/>
      <c r="BD203" s="762"/>
      <c r="BE203" s="762"/>
      <c r="BF203" s="762"/>
      <c r="BG203" s="762"/>
      <c r="BH203" s="762"/>
    </row>
    <row r="204" spans="1:60" s="49" customFormat="1">
      <c r="A204" s="767"/>
      <c r="B204" s="767"/>
      <c r="C204" s="762"/>
      <c r="D204" s="762"/>
      <c r="E204" s="762"/>
      <c r="F204" s="762"/>
      <c r="G204" s="762"/>
      <c r="H204" s="762"/>
      <c r="I204" s="925"/>
      <c r="J204" s="762"/>
      <c r="K204" s="762"/>
      <c r="L204" s="762"/>
      <c r="M204" s="762"/>
      <c r="N204" s="762"/>
      <c r="O204" s="762"/>
      <c r="P204" s="762"/>
      <c r="Q204" s="925"/>
      <c r="R204" s="762"/>
      <c r="S204" s="762"/>
      <c r="T204" s="762"/>
      <c r="U204" s="762"/>
      <c r="V204" s="762"/>
      <c r="W204" s="762"/>
      <c r="X204" s="762"/>
      <c r="Y204" s="925"/>
      <c r="Z204" s="762"/>
      <c r="AA204" s="762"/>
      <c r="AB204" s="762"/>
      <c r="AC204" s="762"/>
      <c r="AD204" s="762"/>
      <c r="AE204" s="762"/>
      <c r="AF204" s="762"/>
      <c r="AG204" s="925"/>
      <c r="AH204" s="762"/>
      <c r="AI204" s="762"/>
      <c r="AJ204" s="762"/>
      <c r="AK204" s="762"/>
      <c r="AL204" s="762"/>
      <c r="AM204" s="762"/>
      <c r="AN204" s="762"/>
      <c r="AO204" s="925"/>
      <c r="AP204" s="762"/>
      <c r="AQ204" s="762"/>
      <c r="AR204" s="762"/>
      <c r="AS204" s="762"/>
      <c r="AT204" s="762"/>
      <c r="AU204" s="762"/>
      <c r="AV204" s="762"/>
      <c r="AW204" s="762"/>
      <c r="AX204" s="762"/>
      <c r="AY204" s="762"/>
      <c r="AZ204" s="762"/>
      <c r="BA204" s="762"/>
      <c r="BB204" s="762"/>
      <c r="BC204" s="762"/>
      <c r="BD204" s="762"/>
      <c r="BE204" s="762"/>
      <c r="BF204" s="762"/>
      <c r="BG204" s="762"/>
      <c r="BH204" s="762"/>
    </row>
    <row r="205" spans="1:60" s="49" customFormat="1">
      <c r="A205" s="767"/>
      <c r="B205" s="767"/>
      <c r="C205" s="762"/>
      <c r="D205" s="762"/>
      <c r="E205" s="762"/>
      <c r="F205" s="762"/>
      <c r="G205" s="762"/>
      <c r="H205" s="762"/>
      <c r="I205" s="925"/>
      <c r="J205" s="762"/>
      <c r="K205" s="762"/>
      <c r="L205" s="762"/>
      <c r="M205" s="762"/>
      <c r="N205" s="762"/>
      <c r="O205" s="762"/>
      <c r="P205" s="762"/>
      <c r="Q205" s="925"/>
      <c r="R205" s="762"/>
      <c r="S205" s="762"/>
      <c r="T205" s="762"/>
      <c r="U205" s="762"/>
      <c r="V205" s="762"/>
      <c r="W205" s="762"/>
      <c r="X205" s="762"/>
      <c r="Y205" s="925"/>
      <c r="Z205" s="762"/>
      <c r="AA205" s="762"/>
      <c r="AB205" s="762"/>
      <c r="AC205" s="762"/>
      <c r="AD205" s="762"/>
      <c r="AE205" s="762"/>
      <c r="AF205" s="762"/>
      <c r="AG205" s="925"/>
      <c r="AH205" s="762"/>
      <c r="AI205" s="762"/>
      <c r="AJ205" s="762"/>
      <c r="AK205" s="762"/>
      <c r="AL205" s="762"/>
      <c r="AM205" s="762"/>
      <c r="AN205" s="762"/>
      <c r="AO205" s="925"/>
      <c r="AP205" s="762"/>
      <c r="AQ205" s="762"/>
      <c r="AR205" s="762"/>
      <c r="AS205" s="762"/>
      <c r="AT205" s="762"/>
      <c r="AU205" s="762"/>
      <c r="AV205" s="762"/>
      <c r="AW205" s="762"/>
      <c r="AX205" s="762"/>
      <c r="AY205" s="762"/>
      <c r="AZ205" s="762"/>
      <c r="BA205" s="762"/>
      <c r="BB205" s="762"/>
      <c r="BC205" s="762"/>
      <c r="BD205" s="762"/>
      <c r="BE205" s="762"/>
      <c r="BF205" s="762"/>
      <c r="BG205" s="762"/>
      <c r="BH205" s="762"/>
    </row>
    <row r="206" spans="1:60" s="49" customFormat="1">
      <c r="A206" s="767"/>
      <c r="B206" s="767"/>
      <c r="C206" s="762"/>
      <c r="D206" s="762"/>
      <c r="E206" s="762"/>
      <c r="F206" s="762"/>
      <c r="G206" s="762"/>
      <c r="H206" s="762"/>
      <c r="I206" s="925"/>
      <c r="J206" s="762"/>
      <c r="K206" s="762"/>
      <c r="L206" s="762"/>
      <c r="M206" s="762"/>
      <c r="N206" s="762"/>
      <c r="O206" s="762"/>
      <c r="P206" s="762"/>
      <c r="Q206" s="925"/>
      <c r="R206" s="762"/>
      <c r="S206" s="762"/>
      <c r="T206" s="762"/>
      <c r="U206" s="762"/>
      <c r="V206" s="762"/>
      <c r="W206" s="762"/>
      <c r="X206" s="762"/>
      <c r="Y206" s="925"/>
      <c r="Z206" s="762"/>
      <c r="AA206" s="762"/>
      <c r="AB206" s="762"/>
      <c r="AC206" s="762"/>
      <c r="AD206" s="762"/>
      <c r="AE206" s="762"/>
      <c r="AF206" s="762"/>
      <c r="AG206" s="925"/>
      <c r="AH206" s="762"/>
      <c r="AI206" s="762"/>
      <c r="AJ206" s="762"/>
      <c r="AK206" s="762"/>
      <c r="AL206" s="762"/>
      <c r="AM206" s="762"/>
      <c r="AN206" s="762"/>
      <c r="AO206" s="925"/>
      <c r="AP206" s="762"/>
      <c r="AQ206" s="762"/>
      <c r="AR206" s="762"/>
      <c r="AS206" s="762"/>
      <c r="AT206" s="762"/>
      <c r="AU206" s="762"/>
      <c r="AV206" s="762"/>
      <c r="AW206" s="762"/>
      <c r="AX206" s="762"/>
      <c r="AY206" s="762"/>
      <c r="AZ206" s="762"/>
      <c r="BA206" s="762"/>
      <c r="BB206" s="762"/>
      <c r="BC206" s="762"/>
      <c r="BD206" s="762"/>
      <c r="BE206" s="762"/>
      <c r="BF206" s="762"/>
      <c r="BG206" s="762"/>
      <c r="BH206" s="762"/>
    </row>
    <row r="207" spans="1:60" s="49" customFormat="1">
      <c r="A207" s="767"/>
      <c r="B207" s="767"/>
      <c r="C207" s="762"/>
      <c r="D207" s="762"/>
      <c r="E207" s="762"/>
      <c r="F207" s="762"/>
      <c r="G207" s="762"/>
      <c r="H207" s="762"/>
      <c r="I207" s="925"/>
      <c r="J207" s="762"/>
      <c r="K207" s="762"/>
      <c r="L207" s="762"/>
      <c r="M207" s="762"/>
      <c r="N207" s="762"/>
      <c r="O207" s="762"/>
      <c r="P207" s="762"/>
      <c r="Q207" s="925"/>
      <c r="R207" s="762"/>
      <c r="S207" s="762"/>
      <c r="T207" s="762"/>
      <c r="U207" s="762"/>
      <c r="V207" s="762"/>
      <c r="W207" s="762"/>
      <c r="X207" s="762"/>
      <c r="Y207" s="925"/>
      <c r="Z207" s="762"/>
      <c r="AA207" s="762"/>
      <c r="AB207" s="762"/>
      <c r="AC207" s="762"/>
      <c r="AD207" s="762"/>
      <c r="AE207" s="762"/>
      <c r="AF207" s="762"/>
      <c r="AG207" s="925"/>
      <c r="AH207" s="762"/>
      <c r="AI207" s="762"/>
      <c r="AJ207" s="762"/>
      <c r="AK207" s="762"/>
      <c r="AL207" s="762"/>
      <c r="AM207" s="762"/>
      <c r="AN207" s="762"/>
      <c r="AO207" s="925"/>
      <c r="AP207" s="762"/>
      <c r="AQ207" s="762"/>
      <c r="AR207" s="762"/>
      <c r="AS207" s="762"/>
      <c r="AT207" s="762"/>
      <c r="AU207" s="762"/>
      <c r="AV207" s="762"/>
      <c r="AW207" s="762"/>
      <c r="AX207" s="762"/>
      <c r="AY207" s="762"/>
      <c r="AZ207" s="762"/>
      <c r="BA207" s="762"/>
      <c r="BB207" s="762"/>
      <c r="BC207" s="762"/>
      <c r="BD207" s="762"/>
      <c r="BE207" s="762"/>
      <c r="BF207" s="762"/>
      <c r="BG207" s="762"/>
      <c r="BH207" s="762"/>
    </row>
    <row r="208" spans="1:60" s="49" customFormat="1">
      <c r="A208" s="767"/>
      <c r="B208" s="767"/>
      <c r="C208" s="762"/>
      <c r="D208" s="762"/>
      <c r="E208" s="762"/>
      <c r="F208" s="762"/>
      <c r="G208" s="762"/>
      <c r="H208" s="762"/>
      <c r="I208" s="925"/>
      <c r="J208" s="762"/>
      <c r="K208" s="762"/>
      <c r="L208" s="762"/>
      <c r="M208" s="762"/>
      <c r="N208" s="762"/>
      <c r="O208" s="762"/>
      <c r="P208" s="762"/>
      <c r="Q208" s="925"/>
      <c r="R208" s="762"/>
      <c r="S208" s="762"/>
      <c r="T208" s="762"/>
      <c r="U208" s="762"/>
      <c r="V208" s="762"/>
      <c r="W208" s="762"/>
      <c r="X208" s="762"/>
      <c r="Y208" s="925"/>
      <c r="Z208" s="762"/>
      <c r="AA208" s="762"/>
      <c r="AB208" s="762"/>
      <c r="AC208" s="762"/>
      <c r="AD208" s="762"/>
      <c r="AE208" s="762"/>
      <c r="AF208" s="762"/>
      <c r="AG208" s="925"/>
      <c r="AH208" s="762"/>
      <c r="AI208" s="762"/>
      <c r="AJ208" s="762"/>
      <c r="AK208" s="762"/>
      <c r="AL208" s="762"/>
      <c r="AM208" s="762"/>
      <c r="AN208" s="762"/>
      <c r="AO208" s="925"/>
      <c r="AP208" s="762"/>
      <c r="AQ208" s="762"/>
      <c r="AR208" s="762"/>
      <c r="AS208" s="762"/>
      <c r="AT208" s="762"/>
      <c r="AU208" s="762"/>
      <c r="AV208" s="762"/>
      <c r="AW208" s="762"/>
      <c r="AX208" s="762"/>
      <c r="AY208" s="762"/>
      <c r="AZ208" s="762"/>
      <c r="BA208" s="762"/>
      <c r="BB208" s="762"/>
      <c r="BC208" s="762"/>
      <c r="BD208" s="762"/>
      <c r="BE208" s="762"/>
      <c r="BF208" s="762"/>
      <c r="BG208" s="762"/>
      <c r="BH208" s="762"/>
    </row>
    <row r="209" spans="1:60" s="49" customFormat="1">
      <c r="A209" s="767"/>
      <c r="B209" s="767"/>
      <c r="C209" s="762"/>
      <c r="D209" s="762"/>
      <c r="E209" s="762"/>
      <c r="F209" s="762"/>
      <c r="G209" s="762"/>
      <c r="H209" s="762"/>
      <c r="I209" s="925"/>
      <c r="J209" s="762"/>
      <c r="K209" s="762"/>
      <c r="L209" s="762"/>
      <c r="M209" s="762"/>
      <c r="N209" s="762"/>
      <c r="O209" s="762"/>
      <c r="P209" s="762"/>
      <c r="Q209" s="925"/>
      <c r="R209" s="762"/>
      <c r="S209" s="762"/>
      <c r="T209" s="762"/>
      <c r="U209" s="762"/>
      <c r="V209" s="762"/>
      <c r="W209" s="762"/>
      <c r="X209" s="762"/>
      <c r="Y209" s="925"/>
      <c r="Z209" s="762"/>
      <c r="AA209" s="762"/>
      <c r="AB209" s="762"/>
      <c r="AC209" s="762"/>
      <c r="AD209" s="762"/>
      <c r="AE209" s="762"/>
      <c r="AF209" s="762"/>
      <c r="AG209" s="925"/>
      <c r="AH209" s="762"/>
      <c r="AI209" s="762"/>
      <c r="AJ209" s="762"/>
      <c r="AK209" s="762"/>
      <c r="AL209" s="762"/>
      <c r="AM209" s="762"/>
      <c r="AN209" s="762"/>
      <c r="AO209" s="925"/>
      <c r="AP209" s="762"/>
      <c r="AQ209" s="762"/>
      <c r="AR209" s="762"/>
      <c r="AS209" s="762"/>
      <c r="AT209" s="762"/>
      <c r="AU209" s="762"/>
      <c r="AV209" s="762"/>
      <c r="AW209" s="762"/>
      <c r="AX209" s="762"/>
      <c r="AY209" s="762"/>
      <c r="AZ209" s="762"/>
      <c r="BA209" s="762"/>
      <c r="BB209" s="762"/>
      <c r="BC209" s="762"/>
      <c r="BD209" s="762"/>
      <c r="BE209" s="762"/>
      <c r="BF209" s="762"/>
      <c r="BG209" s="762"/>
      <c r="BH209" s="762"/>
    </row>
    <row r="210" spans="1:60" s="49" customFormat="1">
      <c r="A210" s="767"/>
      <c r="B210" s="767"/>
      <c r="C210" s="762"/>
      <c r="D210" s="762"/>
      <c r="E210" s="762"/>
      <c r="F210" s="762"/>
      <c r="G210" s="762"/>
      <c r="H210" s="762"/>
      <c r="I210" s="925"/>
      <c r="J210" s="762"/>
      <c r="K210" s="762"/>
      <c r="L210" s="762"/>
      <c r="M210" s="762"/>
      <c r="N210" s="762"/>
      <c r="O210" s="762"/>
      <c r="P210" s="762"/>
      <c r="Q210" s="925"/>
      <c r="R210" s="762"/>
      <c r="S210" s="762"/>
      <c r="T210" s="762"/>
      <c r="U210" s="762"/>
      <c r="V210" s="762"/>
      <c r="W210" s="762"/>
      <c r="X210" s="762"/>
      <c r="Y210" s="925"/>
      <c r="Z210" s="762"/>
      <c r="AA210" s="762"/>
      <c r="AB210" s="762"/>
      <c r="AC210" s="762"/>
      <c r="AD210" s="762"/>
      <c r="AE210" s="762"/>
      <c r="AF210" s="762"/>
      <c r="AG210" s="925"/>
      <c r="AH210" s="762"/>
      <c r="AI210" s="762"/>
      <c r="AJ210" s="762"/>
      <c r="AK210" s="762"/>
      <c r="AL210" s="762"/>
      <c r="AM210" s="762"/>
      <c r="AN210" s="762"/>
      <c r="AO210" s="925"/>
      <c r="AP210" s="762"/>
      <c r="AQ210" s="762"/>
      <c r="AR210" s="762"/>
      <c r="AS210" s="762"/>
      <c r="AT210" s="762"/>
      <c r="AU210" s="762"/>
      <c r="AV210" s="762"/>
      <c r="AW210" s="762"/>
      <c r="AX210" s="762"/>
      <c r="AY210" s="762"/>
      <c r="AZ210" s="762"/>
      <c r="BA210" s="762"/>
      <c r="BB210" s="762"/>
      <c r="BC210" s="762"/>
      <c r="BD210" s="762"/>
      <c r="BE210" s="762"/>
      <c r="BF210" s="762"/>
      <c r="BG210" s="762"/>
      <c r="BH210" s="762"/>
    </row>
    <row r="211" spans="1:60" s="49" customFormat="1">
      <c r="A211" s="767"/>
      <c r="B211" s="767"/>
      <c r="C211" s="762"/>
      <c r="D211" s="762"/>
      <c r="E211" s="762"/>
      <c r="F211" s="762"/>
      <c r="G211" s="762"/>
      <c r="H211" s="762"/>
      <c r="I211" s="925"/>
      <c r="J211" s="762"/>
      <c r="K211" s="762"/>
      <c r="L211" s="762"/>
      <c r="M211" s="762"/>
      <c r="N211" s="762"/>
      <c r="O211" s="762"/>
      <c r="P211" s="762"/>
      <c r="Q211" s="925"/>
      <c r="R211" s="762"/>
      <c r="S211" s="762"/>
      <c r="T211" s="762"/>
      <c r="U211" s="762"/>
      <c r="V211" s="762"/>
      <c r="W211" s="762"/>
      <c r="X211" s="762"/>
      <c r="Y211" s="925"/>
      <c r="Z211" s="762"/>
      <c r="AA211" s="762"/>
      <c r="AB211" s="762"/>
      <c r="AC211" s="762"/>
      <c r="AD211" s="762"/>
      <c r="AE211" s="762"/>
      <c r="AF211" s="762"/>
      <c r="AG211" s="925"/>
      <c r="AH211" s="762"/>
      <c r="AI211" s="762"/>
      <c r="AJ211" s="762"/>
      <c r="AK211" s="762"/>
      <c r="AL211" s="762"/>
      <c r="AM211" s="762"/>
      <c r="AN211" s="762"/>
      <c r="AO211" s="925"/>
      <c r="AP211" s="762"/>
      <c r="AQ211" s="762"/>
      <c r="AR211" s="762"/>
      <c r="AS211" s="762"/>
      <c r="AT211" s="762"/>
      <c r="AU211" s="762"/>
      <c r="AV211" s="762"/>
      <c r="AW211" s="762"/>
      <c r="AX211" s="762"/>
      <c r="AY211" s="762"/>
      <c r="AZ211" s="762"/>
      <c r="BA211" s="762"/>
      <c r="BB211" s="762"/>
      <c r="BC211" s="762"/>
      <c r="BD211" s="762"/>
      <c r="BE211" s="762"/>
      <c r="BF211" s="762"/>
      <c r="BG211" s="762"/>
      <c r="BH211" s="762"/>
    </row>
    <row r="212" spans="1:60" s="49" customFormat="1">
      <c r="A212" s="767"/>
      <c r="B212" s="767"/>
      <c r="C212" s="762"/>
      <c r="D212" s="762"/>
      <c r="E212" s="762"/>
      <c r="F212" s="762"/>
      <c r="G212" s="762"/>
      <c r="H212" s="762"/>
      <c r="I212" s="925"/>
      <c r="J212" s="762"/>
      <c r="K212" s="762"/>
      <c r="L212" s="762"/>
      <c r="M212" s="762"/>
      <c r="N212" s="762"/>
      <c r="O212" s="762"/>
      <c r="P212" s="762"/>
      <c r="Q212" s="925"/>
      <c r="R212" s="762"/>
      <c r="S212" s="762"/>
      <c r="T212" s="762"/>
      <c r="U212" s="762"/>
      <c r="V212" s="762"/>
      <c r="W212" s="762"/>
      <c r="X212" s="762"/>
      <c r="Y212" s="925"/>
      <c r="Z212" s="762"/>
      <c r="AA212" s="762"/>
      <c r="AB212" s="762"/>
      <c r="AC212" s="762"/>
      <c r="AD212" s="762"/>
      <c r="AE212" s="762"/>
      <c r="AF212" s="762"/>
      <c r="AG212" s="925"/>
      <c r="AH212" s="762"/>
      <c r="AI212" s="762"/>
      <c r="AJ212" s="762"/>
      <c r="AK212" s="762"/>
      <c r="AL212" s="762"/>
      <c r="AM212" s="762"/>
      <c r="AN212" s="762"/>
      <c r="AO212" s="925"/>
      <c r="AP212" s="762"/>
      <c r="AQ212" s="762"/>
      <c r="AR212" s="762"/>
      <c r="AS212" s="762"/>
      <c r="AT212" s="762"/>
      <c r="AU212" s="762"/>
      <c r="AV212" s="762"/>
      <c r="AW212" s="762"/>
      <c r="AX212" s="762"/>
      <c r="AY212" s="762"/>
      <c r="AZ212" s="762"/>
      <c r="BA212" s="762"/>
      <c r="BB212" s="762"/>
      <c r="BC212" s="762"/>
      <c r="BD212" s="762"/>
      <c r="BE212" s="762"/>
      <c r="BF212" s="762"/>
      <c r="BG212" s="762"/>
      <c r="BH212" s="762"/>
    </row>
    <row r="213" spans="1:60" s="49" customFormat="1">
      <c r="A213" s="767"/>
      <c r="B213" s="767"/>
      <c r="C213" s="762"/>
      <c r="D213" s="762"/>
      <c r="E213" s="762"/>
      <c r="F213" s="762"/>
      <c r="G213" s="762"/>
      <c r="H213" s="762"/>
      <c r="I213" s="925"/>
      <c r="J213" s="762"/>
      <c r="K213" s="762"/>
      <c r="L213" s="762"/>
      <c r="M213" s="762"/>
      <c r="N213" s="762"/>
      <c r="O213" s="762"/>
      <c r="P213" s="762"/>
      <c r="Q213" s="925"/>
      <c r="R213" s="762"/>
      <c r="S213" s="762"/>
      <c r="T213" s="762"/>
      <c r="U213" s="762"/>
      <c r="V213" s="762"/>
      <c r="W213" s="762"/>
      <c r="X213" s="762"/>
      <c r="Y213" s="925"/>
      <c r="Z213" s="762"/>
      <c r="AA213" s="762"/>
      <c r="AB213" s="762"/>
      <c r="AC213" s="762"/>
      <c r="AD213" s="762"/>
      <c r="AE213" s="762"/>
      <c r="AF213" s="762"/>
      <c r="AG213" s="925"/>
      <c r="AH213" s="762"/>
      <c r="AI213" s="762"/>
      <c r="AJ213" s="762"/>
      <c r="AK213" s="762"/>
      <c r="AL213" s="762"/>
      <c r="AM213" s="762"/>
      <c r="AN213" s="762"/>
      <c r="AO213" s="925"/>
      <c r="AP213" s="762"/>
      <c r="AQ213" s="762"/>
      <c r="AR213" s="762"/>
      <c r="AS213" s="762"/>
      <c r="AT213" s="762"/>
      <c r="AU213" s="762"/>
      <c r="AV213" s="762"/>
      <c r="AW213" s="762"/>
      <c r="AX213" s="762"/>
      <c r="AY213" s="762"/>
      <c r="AZ213" s="762"/>
      <c r="BA213" s="762"/>
      <c r="BB213" s="762"/>
      <c r="BC213" s="762"/>
      <c r="BD213" s="762"/>
      <c r="BE213" s="762"/>
      <c r="BF213" s="762"/>
      <c r="BG213" s="762"/>
      <c r="BH213" s="762"/>
    </row>
    <row r="214" spans="1:60" s="49" customFormat="1">
      <c r="A214" s="767"/>
      <c r="B214" s="767"/>
      <c r="C214" s="762"/>
      <c r="D214" s="762"/>
      <c r="E214" s="762"/>
      <c r="F214" s="762"/>
      <c r="G214" s="762"/>
      <c r="H214" s="762"/>
      <c r="I214" s="925"/>
      <c r="J214" s="762"/>
      <c r="K214" s="762"/>
      <c r="L214" s="762"/>
      <c r="M214" s="762"/>
      <c r="N214" s="762"/>
      <c r="O214" s="762"/>
      <c r="P214" s="762"/>
      <c r="Q214" s="925"/>
      <c r="R214" s="762"/>
      <c r="S214" s="762"/>
      <c r="T214" s="762"/>
      <c r="U214" s="762"/>
      <c r="V214" s="762"/>
      <c r="W214" s="762"/>
      <c r="X214" s="762"/>
      <c r="Y214" s="925"/>
      <c r="Z214" s="762"/>
      <c r="AA214" s="762"/>
      <c r="AB214" s="762"/>
      <c r="AC214" s="762"/>
      <c r="AD214" s="762"/>
      <c r="AE214" s="762"/>
      <c r="AF214" s="762"/>
      <c r="AG214" s="925"/>
      <c r="AH214" s="762"/>
      <c r="AI214" s="762"/>
      <c r="AJ214" s="762"/>
      <c r="AK214" s="762"/>
      <c r="AL214" s="762"/>
      <c r="AM214" s="762"/>
      <c r="AN214" s="762"/>
      <c r="AO214" s="925"/>
      <c r="AP214" s="762"/>
      <c r="AQ214" s="762"/>
      <c r="AR214" s="762"/>
      <c r="AS214" s="762"/>
      <c r="AT214" s="762"/>
      <c r="AU214" s="762"/>
      <c r="AV214" s="762"/>
      <c r="AW214" s="762"/>
      <c r="AX214" s="762"/>
      <c r="AY214" s="762"/>
      <c r="AZ214" s="762"/>
      <c r="BA214" s="762"/>
      <c r="BB214" s="762"/>
      <c r="BC214" s="762"/>
      <c r="BD214" s="762"/>
      <c r="BE214" s="762"/>
      <c r="BF214" s="762"/>
      <c r="BG214" s="762"/>
      <c r="BH214" s="762"/>
    </row>
    <row r="215" spans="1:60" s="49" customFormat="1">
      <c r="A215" s="767"/>
      <c r="B215" s="767"/>
      <c r="C215" s="762"/>
      <c r="D215" s="762"/>
      <c r="E215" s="762"/>
      <c r="F215" s="762"/>
      <c r="G215" s="762"/>
      <c r="H215" s="762"/>
      <c r="I215" s="925"/>
      <c r="J215" s="762"/>
      <c r="K215" s="762"/>
      <c r="L215" s="762"/>
      <c r="M215" s="762"/>
      <c r="N215" s="762"/>
      <c r="O215" s="762"/>
      <c r="P215" s="762"/>
      <c r="Q215" s="925"/>
      <c r="R215" s="762"/>
      <c r="S215" s="762"/>
      <c r="T215" s="762"/>
      <c r="U215" s="762"/>
      <c r="V215" s="762"/>
      <c r="W215" s="762"/>
      <c r="X215" s="762"/>
      <c r="Y215" s="925"/>
      <c r="Z215" s="762"/>
      <c r="AA215" s="762"/>
      <c r="AB215" s="762"/>
      <c r="AC215" s="762"/>
      <c r="AD215" s="762"/>
      <c r="AE215" s="762"/>
      <c r="AF215" s="762"/>
      <c r="AG215" s="925"/>
      <c r="AH215" s="762"/>
      <c r="AI215" s="762"/>
      <c r="AJ215" s="762"/>
      <c r="AK215" s="762"/>
      <c r="AL215" s="762"/>
      <c r="AM215" s="762"/>
      <c r="AN215" s="762"/>
      <c r="AO215" s="925"/>
      <c r="AP215" s="762"/>
      <c r="AQ215" s="762"/>
      <c r="AR215" s="762"/>
      <c r="AS215" s="762"/>
      <c r="AT215" s="762"/>
      <c r="AU215" s="762"/>
      <c r="AV215" s="762"/>
      <c r="AW215" s="762"/>
      <c r="AX215" s="762"/>
      <c r="AY215" s="762"/>
      <c r="AZ215" s="762"/>
      <c r="BA215" s="762"/>
      <c r="BB215" s="762"/>
      <c r="BC215" s="762"/>
      <c r="BD215" s="762"/>
      <c r="BE215" s="762"/>
      <c r="BF215" s="762"/>
      <c r="BG215" s="762"/>
      <c r="BH215" s="762"/>
    </row>
    <row r="216" spans="1:60" s="49" customFormat="1">
      <c r="A216" s="767"/>
      <c r="B216" s="767"/>
      <c r="C216" s="762"/>
      <c r="D216" s="762"/>
      <c r="E216" s="762"/>
      <c r="F216" s="762"/>
      <c r="G216" s="762"/>
      <c r="H216" s="762"/>
      <c r="I216" s="925"/>
      <c r="J216" s="762"/>
      <c r="K216" s="762"/>
      <c r="L216" s="762"/>
      <c r="M216" s="762"/>
      <c r="N216" s="762"/>
      <c r="O216" s="762"/>
      <c r="P216" s="762"/>
      <c r="Q216" s="925"/>
      <c r="R216" s="762"/>
      <c r="S216" s="762"/>
      <c r="T216" s="762"/>
      <c r="U216" s="762"/>
      <c r="V216" s="762"/>
      <c r="W216" s="762"/>
      <c r="X216" s="762"/>
      <c r="Y216" s="925"/>
      <c r="Z216" s="762"/>
      <c r="AA216" s="762"/>
      <c r="AB216" s="762"/>
      <c r="AC216" s="762"/>
      <c r="AD216" s="762"/>
      <c r="AE216" s="762"/>
      <c r="AF216" s="762"/>
      <c r="AG216" s="925"/>
      <c r="AH216" s="762"/>
      <c r="AI216" s="762"/>
      <c r="AJ216" s="762"/>
      <c r="AK216" s="762"/>
      <c r="AL216" s="762"/>
      <c r="AM216" s="762"/>
      <c r="AN216" s="762"/>
      <c r="AO216" s="925"/>
      <c r="AP216" s="762"/>
      <c r="AQ216" s="762"/>
      <c r="AR216" s="762"/>
      <c r="AS216" s="762"/>
      <c r="AT216" s="762"/>
      <c r="AU216" s="762"/>
      <c r="AV216" s="762"/>
      <c r="AW216" s="762"/>
      <c r="AX216" s="762"/>
      <c r="AY216" s="762"/>
      <c r="AZ216" s="762"/>
      <c r="BA216" s="762"/>
      <c r="BB216" s="762"/>
      <c r="BC216" s="762"/>
      <c r="BD216" s="762"/>
      <c r="BE216" s="762"/>
      <c r="BF216" s="762"/>
      <c r="BG216" s="762"/>
      <c r="BH216" s="762"/>
    </row>
    <row r="217" spans="1:60" s="49" customFormat="1">
      <c r="A217" s="767"/>
      <c r="B217" s="767"/>
      <c r="C217" s="762"/>
      <c r="D217" s="762"/>
      <c r="E217" s="762"/>
      <c r="F217" s="762"/>
      <c r="G217" s="762"/>
      <c r="H217" s="762"/>
      <c r="I217" s="925"/>
      <c r="J217" s="762"/>
      <c r="K217" s="762"/>
      <c r="L217" s="762"/>
      <c r="M217" s="762"/>
      <c r="N217" s="762"/>
      <c r="O217" s="762"/>
      <c r="P217" s="762"/>
      <c r="Q217" s="925"/>
      <c r="R217" s="762"/>
      <c r="S217" s="762"/>
      <c r="T217" s="762"/>
      <c r="U217" s="762"/>
      <c r="V217" s="762"/>
      <c r="W217" s="762"/>
      <c r="X217" s="762"/>
      <c r="Y217" s="925"/>
      <c r="Z217" s="762"/>
      <c r="AA217" s="762"/>
      <c r="AB217" s="762"/>
      <c r="AC217" s="762"/>
      <c r="AD217" s="762"/>
      <c r="AE217" s="762"/>
      <c r="AF217" s="762"/>
      <c r="AG217" s="925"/>
      <c r="AH217" s="762"/>
      <c r="AI217" s="762"/>
      <c r="AJ217" s="762"/>
      <c r="AK217" s="762"/>
      <c r="AL217" s="762"/>
      <c r="AM217" s="762"/>
      <c r="AN217" s="762"/>
      <c r="AO217" s="925"/>
      <c r="AP217" s="762"/>
      <c r="AQ217" s="762"/>
      <c r="AR217" s="762"/>
      <c r="AS217" s="762"/>
      <c r="AT217" s="762"/>
      <c r="AU217" s="762"/>
      <c r="AV217" s="762"/>
      <c r="AW217" s="762"/>
      <c r="AX217" s="762"/>
      <c r="AY217" s="762"/>
      <c r="AZ217" s="762"/>
      <c r="BA217" s="762"/>
      <c r="BB217" s="762"/>
      <c r="BC217" s="762"/>
      <c r="BD217" s="762"/>
      <c r="BE217" s="762"/>
      <c r="BF217" s="762"/>
      <c r="BG217" s="762"/>
      <c r="BH217" s="762"/>
    </row>
    <row r="218" spans="1:60" s="49" customFormat="1">
      <c r="A218" s="767"/>
      <c r="B218" s="767"/>
      <c r="C218" s="762"/>
      <c r="D218" s="762"/>
      <c r="E218" s="762"/>
      <c r="F218" s="762"/>
      <c r="G218" s="762"/>
      <c r="H218" s="762"/>
      <c r="I218" s="925"/>
      <c r="J218" s="762"/>
      <c r="K218" s="762"/>
      <c r="L218" s="762"/>
      <c r="M218" s="762"/>
      <c r="N218" s="762"/>
      <c r="O218" s="762"/>
      <c r="P218" s="762"/>
      <c r="Q218" s="925"/>
      <c r="R218" s="762"/>
      <c r="S218" s="762"/>
      <c r="T218" s="762"/>
      <c r="U218" s="762"/>
      <c r="V218" s="762"/>
      <c r="W218" s="762"/>
      <c r="X218" s="762"/>
      <c r="Y218" s="925"/>
      <c r="Z218" s="762"/>
      <c r="AA218" s="762"/>
      <c r="AB218" s="762"/>
      <c r="AC218" s="762"/>
      <c r="AD218" s="762"/>
      <c r="AE218" s="762"/>
      <c r="AF218" s="762"/>
      <c r="AG218" s="925"/>
      <c r="AH218" s="762"/>
      <c r="AI218" s="762"/>
      <c r="AJ218" s="762"/>
      <c r="AK218" s="762"/>
      <c r="AL218" s="762"/>
      <c r="AM218" s="762"/>
      <c r="AN218" s="762"/>
      <c r="AO218" s="925"/>
      <c r="AP218" s="762"/>
      <c r="AQ218" s="762"/>
      <c r="AR218" s="762"/>
      <c r="AS218" s="762"/>
      <c r="AT218" s="762"/>
      <c r="AU218" s="762"/>
      <c r="AV218" s="762"/>
      <c r="AW218" s="762"/>
      <c r="AX218" s="762"/>
      <c r="AY218" s="762"/>
      <c r="AZ218" s="762"/>
      <c r="BA218" s="762"/>
      <c r="BB218" s="762"/>
      <c r="BC218" s="762"/>
      <c r="BD218" s="762"/>
      <c r="BE218" s="762"/>
      <c r="BF218" s="762"/>
      <c r="BG218" s="762"/>
      <c r="BH218" s="762"/>
    </row>
    <row r="219" spans="1:60" s="49" customFormat="1">
      <c r="A219" s="767"/>
      <c r="B219" s="767"/>
      <c r="C219" s="762"/>
      <c r="D219" s="762"/>
      <c r="E219" s="762"/>
      <c r="F219" s="762"/>
      <c r="G219" s="762"/>
      <c r="H219" s="762"/>
      <c r="I219" s="925"/>
      <c r="J219" s="762"/>
      <c r="K219" s="762"/>
      <c r="L219" s="762"/>
      <c r="M219" s="762"/>
      <c r="N219" s="762"/>
      <c r="O219" s="762"/>
      <c r="P219" s="762"/>
      <c r="Q219" s="925"/>
      <c r="R219" s="762"/>
      <c r="S219" s="762"/>
      <c r="T219" s="762"/>
      <c r="U219" s="762"/>
      <c r="V219" s="762"/>
      <c r="W219" s="762"/>
      <c r="X219" s="762"/>
      <c r="Y219" s="925"/>
      <c r="Z219" s="762"/>
      <c r="AA219" s="762"/>
      <c r="AB219" s="762"/>
      <c r="AC219" s="762"/>
      <c r="AD219" s="762"/>
      <c r="AE219" s="762"/>
      <c r="AF219" s="762"/>
      <c r="AG219" s="925"/>
      <c r="AH219" s="762"/>
      <c r="AI219" s="762"/>
      <c r="AJ219" s="762"/>
      <c r="AK219" s="762"/>
      <c r="AL219" s="762"/>
      <c r="AM219" s="762"/>
      <c r="AN219" s="762"/>
      <c r="AO219" s="925"/>
      <c r="AP219" s="762"/>
      <c r="AQ219" s="762"/>
      <c r="AR219" s="762"/>
      <c r="AS219" s="762"/>
      <c r="AT219" s="762"/>
      <c r="AU219" s="762"/>
      <c r="AV219" s="762"/>
      <c r="AW219" s="762"/>
      <c r="AX219" s="762"/>
      <c r="AY219" s="762"/>
      <c r="AZ219" s="762"/>
      <c r="BA219" s="762"/>
      <c r="BB219" s="762"/>
      <c r="BC219" s="762"/>
      <c r="BD219" s="762"/>
      <c r="BE219" s="762"/>
      <c r="BF219" s="762"/>
      <c r="BG219" s="762"/>
      <c r="BH219" s="762"/>
    </row>
    <row r="220" spans="1:60" s="49" customFormat="1">
      <c r="A220" s="767"/>
      <c r="B220" s="767"/>
      <c r="C220" s="762"/>
      <c r="D220" s="762"/>
      <c r="E220" s="762"/>
      <c r="F220" s="762"/>
      <c r="G220" s="762"/>
      <c r="H220" s="762"/>
      <c r="I220" s="925"/>
      <c r="J220" s="762"/>
      <c r="K220" s="762"/>
      <c r="L220" s="762"/>
      <c r="M220" s="762"/>
      <c r="N220" s="762"/>
      <c r="O220" s="762"/>
      <c r="P220" s="762"/>
      <c r="Q220" s="925"/>
      <c r="R220" s="762"/>
      <c r="S220" s="762"/>
      <c r="T220" s="762"/>
      <c r="U220" s="762"/>
      <c r="V220" s="762"/>
      <c r="W220" s="762"/>
      <c r="X220" s="762"/>
      <c r="Y220" s="925"/>
      <c r="Z220" s="762"/>
      <c r="AA220" s="762"/>
      <c r="AB220" s="762"/>
      <c r="AC220" s="762"/>
      <c r="AD220" s="762"/>
      <c r="AE220" s="762"/>
      <c r="AF220" s="762"/>
      <c r="AG220" s="925"/>
      <c r="AH220" s="762"/>
      <c r="AI220" s="762"/>
      <c r="AJ220" s="762"/>
      <c r="AK220" s="762"/>
      <c r="AL220" s="762"/>
      <c r="AM220" s="762"/>
      <c r="AN220" s="762"/>
      <c r="AO220" s="925"/>
      <c r="AP220" s="762"/>
      <c r="AQ220" s="762"/>
      <c r="AR220" s="762"/>
      <c r="AS220" s="762"/>
      <c r="AT220" s="762"/>
      <c r="AU220" s="762"/>
      <c r="AV220" s="762"/>
      <c r="AW220" s="762"/>
      <c r="AX220" s="762"/>
      <c r="AY220" s="762"/>
      <c r="AZ220" s="762"/>
      <c r="BA220" s="762"/>
      <c r="BB220" s="762"/>
      <c r="BC220" s="762"/>
      <c r="BD220" s="762"/>
      <c r="BE220" s="762"/>
      <c r="BF220" s="762"/>
      <c r="BG220" s="762"/>
      <c r="BH220" s="762"/>
    </row>
    <row r="221" spans="1:60" s="49" customFormat="1">
      <c r="A221" s="767"/>
      <c r="B221" s="767"/>
      <c r="C221" s="762"/>
      <c r="D221" s="762"/>
      <c r="E221" s="762"/>
      <c r="F221" s="762"/>
      <c r="G221" s="762"/>
      <c r="H221" s="762"/>
      <c r="I221" s="925"/>
      <c r="J221" s="762"/>
      <c r="K221" s="762"/>
      <c r="L221" s="762"/>
      <c r="M221" s="762"/>
      <c r="N221" s="762"/>
      <c r="O221" s="762"/>
      <c r="P221" s="762"/>
      <c r="Q221" s="925"/>
      <c r="R221" s="762"/>
      <c r="S221" s="762"/>
      <c r="T221" s="762"/>
      <c r="U221" s="762"/>
      <c r="V221" s="762"/>
      <c r="W221" s="762"/>
      <c r="X221" s="762"/>
      <c r="Y221" s="925"/>
      <c r="Z221" s="762"/>
      <c r="AA221" s="762"/>
      <c r="AB221" s="762"/>
      <c r="AC221" s="762"/>
      <c r="AD221" s="762"/>
      <c r="AE221" s="762"/>
      <c r="AF221" s="762"/>
      <c r="AG221" s="925"/>
      <c r="AH221" s="762"/>
      <c r="AI221" s="762"/>
      <c r="AJ221" s="762"/>
      <c r="AK221" s="762"/>
      <c r="AL221" s="762"/>
      <c r="AM221" s="762"/>
      <c r="AN221" s="762"/>
      <c r="AO221" s="925"/>
      <c r="AP221" s="762"/>
      <c r="AQ221" s="762"/>
      <c r="AR221" s="762"/>
      <c r="AS221" s="762"/>
      <c r="AT221" s="762"/>
      <c r="AU221" s="762"/>
      <c r="AV221" s="762"/>
      <c r="AW221" s="762"/>
      <c r="AX221" s="762"/>
      <c r="AY221" s="762"/>
      <c r="AZ221" s="762"/>
      <c r="BA221" s="762"/>
      <c r="BB221" s="762"/>
      <c r="BC221" s="762"/>
      <c r="BD221" s="762"/>
      <c r="BE221" s="762"/>
      <c r="BF221" s="762"/>
      <c r="BG221" s="762"/>
      <c r="BH221" s="762"/>
    </row>
    <row r="222" spans="1:60" s="49" customFormat="1">
      <c r="A222" s="767"/>
      <c r="B222" s="767"/>
      <c r="C222" s="762"/>
      <c r="D222" s="762"/>
      <c r="E222" s="762"/>
      <c r="F222" s="762"/>
      <c r="G222" s="762"/>
      <c r="H222" s="762"/>
      <c r="I222" s="925"/>
      <c r="J222" s="762"/>
      <c r="K222" s="762"/>
      <c r="L222" s="762"/>
      <c r="M222" s="762"/>
      <c r="N222" s="762"/>
      <c r="O222" s="762"/>
      <c r="P222" s="762"/>
      <c r="Q222" s="925"/>
      <c r="R222" s="762"/>
      <c r="S222" s="762"/>
      <c r="T222" s="762"/>
      <c r="U222" s="762"/>
      <c r="V222" s="762"/>
      <c r="W222" s="762"/>
      <c r="X222" s="762"/>
      <c r="Y222" s="925"/>
      <c r="Z222" s="762"/>
      <c r="AA222" s="762"/>
      <c r="AB222" s="762"/>
      <c r="AC222" s="762"/>
      <c r="AD222" s="762"/>
      <c r="AE222" s="762"/>
      <c r="AF222" s="762"/>
      <c r="AG222" s="925"/>
      <c r="AH222" s="762"/>
      <c r="AI222" s="762"/>
      <c r="AJ222" s="762"/>
      <c r="AK222" s="762"/>
      <c r="AL222" s="762"/>
      <c r="AM222" s="762"/>
      <c r="AN222" s="762"/>
      <c r="AO222" s="925"/>
      <c r="AP222" s="762"/>
      <c r="AQ222" s="762"/>
      <c r="AR222" s="762"/>
      <c r="AS222" s="762"/>
      <c r="AT222" s="762"/>
      <c r="AU222" s="762"/>
      <c r="AV222" s="762"/>
      <c r="AW222" s="762"/>
      <c r="AX222" s="762"/>
      <c r="AY222" s="762"/>
      <c r="AZ222" s="762"/>
      <c r="BA222" s="762"/>
      <c r="BB222" s="762"/>
      <c r="BC222" s="762"/>
      <c r="BD222" s="762"/>
      <c r="BE222" s="762"/>
      <c r="BF222" s="762"/>
      <c r="BG222" s="762"/>
      <c r="BH222" s="762"/>
    </row>
    <row r="223" spans="1:60" s="49" customFormat="1">
      <c r="A223" s="767"/>
      <c r="B223" s="767"/>
      <c r="C223" s="762"/>
      <c r="D223" s="762"/>
      <c r="E223" s="762"/>
      <c r="F223" s="762"/>
      <c r="G223" s="762"/>
      <c r="H223" s="762"/>
      <c r="I223" s="925"/>
      <c r="J223" s="762"/>
      <c r="K223" s="762"/>
      <c r="L223" s="762"/>
      <c r="M223" s="762"/>
      <c r="N223" s="762"/>
      <c r="O223" s="762"/>
      <c r="P223" s="762"/>
      <c r="Q223" s="925"/>
      <c r="R223" s="762"/>
      <c r="S223" s="762"/>
      <c r="T223" s="762"/>
      <c r="U223" s="762"/>
      <c r="V223" s="762"/>
      <c r="W223" s="762"/>
      <c r="X223" s="762"/>
      <c r="Y223" s="925"/>
      <c r="Z223" s="762"/>
      <c r="AA223" s="762"/>
      <c r="AB223" s="762"/>
      <c r="AC223" s="762"/>
      <c r="AD223" s="762"/>
      <c r="AE223" s="762"/>
      <c r="AF223" s="762"/>
      <c r="AG223" s="925"/>
      <c r="AH223" s="762"/>
      <c r="AI223" s="762"/>
      <c r="AJ223" s="762"/>
      <c r="AK223" s="762"/>
      <c r="AL223" s="762"/>
      <c r="AM223" s="762"/>
      <c r="AN223" s="762"/>
      <c r="AO223" s="925"/>
      <c r="AP223" s="762"/>
      <c r="AQ223" s="762"/>
      <c r="AR223" s="762"/>
      <c r="AS223" s="762"/>
      <c r="AT223" s="762"/>
      <c r="AU223" s="762"/>
      <c r="AV223" s="762"/>
      <c r="AW223" s="762"/>
      <c r="AX223" s="762"/>
      <c r="AY223" s="762"/>
      <c r="AZ223" s="762"/>
      <c r="BA223" s="762"/>
      <c r="BB223" s="762"/>
      <c r="BC223" s="762"/>
      <c r="BD223" s="762"/>
      <c r="BE223" s="762"/>
      <c r="BF223" s="762"/>
      <c r="BG223" s="762"/>
      <c r="BH223" s="762"/>
    </row>
    <row r="224" spans="1:60" s="49" customFormat="1">
      <c r="A224" s="767"/>
      <c r="B224" s="767"/>
      <c r="C224" s="762"/>
      <c r="D224" s="762"/>
      <c r="E224" s="762"/>
      <c r="F224" s="762"/>
      <c r="G224" s="762"/>
      <c r="H224" s="762"/>
      <c r="I224" s="925"/>
      <c r="J224" s="762"/>
      <c r="K224" s="762"/>
      <c r="L224" s="762"/>
      <c r="M224" s="762"/>
      <c r="N224" s="762"/>
      <c r="O224" s="762"/>
      <c r="P224" s="762"/>
      <c r="Q224" s="925"/>
      <c r="R224" s="762"/>
      <c r="S224" s="762"/>
      <c r="T224" s="762"/>
      <c r="U224" s="762"/>
      <c r="V224" s="762"/>
      <c r="W224" s="762"/>
      <c r="X224" s="762"/>
      <c r="Y224" s="925"/>
      <c r="Z224" s="762"/>
      <c r="AA224" s="762"/>
      <c r="AB224" s="762"/>
      <c r="AC224" s="762"/>
      <c r="AD224" s="762"/>
      <c r="AE224" s="762"/>
      <c r="AF224" s="762"/>
      <c r="AG224" s="925"/>
      <c r="AH224" s="762"/>
      <c r="AI224" s="762"/>
      <c r="AJ224" s="762"/>
      <c r="AK224" s="762"/>
      <c r="AL224" s="762"/>
      <c r="AM224" s="762"/>
      <c r="AN224" s="762"/>
      <c r="AO224" s="925"/>
      <c r="AP224" s="762"/>
      <c r="AQ224" s="762"/>
      <c r="AR224" s="762"/>
      <c r="AS224" s="762"/>
      <c r="AT224" s="762"/>
      <c r="AU224" s="762"/>
      <c r="AV224" s="762"/>
      <c r="AW224" s="762"/>
      <c r="AX224" s="762"/>
      <c r="AY224" s="762"/>
      <c r="AZ224" s="762"/>
      <c r="BA224" s="762"/>
      <c r="BB224" s="762"/>
      <c r="BC224" s="762"/>
      <c r="BD224" s="762"/>
      <c r="BE224" s="762"/>
      <c r="BF224" s="762"/>
      <c r="BG224" s="762"/>
      <c r="BH224" s="762"/>
    </row>
    <row r="225" spans="1:60" s="49" customFormat="1">
      <c r="A225" s="767"/>
      <c r="B225" s="767"/>
      <c r="C225" s="762"/>
      <c r="D225" s="762"/>
      <c r="E225" s="762"/>
      <c r="F225" s="762"/>
      <c r="G225" s="762"/>
      <c r="H225" s="762"/>
      <c r="I225" s="925"/>
      <c r="J225" s="762"/>
      <c r="K225" s="762"/>
      <c r="L225" s="762"/>
      <c r="M225" s="762"/>
      <c r="N225" s="762"/>
      <c r="O225" s="762"/>
      <c r="P225" s="762"/>
      <c r="Q225" s="925"/>
      <c r="R225" s="762"/>
      <c r="S225" s="762"/>
      <c r="T225" s="762"/>
      <c r="U225" s="762"/>
      <c r="V225" s="762"/>
      <c r="W225" s="762"/>
      <c r="X225" s="762"/>
      <c r="Y225" s="925"/>
      <c r="Z225" s="762"/>
      <c r="AA225" s="762"/>
      <c r="AB225" s="762"/>
      <c r="AC225" s="762"/>
      <c r="AD225" s="762"/>
      <c r="AE225" s="762"/>
      <c r="AF225" s="762"/>
      <c r="AG225" s="925"/>
      <c r="AH225" s="762"/>
      <c r="AI225" s="762"/>
      <c r="AJ225" s="762"/>
      <c r="AK225" s="762"/>
      <c r="AL225" s="762"/>
      <c r="AM225" s="762"/>
      <c r="AN225" s="762"/>
      <c r="AO225" s="925"/>
      <c r="AP225" s="762"/>
      <c r="AQ225" s="762"/>
      <c r="AR225" s="762"/>
      <c r="AS225" s="762"/>
      <c r="AT225" s="762"/>
      <c r="AU225" s="762"/>
      <c r="AV225" s="762"/>
      <c r="AW225" s="762"/>
      <c r="AX225" s="762"/>
      <c r="AY225" s="762"/>
      <c r="AZ225" s="762"/>
      <c r="BA225" s="762"/>
      <c r="BB225" s="762"/>
      <c r="BC225" s="762"/>
      <c r="BD225" s="762"/>
      <c r="BE225" s="762"/>
      <c r="BF225" s="762"/>
      <c r="BG225" s="762"/>
      <c r="BH225" s="762"/>
    </row>
    <row r="226" spans="1:60" s="49" customFormat="1">
      <c r="A226" s="767"/>
      <c r="B226" s="767"/>
      <c r="C226" s="762"/>
      <c r="D226" s="762"/>
      <c r="E226" s="762"/>
      <c r="F226" s="762"/>
      <c r="G226" s="762"/>
      <c r="H226" s="762"/>
      <c r="I226" s="925"/>
      <c r="J226" s="762"/>
      <c r="K226" s="762"/>
      <c r="L226" s="762"/>
      <c r="M226" s="762"/>
      <c r="N226" s="762"/>
      <c r="O226" s="762"/>
      <c r="P226" s="762"/>
      <c r="Q226" s="925"/>
      <c r="R226" s="762"/>
      <c r="S226" s="762"/>
      <c r="T226" s="762"/>
      <c r="U226" s="762"/>
      <c r="V226" s="762"/>
      <c r="W226" s="762"/>
      <c r="X226" s="762"/>
      <c r="Y226" s="925"/>
      <c r="Z226" s="762"/>
      <c r="AA226" s="762"/>
      <c r="AB226" s="762"/>
      <c r="AC226" s="762"/>
      <c r="AD226" s="762"/>
      <c r="AE226" s="762"/>
      <c r="AF226" s="762"/>
      <c r="AG226" s="925"/>
      <c r="AH226" s="762"/>
      <c r="AI226" s="762"/>
      <c r="AJ226" s="762"/>
      <c r="AK226" s="762"/>
      <c r="AL226" s="762"/>
      <c r="AM226" s="762"/>
      <c r="AN226" s="762"/>
      <c r="AO226" s="925"/>
      <c r="AP226" s="762"/>
      <c r="AQ226" s="762"/>
      <c r="AR226" s="762"/>
      <c r="AS226" s="762"/>
      <c r="AT226" s="762"/>
      <c r="AU226" s="762"/>
      <c r="AV226" s="762"/>
      <c r="AW226" s="762"/>
      <c r="AX226" s="762"/>
      <c r="AY226" s="762"/>
      <c r="AZ226" s="762"/>
      <c r="BA226" s="762"/>
      <c r="BB226" s="762"/>
      <c r="BC226" s="762"/>
      <c r="BD226" s="762"/>
      <c r="BE226" s="762"/>
      <c r="BF226" s="762"/>
      <c r="BG226" s="762"/>
      <c r="BH226" s="762"/>
    </row>
    <row r="227" spans="1:60" s="49" customFormat="1">
      <c r="A227" s="767"/>
      <c r="B227" s="767"/>
      <c r="C227" s="762"/>
      <c r="D227" s="762"/>
      <c r="E227" s="762"/>
      <c r="F227" s="762"/>
      <c r="G227" s="762"/>
      <c r="H227" s="762"/>
      <c r="I227" s="925"/>
      <c r="J227" s="762"/>
      <c r="K227" s="762"/>
      <c r="L227" s="762"/>
      <c r="M227" s="762"/>
      <c r="N227" s="762"/>
      <c r="O227" s="762"/>
      <c r="P227" s="762"/>
      <c r="Q227" s="925"/>
      <c r="R227" s="762"/>
      <c r="S227" s="762"/>
      <c r="T227" s="762"/>
      <c r="U227" s="762"/>
      <c r="V227" s="762"/>
      <c r="W227" s="762"/>
      <c r="X227" s="762"/>
      <c r="Y227" s="925"/>
      <c r="Z227" s="762"/>
      <c r="AA227" s="762"/>
      <c r="AB227" s="762"/>
      <c r="AC227" s="762"/>
      <c r="AD227" s="762"/>
      <c r="AE227" s="762"/>
      <c r="AF227" s="762"/>
      <c r="AG227" s="925"/>
      <c r="AH227" s="762"/>
      <c r="AI227" s="762"/>
      <c r="AJ227" s="762"/>
      <c r="AK227" s="762"/>
      <c r="AL227" s="762"/>
      <c r="AM227" s="762"/>
      <c r="AN227" s="762"/>
      <c r="AO227" s="925"/>
      <c r="AP227" s="762"/>
      <c r="AQ227" s="762"/>
      <c r="AR227" s="762"/>
      <c r="AS227" s="762"/>
      <c r="AT227" s="762"/>
      <c r="AU227" s="762"/>
      <c r="AV227" s="762"/>
      <c r="AW227" s="762"/>
      <c r="AX227" s="762"/>
      <c r="AY227" s="762"/>
      <c r="AZ227" s="762"/>
      <c r="BA227" s="762"/>
      <c r="BB227" s="762"/>
      <c r="BC227" s="762"/>
      <c r="BD227" s="762"/>
      <c r="BE227" s="762"/>
      <c r="BF227" s="762"/>
      <c r="BG227" s="762"/>
      <c r="BH227" s="762"/>
    </row>
    <row r="228" spans="1:60" s="49" customFormat="1">
      <c r="A228" s="767"/>
      <c r="B228" s="767"/>
      <c r="C228" s="762"/>
      <c r="D228" s="762"/>
      <c r="E228" s="762"/>
      <c r="F228" s="762"/>
      <c r="G228" s="762"/>
      <c r="H228" s="762"/>
      <c r="I228" s="925"/>
      <c r="J228" s="762"/>
      <c r="K228" s="762"/>
      <c r="L228" s="762"/>
      <c r="M228" s="762"/>
      <c r="N228" s="762"/>
      <c r="O228" s="762"/>
      <c r="P228" s="762"/>
      <c r="Q228" s="925"/>
      <c r="R228" s="762"/>
      <c r="S228" s="762"/>
      <c r="T228" s="762"/>
      <c r="U228" s="762"/>
      <c r="V228" s="762"/>
      <c r="W228" s="762"/>
      <c r="X228" s="762"/>
      <c r="Y228" s="925"/>
      <c r="Z228" s="762"/>
      <c r="AA228" s="762"/>
      <c r="AB228" s="762"/>
      <c r="AC228" s="762"/>
      <c r="AD228" s="762"/>
      <c r="AE228" s="762"/>
      <c r="AF228" s="762"/>
      <c r="AG228" s="925"/>
      <c r="AH228" s="762"/>
      <c r="AI228" s="762"/>
      <c r="AJ228" s="762"/>
      <c r="AK228" s="762"/>
      <c r="AL228" s="762"/>
      <c r="AM228" s="762"/>
      <c r="AN228" s="762"/>
      <c r="AO228" s="925"/>
      <c r="AP228" s="762"/>
      <c r="AQ228" s="762"/>
      <c r="AR228" s="762"/>
      <c r="AS228" s="762"/>
      <c r="AT228" s="762"/>
      <c r="AU228" s="762"/>
      <c r="AV228" s="762"/>
      <c r="AW228" s="762"/>
      <c r="AX228" s="762"/>
      <c r="AY228" s="762"/>
      <c r="AZ228" s="762"/>
      <c r="BA228" s="762"/>
      <c r="BB228" s="762"/>
      <c r="BC228" s="762"/>
      <c r="BD228" s="762"/>
      <c r="BE228" s="762"/>
      <c r="BF228" s="762"/>
      <c r="BG228" s="762"/>
      <c r="BH228" s="762"/>
    </row>
    <row r="229" spans="1:60" s="49" customFormat="1">
      <c r="A229" s="767"/>
      <c r="B229" s="767"/>
      <c r="C229" s="762"/>
      <c r="D229" s="762"/>
      <c r="E229" s="762"/>
      <c r="F229" s="762"/>
      <c r="G229" s="762"/>
      <c r="H229" s="762"/>
      <c r="I229" s="925"/>
      <c r="J229" s="762"/>
      <c r="K229" s="762"/>
      <c r="L229" s="762"/>
      <c r="M229" s="762"/>
      <c r="N229" s="762"/>
      <c r="O229" s="762"/>
      <c r="P229" s="762"/>
      <c r="Q229" s="925"/>
      <c r="R229" s="762"/>
      <c r="S229" s="762"/>
      <c r="T229" s="762"/>
      <c r="U229" s="762"/>
      <c r="V229" s="762"/>
      <c r="W229" s="762"/>
      <c r="X229" s="762"/>
      <c r="Y229" s="925"/>
      <c r="Z229" s="762"/>
      <c r="AA229" s="762"/>
      <c r="AB229" s="762"/>
      <c r="AC229" s="762"/>
      <c r="AD229" s="762"/>
      <c r="AE229" s="762"/>
      <c r="AF229" s="762"/>
      <c r="AG229" s="925"/>
      <c r="AH229" s="762"/>
      <c r="AI229" s="762"/>
      <c r="AJ229" s="762"/>
      <c r="AK229" s="762"/>
      <c r="AL229" s="762"/>
      <c r="AM229" s="762"/>
      <c r="AN229" s="762"/>
      <c r="AO229" s="925"/>
      <c r="AP229" s="762"/>
      <c r="AQ229" s="762"/>
      <c r="AR229" s="762"/>
      <c r="AS229" s="762"/>
      <c r="AT229" s="762"/>
      <c r="AU229" s="762"/>
      <c r="AV229" s="762"/>
      <c r="AW229" s="762"/>
      <c r="AX229" s="762"/>
      <c r="AY229" s="762"/>
      <c r="AZ229" s="762"/>
      <c r="BA229" s="762"/>
      <c r="BB229" s="762"/>
      <c r="BC229" s="762"/>
      <c r="BD229" s="762"/>
      <c r="BE229" s="762"/>
      <c r="BF229" s="762"/>
      <c r="BG229" s="762"/>
      <c r="BH229" s="762"/>
    </row>
    <row r="230" spans="1:60" s="49" customFormat="1">
      <c r="A230" s="767"/>
      <c r="B230" s="767"/>
      <c r="C230" s="762"/>
      <c r="D230" s="762"/>
      <c r="E230" s="762"/>
      <c r="F230" s="762"/>
      <c r="G230" s="762"/>
      <c r="H230" s="762"/>
      <c r="I230" s="925"/>
      <c r="J230" s="762"/>
      <c r="K230" s="762"/>
      <c r="L230" s="762"/>
      <c r="M230" s="762"/>
      <c r="N230" s="762"/>
      <c r="O230" s="762"/>
      <c r="P230" s="762"/>
      <c r="Q230" s="925"/>
      <c r="R230" s="762"/>
      <c r="S230" s="762"/>
      <c r="T230" s="762"/>
      <c r="U230" s="762"/>
      <c r="V230" s="762"/>
      <c r="W230" s="762"/>
      <c r="X230" s="762"/>
      <c r="Y230" s="925"/>
      <c r="Z230" s="762"/>
      <c r="AA230" s="762"/>
      <c r="AB230" s="762"/>
      <c r="AC230" s="762"/>
      <c r="AD230" s="762"/>
      <c r="AE230" s="762"/>
      <c r="AF230" s="762"/>
      <c r="AG230" s="925"/>
      <c r="AH230" s="762"/>
      <c r="AI230" s="762"/>
      <c r="AJ230" s="762"/>
      <c r="AK230" s="762"/>
      <c r="AL230" s="762"/>
      <c r="AM230" s="762"/>
      <c r="AN230" s="762"/>
      <c r="AO230" s="925"/>
      <c r="AP230" s="762"/>
      <c r="AQ230" s="762"/>
      <c r="AR230" s="762"/>
      <c r="AS230" s="762"/>
      <c r="AT230" s="762"/>
      <c r="AU230" s="762"/>
      <c r="AV230" s="762"/>
      <c r="AW230" s="762"/>
      <c r="AX230" s="762"/>
      <c r="AY230" s="762"/>
      <c r="AZ230" s="762"/>
      <c r="BA230" s="762"/>
      <c r="BB230" s="762"/>
      <c r="BC230" s="762"/>
      <c r="BD230" s="762"/>
      <c r="BE230" s="762"/>
      <c r="BF230" s="762"/>
      <c r="BG230" s="762"/>
      <c r="BH230" s="762"/>
    </row>
    <row r="231" spans="1:60" s="49" customFormat="1">
      <c r="A231" s="767"/>
      <c r="B231" s="767"/>
      <c r="C231" s="762"/>
      <c r="D231" s="762"/>
      <c r="E231" s="762"/>
      <c r="F231" s="762"/>
      <c r="G231" s="762"/>
      <c r="H231" s="762"/>
      <c r="I231" s="925"/>
      <c r="J231" s="762"/>
      <c r="K231" s="762"/>
      <c r="L231" s="762"/>
      <c r="M231" s="762"/>
      <c r="N231" s="762"/>
      <c r="O231" s="762"/>
      <c r="P231" s="762"/>
      <c r="Q231" s="925"/>
      <c r="R231" s="762"/>
      <c r="S231" s="762"/>
      <c r="T231" s="762"/>
      <c r="U231" s="762"/>
      <c r="V231" s="762"/>
      <c r="W231" s="762"/>
      <c r="X231" s="762"/>
      <c r="Y231" s="925"/>
      <c r="Z231" s="762"/>
      <c r="AA231" s="762"/>
      <c r="AB231" s="762"/>
      <c r="AC231" s="762"/>
      <c r="AD231" s="762"/>
      <c r="AE231" s="762"/>
      <c r="AF231" s="762"/>
      <c r="AG231" s="925"/>
      <c r="AH231" s="762"/>
      <c r="AI231" s="762"/>
      <c r="AJ231" s="762"/>
      <c r="AK231" s="762"/>
      <c r="AL231" s="762"/>
      <c r="AM231" s="762"/>
      <c r="AN231" s="762"/>
      <c r="AO231" s="925"/>
      <c r="AP231" s="762"/>
      <c r="AQ231" s="762"/>
      <c r="AR231" s="762"/>
      <c r="AS231" s="762"/>
      <c r="AT231" s="762"/>
      <c r="AU231" s="762"/>
      <c r="AV231" s="762"/>
      <c r="AW231" s="762"/>
      <c r="AX231" s="762"/>
      <c r="AY231" s="762"/>
      <c r="AZ231" s="762"/>
      <c r="BA231" s="762"/>
      <c r="BB231" s="762"/>
      <c r="BC231" s="762"/>
      <c r="BD231" s="762"/>
      <c r="BE231" s="762"/>
      <c r="BF231" s="762"/>
      <c r="BG231" s="762"/>
      <c r="BH231" s="762"/>
    </row>
    <row r="232" spans="1:60" s="49" customFormat="1">
      <c r="A232" s="767"/>
      <c r="B232" s="767"/>
      <c r="C232" s="762"/>
      <c r="D232" s="762"/>
      <c r="E232" s="762"/>
      <c r="F232" s="762"/>
      <c r="G232" s="762"/>
      <c r="H232" s="762"/>
      <c r="I232" s="925"/>
      <c r="J232" s="762"/>
      <c r="K232" s="762"/>
      <c r="L232" s="762"/>
      <c r="M232" s="762"/>
      <c r="N232" s="762"/>
      <c r="O232" s="762"/>
      <c r="P232" s="762"/>
      <c r="Q232" s="925"/>
      <c r="R232" s="762"/>
      <c r="S232" s="762"/>
      <c r="T232" s="762"/>
      <c r="U232" s="762"/>
      <c r="V232" s="762"/>
      <c r="W232" s="762"/>
      <c r="X232" s="762"/>
      <c r="Y232" s="925"/>
      <c r="Z232" s="762"/>
      <c r="AA232" s="762"/>
      <c r="AB232" s="762"/>
      <c r="AC232" s="762"/>
      <c r="AD232" s="762"/>
      <c r="AE232" s="762"/>
      <c r="AF232" s="762"/>
      <c r="AG232" s="925"/>
      <c r="AH232" s="762"/>
      <c r="AI232" s="762"/>
      <c r="AJ232" s="762"/>
      <c r="AK232" s="762"/>
      <c r="AL232" s="762"/>
      <c r="AM232" s="762"/>
      <c r="AN232" s="762"/>
      <c r="AO232" s="925"/>
      <c r="AP232" s="762"/>
      <c r="AQ232" s="762"/>
      <c r="AR232" s="762"/>
      <c r="AS232" s="762"/>
      <c r="AT232" s="762"/>
      <c r="AU232" s="762"/>
      <c r="AV232" s="762"/>
      <c r="AW232" s="762"/>
      <c r="AX232" s="762"/>
      <c r="AY232" s="762"/>
      <c r="AZ232" s="762"/>
      <c r="BA232" s="762"/>
      <c r="BB232" s="762"/>
      <c r="BC232" s="762"/>
      <c r="BD232" s="762"/>
      <c r="BE232" s="762"/>
      <c r="BF232" s="762"/>
      <c r="BG232" s="762"/>
      <c r="BH232" s="762"/>
    </row>
    <row r="233" spans="1:60" s="49" customFormat="1">
      <c r="A233" s="767"/>
      <c r="B233" s="767"/>
      <c r="C233" s="762"/>
      <c r="D233" s="762"/>
      <c r="E233" s="762"/>
      <c r="F233" s="762"/>
      <c r="G233" s="762"/>
      <c r="H233" s="762"/>
      <c r="I233" s="925"/>
      <c r="J233" s="762"/>
      <c r="K233" s="762"/>
      <c r="L233" s="762"/>
      <c r="M233" s="762"/>
      <c r="N233" s="762"/>
      <c r="O233" s="762"/>
      <c r="P233" s="762"/>
      <c r="Q233" s="925"/>
      <c r="R233" s="762"/>
      <c r="S233" s="762"/>
      <c r="T233" s="762"/>
      <c r="U233" s="762"/>
      <c r="V233" s="762"/>
      <c r="W233" s="762"/>
      <c r="X233" s="762"/>
      <c r="Y233" s="925"/>
      <c r="Z233" s="762"/>
      <c r="AA233" s="762"/>
      <c r="AB233" s="762"/>
      <c r="AC233" s="762"/>
      <c r="AD233" s="762"/>
      <c r="AE233" s="762"/>
      <c r="AF233" s="762"/>
      <c r="AG233" s="925"/>
      <c r="AH233" s="762"/>
      <c r="AI233" s="762"/>
      <c r="AJ233" s="762"/>
      <c r="AK233" s="762"/>
      <c r="AL233" s="762"/>
      <c r="AM233" s="762"/>
      <c r="AN233" s="762"/>
      <c r="AO233" s="925"/>
      <c r="AP233" s="762"/>
      <c r="AQ233" s="762"/>
      <c r="AR233" s="762"/>
      <c r="AS233" s="762"/>
      <c r="AT233" s="762"/>
      <c r="AU233" s="762"/>
      <c r="AV233" s="762"/>
      <c r="AW233" s="762"/>
      <c r="AX233" s="762"/>
      <c r="AY233" s="762"/>
      <c r="AZ233" s="762"/>
      <c r="BA233" s="762"/>
      <c r="BB233" s="762"/>
      <c r="BC233" s="762"/>
      <c r="BD233" s="762"/>
      <c r="BE233" s="762"/>
      <c r="BF233" s="762"/>
      <c r="BG233" s="762"/>
      <c r="BH233" s="762"/>
    </row>
    <row r="234" spans="1:60" s="49" customFormat="1">
      <c r="A234" s="767"/>
      <c r="B234" s="767"/>
      <c r="C234" s="762"/>
      <c r="D234" s="762"/>
      <c r="E234" s="762"/>
      <c r="F234" s="762"/>
      <c r="G234" s="762"/>
      <c r="H234" s="762"/>
      <c r="I234" s="925"/>
      <c r="J234" s="762"/>
      <c r="K234" s="762"/>
      <c r="L234" s="762"/>
      <c r="M234" s="762"/>
      <c r="N234" s="762"/>
      <c r="O234" s="762"/>
      <c r="P234" s="762"/>
      <c r="Q234" s="925"/>
      <c r="R234" s="762"/>
      <c r="S234" s="762"/>
      <c r="T234" s="762"/>
      <c r="U234" s="762"/>
      <c r="V234" s="762"/>
      <c r="W234" s="762"/>
      <c r="X234" s="762"/>
      <c r="Y234" s="925"/>
      <c r="Z234" s="762"/>
      <c r="AA234" s="762"/>
      <c r="AB234" s="762"/>
      <c r="AC234" s="762"/>
      <c r="AD234" s="762"/>
      <c r="AE234" s="762"/>
      <c r="AF234" s="762"/>
      <c r="AG234" s="925"/>
      <c r="AH234" s="762"/>
      <c r="AI234" s="762"/>
      <c r="AJ234" s="762"/>
      <c r="AK234" s="762"/>
      <c r="AL234" s="762"/>
      <c r="AM234" s="762"/>
      <c r="AN234" s="762"/>
      <c r="AO234" s="925"/>
      <c r="AP234" s="762"/>
      <c r="AQ234" s="762"/>
      <c r="AR234" s="762"/>
      <c r="AS234" s="762"/>
      <c r="AT234" s="762"/>
      <c r="AU234" s="762"/>
      <c r="AV234" s="762"/>
      <c r="AW234" s="762"/>
      <c r="AX234" s="762"/>
      <c r="AY234" s="762"/>
      <c r="AZ234" s="762"/>
      <c r="BA234" s="762"/>
      <c r="BB234" s="762"/>
      <c r="BC234" s="762"/>
      <c r="BD234" s="762"/>
      <c r="BE234" s="762"/>
      <c r="BF234" s="762"/>
      <c r="BG234" s="762"/>
      <c r="BH234" s="762"/>
    </row>
    <row r="235" spans="1:60" s="49" customFormat="1">
      <c r="A235" s="767"/>
      <c r="B235" s="767"/>
      <c r="C235" s="762"/>
      <c r="D235" s="762"/>
      <c r="E235" s="762"/>
      <c r="F235" s="762"/>
      <c r="G235" s="762"/>
      <c r="H235" s="762"/>
      <c r="I235" s="925"/>
      <c r="J235" s="762"/>
      <c r="K235" s="762"/>
      <c r="L235" s="762"/>
      <c r="M235" s="762"/>
      <c r="N235" s="762"/>
      <c r="O235" s="762"/>
      <c r="P235" s="762"/>
      <c r="Q235" s="925"/>
      <c r="R235" s="762"/>
      <c r="S235" s="762"/>
      <c r="T235" s="762"/>
      <c r="U235" s="762"/>
      <c r="V235" s="762"/>
      <c r="W235" s="762"/>
      <c r="X235" s="762"/>
      <c r="Y235" s="925"/>
      <c r="Z235" s="762"/>
      <c r="AA235" s="762"/>
      <c r="AB235" s="762"/>
      <c r="AC235" s="762"/>
      <c r="AD235" s="762"/>
      <c r="AE235" s="762"/>
      <c r="AF235" s="762"/>
      <c r="AG235" s="925"/>
      <c r="AH235" s="762"/>
      <c r="AI235" s="762"/>
      <c r="AJ235" s="762"/>
      <c r="AK235" s="762"/>
      <c r="AL235" s="762"/>
      <c r="AM235" s="762"/>
      <c r="AN235" s="762"/>
      <c r="AO235" s="925"/>
      <c r="AP235" s="762"/>
      <c r="AQ235" s="762"/>
      <c r="AR235" s="762"/>
      <c r="AS235" s="762"/>
      <c r="AT235" s="762"/>
      <c r="AU235" s="762"/>
      <c r="AV235" s="762"/>
      <c r="AW235" s="762"/>
      <c r="AX235" s="762"/>
      <c r="AY235" s="762"/>
      <c r="AZ235" s="762"/>
      <c r="BA235" s="762"/>
      <c r="BB235" s="762"/>
      <c r="BC235" s="762"/>
      <c r="BD235" s="762"/>
      <c r="BE235" s="762"/>
      <c r="BF235" s="762"/>
      <c r="BG235" s="762"/>
      <c r="BH235" s="762"/>
    </row>
    <row r="236" spans="1:60" s="49" customFormat="1">
      <c r="A236" s="767"/>
      <c r="B236" s="767"/>
      <c r="C236" s="762"/>
      <c r="D236" s="762"/>
      <c r="E236" s="762"/>
      <c r="F236" s="762"/>
      <c r="G236" s="762"/>
      <c r="H236" s="762"/>
      <c r="I236" s="925"/>
      <c r="J236" s="762"/>
      <c r="K236" s="762"/>
      <c r="L236" s="762"/>
      <c r="M236" s="762"/>
      <c r="N236" s="762"/>
      <c r="O236" s="762"/>
      <c r="P236" s="762"/>
      <c r="Q236" s="925"/>
      <c r="R236" s="762"/>
      <c r="S236" s="762"/>
      <c r="T236" s="762"/>
      <c r="U236" s="762"/>
      <c r="V236" s="762"/>
      <c r="W236" s="762"/>
      <c r="X236" s="762"/>
      <c r="Y236" s="925"/>
      <c r="Z236" s="762"/>
      <c r="AA236" s="762"/>
      <c r="AB236" s="762"/>
      <c r="AC236" s="762"/>
      <c r="AD236" s="762"/>
      <c r="AE236" s="762"/>
      <c r="AF236" s="762"/>
      <c r="AG236" s="925"/>
      <c r="AH236" s="762"/>
      <c r="AI236" s="762"/>
      <c r="AJ236" s="762"/>
      <c r="AK236" s="762"/>
      <c r="AL236" s="762"/>
      <c r="AM236" s="762"/>
      <c r="AN236" s="762"/>
      <c r="AO236" s="925"/>
      <c r="AP236" s="762"/>
      <c r="AQ236" s="762"/>
      <c r="AR236" s="762"/>
      <c r="AS236" s="762"/>
      <c r="AT236" s="762"/>
      <c r="AU236" s="762"/>
      <c r="AV236" s="762"/>
      <c r="AW236" s="762"/>
      <c r="AX236" s="762"/>
      <c r="AY236" s="762"/>
      <c r="AZ236" s="762"/>
      <c r="BA236" s="762"/>
      <c r="BB236" s="762"/>
      <c r="BC236" s="762"/>
      <c r="BD236" s="762"/>
      <c r="BE236" s="762"/>
      <c r="BF236" s="762"/>
      <c r="BG236" s="762"/>
      <c r="BH236" s="762"/>
    </row>
    <row r="237" spans="1:60" s="49" customFormat="1">
      <c r="A237" s="767"/>
      <c r="B237" s="767"/>
      <c r="C237" s="762"/>
      <c r="D237" s="762"/>
      <c r="E237" s="762"/>
      <c r="F237" s="762"/>
      <c r="G237" s="762"/>
      <c r="H237" s="762"/>
      <c r="I237" s="925"/>
      <c r="J237" s="762"/>
      <c r="K237" s="762"/>
      <c r="L237" s="762"/>
      <c r="M237" s="762"/>
      <c r="N237" s="762"/>
      <c r="O237" s="762"/>
      <c r="P237" s="762"/>
      <c r="Q237" s="925"/>
      <c r="R237" s="762"/>
      <c r="S237" s="762"/>
      <c r="T237" s="762"/>
      <c r="U237" s="762"/>
      <c r="V237" s="762"/>
      <c r="W237" s="762"/>
      <c r="X237" s="762"/>
      <c r="Y237" s="925"/>
      <c r="Z237" s="762"/>
      <c r="AA237" s="762"/>
      <c r="AB237" s="762"/>
      <c r="AC237" s="762"/>
      <c r="AD237" s="762"/>
      <c r="AE237" s="762"/>
      <c r="AF237" s="762"/>
      <c r="AG237" s="925"/>
      <c r="AH237" s="762"/>
      <c r="AI237" s="762"/>
      <c r="AJ237" s="762"/>
      <c r="AK237" s="762"/>
      <c r="AL237" s="762"/>
      <c r="AM237" s="762"/>
      <c r="AN237" s="762"/>
      <c r="AO237" s="925"/>
      <c r="AP237" s="762"/>
      <c r="AQ237" s="762"/>
      <c r="AR237" s="762"/>
      <c r="AS237" s="762"/>
      <c r="AT237" s="762"/>
      <c r="AU237" s="762"/>
      <c r="AV237" s="762"/>
      <c r="AW237" s="762"/>
      <c r="AX237" s="762"/>
      <c r="AY237" s="762"/>
      <c r="AZ237" s="762"/>
      <c r="BA237" s="762"/>
      <c r="BB237" s="762"/>
      <c r="BC237" s="762"/>
      <c r="BD237" s="762"/>
      <c r="BE237" s="762"/>
      <c r="BF237" s="762"/>
      <c r="BG237" s="762"/>
      <c r="BH237" s="762"/>
    </row>
    <row r="238" spans="1:60" s="49" customFormat="1">
      <c r="A238" s="767"/>
      <c r="B238" s="767"/>
      <c r="C238" s="762"/>
      <c r="D238" s="762"/>
      <c r="E238" s="762"/>
      <c r="F238" s="762"/>
      <c r="G238" s="762"/>
      <c r="H238" s="762"/>
      <c r="I238" s="925"/>
      <c r="J238" s="762"/>
      <c r="K238" s="762"/>
      <c r="L238" s="762"/>
      <c r="M238" s="762"/>
      <c r="N238" s="762"/>
      <c r="O238" s="762"/>
      <c r="P238" s="762"/>
      <c r="Q238" s="925"/>
      <c r="R238" s="762"/>
      <c r="S238" s="762"/>
      <c r="T238" s="762"/>
      <c r="U238" s="762"/>
      <c r="V238" s="762"/>
      <c r="W238" s="762"/>
      <c r="X238" s="762"/>
      <c r="Y238" s="925"/>
      <c r="Z238" s="762"/>
      <c r="AA238" s="762"/>
      <c r="AB238" s="762"/>
      <c r="AC238" s="762"/>
      <c r="AD238" s="762"/>
      <c r="AE238" s="762"/>
      <c r="AF238" s="762"/>
      <c r="AG238" s="925"/>
      <c r="AH238" s="762"/>
      <c r="AI238" s="762"/>
      <c r="AJ238" s="762"/>
      <c r="AK238" s="762"/>
      <c r="AL238" s="762"/>
      <c r="AM238" s="762"/>
      <c r="AN238" s="762"/>
      <c r="AO238" s="925"/>
      <c r="AP238" s="762"/>
      <c r="AQ238" s="762"/>
      <c r="AR238" s="762"/>
      <c r="AS238" s="762"/>
      <c r="AT238" s="762"/>
      <c r="AU238" s="762"/>
      <c r="AV238" s="762"/>
      <c r="AW238" s="762"/>
      <c r="AX238" s="762"/>
      <c r="AY238" s="762"/>
      <c r="AZ238" s="762"/>
      <c r="BA238" s="762"/>
      <c r="BB238" s="762"/>
      <c r="BC238" s="762"/>
      <c r="BD238" s="762"/>
      <c r="BE238" s="762"/>
      <c r="BF238" s="762"/>
      <c r="BG238" s="762"/>
      <c r="BH238" s="762"/>
    </row>
    <row r="239" spans="1:60" s="49" customFormat="1">
      <c r="A239" s="767"/>
      <c r="B239" s="767"/>
      <c r="C239" s="762"/>
      <c r="D239" s="762"/>
      <c r="E239" s="762"/>
      <c r="F239" s="762"/>
      <c r="G239" s="762"/>
      <c r="H239" s="762"/>
      <c r="I239" s="925"/>
      <c r="J239" s="762"/>
      <c r="K239" s="762"/>
      <c r="L239" s="762"/>
      <c r="M239" s="762"/>
      <c r="N239" s="762"/>
      <c r="O239" s="762"/>
      <c r="P239" s="762"/>
      <c r="Q239" s="925"/>
      <c r="R239" s="762"/>
      <c r="S239" s="762"/>
      <c r="T239" s="762"/>
      <c r="U239" s="762"/>
      <c r="V239" s="762"/>
      <c r="W239" s="762"/>
      <c r="X239" s="762"/>
      <c r="Y239" s="925"/>
      <c r="Z239" s="762"/>
      <c r="AA239" s="762"/>
      <c r="AB239" s="762"/>
      <c r="AC239" s="762"/>
      <c r="AD239" s="762"/>
      <c r="AE239" s="762"/>
      <c r="AF239" s="762"/>
      <c r="AG239" s="925"/>
      <c r="AH239" s="762"/>
      <c r="AI239" s="762"/>
      <c r="AJ239" s="762"/>
      <c r="AK239" s="762"/>
      <c r="AL239" s="762"/>
      <c r="AM239" s="762"/>
      <c r="AN239" s="762"/>
      <c r="AO239" s="925"/>
      <c r="AP239" s="762"/>
      <c r="AQ239" s="762"/>
      <c r="AR239" s="762"/>
      <c r="AS239" s="762"/>
      <c r="AT239" s="762"/>
      <c r="AU239" s="762"/>
      <c r="AV239" s="762"/>
      <c r="AW239" s="762"/>
      <c r="AX239" s="762"/>
      <c r="AY239" s="762"/>
      <c r="AZ239" s="762"/>
      <c r="BA239" s="762"/>
      <c r="BB239" s="762"/>
      <c r="BC239" s="762"/>
      <c r="BD239" s="762"/>
      <c r="BE239" s="762"/>
      <c r="BF239" s="762"/>
      <c r="BG239" s="762"/>
      <c r="BH239" s="762"/>
    </row>
    <row r="240" spans="1:60" s="49" customFormat="1">
      <c r="A240" s="767"/>
      <c r="B240" s="767"/>
      <c r="C240" s="762"/>
      <c r="D240" s="762"/>
      <c r="E240" s="762"/>
      <c r="F240" s="762"/>
      <c r="G240" s="762"/>
      <c r="H240" s="762"/>
      <c r="I240" s="925"/>
      <c r="J240" s="762"/>
      <c r="K240" s="762"/>
      <c r="L240" s="762"/>
      <c r="M240" s="762"/>
      <c r="N240" s="762"/>
      <c r="O240" s="762"/>
      <c r="P240" s="762"/>
      <c r="Q240" s="925"/>
      <c r="R240" s="762"/>
      <c r="S240" s="762"/>
      <c r="T240" s="762"/>
      <c r="U240" s="762"/>
      <c r="V240" s="762"/>
      <c r="W240" s="762"/>
      <c r="X240" s="762"/>
      <c r="Y240" s="925"/>
      <c r="Z240" s="762"/>
      <c r="AA240" s="762"/>
      <c r="AB240" s="762"/>
      <c r="AC240" s="762"/>
      <c r="AD240" s="762"/>
      <c r="AE240" s="762"/>
      <c r="AF240" s="762"/>
      <c r="AG240" s="925"/>
      <c r="AH240" s="762"/>
      <c r="AI240" s="762"/>
      <c r="AJ240" s="762"/>
      <c r="AK240" s="762"/>
      <c r="AL240" s="762"/>
      <c r="AM240" s="762"/>
      <c r="AN240" s="762"/>
      <c r="AO240" s="925"/>
      <c r="AP240" s="762"/>
      <c r="AQ240" s="762"/>
      <c r="AR240" s="762"/>
      <c r="AS240" s="762"/>
      <c r="AT240" s="762"/>
      <c r="AU240" s="762"/>
      <c r="AV240" s="762"/>
      <c r="AW240" s="762"/>
      <c r="AX240" s="762"/>
      <c r="AY240" s="762"/>
      <c r="AZ240" s="762"/>
      <c r="BA240" s="762"/>
      <c r="BB240" s="762"/>
      <c r="BC240" s="762"/>
      <c r="BD240" s="762"/>
      <c r="BE240" s="762"/>
      <c r="BF240" s="762"/>
      <c r="BG240" s="762"/>
      <c r="BH240" s="762"/>
    </row>
    <row r="241" spans="1:60" s="49" customFormat="1">
      <c r="A241" s="767"/>
      <c r="B241" s="767"/>
      <c r="C241" s="762"/>
      <c r="D241" s="762"/>
      <c r="E241" s="762"/>
      <c r="F241" s="762"/>
      <c r="G241" s="762"/>
      <c r="H241" s="762"/>
      <c r="I241" s="925"/>
      <c r="J241" s="762"/>
      <c r="K241" s="762"/>
      <c r="L241" s="762"/>
      <c r="M241" s="762"/>
      <c r="N241" s="762"/>
      <c r="O241" s="762"/>
      <c r="P241" s="762"/>
      <c r="Q241" s="925"/>
      <c r="R241" s="762"/>
      <c r="S241" s="762"/>
      <c r="T241" s="762"/>
      <c r="U241" s="762"/>
      <c r="V241" s="762"/>
      <c r="W241" s="762"/>
      <c r="X241" s="762"/>
      <c r="Y241" s="925"/>
      <c r="Z241" s="762"/>
      <c r="AA241" s="762"/>
      <c r="AB241" s="762"/>
      <c r="AC241" s="762"/>
      <c r="AD241" s="762"/>
      <c r="AE241" s="762"/>
      <c r="AF241" s="762"/>
      <c r="AG241" s="925"/>
      <c r="AH241" s="762"/>
      <c r="AI241" s="762"/>
      <c r="AJ241" s="762"/>
      <c r="AK241" s="762"/>
      <c r="AL241" s="762"/>
      <c r="AM241" s="762"/>
      <c r="AN241" s="762"/>
      <c r="AO241" s="925"/>
      <c r="AP241" s="762"/>
      <c r="AQ241" s="762"/>
      <c r="AR241" s="762"/>
      <c r="AS241" s="762"/>
      <c r="AT241" s="762"/>
      <c r="AU241" s="762"/>
      <c r="AV241" s="762"/>
      <c r="AW241" s="762"/>
      <c r="AX241" s="762"/>
      <c r="AY241" s="762"/>
      <c r="AZ241" s="762"/>
      <c r="BA241" s="762"/>
      <c r="BB241" s="762"/>
      <c r="BC241" s="762"/>
      <c r="BD241" s="762"/>
      <c r="BE241" s="762"/>
      <c r="BF241" s="762"/>
      <c r="BG241" s="762"/>
      <c r="BH241" s="762"/>
    </row>
    <row r="242" spans="1:60" s="49" customFormat="1">
      <c r="A242" s="767"/>
      <c r="B242" s="767"/>
      <c r="C242" s="762"/>
      <c r="D242" s="762"/>
      <c r="E242" s="762"/>
      <c r="F242" s="762"/>
      <c r="G242" s="762"/>
      <c r="H242" s="762"/>
      <c r="I242" s="925"/>
      <c r="J242" s="762"/>
      <c r="K242" s="762"/>
      <c r="L242" s="762"/>
      <c r="M242" s="762"/>
      <c r="N242" s="762"/>
      <c r="O242" s="762"/>
      <c r="P242" s="762"/>
      <c r="Q242" s="925"/>
      <c r="R242" s="762"/>
      <c r="S242" s="762"/>
      <c r="T242" s="762"/>
      <c r="U242" s="762"/>
      <c r="V242" s="762"/>
      <c r="W242" s="762"/>
      <c r="X242" s="762"/>
      <c r="Y242" s="925"/>
      <c r="Z242" s="762"/>
      <c r="AA242" s="762"/>
      <c r="AB242" s="762"/>
      <c r="AC242" s="762"/>
      <c r="AD242" s="762"/>
      <c r="AE242" s="762"/>
      <c r="AF242" s="762"/>
      <c r="AG242" s="925"/>
      <c r="AH242" s="762"/>
      <c r="AI242" s="762"/>
      <c r="AJ242" s="762"/>
      <c r="AK242" s="762"/>
      <c r="AL242" s="762"/>
      <c r="AM242" s="762"/>
      <c r="AN242" s="762"/>
      <c r="AO242" s="925"/>
      <c r="AP242" s="762"/>
      <c r="AQ242" s="762"/>
      <c r="AR242" s="762"/>
      <c r="AS242" s="762"/>
      <c r="AT242" s="762"/>
      <c r="AU242" s="762"/>
      <c r="AV242" s="762"/>
      <c r="AW242" s="762"/>
      <c r="AX242" s="762"/>
      <c r="AY242" s="762"/>
      <c r="AZ242" s="762"/>
      <c r="BA242" s="762"/>
      <c r="BB242" s="762"/>
      <c r="BC242" s="762"/>
      <c r="BD242" s="762"/>
      <c r="BE242" s="762"/>
      <c r="BF242" s="762"/>
      <c r="BG242" s="762"/>
      <c r="BH242" s="762"/>
    </row>
    <row r="243" spans="1:60" s="49" customFormat="1">
      <c r="A243" s="767"/>
      <c r="B243" s="767"/>
      <c r="C243" s="762"/>
      <c r="D243" s="762"/>
      <c r="E243" s="762"/>
      <c r="F243" s="762"/>
      <c r="G243" s="762"/>
      <c r="H243" s="762"/>
      <c r="I243" s="925"/>
      <c r="J243" s="762"/>
      <c r="K243" s="762"/>
      <c r="L243" s="762"/>
      <c r="M243" s="762"/>
      <c r="N243" s="762"/>
      <c r="O243" s="762"/>
      <c r="P243" s="762"/>
      <c r="Q243" s="925"/>
      <c r="R243" s="762"/>
      <c r="S243" s="762"/>
      <c r="T243" s="762"/>
      <c r="U243" s="762"/>
      <c r="V243" s="762"/>
      <c r="W243" s="762"/>
      <c r="X243" s="762"/>
      <c r="Y243" s="925"/>
      <c r="Z243" s="762"/>
      <c r="AA243" s="762"/>
      <c r="AB243" s="762"/>
      <c r="AC243" s="762"/>
      <c r="AD243" s="762"/>
      <c r="AE243" s="762"/>
      <c r="AF243" s="762"/>
      <c r="AG243" s="925"/>
      <c r="AH243" s="762"/>
      <c r="AI243" s="762"/>
      <c r="AJ243" s="762"/>
      <c r="AK243" s="762"/>
      <c r="AL243" s="762"/>
      <c r="AM243" s="762"/>
      <c r="AN243" s="762"/>
      <c r="AO243" s="925"/>
      <c r="AP243" s="762"/>
      <c r="AQ243" s="762"/>
      <c r="AR243" s="762"/>
      <c r="AS243" s="762"/>
      <c r="AT243" s="762"/>
      <c r="AU243" s="762"/>
      <c r="AV243" s="762"/>
      <c r="AW243" s="762"/>
      <c r="AX243" s="762"/>
      <c r="AY243" s="762"/>
      <c r="AZ243" s="762"/>
      <c r="BA243" s="762"/>
      <c r="BB243" s="762"/>
      <c r="BC243" s="762"/>
      <c r="BD243" s="762"/>
      <c r="BE243" s="762"/>
      <c r="BF243" s="762"/>
      <c r="BG243" s="762"/>
      <c r="BH243" s="762"/>
    </row>
    <row r="244" spans="1:60" s="49" customFormat="1">
      <c r="A244" s="767"/>
      <c r="B244" s="767"/>
      <c r="C244" s="762"/>
      <c r="D244" s="762"/>
      <c r="E244" s="762"/>
      <c r="F244" s="762"/>
      <c r="G244" s="762"/>
      <c r="H244" s="762"/>
      <c r="I244" s="925"/>
      <c r="J244" s="762"/>
      <c r="K244" s="762"/>
      <c r="L244" s="762"/>
      <c r="M244" s="762"/>
      <c r="N244" s="762"/>
      <c r="O244" s="762"/>
      <c r="P244" s="762"/>
      <c r="Q244" s="925"/>
      <c r="R244" s="762"/>
      <c r="S244" s="762"/>
      <c r="T244" s="762"/>
      <c r="U244" s="762"/>
      <c r="V244" s="762"/>
      <c r="W244" s="762"/>
      <c r="X244" s="762"/>
      <c r="Y244" s="925"/>
      <c r="Z244" s="762"/>
      <c r="AA244" s="762"/>
      <c r="AB244" s="762"/>
      <c r="AC244" s="762"/>
      <c r="AD244" s="762"/>
      <c r="AE244" s="762"/>
      <c r="AF244" s="762"/>
      <c r="AG244" s="925"/>
      <c r="AH244" s="762"/>
      <c r="AI244" s="762"/>
      <c r="AJ244" s="762"/>
      <c r="AK244" s="762"/>
      <c r="AL244" s="762"/>
      <c r="AM244" s="762"/>
      <c r="AN244" s="762"/>
      <c r="AO244" s="925"/>
      <c r="AP244" s="762"/>
      <c r="AQ244" s="762"/>
      <c r="AR244" s="762"/>
      <c r="AS244" s="762"/>
      <c r="AT244" s="762"/>
      <c r="AU244" s="762"/>
      <c r="AV244" s="762"/>
      <c r="AW244" s="762"/>
      <c r="AX244" s="762"/>
      <c r="AY244" s="762"/>
      <c r="AZ244" s="762"/>
      <c r="BA244" s="762"/>
      <c r="BB244" s="762"/>
      <c r="BC244" s="762"/>
      <c r="BD244" s="762"/>
      <c r="BE244" s="762"/>
      <c r="BF244" s="762"/>
      <c r="BG244" s="762"/>
      <c r="BH244" s="762"/>
    </row>
    <row r="245" spans="1:60" s="49" customFormat="1">
      <c r="A245" s="767"/>
      <c r="B245" s="767"/>
      <c r="C245" s="762"/>
      <c r="D245" s="762"/>
      <c r="E245" s="762"/>
      <c r="F245" s="762"/>
      <c r="G245" s="762"/>
      <c r="H245" s="762"/>
      <c r="I245" s="925"/>
      <c r="J245" s="762"/>
      <c r="K245" s="762"/>
      <c r="L245" s="762"/>
      <c r="M245" s="762"/>
      <c r="N245" s="762"/>
      <c r="O245" s="762"/>
      <c r="P245" s="762"/>
      <c r="Q245" s="925"/>
      <c r="R245" s="762"/>
      <c r="S245" s="762"/>
      <c r="T245" s="762"/>
      <c r="U245" s="762"/>
      <c r="V245" s="762"/>
      <c r="W245" s="762"/>
      <c r="X245" s="762"/>
      <c r="Y245" s="925"/>
      <c r="Z245" s="762"/>
      <c r="AA245" s="762"/>
      <c r="AB245" s="762"/>
      <c r="AC245" s="762"/>
      <c r="AD245" s="762"/>
      <c r="AE245" s="762"/>
      <c r="AF245" s="762"/>
      <c r="AG245" s="925"/>
      <c r="AH245" s="762"/>
      <c r="AI245" s="762"/>
      <c r="AJ245" s="762"/>
      <c r="AK245" s="762"/>
      <c r="AL245" s="762"/>
      <c r="AM245" s="762"/>
      <c r="AN245" s="762"/>
      <c r="AO245" s="925"/>
      <c r="AP245" s="762"/>
      <c r="AQ245" s="762"/>
      <c r="AR245" s="762"/>
      <c r="AS245" s="762"/>
      <c r="AT245" s="762"/>
      <c r="AU245" s="762"/>
      <c r="AV245" s="762"/>
      <c r="AW245" s="762"/>
      <c r="AX245" s="762"/>
      <c r="AY245" s="762"/>
      <c r="AZ245" s="762"/>
      <c r="BA245" s="762"/>
      <c r="BB245" s="762"/>
      <c r="BC245" s="762"/>
      <c r="BD245" s="762"/>
      <c r="BE245" s="762"/>
      <c r="BF245" s="762"/>
      <c r="BG245" s="762"/>
      <c r="BH245" s="762"/>
    </row>
    <row r="246" spans="1:60" s="49" customFormat="1">
      <c r="A246" s="767"/>
      <c r="B246" s="767"/>
      <c r="C246" s="762"/>
      <c r="D246" s="762"/>
      <c r="E246" s="762"/>
      <c r="F246" s="762"/>
      <c r="G246" s="762"/>
      <c r="H246" s="762"/>
      <c r="I246" s="925"/>
      <c r="J246" s="762"/>
      <c r="K246" s="762"/>
      <c r="L246" s="762"/>
      <c r="M246" s="762"/>
      <c r="N246" s="762"/>
      <c r="O246" s="762"/>
      <c r="P246" s="762"/>
      <c r="Q246" s="925"/>
      <c r="R246" s="762"/>
      <c r="S246" s="762"/>
      <c r="T246" s="762"/>
      <c r="U246" s="762"/>
      <c r="V246" s="762"/>
      <c r="W246" s="762"/>
      <c r="X246" s="762"/>
      <c r="Y246" s="925"/>
      <c r="Z246" s="762"/>
      <c r="AA246" s="762"/>
      <c r="AB246" s="762"/>
      <c r="AC246" s="762"/>
      <c r="AD246" s="762"/>
      <c r="AE246" s="762"/>
      <c r="AF246" s="762"/>
      <c r="AG246" s="925"/>
      <c r="AH246" s="762"/>
      <c r="AI246" s="762"/>
      <c r="AJ246" s="762"/>
      <c r="AK246" s="762"/>
      <c r="AL246" s="762"/>
      <c r="AM246" s="762"/>
      <c r="AN246" s="762"/>
      <c r="AO246" s="925"/>
      <c r="AP246" s="762"/>
      <c r="AQ246" s="762"/>
      <c r="AR246" s="762"/>
      <c r="AS246" s="762"/>
      <c r="AT246" s="762"/>
      <c r="AU246" s="762"/>
      <c r="AV246" s="762"/>
      <c r="AW246" s="762"/>
      <c r="AX246" s="762"/>
      <c r="AY246" s="762"/>
      <c r="AZ246" s="762"/>
      <c r="BA246" s="762"/>
      <c r="BB246" s="762"/>
      <c r="BC246" s="762"/>
      <c r="BD246" s="762"/>
      <c r="BE246" s="762"/>
      <c r="BF246" s="762"/>
      <c r="BG246" s="762"/>
      <c r="BH246" s="762"/>
    </row>
    <row r="247" spans="1:60" s="49" customFormat="1">
      <c r="A247" s="767"/>
      <c r="B247" s="767"/>
      <c r="C247" s="762"/>
      <c r="D247" s="762"/>
      <c r="E247" s="762"/>
      <c r="F247" s="762"/>
      <c r="G247" s="762"/>
      <c r="H247" s="762"/>
      <c r="I247" s="925"/>
      <c r="J247" s="762"/>
      <c r="K247" s="762"/>
      <c r="L247" s="762"/>
      <c r="M247" s="762"/>
      <c r="N247" s="762"/>
      <c r="O247" s="762"/>
      <c r="P247" s="762"/>
      <c r="Q247" s="925"/>
      <c r="R247" s="762"/>
      <c r="S247" s="762"/>
      <c r="T247" s="762"/>
      <c r="U247" s="762"/>
      <c r="V247" s="762"/>
      <c r="W247" s="762"/>
      <c r="X247" s="762"/>
      <c r="Y247" s="925"/>
      <c r="Z247" s="762"/>
      <c r="AA247" s="762"/>
      <c r="AB247" s="762"/>
      <c r="AC247" s="762"/>
      <c r="AD247" s="762"/>
      <c r="AE247" s="762"/>
      <c r="AF247" s="762"/>
      <c r="AG247" s="925"/>
      <c r="AH247" s="762"/>
      <c r="AI247" s="762"/>
      <c r="AJ247" s="762"/>
      <c r="AK247" s="762"/>
      <c r="AL247" s="762"/>
      <c r="AM247" s="762"/>
      <c r="AN247" s="762"/>
      <c r="AO247" s="925"/>
      <c r="AP247" s="762"/>
      <c r="AQ247" s="762"/>
      <c r="AR247" s="762"/>
      <c r="AS247" s="762"/>
      <c r="AT247" s="762"/>
      <c r="AU247" s="762"/>
      <c r="AV247" s="762"/>
      <c r="AW247" s="762"/>
      <c r="AX247" s="762"/>
      <c r="AY247" s="762"/>
      <c r="AZ247" s="762"/>
      <c r="BA247" s="762"/>
      <c r="BB247" s="762"/>
      <c r="BC247" s="762"/>
      <c r="BD247" s="762"/>
      <c r="BE247" s="762"/>
      <c r="BF247" s="762"/>
      <c r="BG247" s="762"/>
      <c r="BH247" s="762"/>
    </row>
    <row r="248" spans="1:60" s="49" customFormat="1">
      <c r="A248" s="767"/>
      <c r="B248" s="767"/>
      <c r="C248" s="762"/>
      <c r="D248" s="762"/>
      <c r="E248" s="762"/>
      <c r="F248" s="762"/>
      <c r="G248" s="762"/>
      <c r="H248" s="762"/>
      <c r="I248" s="925"/>
      <c r="J248" s="762"/>
      <c r="K248" s="762"/>
      <c r="L248" s="762"/>
      <c r="M248" s="762"/>
      <c r="N248" s="762"/>
      <c r="O248" s="762"/>
      <c r="P248" s="762"/>
      <c r="Q248" s="925"/>
      <c r="R248" s="762"/>
      <c r="S248" s="762"/>
      <c r="T248" s="762"/>
      <c r="U248" s="762"/>
      <c r="V248" s="762"/>
      <c r="W248" s="762"/>
      <c r="X248" s="762"/>
      <c r="Y248" s="925"/>
      <c r="Z248" s="762"/>
      <c r="AA248" s="762"/>
      <c r="AB248" s="762"/>
      <c r="AC248" s="762"/>
      <c r="AD248" s="762"/>
      <c r="AE248" s="762"/>
      <c r="AF248" s="762"/>
      <c r="AG248" s="925"/>
      <c r="AH248" s="762"/>
      <c r="AI248" s="762"/>
      <c r="AJ248" s="762"/>
      <c r="AK248" s="762"/>
      <c r="AL248" s="762"/>
      <c r="AM248" s="762"/>
      <c r="AN248" s="762"/>
      <c r="AO248" s="925"/>
      <c r="AP248" s="762"/>
      <c r="AQ248" s="762"/>
      <c r="AR248" s="762"/>
      <c r="AS248" s="762"/>
      <c r="AT248" s="762"/>
      <c r="AU248" s="762"/>
      <c r="AV248" s="762"/>
      <c r="AW248" s="762"/>
      <c r="AX248" s="762"/>
      <c r="AY248" s="762"/>
      <c r="AZ248" s="762"/>
      <c r="BA248" s="762"/>
      <c r="BB248" s="762"/>
      <c r="BC248" s="762"/>
      <c r="BD248" s="762"/>
      <c r="BE248" s="762"/>
      <c r="BF248" s="762"/>
      <c r="BG248" s="762"/>
      <c r="BH248" s="762"/>
    </row>
    <row r="249" spans="1:60" s="49" customFormat="1">
      <c r="A249" s="767"/>
      <c r="B249" s="767"/>
      <c r="C249" s="762"/>
      <c r="D249" s="762"/>
      <c r="E249" s="762"/>
      <c r="F249" s="762"/>
      <c r="G249" s="762"/>
      <c r="H249" s="762"/>
      <c r="I249" s="925"/>
      <c r="J249" s="762"/>
      <c r="K249" s="762"/>
      <c r="L249" s="762"/>
      <c r="M249" s="762"/>
      <c r="N249" s="762"/>
      <c r="O249" s="762"/>
      <c r="P249" s="762"/>
      <c r="Q249" s="925"/>
      <c r="R249" s="762"/>
      <c r="S249" s="762"/>
      <c r="T249" s="762"/>
      <c r="U249" s="762"/>
      <c r="V249" s="762"/>
      <c r="W249" s="762"/>
      <c r="X249" s="762"/>
      <c r="Y249" s="925"/>
      <c r="Z249" s="762"/>
      <c r="AA249" s="762"/>
      <c r="AB249" s="762"/>
      <c r="AC249" s="762"/>
      <c r="AD249" s="762"/>
      <c r="AE249" s="762"/>
      <c r="AF249" s="762"/>
      <c r="AG249" s="925"/>
      <c r="AH249" s="762"/>
      <c r="AI249" s="762"/>
      <c r="AJ249" s="762"/>
      <c r="AK249" s="762"/>
      <c r="AL249" s="762"/>
      <c r="AM249" s="762"/>
      <c r="AN249" s="762"/>
      <c r="AO249" s="925"/>
      <c r="AP249" s="762"/>
      <c r="AQ249" s="762"/>
      <c r="AR249" s="762"/>
      <c r="AS249" s="762"/>
      <c r="AT249" s="762"/>
      <c r="AU249" s="762"/>
      <c r="AV249" s="762"/>
      <c r="AW249" s="762"/>
      <c r="AX249" s="762"/>
      <c r="AY249" s="762"/>
      <c r="AZ249" s="762"/>
      <c r="BA249" s="762"/>
      <c r="BB249" s="762"/>
      <c r="BC249" s="762"/>
      <c r="BD249" s="762"/>
      <c r="BE249" s="762"/>
      <c r="BF249" s="762"/>
      <c r="BG249" s="762"/>
      <c r="BH249" s="762"/>
    </row>
    <row r="250" spans="1:60" s="49" customFormat="1">
      <c r="A250" s="767"/>
      <c r="B250" s="767"/>
      <c r="C250" s="762"/>
      <c r="D250" s="762"/>
      <c r="E250" s="762"/>
      <c r="F250" s="762"/>
      <c r="G250" s="762"/>
      <c r="H250" s="762"/>
      <c r="I250" s="925"/>
      <c r="J250" s="762"/>
      <c r="K250" s="762"/>
      <c r="L250" s="762"/>
      <c r="M250" s="762"/>
      <c r="N250" s="762"/>
      <c r="O250" s="762"/>
      <c r="P250" s="762"/>
      <c r="Q250" s="925"/>
      <c r="R250" s="762"/>
      <c r="S250" s="762"/>
      <c r="T250" s="762"/>
      <c r="U250" s="762"/>
      <c r="V250" s="762"/>
      <c r="W250" s="762"/>
      <c r="X250" s="762"/>
      <c r="Y250" s="925"/>
      <c r="Z250" s="762"/>
      <c r="AA250" s="762"/>
      <c r="AB250" s="762"/>
      <c r="AC250" s="762"/>
      <c r="AD250" s="762"/>
      <c r="AE250" s="762"/>
      <c r="AF250" s="762"/>
      <c r="AG250" s="925"/>
      <c r="AH250" s="762"/>
      <c r="AI250" s="762"/>
      <c r="AJ250" s="762"/>
      <c r="AK250" s="762"/>
      <c r="AL250" s="762"/>
      <c r="AM250" s="762"/>
      <c r="AN250" s="762"/>
      <c r="AO250" s="925"/>
      <c r="AP250" s="762"/>
      <c r="AQ250" s="762"/>
      <c r="AR250" s="762"/>
      <c r="AS250" s="762"/>
      <c r="AT250" s="762"/>
      <c r="AU250" s="762"/>
      <c r="AV250" s="762"/>
      <c r="AW250" s="762"/>
      <c r="AX250" s="762"/>
      <c r="AY250" s="762"/>
      <c r="AZ250" s="762"/>
      <c r="BA250" s="762"/>
      <c r="BB250" s="762"/>
      <c r="BC250" s="762"/>
      <c r="BD250" s="762"/>
      <c r="BE250" s="762"/>
      <c r="BF250" s="762"/>
      <c r="BG250" s="762"/>
      <c r="BH250" s="762"/>
    </row>
    <row r="251" spans="1:60" s="49" customFormat="1">
      <c r="A251" s="767"/>
      <c r="B251" s="767"/>
      <c r="C251" s="762"/>
      <c r="D251" s="762"/>
      <c r="E251" s="762"/>
      <c r="F251" s="762"/>
      <c r="G251" s="762"/>
      <c r="H251" s="762"/>
      <c r="I251" s="925"/>
      <c r="J251" s="762"/>
      <c r="K251" s="762"/>
      <c r="L251" s="762"/>
      <c r="M251" s="762"/>
      <c r="N251" s="762"/>
      <c r="O251" s="762"/>
      <c r="P251" s="762"/>
      <c r="Q251" s="925"/>
      <c r="R251" s="762"/>
      <c r="S251" s="762"/>
      <c r="T251" s="762"/>
      <c r="U251" s="762"/>
      <c r="V251" s="762"/>
      <c r="W251" s="762"/>
      <c r="X251" s="762"/>
      <c r="Y251" s="925"/>
      <c r="Z251" s="762"/>
      <c r="AA251" s="762"/>
      <c r="AB251" s="762"/>
      <c r="AC251" s="762"/>
      <c r="AD251" s="762"/>
      <c r="AE251" s="762"/>
      <c r="AF251" s="762"/>
      <c r="AG251" s="925"/>
      <c r="AH251" s="762"/>
      <c r="AI251" s="762"/>
      <c r="AJ251" s="762"/>
      <c r="AK251" s="762"/>
      <c r="AL251" s="762"/>
      <c r="AM251" s="762"/>
      <c r="AN251" s="762"/>
      <c r="AO251" s="925"/>
      <c r="AP251" s="762"/>
      <c r="AQ251" s="762"/>
      <c r="AR251" s="762"/>
      <c r="AS251" s="762"/>
      <c r="AT251" s="762"/>
      <c r="AU251" s="762"/>
      <c r="AV251" s="762"/>
      <c r="AW251" s="762"/>
      <c r="AX251" s="762"/>
      <c r="AY251" s="762"/>
      <c r="AZ251" s="762"/>
      <c r="BA251" s="762"/>
      <c r="BB251" s="762"/>
      <c r="BC251" s="762"/>
      <c r="BD251" s="762"/>
      <c r="BE251" s="762"/>
      <c r="BF251" s="762"/>
      <c r="BG251" s="762"/>
      <c r="BH251" s="762"/>
    </row>
    <row r="252" spans="1:60" s="49" customFormat="1">
      <c r="A252" s="767"/>
      <c r="B252" s="767"/>
      <c r="C252" s="762"/>
      <c r="D252" s="762"/>
      <c r="E252" s="762"/>
      <c r="F252" s="762"/>
      <c r="G252" s="762"/>
      <c r="H252" s="762"/>
      <c r="I252" s="925"/>
      <c r="J252" s="762"/>
      <c r="K252" s="762"/>
      <c r="L252" s="762"/>
      <c r="M252" s="762"/>
      <c r="N252" s="762"/>
      <c r="O252" s="762"/>
      <c r="P252" s="762"/>
      <c r="Q252" s="925"/>
      <c r="R252" s="762"/>
      <c r="S252" s="762"/>
      <c r="T252" s="762"/>
      <c r="U252" s="762"/>
      <c r="V252" s="762"/>
      <c r="W252" s="762"/>
      <c r="X252" s="762"/>
      <c r="Y252" s="925"/>
      <c r="Z252" s="762"/>
      <c r="AA252" s="762"/>
      <c r="AB252" s="762"/>
      <c r="AC252" s="762"/>
      <c r="AD252" s="762"/>
      <c r="AE252" s="762"/>
      <c r="AF252" s="762"/>
      <c r="AG252" s="925"/>
      <c r="AH252" s="762"/>
      <c r="AI252" s="762"/>
      <c r="AJ252" s="762"/>
      <c r="AK252" s="762"/>
      <c r="AL252" s="762"/>
      <c r="AM252" s="762"/>
      <c r="AN252" s="762"/>
      <c r="AO252" s="925"/>
      <c r="AP252" s="762"/>
      <c r="AQ252" s="762"/>
      <c r="AR252" s="762"/>
      <c r="AS252" s="762"/>
      <c r="AT252" s="762"/>
      <c r="AU252" s="762"/>
      <c r="AV252" s="762"/>
      <c r="AW252" s="762"/>
      <c r="AX252" s="762"/>
      <c r="AY252" s="762"/>
      <c r="AZ252" s="762"/>
      <c r="BA252" s="762"/>
      <c r="BB252" s="762"/>
      <c r="BC252" s="762"/>
      <c r="BD252" s="762"/>
      <c r="BE252" s="762"/>
      <c r="BF252" s="762"/>
      <c r="BG252" s="762"/>
      <c r="BH252" s="762"/>
    </row>
    <row r="253" spans="1:60" s="49" customFormat="1">
      <c r="A253" s="767"/>
      <c r="B253" s="767"/>
      <c r="C253" s="762"/>
      <c r="D253" s="762"/>
      <c r="E253" s="762"/>
      <c r="F253" s="762"/>
      <c r="G253" s="762"/>
      <c r="H253" s="762"/>
      <c r="I253" s="925"/>
      <c r="J253" s="762"/>
      <c r="K253" s="762"/>
      <c r="L253" s="762"/>
      <c r="M253" s="762"/>
      <c r="N253" s="762"/>
      <c r="O253" s="762"/>
      <c r="P253" s="762"/>
      <c r="Q253" s="925"/>
      <c r="R253" s="762"/>
      <c r="S253" s="762"/>
      <c r="T253" s="762"/>
      <c r="U253" s="762"/>
      <c r="V253" s="762"/>
      <c r="W253" s="762"/>
      <c r="X253" s="762"/>
      <c r="Y253" s="925"/>
      <c r="Z253" s="762"/>
      <c r="AA253" s="762"/>
      <c r="AB253" s="762"/>
      <c r="AC253" s="762"/>
      <c r="AD253" s="762"/>
      <c r="AE253" s="762"/>
      <c r="AF253" s="762"/>
      <c r="AG253" s="925"/>
      <c r="AH253" s="762"/>
      <c r="AI253" s="762"/>
      <c r="AJ253" s="762"/>
      <c r="AK253" s="762"/>
      <c r="AL253" s="762"/>
      <c r="AM253" s="762"/>
      <c r="AN253" s="762"/>
      <c r="AO253" s="925"/>
      <c r="AP253" s="762"/>
      <c r="AQ253" s="762"/>
      <c r="AR253" s="762"/>
      <c r="AS253" s="762"/>
      <c r="AT253" s="762"/>
      <c r="AU253" s="762"/>
      <c r="AV253" s="762"/>
      <c r="AW253" s="762"/>
      <c r="AX253" s="762"/>
      <c r="AY253" s="762"/>
      <c r="AZ253" s="762"/>
      <c r="BA253" s="762"/>
      <c r="BB253" s="762"/>
      <c r="BC253" s="762"/>
      <c r="BD253" s="762"/>
      <c r="BE253" s="762"/>
      <c r="BF253" s="762"/>
      <c r="BG253" s="762"/>
      <c r="BH253" s="762"/>
    </row>
    <row r="254" spans="1:60" s="49" customFormat="1">
      <c r="A254" s="767"/>
      <c r="B254" s="767"/>
      <c r="C254" s="762"/>
      <c r="D254" s="762"/>
      <c r="E254" s="762"/>
      <c r="F254" s="762"/>
      <c r="G254" s="762"/>
      <c r="H254" s="762"/>
      <c r="I254" s="925"/>
      <c r="J254" s="762"/>
      <c r="K254" s="762"/>
      <c r="L254" s="762"/>
      <c r="M254" s="762"/>
      <c r="N254" s="762"/>
      <c r="O254" s="762"/>
      <c r="P254" s="762"/>
      <c r="Q254" s="925"/>
      <c r="R254" s="762"/>
      <c r="S254" s="762"/>
      <c r="T254" s="762"/>
      <c r="U254" s="762"/>
      <c r="V254" s="762"/>
      <c r="W254" s="762"/>
      <c r="X254" s="762"/>
      <c r="Y254" s="925"/>
      <c r="Z254" s="762"/>
      <c r="AA254" s="762"/>
      <c r="AB254" s="762"/>
      <c r="AC254" s="762"/>
      <c r="AD254" s="762"/>
      <c r="AE254" s="762"/>
      <c r="AF254" s="762"/>
      <c r="AG254" s="925"/>
      <c r="AH254" s="762"/>
      <c r="AI254" s="762"/>
      <c r="AJ254" s="762"/>
      <c r="AK254" s="762"/>
      <c r="AL254" s="762"/>
      <c r="AM254" s="762"/>
      <c r="AN254" s="762"/>
      <c r="AO254" s="925"/>
      <c r="AP254" s="762"/>
      <c r="AQ254" s="762"/>
      <c r="AR254" s="762"/>
      <c r="AS254" s="762"/>
      <c r="AT254" s="762"/>
      <c r="AU254" s="762"/>
      <c r="AV254" s="762"/>
      <c r="AW254" s="762"/>
      <c r="AX254" s="762"/>
      <c r="AY254" s="762"/>
      <c r="AZ254" s="762"/>
      <c r="BA254" s="762"/>
      <c r="BB254" s="762"/>
      <c r="BC254" s="762"/>
      <c r="BD254" s="762"/>
      <c r="BE254" s="762"/>
      <c r="BF254" s="762"/>
      <c r="BG254" s="762"/>
      <c r="BH254" s="762"/>
    </row>
    <row r="255" spans="1:60" s="49" customFormat="1">
      <c r="A255" s="767"/>
      <c r="B255" s="767"/>
      <c r="C255" s="762"/>
      <c r="D255" s="762"/>
      <c r="E255" s="762"/>
      <c r="F255" s="762"/>
      <c r="G255" s="762"/>
      <c r="H255" s="762"/>
      <c r="I255" s="925"/>
      <c r="J255" s="762"/>
      <c r="K255" s="762"/>
      <c r="L255" s="762"/>
      <c r="M255" s="762"/>
      <c r="N255" s="762"/>
      <c r="O255" s="762"/>
      <c r="P255" s="762"/>
      <c r="Q255" s="925"/>
      <c r="R255" s="762"/>
      <c r="S255" s="762"/>
      <c r="T255" s="762"/>
      <c r="U255" s="762"/>
      <c r="V255" s="762"/>
      <c r="W255" s="762"/>
      <c r="X255" s="762"/>
      <c r="Y255" s="925"/>
      <c r="Z255" s="762"/>
      <c r="AA255" s="762"/>
      <c r="AB255" s="762"/>
      <c r="AC255" s="762"/>
      <c r="AD255" s="762"/>
      <c r="AE255" s="762"/>
      <c r="AF255" s="762"/>
      <c r="AG255" s="925"/>
      <c r="AH255" s="762"/>
      <c r="AI255" s="762"/>
      <c r="AJ255" s="762"/>
      <c r="AK255" s="762"/>
      <c r="AL255" s="762"/>
      <c r="AM255" s="762"/>
      <c r="AN255" s="762"/>
      <c r="AO255" s="925"/>
      <c r="AP255" s="762"/>
      <c r="AQ255" s="762"/>
      <c r="AR255" s="762"/>
      <c r="AS255" s="762"/>
      <c r="AT255" s="762"/>
      <c r="AU255" s="762"/>
      <c r="AV255" s="762"/>
      <c r="AW255" s="762"/>
      <c r="AX255" s="762"/>
      <c r="AY255" s="762"/>
      <c r="AZ255" s="762"/>
      <c r="BA255" s="762"/>
      <c r="BB255" s="762"/>
      <c r="BC255" s="762"/>
      <c r="BD255" s="762"/>
      <c r="BE255" s="762"/>
      <c r="BF255" s="762"/>
      <c r="BG255" s="762"/>
      <c r="BH255" s="762"/>
    </row>
    <row r="256" spans="1:60" s="49" customFormat="1">
      <c r="A256" s="767"/>
      <c r="B256" s="767"/>
      <c r="C256" s="762"/>
      <c r="D256" s="762"/>
      <c r="E256" s="762"/>
      <c r="F256" s="762"/>
      <c r="G256" s="762"/>
      <c r="H256" s="762"/>
      <c r="I256" s="925"/>
      <c r="J256" s="762"/>
      <c r="K256" s="762"/>
      <c r="L256" s="762"/>
      <c r="M256" s="762"/>
      <c r="N256" s="762"/>
      <c r="O256" s="762"/>
      <c r="P256" s="762"/>
      <c r="Q256" s="925"/>
      <c r="R256" s="762"/>
      <c r="S256" s="762"/>
      <c r="T256" s="762"/>
      <c r="U256" s="762"/>
      <c r="V256" s="762"/>
      <c r="W256" s="762"/>
      <c r="X256" s="762"/>
      <c r="Y256" s="925"/>
      <c r="Z256" s="762"/>
      <c r="AA256" s="762"/>
      <c r="AB256" s="762"/>
      <c r="AC256" s="762"/>
      <c r="AD256" s="762"/>
      <c r="AE256" s="762"/>
      <c r="AF256" s="762"/>
      <c r="AG256" s="925"/>
      <c r="AH256" s="762"/>
      <c r="AI256" s="762"/>
      <c r="AJ256" s="762"/>
      <c r="AK256" s="762"/>
      <c r="AL256" s="762"/>
      <c r="AM256" s="762"/>
      <c r="AN256" s="762"/>
      <c r="AO256" s="925"/>
      <c r="AP256" s="762"/>
      <c r="AQ256" s="762"/>
      <c r="AR256" s="762"/>
      <c r="AS256" s="762"/>
      <c r="AT256" s="762"/>
      <c r="AU256" s="762"/>
      <c r="AV256" s="762"/>
      <c r="AW256" s="762"/>
      <c r="AX256" s="762"/>
      <c r="AY256" s="762"/>
      <c r="AZ256" s="762"/>
      <c r="BA256" s="762"/>
      <c r="BB256" s="762"/>
      <c r="BC256" s="762"/>
      <c r="BD256" s="762"/>
      <c r="BE256" s="762"/>
      <c r="BF256" s="762"/>
      <c r="BG256" s="762"/>
      <c r="BH256" s="762"/>
    </row>
    <row r="257" spans="1:60" s="49" customFormat="1">
      <c r="A257" s="767"/>
      <c r="B257" s="767"/>
      <c r="C257" s="762"/>
      <c r="D257" s="762"/>
      <c r="E257" s="762"/>
      <c r="F257" s="762"/>
      <c r="G257" s="762"/>
      <c r="H257" s="762"/>
      <c r="I257" s="925"/>
      <c r="J257" s="762"/>
      <c r="K257" s="762"/>
      <c r="L257" s="762"/>
      <c r="M257" s="762"/>
      <c r="N257" s="762"/>
      <c r="O257" s="762"/>
      <c r="P257" s="762"/>
      <c r="Q257" s="925"/>
      <c r="R257" s="762"/>
      <c r="S257" s="762"/>
      <c r="T257" s="762"/>
      <c r="U257" s="762"/>
      <c r="V257" s="762"/>
      <c r="W257" s="762"/>
      <c r="X257" s="762"/>
      <c r="Y257" s="925"/>
      <c r="Z257" s="762"/>
      <c r="AA257" s="762"/>
      <c r="AB257" s="762"/>
      <c r="AC257" s="762"/>
      <c r="AD257" s="762"/>
      <c r="AE257" s="762"/>
      <c r="AF257" s="762"/>
      <c r="AG257" s="925"/>
      <c r="AH257" s="762"/>
      <c r="AI257" s="762"/>
      <c r="AJ257" s="762"/>
      <c r="AK257" s="762"/>
      <c r="AL257" s="762"/>
      <c r="AM257" s="762"/>
      <c r="AN257" s="762"/>
      <c r="AO257" s="925"/>
      <c r="AP257" s="762"/>
      <c r="AQ257" s="762"/>
      <c r="AR257" s="762"/>
      <c r="AS257" s="762"/>
      <c r="AT257" s="762"/>
      <c r="AU257" s="762"/>
      <c r="AV257" s="762"/>
      <c r="AW257" s="762"/>
      <c r="AX257" s="762"/>
      <c r="AY257" s="762"/>
      <c r="AZ257" s="762"/>
      <c r="BA257" s="762"/>
      <c r="BB257" s="762"/>
      <c r="BC257" s="762"/>
      <c r="BD257" s="762"/>
      <c r="BE257" s="762"/>
      <c r="BF257" s="762"/>
      <c r="BG257" s="762"/>
      <c r="BH257" s="762"/>
    </row>
    <row r="258" spans="1:60" s="49" customFormat="1">
      <c r="A258" s="767"/>
      <c r="B258" s="767"/>
      <c r="C258" s="762"/>
      <c r="D258" s="762"/>
      <c r="E258" s="762"/>
      <c r="F258" s="762"/>
      <c r="G258" s="762"/>
      <c r="H258" s="762"/>
      <c r="I258" s="925"/>
      <c r="J258" s="762"/>
      <c r="K258" s="762"/>
      <c r="L258" s="762"/>
      <c r="M258" s="762"/>
      <c r="N258" s="762"/>
      <c r="O258" s="762"/>
      <c r="P258" s="762"/>
      <c r="Q258" s="925"/>
      <c r="R258" s="762"/>
      <c r="S258" s="762"/>
      <c r="T258" s="762"/>
      <c r="U258" s="762"/>
      <c r="V258" s="762"/>
      <c r="W258" s="762"/>
      <c r="X258" s="762"/>
      <c r="Y258" s="925"/>
      <c r="Z258" s="762"/>
      <c r="AA258" s="762"/>
      <c r="AB258" s="762"/>
      <c r="AC258" s="762"/>
      <c r="AD258" s="762"/>
      <c r="AE258" s="762"/>
      <c r="AF258" s="762"/>
      <c r="AG258" s="925"/>
      <c r="AH258" s="762"/>
      <c r="AI258" s="762"/>
      <c r="AJ258" s="762"/>
      <c r="AK258" s="762"/>
      <c r="AL258" s="762"/>
      <c r="AM258" s="762"/>
      <c r="AN258" s="762"/>
      <c r="AO258" s="925"/>
      <c r="AP258" s="762"/>
      <c r="AQ258" s="762"/>
      <c r="AR258" s="762"/>
      <c r="AS258" s="762"/>
      <c r="AT258" s="762"/>
      <c r="AU258" s="762"/>
      <c r="AV258" s="762"/>
      <c r="AW258" s="762"/>
      <c r="AX258" s="762"/>
      <c r="AY258" s="762"/>
      <c r="AZ258" s="762"/>
      <c r="BA258" s="762"/>
      <c r="BB258" s="762"/>
      <c r="BC258" s="762"/>
      <c r="BD258" s="762"/>
      <c r="BE258" s="762"/>
      <c r="BF258" s="762"/>
      <c r="BG258" s="762"/>
      <c r="BH258" s="762"/>
    </row>
    <row r="259" spans="1:60" s="49" customFormat="1">
      <c r="A259" s="767"/>
      <c r="B259" s="767"/>
      <c r="C259" s="762"/>
      <c r="D259" s="762"/>
      <c r="E259" s="762"/>
      <c r="F259" s="762"/>
      <c r="G259" s="762"/>
      <c r="H259" s="762"/>
      <c r="I259" s="925"/>
      <c r="J259" s="762"/>
      <c r="K259" s="762"/>
      <c r="L259" s="762"/>
      <c r="M259" s="762"/>
      <c r="N259" s="762"/>
      <c r="O259" s="762"/>
      <c r="P259" s="762"/>
      <c r="Q259" s="925"/>
      <c r="R259" s="762"/>
      <c r="S259" s="762"/>
      <c r="T259" s="762"/>
      <c r="U259" s="762"/>
      <c r="V259" s="762"/>
      <c r="W259" s="762"/>
      <c r="X259" s="762"/>
      <c r="Y259" s="925"/>
      <c r="Z259" s="762"/>
      <c r="AA259" s="762"/>
      <c r="AB259" s="762"/>
      <c r="AC259" s="762"/>
      <c r="AD259" s="762"/>
      <c r="AE259" s="762"/>
      <c r="AF259" s="762"/>
      <c r="AG259" s="925"/>
      <c r="AH259" s="762"/>
      <c r="AI259" s="762"/>
      <c r="AJ259" s="762"/>
      <c r="AK259" s="762"/>
      <c r="AL259" s="762"/>
      <c r="AM259" s="762"/>
      <c r="AN259" s="762"/>
      <c r="AO259" s="925"/>
      <c r="AP259" s="762"/>
      <c r="AQ259" s="762"/>
      <c r="AR259" s="762"/>
      <c r="AS259" s="762"/>
      <c r="AT259" s="762"/>
      <c r="AU259" s="762"/>
      <c r="AV259" s="762"/>
      <c r="AW259" s="762"/>
      <c r="AX259" s="762"/>
      <c r="AY259" s="762"/>
      <c r="AZ259" s="762"/>
      <c r="BA259" s="762"/>
      <c r="BB259" s="762"/>
      <c r="BC259" s="762"/>
      <c r="BD259" s="762"/>
      <c r="BE259" s="762"/>
      <c r="BF259" s="762"/>
      <c r="BG259" s="762"/>
      <c r="BH259" s="762"/>
    </row>
    <row r="260" spans="1:60" s="49" customFormat="1">
      <c r="A260" s="767"/>
      <c r="B260" s="767"/>
      <c r="C260" s="762"/>
      <c r="D260" s="762"/>
      <c r="E260" s="762"/>
      <c r="F260" s="762"/>
      <c r="G260" s="762"/>
      <c r="H260" s="762"/>
      <c r="I260" s="925"/>
      <c r="J260" s="762"/>
      <c r="K260" s="762"/>
      <c r="L260" s="762"/>
      <c r="M260" s="762"/>
      <c r="N260" s="762"/>
      <c r="O260" s="762"/>
      <c r="P260" s="762"/>
      <c r="Q260" s="925"/>
      <c r="R260" s="762"/>
      <c r="S260" s="762"/>
      <c r="T260" s="762"/>
      <c r="U260" s="762"/>
      <c r="V260" s="762"/>
      <c r="W260" s="762"/>
      <c r="X260" s="762"/>
      <c r="Y260" s="925"/>
      <c r="Z260" s="762"/>
      <c r="AA260" s="762"/>
      <c r="AB260" s="762"/>
      <c r="AC260" s="762"/>
      <c r="AD260" s="762"/>
      <c r="AE260" s="762"/>
      <c r="AF260" s="762"/>
      <c r="AG260" s="925"/>
      <c r="AH260" s="762"/>
      <c r="AI260" s="762"/>
      <c r="AJ260" s="762"/>
      <c r="AK260" s="762"/>
      <c r="AL260" s="762"/>
      <c r="AM260" s="762"/>
      <c r="AN260" s="762"/>
      <c r="AO260" s="925"/>
      <c r="AP260" s="762"/>
      <c r="AQ260" s="762"/>
      <c r="AR260" s="762"/>
      <c r="AS260" s="762"/>
      <c r="AT260" s="762"/>
      <c r="AU260" s="762"/>
      <c r="AV260" s="762"/>
      <c r="AW260" s="762"/>
      <c r="AX260" s="762"/>
      <c r="AY260" s="762"/>
      <c r="AZ260" s="762"/>
      <c r="BA260" s="762"/>
      <c r="BB260" s="762"/>
      <c r="BC260" s="762"/>
      <c r="BD260" s="762"/>
      <c r="BE260" s="762"/>
      <c r="BF260" s="762"/>
      <c r="BG260" s="762"/>
      <c r="BH260" s="762"/>
    </row>
    <row r="261" spans="1:60" s="49" customFormat="1">
      <c r="A261" s="767"/>
      <c r="B261" s="767"/>
      <c r="C261" s="762"/>
      <c r="D261" s="762"/>
      <c r="E261" s="762"/>
      <c r="F261" s="762"/>
      <c r="G261" s="762"/>
      <c r="H261" s="762"/>
      <c r="I261" s="925"/>
      <c r="J261" s="762"/>
      <c r="K261" s="762"/>
      <c r="L261" s="762"/>
      <c r="M261" s="762"/>
      <c r="N261" s="762"/>
      <c r="O261" s="762"/>
      <c r="P261" s="762"/>
      <c r="Q261" s="925"/>
      <c r="R261" s="762"/>
      <c r="S261" s="762"/>
      <c r="T261" s="762"/>
      <c r="U261" s="762"/>
      <c r="V261" s="762"/>
      <c r="W261" s="762"/>
      <c r="X261" s="762"/>
      <c r="Y261" s="925"/>
      <c r="Z261" s="762"/>
      <c r="AA261" s="762"/>
      <c r="AB261" s="762"/>
      <c r="AC261" s="762"/>
      <c r="AD261" s="762"/>
      <c r="AE261" s="762"/>
      <c r="AF261" s="762"/>
      <c r="AG261" s="925"/>
      <c r="AH261" s="762"/>
      <c r="AI261" s="762"/>
      <c r="AJ261" s="762"/>
      <c r="AK261" s="762"/>
      <c r="AL261" s="762"/>
      <c r="AM261" s="762"/>
      <c r="AN261" s="762"/>
      <c r="AO261" s="925"/>
      <c r="AP261" s="762"/>
      <c r="AQ261" s="762"/>
      <c r="AR261" s="762"/>
      <c r="AS261" s="762"/>
      <c r="AT261" s="762"/>
      <c r="AU261" s="762"/>
      <c r="AV261" s="762"/>
      <c r="AW261" s="762"/>
      <c r="AX261" s="762"/>
      <c r="AY261" s="762"/>
      <c r="AZ261" s="762"/>
      <c r="BA261" s="762"/>
      <c r="BB261" s="762"/>
      <c r="BC261" s="762"/>
      <c r="BD261" s="762"/>
      <c r="BE261" s="762"/>
      <c r="BF261" s="762"/>
      <c r="BG261" s="762"/>
      <c r="BH261" s="762"/>
    </row>
    <row r="262" spans="1:60" s="49" customFormat="1">
      <c r="A262" s="767"/>
      <c r="B262" s="767"/>
      <c r="C262" s="762"/>
      <c r="D262" s="762"/>
      <c r="E262" s="762"/>
      <c r="F262" s="762"/>
      <c r="G262" s="762"/>
      <c r="H262" s="762"/>
      <c r="I262" s="925"/>
      <c r="J262" s="762"/>
      <c r="K262" s="762"/>
      <c r="L262" s="762"/>
      <c r="M262" s="762"/>
      <c r="N262" s="762"/>
      <c r="O262" s="762"/>
      <c r="P262" s="762"/>
      <c r="Q262" s="925"/>
      <c r="R262" s="762"/>
      <c r="S262" s="762"/>
      <c r="T262" s="762"/>
      <c r="U262" s="762"/>
      <c r="V262" s="762"/>
      <c r="W262" s="762"/>
      <c r="X262" s="762"/>
      <c r="Y262" s="925"/>
      <c r="Z262" s="762"/>
      <c r="AA262" s="762"/>
      <c r="AB262" s="762"/>
      <c r="AC262" s="762"/>
      <c r="AD262" s="762"/>
      <c r="AE262" s="762"/>
      <c r="AF262" s="762"/>
      <c r="AG262" s="925"/>
      <c r="AH262" s="762"/>
      <c r="AI262" s="762"/>
      <c r="AJ262" s="762"/>
      <c r="AK262" s="762"/>
      <c r="AL262" s="762"/>
      <c r="AM262" s="762"/>
      <c r="AN262" s="762"/>
      <c r="AO262" s="925"/>
      <c r="AP262" s="762"/>
      <c r="AQ262" s="762"/>
      <c r="AR262" s="762"/>
      <c r="AS262" s="762"/>
      <c r="AT262" s="762"/>
      <c r="AU262" s="762"/>
      <c r="AV262" s="762"/>
      <c r="AW262" s="762"/>
      <c r="AX262" s="762"/>
      <c r="AY262" s="762"/>
      <c r="AZ262" s="762"/>
      <c r="BA262" s="762"/>
      <c r="BB262" s="762"/>
      <c r="BC262" s="762"/>
      <c r="BD262" s="762"/>
      <c r="BE262" s="762"/>
      <c r="BF262" s="762"/>
      <c r="BG262" s="762"/>
      <c r="BH262" s="762"/>
    </row>
    <row r="263" spans="1:60" s="49" customFormat="1">
      <c r="A263" s="767"/>
      <c r="B263" s="767"/>
      <c r="C263" s="762"/>
      <c r="D263" s="762"/>
      <c r="E263" s="762"/>
      <c r="F263" s="762"/>
      <c r="G263" s="762"/>
      <c r="H263" s="762"/>
      <c r="I263" s="925"/>
      <c r="J263" s="762"/>
      <c r="K263" s="762"/>
      <c r="L263" s="762"/>
      <c r="M263" s="762"/>
      <c r="N263" s="762"/>
      <c r="O263" s="762"/>
      <c r="P263" s="762"/>
      <c r="Q263" s="925"/>
      <c r="R263" s="762"/>
      <c r="S263" s="762"/>
      <c r="T263" s="762"/>
      <c r="U263" s="762"/>
      <c r="V263" s="762"/>
      <c r="W263" s="762"/>
      <c r="X263" s="762"/>
      <c r="Y263" s="925"/>
      <c r="Z263" s="762"/>
      <c r="AA263" s="762"/>
      <c r="AB263" s="762"/>
      <c r="AC263" s="762"/>
      <c r="AD263" s="762"/>
      <c r="AE263" s="762"/>
      <c r="AF263" s="762"/>
      <c r="AG263" s="925"/>
      <c r="AH263" s="762"/>
      <c r="AI263" s="762"/>
      <c r="AJ263" s="762"/>
      <c r="AK263" s="762"/>
      <c r="AL263" s="762"/>
      <c r="AM263" s="762"/>
      <c r="AN263" s="762"/>
      <c r="AO263" s="925"/>
      <c r="AP263" s="762"/>
      <c r="AQ263" s="762"/>
      <c r="AR263" s="762"/>
      <c r="AS263" s="762"/>
      <c r="AT263" s="762"/>
      <c r="AU263" s="762"/>
      <c r="AV263" s="762"/>
      <c r="AW263" s="762"/>
      <c r="AX263" s="762"/>
      <c r="AY263" s="762"/>
      <c r="AZ263" s="762"/>
      <c r="BA263" s="762"/>
      <c r="BB263" s="762"/>
      <c r="BC263" s="762"/>
      <c r="BD263" s="762"/>
      <c r="BE263" s="762"/>
      <c r="BF263" s="762"/>
      <c r="BG263" s="762"/>
      <c r="BH263" s="762"/>
    </row>
    <row r="264" spans="1:60" s="49" customFormat="1">
      <c r="A264" s="767"/>
      <c r="B264" s="767"/>
      <c r="C264" s="762"/>
      <c r="D264" s="762"/>
      <c r="E264" s="762"/>
      <c r="F264" s="762"/>
      <c r="G264" s="762"/>
      <c r="H264" s="762"/>
      <c r="I264" s="925"/>
      <c r="J264" s="762"/>
      <c r="K264" s="762"/>
      <c r="L264" s="762"/>
      <c r="M264" s="762"/>
      <c r="N264" s="762"/>
      <c r="O264" s="762"/>
      <c r="P264" s="762"/>
      <c r="Q264" s="925"/>
      <c r="R264" s="762"/>
      <c r="S264" s="762"/>
      <c r="T264" s="762"/>
      <c r="U264" s="762"/>
      <c r="V264" s="762"/>
      <c r="W264" s="762"/>
      <c r="X264" s="762"/>
      <c r="Y264" s="925"/>
      <c r="Z264" s="762"/>
      <c r="AA264" s="762"/>
      <c r="AB264" s="762"/>
      <c r="AC264" s="762"/>
      <c r="AD264" s="762"/>
      <c r="AE264" s="762"/>
      <c r="AF264" s="762"/>
      <c r="AG264" s="925"/>
      <c r="AH264" s="762"/>
      <c r="AI264" s="762"/>
      <c r="AJ264" s="762"/>
      <c r="AK264" s="762"/>
      <c r="AL264" s="762"/>
      <c r="AM264" s="762"/>
      <c r="AN264" s="762"/>
      <c r="AO264" s="925"/>
      <c r="AP264" s="762"/>
      <c r="AQ264" s="762"/>
      <c r="AR264" s="762"/>
      <c r="AS264" s="762"/>
      <c r="AT264" s="762"/>
      <c r="AU264" s="762"/>
      <c r="AV264" s="762"/>
      <c r="AW264" s="762"/>
      <c r="AX264" s="762"/>
      <c r="AY264" s="762"/>
      <c r="AZ264" s="762"/>
      <c r="BA264" s="762"/>
      <c r="BB264" s="762"/>
      <c r="BC264" s="762"/>
      <c r="BD264" s="762"/>
      <c r="BE264" s="762"/>
      <c r="BF264" s="762"/>
      <c r="BG264" s="762"/>
      <c r="BH264" s="762"/>
    </row>
    <row r="265" spans="1:60" s="49" customFormat="1">
      <c r="A265" s="767"/>
      <c r="B265" s="767"/>
      <c r="C265" s="762"/>
      <c r="D265" s="762"/>
      <c r="E265" s="762"/>
      <c r="F265" s="762"/>
      <c r="G265" s="762"/>
      <c r="H265" s="762"/>
      <c r="I265" s="925"/>
      <c r="J265" s="762"/>
      <c r="K265" s="762"/>
      <c r="L265" s="762"/>
      <c r="M265" s="762"/>
      <c r="N265" s="762"/>
      <c r="O265" s="762"/>
      <c r="P265" s="762"/>
      <c r="Q265" s="925"/>
      <c r="R265" s="762"/>
      <c r="S265" s="762"/>
      <c r="T265" s="762"/>
      <c r="U265" s="762"/>
      <c r="V265" s="762"/>
      <c r="W265" s="762"/>
      <c r="X265" s="762"/>
      <c r="Y265" s="925"/>
      <c r="Z265" s="762"/>
      <c r="AA265" s="762"/>
      <c r="AB265" s="762"/>
      <c r="AC265" s="762"/>
      <c r="AD265" s="762"/>
      <c r="AE265" s="762"/>
      <c r="AF265" s="762"/>
      <c r="AG265" s="925"/>
      <c r="AH265" s="762"/>
      <c r="AI265" s="762"/>
      <c r="AJ265" s="762"/>
      <c r="AK265" s="762"/>
      <c r="AL265" s="762"/>
      <c r="AM265" s="762"/>
      <c r="AN265" s="762"/>
      <c r="AO265" s="925"/>
      <c r="AP265" s="762"/>
      <c r="AQ265" s="762"/>
      <c r="AR265" s="762"/>
      <c r="AS265" s="762"/>
      <c r="AT265" s="762"/>
      <c r="AU265" s="762"/>
      <c r="AV265" s="762"/>
      <c r="AW265" s="762"/>
      <c r="AX265" s="762"/>
      <c r="AY265" s="762"/>
      <c r="AZ265" s="762"/>
      <c r="BA265" s="762"/>
      <c r="BB265" s="762"/>
      <c r="BC265" s="762"/>
      <c r="BD265" s="762"/>
      <c r="BE265" s="762"/>
      <c r="BF265" s="762"/>
      <c r="BG265" s="762"/>
      <c r="BH265" s="762"/>
    </row>
    <row r="266" spans="1:60" s="49" customFormat="1">
      <c r="A266" s="767"/>
      <c r="B266" s="767"/>
      <c r="C266" s="762"/>
      <c r="D266" s="762"/>
      <c r="E266" s="762"/>
      <c r="F266" s="762"/>
      <c r="G266" s="762"/>
      <c r="H266" s="762"/>
      <c r="I266" s="925"/>
      <c r="J266" s="762"/>
      <c r="K266" s="762"/>
      <c r="L266" s="762"/>
      <c r="M266" s="762"/>
      <c r="N266" s="762"/>
      <c r="O266" s="762"/>
      <c r="P266" s="762"/>
      <c r="Q266" s="925"/>
      <c r="R266" s="762"/>
      <c r="S266" s="762"/>
      <c r="T266" s="762"/>
      <c r="U266" s="762"/>
      <c r="V266" s="762"/>
      <c r="W266" s="762"/>
      <c r="X266" s="762"/>
      <c r="Y266" s="925"/>
      <c r="Z266" s="762"/>
      <c r="AA266" s="762"/>
      <c r="AB266" s="762"/>
      <c r="AC266" s="762"/>
      <c r="AD266" s="762"/>
      <c r="AE266" s="762"/>
      <c r="AF266" s="762"/>
      <c r="AG266" s="925"/>
      <c r="AH266" s="762"/>
      <c r="AI266" s="762"/>
      <c r="AJ266" s="762"/>
      <c r="AK266" s="762"/>
      <c r="AL266" s="762"/>
      <c r="AM266" s="762"/>
      <c r="AN266" s="762"/>
      <c r="AO266" s="925"/>
      <c r="AP266" s="762"/>
      <c r="AQ266" s="762"/>
      <c r="AR266" s="762"/>
      <c r="AS266" s="762"/>
      <c r="AT266" s="762"/>
      <c r="AU266" s="762"/>
      <c r="AV266" s="762"/>
      <c r="AW266" s="762"/>
      <c r="AX266" s="762"/>
      <c r="AY266" s="762"/>
      <c r="AZ266" s="762"/>
      <c r="BA266" s="762"/>
      <c r="BB266" s="762"/>
      <c r="BC266" s="762"/>
      <c r="BD266" s="762"/>
      <c r="BE266" s="762"/>
      <c r="BF266" s="762"/>
      <c r="BG266" s="762"/>
      <c r="BH266" s="762"/>
    </row>
    <row r="267" spans="1:60" s="49" customFormat="1">
      <c r="A267" s="767"/>
      <c r="B267" s="767"/>
      <c r="C267" s="762"/>
      <c r="D267" s="762"/>
      <c r="E267" s="762"/>
      <c r="F267" s="762"/>
      <c r="G267" s="762"/>
      <c r="H267" s="762"/>
      <c r="I267" s="925"/>
      <c r="J267" s="762"/>
      <c r="K267" s="762"/>
      <c r="L267" s="762"/>
      <c r="M267" s="762"/>
      <c r="N267" s="762"/>
      <c r="O267" s="762"/>
      <c r="P267" s="762"/>
      <c r="Q267" s="925"/>
      <c r="R267" s="762"/>
      <c r="S267" s="762"/>
      <c r="T267" s="762"/>
      <c r="U267" s="762"/>
      <c r="V267" s="762"/>
      <c r="W267" s="762"/>
      <c r="X267" s="762"/>
      <c r="Y267" s="925"/>
      <c r="Z267" s="762"/>
      <c r="AA267" s="762"/>
      <c r="AB267" s="762"/>
      <c r="AC267" s="762"/>
      <c r="AD267" s="762"/>
      <c r="AE267" s="762"/>
      <c r="AF267" s="762"/>
      <c r="AG267" s="925"/>
      <c r="AH267" s="762"/>
      <c r="AI267" s="762"/>
      <c r="AJ267" s="762"/>
      <c r="AK267" s="762"/>
      <c r="AL267" s="762"/>
      <c r="AM267" s="762"/>
      <c r="AN267" s="762"/>
      <c r="AO267" s="925"/>
      <c r="AP267" s="762"/>
      <c r="AQ267" s="762"/>
      <c r="AR267" s="762"/>
      <c r="AS267" s="762"/>
      <c r="AT267" s="762"/>
      <c r="AU267" s="762"/>
      <c r="AV267" s="762"/>
      <c r="AW267" s="762"/>
      <c r="AX267" s="762"/>
      <c r="AY267" s="762"/>
      <c r="AZ267" s="762"/>
      <c r="BA267" s="762"/>
      <c r="BB267" s="762"/>
      <c r="BC267" s="762"/>
      <c r="BD267" s="762"/>
      <c r="BE267" s="762"/>
      <c r="BF267" s="762"/>
      <c r="BG267" s="762"/>
      <c r="BH267" s="762"/>
    </row>
    <row r="268" spans="1:60" s="49" customFormat="1">
      <c r="A268" s="767"/>
      <c r="B268" s="767"/>
      <c r="C268" s="762"/>
      <c r="D268" s="762"/>
      <c r="E268" s="762"/>
      <c r="F268" s="762"/>
      <c r="G268" s="762"/>
      <c r="H268" s="762"/>
      <c r="I268" s="925"/>
      <c r="J268" s="762"/>
      <c r="K268" s="762"/>
      <c r="L268" s="762"/>
      <c r="M268" s="762"/>
      <c r="N268" s="762"/>
      <c r="O268" s="762"/>
      <c r="P268" s="762"/>
      <c r="Q268" s="925"/>
      <c r="R268" s="762"/>
      <c r="S268" s="762"/>
      <c r="T268" s="762"/>
      <c r="U268" s="762"/>
      <c r="V268" s="762"/>
      <c r="W268" s="762"/>
      <c r="X268" s="762"/>
      <c r="Y268" s="925"/>
      <c r="Z268" s="762"/>
      <c r="AA268" s="762"/>
      <c r="AB268" s="762"/>
      <c r="AC268" s="762"/>
      <c r="AD268" s="762"/>
      <c r="AE268" s="762"/>
      <c r="AF268" s="762"/>
      <c r="AG268" s="925"/>
      <c r="AH268" s="762"/>
      <c r="AI268" s="762"/>
      <c r="AJ268" s="762"/>
      <c r="AK268" s="762"/>
      <c r="AL268" s="762"/>
      <c r="AM268" s="762"/>
      <c r="AN268" s="762"/>
      <c r="AO268" s="925"/>
      <c r="AP268" s="762"/>
      <c r="AQ268" s="762"/>
      <c r="AR268" s="762"/>
      <c r="AS268" s="762"/>
      <c r="AT268" s="762"/>
      <c r="AU268" s="762"/>
      <c r="AV268" s="762"/>
      <c r="AW268" s="762"/>
      <c r="AX268" s="762"/>
      <c r="AY268" s="762"/>
      <c r="AZ268" s="762"/>
      <c r="BA268" s="762"/>
      <c r="BB268" s="762"/>
      <c r="BC268" s="762"/>
      <c r="BD268" s="762"/>
      <c r="BE268" s="762"/>
      <c r="BF268" s="762"/>
      <c r="BG268" s="762"/>
      <c r="BH268" s="762"/>
    </row>
    <row r="269" spans="1:60" s="49" customFormat="1">
      <c r="A269" s="767"/>
      <c r="B269" s="767"/>
      <c r="C269" s="762"/>
      <c r="D269" s="762"/>
      <c r="E269" s="762"/>
      <c r="F269" s="762"/>
      <c r="G269" s="762"/>
      <c r="H269" s="762"/>
      <c r="I269" s="925"/>
      <c r="J269" s="762"/>
      <c r="K269" s="762"/>
      <c r="L269" s="762"/>
      <c r="M269" s="762"/>
      <c r="N269" s="762"/>
      <c r="O269" s="762"/>
      <c r="P269" s="762"/>
      <c r="Q269" s="925"/>
      <c r="R269" s="762"/>
      <c r="S269" s="762"/>
      <c r="T269" s="762"/>
      <c r="U269" s="762"/>
      <c r="V269" s="762"/>
      <c r="W269" s="762"/>
      <c r="X269" s="762"/>
      <c r="Y269" s="925"/>
      <c r="Z269" s="762"/>
      <c r="AA269" s="762"/>
      <c r="AB269" s="762"/>
      <c r="AC269" s="762"/>
      <c r="AD269" s="762"/>
      <c r="AE269" s="762"/>
      <c r="AF269" s="762"/>
      <c r="AG269" s="925"/>
      <c r="AH269" s="762"/>
      <c r="AI269" s="762"/>
      <c r="AJ269" s="762"/>
      <c r="AK269" s="762"/>
      <c r="AL269" s="762"/>
      <c r="AM269" s="762"/>
      <c r="AN269" s="762"/>
      <c r="AO269" s="925"/>
      <c r="AP269" s="762"/>
      <c r="AQ269" s="762"/>
      <c r="AR269" s="762"/>
      <c r="AS269" s="762"/>
      <c r="AT269" s="762"/>
      <c r="AU269" s="762"/>
      <c r="AV269" s="762"/>
      <c r="AW269" s="762"/>
      <c r="AX269" s="762"/>
      <c r="AY269" s="762"/>
      <c r="AZ269" s="762"/>
      <c r="BA269" s="762"/>
      <c r="BB269" s="762"/>
      <c r="BC269" s="762"/>
      <c r="BD269" s="762"/>
      <c r="BE269" s="762"/>
      <c r="BF269" s="762"/>
      <c r="BG269" s="762"/>
      <c r="BH269" s="762"/>
    </row>
    <row r="270" spans="1:60" s="49" customFormat="1">
      <c r="A270" s="767"/>
      <c r="B270" s="767"/>
      <c r="C270" s="762"/>
      <c r="D270" s="762"/>
      <c r="E270" s="762"/>
      <c r="F270" s="762"/>
      <c r="G270" s="762"/>
      <c r="H270" s="762"/>
      <c r="I270" s="925"/>
      <c r="J270" s="762"/>
      <c r="K270" s="762"/>
      <c r="L270" s="762"/>
      <c r="M270" s="762"/>
      <c r="N270" s="762"/>
      <c r="O270" s="762"/>
      <c r="P270" s="762"/>
      <c r="Q270" s="925"/>
      <c r="R270" s="762"/>
      <c r="S270" s="762"/>
      <c r="T270" s="762"/>
      <c r="U270" s="762"/>
      <c r="V270" s="762"/>
      <c r="W270" s="762"/>
      <c r="X270" s="762"/>
      <c r="Y270" s="925"/>
      <c r="Z270" s="762"/>
      <c r="AA270" s="762"/>
      <c r="AB270" s="762"/>
      <c r="AC270" s="762"/>
      <c r="AD270" s="762"/>
      <c r="AE270" s="762"/>
      <c r="AF270" s="762"/>
      <c r="AG270" s="925"/>
      <c r="AH270" s="762"/>
      <c r="AI270" s="762"/>
      <c r="AJ270" s="762"/>
      <c r="AK270" s="762"/>
      <c r="AL270" s="762"/>
      <c r="AM270" s="762"/>
      <c r="AN270" s="762"/>
      <c r="AO270" s="925"/>
      <c r="AP270" s="762"/>
      <c r="AQ270" s="762"/>
      <c r="AR270" s="762"/>
      <c r="AS270" s="762"/>
      <c r="AT270" s="762"/>
      <c r="AU270" s="762"/>
      <c r="AV270" s="762"/>
      <c r="AW270" s="762"/>
      <c r="AX270" s="762"/>
      <c r="AY270" s="762"/>
      <c r="AZ270" s="762"/>
      <c r="BA270" s="762"/>
      <c r="BB270" s="762"/>
      <c r="BC270" s="762"/>
      <c r="BD270" s="762"/>
      <c r="BE270" s="762"/>
      <c r="BF270" s="762"/>
      <c r="BG270" s="762"/>
      <c r="BH270" s="762"/>
    </row>
    <row r="271" spans="1:60" s="49" customFormat="1">
      <c r="A271" s="767"/>
      <c r="B271" s="767"/>
      <c r="C271" s="762"/>
      <c r="D271" s="762"/>
      <c r="E271" s="762"/>
      <c r="F271" s="762"/>
      <c r="G271" s="762"/>
      <c r="H271" s="762"/>
      <c r="I271" s="925"/>
      <c r="J271" s="762"/>
      <c r="K271" s="762"/>
      <c r="L271" s="762"/>
      <c r="M271" s="762"/>
      <c r="N271" s="762"/>
      <c r="O271" s="762"/>
      <c r="P271" s="762"/>
      <c r="Q271" s="925"/>
      <c r="R271" s="762"/>
      <c r="S271" s="762"/>
      <c r="T271" s="762"/>
      <c r="U271" s="762"/>
      <c r="V271" s="762"/>
      <c r="W271" s="762"/>
      <c r="X271" s="762"/>
      <c r="Y271" s="925"/>
      <c r="Z271" s="762"/>
      <c r="AA271" s="762"/>
      <c r="AB271" s="762"/>
      <c r="AC271" s="762"/>
      <c r="AD271" s="762"/>
      <c r="AE271" s="762"/>
      <c r="AF271" s="762"/>
      <c r="AG271" s="925"/>
      <c r="AH271" s="762"/>
      <c r="AI271" s="762"/>
      <c r="AJ271" s="762"/>
      <c r="AK271" s="762"/>
      <c r="AL271" s="762"/>
      <c r="AM271" s="762"/>
      <c r="AN271" s="762"/>
      <c r="AO271" s="925"/>
      <c r="AP271" s="762"/>
      <c r="AQ271" s="762"/>
      <c r="AR271" s="762"/>
      <c r="AS271" s="762"/>
      <c r="AT271" s="762"/>
      <c r="AU271" s="762"/>
      <c r="AV271" s="762"/>
      <c r="AW271" s="762"/>
      <c r="AX271" s="762"/>
      <c r="AY271" s="762"/>
      <c r="AZ271" s="762"/>
      <c r="BA271" s="762"/>
      <c r="BB271" s="762"/>
      <c r="BC271" s="762"/>
      <c r="BD271" s="762"/>
      <c r="BE271" s="762"/>
      <c r="BF271" s="762"/>
      <c r="BG271" s="762"/>
      <c r="BH271" s="762"/>
    </row>
    <row r="272" spans="1:60" s="49" customFormat="1">
      <c r="A272" s="767"/>
      <c r="B272" s="767"/>
      <c r="C272" s="762"/>
      <c r="D272" s="762"/>
      <c r="E272" s="762"/>
      <c r="F272" s="762"/>
      <c r="G272" s="762"/>
      <c r="H272" s="762"/>
      <c r="I272" s="925"/>
      <c r="J272" s="762"/>
      <c r="K272" s="762"/>
      <c r="L272" s="762"/>
      <c r="M272" s="762"/>
      <c r="N272" s="762"/>
      <c r="O272" s="762"/>
      <c r="P272" s="762"/>
      <c r="Q272" s="925"/>
      <c r="R272" s="762"/>
      <c r="S272" s="762"/>
      <c r="T272" s="762"/>
      <c r="U272" s="762"/>
      <c r="V272" s="762"/>
      <c r="W272" s="762"/>
      <c r="X272" s="762"/>
      <c r="Y272" s="925"/>
      <c r="Z272" s="762"/>
      <c r="AA272" s="762"/>
      <c r="AB272" s="762"/>
      <c r="AC272" s="762"/>
      <c r="AD272" s="762"/>
      <c r="AE272" s="762"/>
      <c r="AF272" s="762"/>
      <c r="AG272" s="925"/>
      <c r="AH272" s="762"/>
      <c r="AI272" s="762"/>
      <c r="AJ272" s="762"/>
      <c r="AK272" s="762"/>
      <c r="AL272" s="762"/>
      <c r="AM272" s="762"/>
      <c r="AN272" s="762"/>
      <c r="AO272" s="925"/>
      <c r="AP272" s="762"/>
      <c r="AQ272" s="762"/>
      <c r="AR272" s="762"/>
      <c r="AS272" s="762"/>
      <c r="AT272" s="762"/>
      <c r="AU272" s="762"/>
      <c r="AV272" s="762"/>
      <c r="AW272" s="762"/>
      <c r="AX272" s="762"/>
      <c r="AY272" s="762"/>
      <c r="AZ272" s="762"/>
      <c r="BA272" s="762"/>
      <c r="BB272" s="762"/>
      <c r="BC272" s="762"/>
      <c r="BD272" s="762"/>
      <c r="BE272" s="762"/>
      <c r="BF272" s="762"/>
      <c r="BG272" s="762"/>
      <c r="BH272" s="762"/>
    </row>
    <row r="273" spans="1:60" s="49" customFormat="1">
      <c r="A273" s="767"/>
      <c r="B273" s="767"/>
      <c r="C273" s="762"/>
      <c r="D273" s="762"/>
      <c r="E273" s="762"/>
      <c r="F273" s="762"/>
      <c r="G273" s="762"/>
      <c r="H273" s="762"/>
      <c r="I273" s="925"/>
      <c r="J273" s="762"/>
      <c r="K273" s="762"/>
      <c r="L273" s="762"/>
      <c r="M273" s="762"/>
      <c r="N273" s="762"/>
      <c r="O273" s="762"/>
      <c r="P273" s="762"/>
      <c r="Q273" s="925"/>
      <c r="R273" s="762"/>
      <c r="S273" s="762"/>
      <c r="T273" s="762"/>
      <c r="U273" s="762"/>
      <c r="V273" s="762"/>
      <c r="W273" s="762"/>
      <c r="X273" s="762"/>
      <c r="Y273" s="925"/>
      <c r="Z273" s="762"/>
      <c r="AA273" s="762"/>
      <c r="AB273" s="762"/>
      <c r="AC273" s="762"/>
      <c r="AD273" s="762"/>
      <c r="AE273" s="762"/>
      <c r="AF273" s="762"/>
      <c r="AG273" s="925"/>
      <c r="AH273" s="762"/>
      <c r="AI273" s="762"/>
      <c r="AJ273" s="762"/>
      <c r="AK273" s="762"/>
      <c r="AL273" s="762"/>
      <c r="AM273" s="762"/>
      <c r="AN273" s="762"/>
      <c r="AO273" s="925"/>
      <c r="AP273" s="762"/>
      <c r="AQ273" s="762"/>
      <c r="AR273" s="762"/>
      <c r="AS273" s="762"/>
      <c r="AT273" s="762"/>
      <c r="AU273" s="762"/>
      <c r="AV273" s="762"/>
      <c r="AW273" s="762"/>
      <c r="AX273" s="762"/>
      <c r="AY273" s="762"/>
      <c r="AZ273" s="762"/>
      <c r="BA273" s="762"/>
      <c r="BB273" s="762"/>
      <c r="BC273" s="762"/>
      <c r="BD273" s="762"/>
      <c r="BE273" s="762"/>
      <c r="BF273" s="762"/>
      <c r="BG273" s="762"/>
      <c r="BH273" s="762"/>
    </row>
    <row r="274" spans="1:60" s="49" customFormat="1">
      <c r="A274" s="767"/>
      <c r="B274" s="767"/>
      <c r="C274" s="762"/>
      <c r="D274" s="762"/>
      <c r="E274" s="762"/>
      <c r="F274" s="762"/>
      <c r="G274" s="762"/>
      <c r="H274" s="762"/>
      <c r="I274" s="925"/>
      <c r="J274" s="762"/>
      <c r="K274" s="762"/>
      <c r="L274" s="762"/>
      <c r="M274" s="762"/>
      <c r="N274" s="762"/>
      <c r="O274" s="762"/>
      <c r="P274" s="762"/>
      <c r="Q274" s="925"/>
      <c r="R274" s="762"/>
      <c r="S274" s="762"/>
      <c r="T274" s="762"/>
      <c r="U274" s="762"/>
      <c r="V274" s="762"/>
      <c r="W274" s="762"/>
      <c r="X274" s="762"/>
      <c r="Y274" s="925"/>
      <c r="Z274" s="762"/>
      <c r="AA274" s="762"/>
      <c r="AB274" s="762"/>
      <c r="AC274" s="762"/>
      <c r="AD274" s="762"/>
      <c r="AE274" s="762"/>
      <c r="AF274" s="762"/>
      <c r="AG274" s="925"/>
      <c r="AH274" s="762"/>
      <c r="AI274" s="762"/>
      <c r="AJ274" s="762"/>
      <c r="AK274" s="762"/>
      <c r="AL274" s="762"/>
      <c r="AM274" s="762"/>
      <c r="AN274" s="762"/>
      <c r="AO274" s="925"/>
      <c r="AP274" s="762"/>
      <c r="AQ274" s="762"/>
      <c r="AR274" s="762"/>
      <c r="AS274" s="762"/>
      <c r="AT274" s="762"/>
      <c r="AU274" s="762"/>
      <c r="AV274" s="762"/>
      <c r="AW274" s="762"/>
      <c r="AX274" s="762"/>
      <c r="AY274" s="762"/>
      <c r="AZ274" s="762"/>
      <c r="BA274" s="762"/>
      <c r="BB274" s="762"/>
      <c r="BC274" s="762"/>
      <c r="BD274" s="762"/>
      <c r="BE274" s="762"/>
      <c r="BF274" s="762"/>
      <c r="BG274" s="762"/>
      <c r="BH274" s="762"/>
    </row>
    <row r="275" spans="1:60" s="49" customFormat="1">
      <c r="A275" s="767"/>
      <c r="B275" s="767"/>
      <c r="C275" s="762"/>
      <c r="D275" s="762"/>
      <c r="E275" s="762"/>
      <c r="F275" s="762"/>
      <c r="G275" s="762"/>
      <c r="H275" s="762"/>
      <c r="I275" s="925"/>
      <c r="J275" s="762"/>
      <c r="K275" s="762"/>
      <c r="L275" s="762"/>
      <c r="M275" s="762"/>
      <c r="N275" s="762"/>
      <c r="O275" s="762"/>
      <c r="P275" s="762"/>
      <c r="Q275" s="925"/>
      <c r="R275" s="762"/>
      <c r="S275" s="762"/>
      <c r="T275" s="762"/>
      <c r="U275" s="762"/>
      <c r="V275" s="762"/>
      <c r="W275" s="762"/>
      <c r="X275" s="762"/>
      <c r="Y275" s="925"/>
      <c r="Z275" s="762"/>
      <c r="AA275" s="762"/>
      <c r="AB275" s="762"/>
      <c r="AC275" s="762"/>
      <c r="AD275" s="762"/>
      <c r="AE275" s="762"/>
      <c r="AF275" s="762"/>
      <c r="AG275" s="925"/>
      <c r="AH275" s="762"/>
      <c r="AI275" s="762"/>
      <c r="AJ275" s="762"/>
      <c r="AK275" s="762"/>
      <c r="AL275" s="762"/>
      <c r="AM275" s="762"/>
      <c r="AN275" s="762"/>
      <c r="AO275" s="925"/>
      <c r="AP275" s="762"/>
      <c r="AQ275" s="762"/>
      <c r="AR275" s="762"/>
      <c r="AS275" s="762"/>
      <c r="AT275" s="762"/>
      <c r="AU275" s="762"/>
      <c r="AV275" s="762"/>
      <c r="AW275" s="762"/>
      <c r="AX275" s="762"/>
      <c r="AY275" s="762"/>
      <c r="AZ275" s="762"/>
      <c r="BA275" s="762"/>
      <c r="BB275" s="762"/>
      <c r="BC275" s="762"/>
      <c r="BD275" s="762"/>
      <c r="BE275" s="762"/>
      <c r="BF275" s="762"/>
      <c r="BG275" s="762"/>
      <c r="BH275" s="762"/>
    </row>
    <row r="276" spans="1:60" s="49" customFormat="1">
      <c r="A276" s="767"/>
      <c r="B276" s="767"/>
      <c r="C276" s="762"/>
      <c r="D276" s="762"/>
      <c r="E276" s="762"/>
      <c r="F276" s="762"/>
      <c r="G276" s="762"/>
      <c r="H276" s="762"/>
      <c r="I276" s="925"/>
      <c r="J276" s="762"/>
      <c r="K276" s="762"/>
      <c r="L276" s="762"/>
      <c r="M276" s="762"/>
      <c r="N276" s="762"/>
      <c r="O276" s="762"/>
      <c r="P276" s="762"/>
      <c r="Q276" s="925"/>
      <c r="R276" s="762"/>
      <c r="S276" s="762"/>
      <c r="T276" s="762"/>
      <c r="U276" s="762"/>
      <c r="V276" s="762"/>
      <c r="W276" s="762"/>
      <c r="X276" s="762"/>
      <c r="Y276" s="925"/>
      <c r="Z276" s="762"/>
      <c r="AA276" s="762"/>
      <c r="AB276" s="762"/>
      <c r="AC276" s="762"/>
      <c r="AD276" s="762"/>
      <c r="AE276" s="762"/>
      <c r="AF276" s="762"/>
      <c r="AG276" s="925"/>
      <c r="AH276" s="762"/>
      <c r="AI276" s="762"/>
      <c r="AJ276" s="762"/>
      <c r="AK276" s="762"/>
      <c r="AL276" s="762"/>
      <c r="AM276" s="762"/>
      <c r="AN276" s="762"/>
      <c r="AO276" s="925"/>
      <c r="AP276" s="762"/>
      <c r="AQ276" s="762"/>
      <c r="AR276" s="762"/>
      <c r="AS276" s="762"/>
      <c r="AT276" s="762"/>
      <c r="AU276" s="762"/>
      <c r="AV276" s="762"/>
      <c r="AW276" s="762"/>
      <c r="AX276" s="762"/>
      <c r="AY276" s="762"/>
      <c r="AZ276" s="762"/>
      <c r="BA276" s="762"/>
      <c r="BB276" s="762"/>
      <c r="BC276" s="762"/>
      <c r="BD276" s="762"/>
      <c r="BE276" s="762"/>
      <c r="BF276" s="762"/>
      <c r="BG276" s="762"/>
      <c r="BH276" s="762"/>
    </row>
    <row r="277" spans="1:60" s="49" customFormat="1">
      <c r="A277" s="767"/>
      <c r="B277" s="767"/>
      <c r="C277" s="762"/>
      <c r="D277" s="762"/>
      <c r="E277" s="762"/>
      <c r="F277" s="762"/>
      <c r="G277" s="762"/>
      <c r="H277" s="762"/>
      <c r="I277" s="925"/>
      <c r="J277" s="762"/>
      <c r="K277" s="762"/>
      <c r="L277" s="762"/>
      <c r="M277" s="762"/>
      <c r="N277" s="762"/>
      <c r="O277" s="762"/>
      <c r="P277" s="762"/>
      <c r="Q277" s="925"/>
      <c r="R277" s="762"/>
      <c r="S277" s="762"/>
      <c r="T277" s="762"/>
      <c r="U277" s="762"/>
      <c r="V277" s="762"/>
      <c r="W277" s="762"/>
      <c r="X277" s="762"/>
      <c r="Y277" s="925"/>
      <c r="Z277" s="762"/>
      <c r="AA277" s="762"/>
      <c r="AB277" s="762"/>
      <c r="AC277" s="762"/>
      <c r="AD277" s="762"/>
      <c r="AE277" s="762"/>
      <c r="AF277" s="762"/>
      <c r="AG277" s="925"/>
      <c r="AH277" s="762"/>
      <c r="AI277" s="762"/>
      <c r="AJ277" s="762"/>
      <c r="AK277" s="762"/>
      <c r="AL277" s="762"/>
      <c r="AM277" s="762"/>
      <c r="AN277" s="762"/>
      <c r="AO277" s="925"/>
      <c r="AP277" s="762"/>
      <c r="AQ277" s="762"/>
      <c r="AR277" s="762"/>
      <c r="AS277" s="762"/>
      <c r="AT277" s="762"/>
      <c r="AU277" s="762"/>
      <c r="AV277" s="762"/>
      <c r="AW277" s="762"/>
      <c r="AX277" s="762"/>
      <c r="AY277" s="762"/>
      <c r="AZ277" s="762"/>
      <c r="BA277" s="762"/>
      <c r="BB277" s="762"/>
      <c r="BC277" s="762"/>
      <c r="BD277" s="762"/>
      <c r="BE277" s="762"/>
      <c r="BF277" s="762"/>
      <c r="BG277" s="762"/>
      <c r="BH277" s="762"/>
    </row>
    <row r="278" spans="1:60" s="49" customFormat="1">
      <c r="A278" s="767"/>
      <c r="B278" s="767"/>
      <c r="C278" s="762"/>
      <c r="D278" s="762"/>
      <c r="E278" s="762"/>
      <c r="F278" s="762"/>
      <c r="G278" s="762"/>
      <c r="H278" s="762"/>
      <c r="I278" s="925"/>
      <c r="J278" s="762"/>
      <c r="K278" s="762"/>
      <c r="L278" s="762"/>
      <c r="M278" s="762"/>
      <c r="N278" s="762"/>
      <c r="O278" s="762"/>
      <c r="P278" s="762"/>
      <c r="Q278" s="925"/>
      <c r="R278" s="762"/>
      <c r="S278" s="762"/>
      <c r="T278" s="762"/>
      <c r="U278" s="762"/>
      <c r="V278" s="762"/>
      <c r="W278" s="762"/>
      <c r="X278" s="762"/>
      <c r="Y278" s="925"/>
      <c r="Z278" s="762"/>
      <c r="AA278" s="762"/>
      <c r="AB278" s="762"/>
      <c r="AC278" s="762"/>
      <c r="AD278" s="762"/>
      <c r="AE278" s="762"/>
      <c r="AF278" s="762"/>
      <c r="AG278" s="925"/>
      <c r="AH278" s="762"/>
      <c r="AI278" s="762"/>
      <c r="AJ278" s="762"/>
      <c r="AK278" s="762"/>
      <c r="AL278" s="762"/>
      <c r="AM278" s="762"/>
      <c r="AN278" s="762"/>
      <c r="AO278" s="925"/>
      <c r="AP278" s="762"/>
      <c r="AQ278" s="762"/>
      <c r="AR278" s="762"/>
      <c r="AS278" s="762"/>
      <c r="AT278" s="762"/>
      <c r="AU278" s="762"/>
      <c r="AV278" s="762"/>
      <c r="AW278" s="762"/>
      <c r="AX278" s="762"/>
      <c r="AY278" s="762"/>
      <c r="AZ278" s="762"/>
      <c r="BA278" s="762"/>
      <c r="BB278" s="762"/>
      <c r="BC278" s="762"/>
      <c r="BD278" s="762"/>
      <c r="BE278" s="762"/>
      <c r="BF278" s="762"/>
      <c r="BG278" s="762"/>
      <c r="BH278" s="762"/>
    </row>
    <row r="279" spans="1:60" s="49" customFormat="1">
      <c r="A279" s="767"/>
      <c r="B279" s="767"/>
      <c r="C279" s="762"/>
      <c r="D279" s="762"/>
      <c r="E279" s="762"/>
      <c r="F279" s="762"/>
      <c r="G279" s="762"/>
      <c r="H279" s="762"/>
      <c r="I279" s="925"/>
      <c r="J279" s="762"/>
      <c r="K279" s="762"/>
      <c r="L279" s="762"/>
      <c r="M279" s="762"/>
      <c r="N279" s="762"/>
      <c r="O279" s="762"/>
      <c r="P279" s="762"/>
      <c r="Q279" s="925"/>
      <c r="R279" s="762"/>
      <c r="S279" s="762"/>
      <c r="T279" s="762"/>
      <c r="U279" s="762"/>
      <c r="V279" s="762"/>
      <c r="W279" s="762"/>
      <c r="X279" s="762"/>
      <c r="Y279" s="925"/>
      <c r="Z279" s="762"/>
      <c r="AA279" s="762"/>
      <c r="AB279" s="762"/>
      <c r="AC279" s="762"/>
      <c r="AD279" s="762"/>
      <c r="AE279" s="762"/>
      <c r="AF279" s="762"/>
      <c r="AG279" s="925"/>
      <c r="AH279" s="762"/>
      <c r="AI279" s="762"/>
      <c r="AJ279" s="762"/>
      <c r="AK279" s="762"/>
      <c r="AL279" s="762"/>
      <c r="AM279" s="762"/>
      <c r="AN279" s="762"/>
      <c r="AO279" s="925"/>
      <c r="AP279" s="762"/>
      <c r="AQ279" s="762"/>
      <c r="AR279" s="762"/>
      <c r="AS279" s="762"/>
      <c r="AT279" s="762"/>
      <c r="AU279" s="762"/>
      <c r="AV279" s="762"/>
      <c r="AW279" s="762"/>
      <c r="AX279" s="762"/>
      <c r="AY279" s="762"/>
      <c r="AZ279" s="762"/>
      <c r="BA279" s="762"/>
      <c r="BB279" s="762"/>
      <c r="BC279" s="762"/>
      <c r="BD279" s="762"/>
      <c r="BE279" s="762"/>
      <c r="BF279" s="762"/>
      <c r="BG279" s="762"/>
      <c r="BH279" s="762"/>
    </row>
    <row r="280" spans="1:60" s="49" customFormat="1">
      <c r="A280" s="767"/>
      <c r="B280" s="767"/>
      <c r="C280" s="762"/>
      <c r="D280" s="762"/>
      <c r="E280" s="762"/>
      <c r="F280" s="762"/>
      <c r="G280" s="762"/>
      <c r="H280" s="762"/>
      <c r="I280" s="925"/>
      <c r="J280" s="762"/>
      <c r="K280" s="762"/>
      <c r="L280" s="762"/>
      <c r="M280" s="762"/>
      <c r="N280" s="762"/>
      <c r="O280" s="762"/>
      <c r="P280" s="762"/>
      <c r="Q280" s="925"/>
      <c r="R280" s="762"/>
      <c r="S280" s="762"/>
      <c r="T280" s="762"/>
      <c r="U280" s="762"/>
      <c r="V280" s="762"/>
      <c r="W280" s="762"/>
      <c r="X280" s="762"/>
      <c r="Y280" s="925"/>
      <c r="Z280" s="762"/>
      <c r="AA280" s="762"/>
      <c r="AB280" s="762"/>
      <c r="AC280" s="762"/>
      <c r="AD280" s="762"/>
      <c r="AE280" s="762"/>
      <c r="AF280" s="762"/>
      <c r="AG280" s="925"/>
      <c r="AH280" s="762"/>
      <c r="AI280" s="762"/>
      <c r="AJ280" s="762"/>
      <c r="AK280" s="762"/>
      <c r="AL280" s="762"/>
      <c r="AM280" s="762"/>
      <c r="AN280" s="762"/>
      <c r="AO280" s="925"/>
      <c r="AP280" s="762"/>
      <c r="AQ280" s="762"/>
      <c r="AR280" s="762"/>
      <c r="AS280" s="762"/>
      <c r="AT280" s="762"/>
      <c r="AU280" s="762"/>
      <c r="AV280" s="762"/>
      <c r="AW280" s="762"/>
      <c r="AX280" s="762"/>
      <c r="AY280" s="762"/>
      <c r="AZ280" s="762"/>
      <c r="BA280" s="762"/>
      <c r="BB280" s="762"/>
      <c r="BC280" s="762"/>
      <c r="BD280" s="762"/>
      <c r="BE280" s="762"/>
      <c r="BF280" s="762"/>
      <c r="BG280" s="762"/>
      <c r="BH280" s="762"/>
    </row>
    <row r="281" spans="1:60" s="49" customFormat="1">
      <c r="A281" s="767"/>
      <c r="B281" s="767"/>
      <c r="C281" s="762"/>
      <c r="D281" s="762"/>
      <c r="E281" s="762"/>
      <c r="F281" s="762"/>
      <c r="G281" s="762"/>
      <c r="H281" s="762"/>
      <c r="I281" s="925"/>
      <c r="J281" s="762"/>
      <c r="K281" s="762"/>
      <c r="L281" s="762"/>
      <c r="M281" s="762"/>
      <c r="N281" s="762"/>
      <c r="O281" s="762"/>
      <c r="P281" s="762"/>
      <c r="Q281" s="925"/>
      <c r="R281" s="762"/>
      <c r="S281" s="762"/>
      <c r="T281" s="762"/>
      <c r="U281" s="762"/>
      <c r="V281" s="762"/>
      <c r="W281" s="762"/>
      <c r="X281" s="762"/>
      <c r="Y281" s="925"/>
      <c r="Z281" s="762"/>
      <c r="AA281" s="762"/>
      <c r="AB281" s="762"/>
      <c r="AC281" s="762"/>
      <c r="AD281" s="762"/>
      <c r="AE281" s="762"/>
      <c r="AF281" s="762"/>
      <c r="AG281" s="925"/>
      <c r="AH281" s="762"/>
      <c r="AI281" s="762"/>
      <c r="AJ281" s="762"/>
      <c r="AK281" s="762"/>
      <c r="AL281" s="762"/>
      <c r="AM281" s="762"/>
      <c r="AN281" s="762"/>
      <c r="AO281" s="925"/>
      <c r="AP281" s="762"/>
      <c r="AQ281" s="762"/>
      <c r="AR281" s="762"/>
      <c r="AS281" s="762"/>
      <c r="AT281" s="762"/>
      <c r="AU281" s="762"/>
      <c r="AV281" s="762"/>
      <c r="AW281" s="762"/>
      <c r="AX281" s="762"/>
      <c r="AY281" s="762"/>
      <c r="AZ281" s="762"/>
      <c r="BA281" s="762"/>
      <c r="BB281" s="762"/>
      <c r="BC281" s="762"/>
      <c r="BD281" s="762"/>
      <c r="BE281" s="762"/>
      <c r="BF281" s="762"/>
      <c r="BG281" s="762"/>
      <c r="BH281" s="762"/>
    </row>
    <row r="282" spans="1:60" s="49" customFormat="1">
      <c r="A282" s="767"/>
      <c r="B282" s="767"/>
      <c r="C282" s="762"/>
      <c r="D282" s="762"/>
      <c r="E282" s="762"/>
      <c r="F282" s="762"/>
      <c r="G282" s="762"/>
      <c r="H282" s="762"/>
      <c r="I282" s="925"/>
      <c r="J282" s="762"/>
      <c r="K282" s="762"/>
      <c r="L282" s="762"/>
      <c r="M282" s="762"/>
      <c r="N282" s="762"/>
      <c r="O282" s="762"/>
      <c r="P282" s="762"/>
      <c r="Q282" s="925"/>
      <c r="R282" s="762"/>
      <c r="S282" s="762"/>
      <c r="T282" s="762"/>
      <c r="U282" s="762"/>
      <c r="V282" s="762"/>
      <c r="W282" s="762"/>
      <c r="X282" s="762"/>
      <c r="Y282" s="925"/>
      <c r="Z282" s="762"/>
      <c r="AA282" s="762"/>
      <c r="AB282" s="762"/>
      <c r="AC282" s="762"/>
      <c r="AD282" s="762"/>
      <c r="AE282" s="762"/>
      <c r="AF282" s="762"/>
      <c r="AG282" s="925"/>
      <c r="AH282" s="762"/>
      <c r="AI282" s="762"/>
      <c r="AJ282" s="762"/>
      <c r="AK282" s="762"/>
      <c r="AL282" s="762"/>
      <c r="AM282" s="762"/>
      <c r="AN282" s="762"/>
      <c r="AO282" s="925"/>
      <c r="AP282" s="762"/>
      <c r="AQ282" s="762"/>
      <c r="AR282" s="762"/>
      <c r="AS282" s="762"/>
      <c r="AT282" s="762"/>
      <c r="AU282" s="762"/>
      <c r="AV282" s="762"/>
      <c r="AW282" s="762"/>
      <c r="AX282" s="762"/>
      <c r="AY282" s="762"/>
      <c r="AZ282" s="762"/>
      <c r="BA282" s="762"/>
      <c r="BB282" s="762"/>
      <c r="BC282" s="762"/>
      <c r="BD282" s="762"/>
      <c r="BE282" s="762"/>
      <c r="BF282" s="762"/>
      <c r="BG282" s="762"/>
      <c r="BH282" s="762"/>
    </row>
    <row r="283" spans="1:60" s="49" customFormat="1">
      <c r="A283" s="767"/>
      <c r="B283" s="767"/>
      <c r="C283" s="762"/>
      <c r="D283" s="762"/>
      <c r="E283" s="762"/>
      <c r="F283" s="762"/>
      <c r="G283" s="762"/>
      <c r="H283" s="762"/>
      <c r="I283" s="925"/>
      <c r="J283" s="762"/>
      <c r="K283" s="762"/>
      <c r="L283" s="762"/>
      <c r="M283" s="762"/>
      <c r="N283" s="762"/>
      <c r="O283" s="762"/>
      <c r="P283" s="762"/>
      <c r="Q283" s="925"/>
      <c r="R283" s="762"/>
      <c r="S283" s="762"/>
      <c r="T283" s="762"/>
      <c r="U283" s="762"/>
      <c r="V283" s="762"/>
      <c r="W283" s="762"/>
      <c r="X283" s="762"/>
      <c r="Y283" s="925"/>
      <c r="Z283" s="762"/>
      <c r="AA283" s="762"/>
      <c r="AB283" s="762"/>
      <c r="AC283" s="762"/>
      <c r="AD283" s="762"/>
      <c r="AE283" s="762"/>
      <c r="AF283" s="762"/>
      <c r="AG283" s="925"/>
      <c r="AH283" s="762"/>
      <c r="AI283" s="762"/>
      <c r="AJ283" s="762"/>
      <c r="AK283" s="762"/>
      <c r="AL283" s="762"/>
      <c r="AM283" s="762"/>
      <c r="AN283" s="762"/>
      <c r="AO283" s="925"/>
      <c r="AP283" s="762"/>
      <c r="AQ283" s="762"/>
      <c r="AR283" s="762"/>
      <c r="AS283" s="762"/>
      <c r="AT283" s="762"/>
      <c r="AU283" s="762"/>
      <c r="AV283" s="762"/>
      <c r="AW283" s="762"/>
      <c r="AX283" s="762"/>
      <c r="AY283" s="762"/>
      <c r="AZ283" s="762"/>
      <c r="BA283" s="762"/>
      <c r="BB283" s="762"/>
      <c r="BC283" s="762"/>
      <c r="BD283" s="762"/>
      <c r="BE283" s="762"/>
      <c r="BF283" s="762"/>
      <c r="BG283" s="762"/>
      <c r="BH283" s="762"/>
    </row>
    <row r="284" spans="1:60" s="49" customFormat="1">
      <c r="A284" s="767"/>
      <c r="B284" s="767"/>
      <c r="C284" s="762"/>
      <c r="D284" s="762"/>
      <c r="E284" s="762"/>
      <c r="F284" s="762"/>
      <c r="G284" s="762"/>
      <c r="H284" s="762"/>
      <c r="I284" s="925"/>
      <c r="J284" s="762"/>
      <c r="K284" s="762"/>
      <c r="L284" s="762"/>
      <c r="M284" s="762"/>
      <c r="N284" s="762"/>
      <c r="O284" s="762"/>
      <c r="P284" s="762"/>
      <c r="Q284" s="925"/>
      <c r="R284" s="762"/>
      <c r="S284" s="762"/>
      <c r="T284" s="762"/>
      <c r="U284" s="762"/>
      <c r="V284" s="762"/>
      <c r="W284" s="762"/>
      <c r="X284" s="762"/>
      <c r="Y284" s="925"/>
      <c r="Z284" s="762"/>
      <c r="AA284" s="762"/>
      <c r="AB284" s="762"/>
      <c r="AC284" s="762"/>
      <c r="AD284" s="762"/>
      <c r="AE284" s="762"/>
      <c r="AF284" s="762"/>
      <c r="AG284" s="925"/>
      <c r="AH284" s="762"/>
      <c r="AI284" s="762"/>
      <c r="AJ284" s="762"/>
      <c r="AK284" s="762"/>
      <c r="AL284" s="762"/>
      <c r="AM284" s="762"/>
      <c r="AN284" s="762"/>
      <c r="AO284" s="925"/>
      <c r="AP284" s="762"/>
      <c r="AQ284" s="762"/>
      <c r="AR284" s="762"/>
      <c r="AS284" s="762"/>
      <c r="AT284" s="762"/>
      <c r="AU284" s="762"/>
      <c r="AV284" s="762"/>
      <c r="AW284" s="762"/>
      <c r="AX284" s="762"/>
      <c r="AY284" s="762"/>
      <c r="AZ284" s="762"/>
      <c r="BA284" s="762"/>
      <c r="BB284" s="762"/>
      <c r="BC284" s="762"/>
      <c r="BD284" s="762"/>
      <c r="BE284" s="762"/>
      <c r="BF284" s="762"/>
      <c r="BG284" s="762"/>
      <c r="BH284" s="762"/>
    </row>
    <row r="285" spans="1:60" s="49" customFormat="1">
      <c r="A285" s="767"/>
      <c r="B285" s="767"/>
      <c r="C285" s="762"/>
      <c r="D285" s="762"/>
      <c r="E285" s="762"/>
      <c r="F285" s="762"/>
      <c r="G285" s="762"/>
      <c r="H285" s="762"/>
      <c r="I285" s="925"/>
      <c r="J285" s="762"/>
      <c r="K285" s="762"/>
      <c r="L285" s="762"/>
      <c r="M285" s="762"/>
      <c r="N285" s="762"/>
      <c r="O285" s="762"/>
      <c r="P285" s="762"/>
      <c r="Q285" s="925"/>
      <c r="R285" s="762"/>
      <c r="S285" s="762"/>
      <c r="T285" s="762"/>
      <c r="U285" s="762"/>
      <c r="V285" s="762"/>
      <c r="W285" s="762"/>
      <c r="X285" s="762"/>
      <c r="Y285" s="925"/>
      <c r="Z285" s="762"/>
      <c r="AA285" s="762"/>
      <c r="AB285" s="762"/>
      <c r="AC285" s="762"/>
      <c r="AD285" s="762"/>
      <c r="AE285" s="762"/>
      <c r="AF285" s="762"/>
      <c r="AG285" s="925"/>
      <c r="AH285" s="762"/>
      <c r="AI285" s="762"/>
      <c r="AJ285" s="762"/>
      <c r="AK285" s="762"/>
      <c r="AL285" s="762"/>
      <c r="AM285" s="762"/>
      <c r="AN285" s="762"/>
      <c r="AO285" s="925"/>
      <c r="AP285" s="762"/>
      <c r="AQ285" s="762"/>
      <c r="AR285" s="762"/>
      <c r="AS285" s="762"/>
      <c r="AT285" s="762"/>
      <c r="AU285" s="762"/>
      <c r="AV285" s="762"/>
      <c r="AW285" s="762"/>
      <c r="AX285" s="762"/>
      <c r="AY285" s="762"/>
      <c r="AZ285" s="762"/>
      <c r="BA285" s="762"/>
      <c r="BB285" s="762"/>
      <c r="BC285" s="762"/>
      <c r="BD285" s="762"/>
      <c r="BE285" s="762"/>
      <c r="BF285" s="762"/>
      <c r="BG285" s="762"/>
      <c r="BH285" s="762"/>
    </row>
    <row r="286" spans="1:60" s="49" customFormat="1">
      <c r="A286" s="767"/>
      <c r="B286" s="767"/>
      <c r="C286" s="762"/>
      <c r="D286" s="762"/>
      <c r="E286" s="762"/>
      <c r="F286" s="762"/>
      <c r="G286" s="762"/>
      <c r="H286" s="762"/>
      <c r="I286" s="925"/>
      <c r="J286" s="762"/>
      <c r="K286" s="762"/>
      <c r="L286" s="762"/>
      <c r="M286" s="762"/>
      <c r="N286" s="762"/>
      <c r="O286" s="762"/>
      <c r="P286" s="762"/>
      <c r="Q286" s="925"/>
      <c r="R286" s="762"/>
      <c r="S286" s="762"/>
      <c r="T286" s="762"/>
      <c r="U286" s="762"/>
      <c r="V286" s="762"/>
      <c r="W286" s="762"/>
      <c r="X286" s="762"/>
      <c r="Y286" s="925"/>
      <c r="Z286" s="762"/>
      <c r="AA286" s="762"/>
      <c r="AB286" s="762"/>
      <c r="AC286" s="762"/>
      <c r="AD286" s="762"/>
      <c r="AE286" s="762"/>
      <c r="AF286" s="762"/>
      <c r="AG286" s="925"/>
      <c r="AH286" s="762"/>
      <c r="AI286" s="762"/>
      <c r="AJ286" s="762"/>
      <c r="AK286" s="762"/>
      <c r="AL286" s="762"/>
      <c r="AM286" s="762"/>
      <c r="AN286" s="762"/>
      <c r="AO286" s="925"/>
      <c r="AP286" s="762"/>
      <c r="AQ286" s="762"/>
      <c r="AR286" s="762"/>
      <c r="AS286" s="762"/>
      <c r="AT286" s="762"/>
      <c r="AU286" s="762"/>
      <c r="AV286" s="762"/>
      <c r="AW286" s="762"/>
      <c r="AX286" s="762"/>
      <c r="AY286" s="762"/>
      <c r="AZ286" s="762"/>
      <c r="BA286" s="762"/>
      <c r="BB286" s="762"/>
      <c r="BC286" s="762"/>
      <c r="BD286" s="762"/>
      <c r="BE286" s="762"/>
      <c r="BF286" s="762"/>
      <c r="BG286" s="762"/>
      <c r="BH286" s="762"/>
    </row>
    <row r="287" spans="1:60" s="49" customFormat="1">
      <c r="A287" s="767"/>
      <c r="B287" s="767"/>
      <c r="C287" s="762"/>
      <c r="D287" s="762"/>
      <c r="E287" s="762"/>
      <c r="F287" s="762"/>
      <c r="G287" s="762"/>
      <c r="H287" s="762"/>
      <c r="I287" s="925"/>
      <c r="J287" s="762"/>
      <c r="K287" s="762"/>
      <c r="L287" s="762"/>
      <c r="M287" s="762"/>
      <c r="N287" s="762"/>
      <c r="O287" s="762"/>
      <c r="P287" s="762"/>
      <c r="Q287" s="925"/>
      <c r="R287" s="762"/>
      <c r="S287" s="762"/>
      <c r="T287" s="762"/>
      <c r="U287" s="762"/>
      <c r="V287" s="762"/>
      <c r="W287" s="762"/>
      <c r="X287" s="762"/>
      <c r="Y287" s="925"/>
      <c r="Z287" s="762"/>
      <c r="AA287" s="762"/>
      <c r="AB287" s="762"/>
      <c r="AC287" s="762"/>
      <c r="AD287" s="762"/>
      <c r="AE287" s="762"/>
      <c r="AF287" s="762"/>
      <c r="AG287" s="925"/>
      <c r="AH287" s="762"/>
      <c r="AI287" s="762"/>
      <c r="AJ287" s="762"/>
      <c r="AK287" s="762"/>
      <c r="AL287" s="762"/>
      <c r="AM287" s="762"/>
      <c r="AN287" s="762"/>
      <c r="AO287" s="925"/>
      <c r="AP287" s="762"/>
      <c r="AQ287" s="762"/>
      <c r="AR287" s="762"/>
      <c r="AS287" s="762"/>
      <c r="AT287" s="762"/>
      <c r="AU287" s="762"/>
      <c r="AV287" s="762"/>
      <c r="AW287" s="762"/>
      <c r="AX287" s="762"/>
      <c r="AY287" s="762"/>
      <c r="AZ287" s="762"/>
      <c r="BA287" s="762"/>
      <c r="BB287" s="762"/>
      <c r="BC287" s="762"/>
      <c r="BD287" s="762"/>
      <c r="BE287" s="762"/>
      <c r="BF287" s="762"/>
      <c r="BG287" s="762"/>
      <c r="BH287" s="762"/>
    </row>
    <row r="288" spans="1:60" s="49" customFormat="1">
      <c r="A288" s="767"/>
      <c r="B288" s="767"/>
      <c r="C288" s="762"/>
      <c r="D288" s="762"/>
      <c r="E288" s="762"/>
      <c r="F288" s="762"/>
      <c r="G288" s="762"/>
      <c r="H288" s="762"/>
      <c r="I288" s="925"/>
      <c r="J288" s="762"/>
      <c r="K288" s="762"/>
      <c r="L288" s="762"/>
      <c r="M288" s="762"/>
      <c r="N288" s="762"/>
      <c r="O288" s="762"/>
      <c r="P288" s="762"/>
      <c r="Q288" s="925"/>
      <c r="R288" s="762"/>
      <c r="S288" s="762"/>
      <c r="T288" s="762"/>
      <c r="U288" s="762"/>
      <c r="V288" s="762"/>
      <c r="W288" s="762"/>
      <c r="X288" s="762"/>
      <c r="Y288" s="925"/>
      <c r="Z288" s="762"/>
      <c r="AA288" s="762"/>
      <c r="AB288" s="762"/>
      <c r="AC288" s="762"/>
      <c r="AD288" s="762"/>
      <c r="AE288" s="762"/>
      <c r="AF288" s="762"/>
      <c r="AG288" s="925"/>
      <c r="AH288" s="762"/>
      <c r="AI288" s="762"/>
      <c r="AJ288" s="762"/>
      <c r="AK288" s="762"/>
      <c r="AL288" s="762"/>
      <c r="AM288" s="762"/>
      <c r="AN288" s="762"/>
      <c r="AO288" s="925"/>
      <c r="AP288" s="762"/>
      <c r="AQ288" s="762"/>
      <c r="AR288" s="762"/>
      <c r="AS288" s="762"/>
      <c r="AT288" s="762"/>
      <c r="AU288" s="762"/>
      <c r="AV288" s="762"/>
      <c r="AW288" s="762"/>
      <c r="AX288" s="762"/>
      <c r="AY288" s="762"/>
      <c r="AZ288" s="762"/>
      <c r="BA288" s="762"/>
      <c r="BB288" s="762"/>
      <c r="BC288" s="762"/>
      <c r="BD288" s="762"/>
      <c r="BE288" s="762"/>
      <c r="BF288" s="762"/>
      <c r="BG288" s="762"/>
      <c r="BH288" s="762"/>
    </row>
    <row r="289" spans="1:60" s="49" customFormat="1">
      <c r="A289" s="767"/>
      <c r="B289" s="767"/>
      <c r="C289" s="762"/>
      <c r="D289" s="762"/>
      <c r="E289" s="762"/>
      <c r="F289" s="762"/>
      <c r="G289" s="762"/>
      <c r="H289" s="762"/>
      <c r="I289" s="925"/>
      <c r="J289" s="762"/>
      <c r="K289" s="762"/>
      <c r="L289" s="762"/>
      <c r="M289" s="762"/>
      <c r="N289" s="762"/>
      <c r="O289" s="762"/>
      <c r="P289" s="762"/>
      <c r="Q289" s="925"/>
      <c r="R289" s="762"/>
      <c r="S289" s="762"/>
      <c r="T289" s="762"/>
      <c r="U289" s="762"/>
      <c r="V289" s="762"/>
      <c r="W289" s="762"/>
      <c r="X289" s="762"/>
      <c r="Y289" s="925"/>
      <c r="Z289" s="762"/>
      <c r="AA289" s="762"/>
      <c r="AB289" s="762"/>
      <c r="AC289" s="762"/>
      <c r="AD289" s="762"/>
      <c r="AE289" s="762"/>
      <c r="AF289" s="762"/>
      <c r="AG289" s="925"/>
      <c r="AH289" s="762"/>
      <c r="AI289" s="762"/>
      <c r="AJ289" s="762"/>
      <c r="AK289" s="762"/>
      <c r="AL289" s="762"/>
      <c r="AM289" s="762"/>
      <c r="AN289" s="762"/>
      <c r="AO289" s="925"/>
      <c r="AP289" s="762"/>
      <c r="AQ289" s="762"/>
      <c r="AR289" s="762"/>
      <c r="AS289" s="762"/>
      <c r="AT289" s="762"/>
      <c r="AU289" s="762"/>
      <c r="AV289" s="762"/>
      <c r="AW289" s="762"/>
      <c r="AX289" s="762"/>
      <c r="AY289" s="762"/>
      <c r="AZ289" s="762"/>
      <c r="BA289" s="762"/>
      <c r="BB289" s="762"/>
      <c r="BC289" s="762"/>
      <c r="BD289" s="762"/>
      <c r="BE289" s="762"/>
      <c r="BF289" s="762"/>
      <c r="BG289" s="762"/>
      <c r="BH289" s="762"/>
    </row>
    <row r="290" spans="1:60" s="49" customFormat="1">
      <c r="A290" s="767"/>
      <c r="B290" s="767"/>
      <c r="C290" s="762"/>
      <c r="D290" s="762"/>
      <c r="E290" s="762"/>
      <c r="F290" s="762"/>
      <c r="G290" s="762"/>
      <c r="H290" s="762"/>
      <c r="I290" s="925"/>
      <c r="J290" s="762"/>
      <c r="K290" s="762"/>
      <c r="L290" s="762"/>
      <c r="M290" s="762"/>
      <c r="N290" s="762"/>
      <c r="O290" s="762"/>
      <c r="P290" s="762"/>
      <c r="Q290" s="925"/>
      <c r="R290" s="762"/>
      <c r="S290" s="762"/>
      <c r="T290" s="762"/>
      <c r="U290" s="762"/>
      <c r="V290" s="762"/>
      <c r="W290" s="762"/>
      <c r="X290" s="762"/>
      <c r="Y290" s="925"/>
      <c r="Z290" s="762"/>
      <c r="AA290" s="762"/>
      <c r="AB290" s="762"/>
      <c r="AC290" s="762"/>
      <c r="AD290" s="762"/>
      <c r="AE290" s="762"/>
      <c r="AF290" s="762"/>
      <c r="AG290" s="925"/>
      <c r="AH290" s="762"/>
      <c r="AI290" s="762"/>
      <c r="AJ290" s="762"/>
      <c r="AK290" s="762"/>
      <c r="AL290" s="762"/>
      <c r="AM290" s="762"/>
      <c r="AN290" s="762"/>
      <c r="AO290" s="925"/>
      <c r="AP290" s="762"/>
      <c r="AQ290" s="762"/>
      <c r="AR290" s="762"/>
      <c r="AS290" s="762"/>
      <c r="AT290" s="762"/>
      <c r="AU290" s="762"/>
      <c r="AV290" s="762"/>
      <c r="AW290" s="762"/>
      <c r="AX290" s="762"/>
      <c r="AY290" s="762"/>
      <c r="AZ290" s="762"/>
      <c r="BA290" s="762"/>
      <c r="BB290" s="762"/>
      <c r="BC290" s="762"/>
      <c r="BD290" s="762"/>
      <c r="BE290" s="762"/>
      <c r="BF290" s="762"/>
      <c r="BG290" s="762"/>
      <c r="BH290" s="762"/>
    </row>
    <row r="291" spans="1:60" s="49" customFormat="1">
      <c r="A291" s="767"/>
      <c r="B291" s="767"/>
      <c r="C291" s="762"/>
      <c r="D291" s="762"/>
      <c r="E291" s="762"/>
      <c r="F291" s="762"/>
      <c r="G291" s="762"/>
      <c r="H291" s="762"/>
      <c r="I291" s="925"/>
      <c r="J291" s="762"/>
      <c r="K291" s="762"/>
      <c r="L291" s="762"/>
      <c r="M291" s="762"/>
      <c r="N291" s="762"/>
      <c r="O291" s="762"/>
      <c r="P291" s="762"/>
      <c r="Q291" s="925"/>
      <c r="R291" s="762"/>
      <c r="S291" s="762"/>
      <c r="T291" s="762"/>
      <c r="U291" s="762"/>
      <c r="V291" s="762"/>
      <c r="W291" s="762"/>
      <c r="X291" s="762"/>
      <c r="Y291" s="925"/>
      <c r="Z291" s="762"/>
      <c r="AA291" s="762"/>
      <c r="AB291" s="762"/>
      <c r="AC291" s="762"/>
      <c r="AD291" s="762"/>
      <c r="AE291" s="762"/>
      <c r="AF291" s="762"/>
      <c r="AG291" s="925"/>
      <c r="AH291" s="762"/>
      <c r="AI291" s="762"/>
      <c r="AJ291" s="762"/>
      <c r="AK291" s="762"/>
      <c r="AL291" s="762"/>
      <c r="AM291" s="762"/>
      <c r="AN291" s="762"/>
      <c r="AO291" s="925"/>
      <c r="AP291" s="762"/>
      <c r="AQ291" s="762"/>
      <c r="AR291" s="762"/>
      <c r="AS291" s="762"/>
      <c r="AT291" s="762"/>
      <c r="AU291" s="762"/>
      <c r="AV291" s="762"/>
      <c r="AW291" s="762"/>
      <c r="AX291" s="762"/>
      <c r="AY291" s="762"/>
      <c r="AZ291" s="762"/>
      <c r="BA291" s="762"/>
      <c r="BB291" s="762"/>
      <c r="BC291" s="762"/>
      <c r="BD291" s="762"/>
      <c r="BE291" s="762"/>
      <c r="BF291" s="762"/>
      <c r="BG291" s="762"/>
      <c r="BH291" s="762"/>
    </row>
    <row r="292" spans="1:60" s="49" customFormat="1">
      <c r="A292" s="767"/>
      <c r="B292" s="767"/>
      <c r="C292" s="762"/>
      <c r="D292" s="762"/>
      <c r="E292" s="762"/>
      <c r="F292" s="762"/>
      <c r="G292" s="762"/>
      <c r="H292" s="762"/>
      <c r="I292" s="925"/>
      <c r="J292" s="762"/>
      <c r="K292" s="762"/>
      <c r="L292" s="762"/>
      <c r="M292" s="762"/>
      <c r="N292" s="762"/>
      <c r="O292" s="762"/>
      <c r="P292" s="762"/>
      <c r="Q292" s="925"/>
      <c r="R292" s="762"/>
      <c r="S292" s="762"/>
      <c r="T292" s="762"/>
      <c r="U292" s="762"/>
      <c r="V292" s="762"/>
      <c r="W292" s="762"/>
      <c r="X292" s="762"/>
      <c r="Y292" s="925"/>
      <c r="Z292" s="762"/>
      <c r="AA292" s="762"/>
      <c r="AB292" s="762"/>
      <c r="AC292" s="762"/>
      <c r="AD292" s="762"/>
      <c r="AE292" s="762"/>
      <c r="AF292" s="762"/>
      <c r="AG292" s="925"/>
      <c r="AH292" s="762"/>
      <c r="AI292" s="762"/>
      <c r="AJ292" s="762"/>
      <c r="AK292" s="762"/>
      <c r="AL292" s="762"/>
      <c r="AM292" s="762"/>
      <c r="AN292" s="762"/>
      <c r="AO292" s="925"/>
      <c r="AP292" s="762"/>
      <c r="AQ292" s="762"/>
      <c r="AR292" s="762"/>
      <c r="AS292" s="762"/>
      <c r="AT292" s="762"/>
      <c r="AU292" s="762"/>
      <c r="AV292" s="762"/>
      <c r="AW292" s="762"/>
      <c r="AX292" s="762"/>
      <c r="AY292" s="762"/>
      <c r="AZ292" s="762"/>
      <c r="BA292" s="762"/>
      <c r="BB292" s="762"/>
      <c r="BC292" s="762"/>
      <c r="BD292" s="762"/>
      <c r="BE292" s="762"/>
      <c r="BF292" s="762"/>
      <c r="BG292" s="762"/>
      <c r="BH292" s="762"/>
    </row>
    <row r="293" spans="1:60" s="49" customFormat="1">
      <c r="A293" s="767"/>
      <c r="B293" s="767"/>
      <c r="C293" s="762"/>
      <c r="D293" s="762"/>
      <c r="E293" s="762"/>
      <c r="F293" s="762"/>
      <c r="G293" s="762"/>
      <c r="H293" s="762"/>
      <c r="I293" s="925"/>
      <c r="J293" s="762"/>
      <c r="K293" s="762"/>
      <c r="L293" s="762"/>
      <c r="M293" s="762"/>
      <c r="N293" s="762"/>
      <c r="O293" s="762"/>
      <c r="P293" s="762"/>
      <c r="Q293" s="925"/>
      <c r="R293" s="762"/>
      <c r="S293" s="762"/>
      <c r="T293" s="762"/>
      <c r="U293" s="762"/>
      <c r="V293" s="762"/>
      <c r="W293" s="762"/>
      <c r="X293" s="762"/>
      <c r="Y293" s="925"/>
      <c r="Z293" s="762"/>
      <c r="AA293" s="762"/>
      <c r="AB293" s="762"/>
      <c r="AC293" s="762"/>
      <c r="AD293" s="762"/>
      <c r="AE293" s="762"/>
      <c r="AF293" s="762"/>
      <c r="AG293" s="925"/>
      <c r="AH293" s="762"/>
      <c r="AI293" s="762"/>
      <c r="AJ293" s="762"/>
      <c r="AK293" s="762"/>
      <c r="AL293" s="762"/>
      <c r="AM293" s="762"/>
      <c r="AN293" s="762"/>
      <c r="AO293" s="925"/>
      <c r="AP293" s="762"/>
      <c r="AQ293" s="762"/>
      <c r="AR293" s="762"/>
      <c r="AS293" s="762"/>
      <c r="AT293" s="762"/>
      <c r="AU293" s="762"/>
      <c r="AV293" s="762"/>
      <c r="AW293" s="762"/>
      <c r="AX293" s="762"/>
      <c r="AY293" s="762"/>
      <c r="AZ293" s="762"/>
      <c r="BA293" s="762"/>
      <c r="BB293" s="762"/>
      <c r="BC293" s="762"/>
      <c r="BD293" s="762"/>
      <c r="BE293" s="762"/>
      <c r="BF293" s="762"/>
      <c r="BG293" s="762"/>
      <c r="BH293" s="762"/>
    </row>
    <row r="294" spans="1:60" s="49" customFormat="1">
      <c r="A294" s="767"/>
      <c r="B294" s="767"/>
      <c r="C294" s="762"/>
      <c r="D294" s="762"/>
      <c r="E294" s="762"/>
      <c r="F294" s="762"/>
      <c r="G294" s="762"/>
      <c r="H294" s="762"/>
      <c r="I294" s="925"/>
      <c r="J294" s="762"/>
      <c r="K294" s="762"/>
      <c r="L294" s="762"/>
      <c r="M294" s="762"/>
      <c r="N294" s="762"/>
      <c r="O294" s="762"/>
      <c r="P294" s="762"/>
      <c r="Q294" s="925"/>
      <c r="R294" s="762"/>
      <c r="S294" s="762"/>
      <c r="T294" s="762"/>
      <c r="U294" s="762"/>
      <c r="V294" s="762"/>
      <c r="W294" s="762"/>
      <c r="X294" s="762"/>
      <c r="Y294" s="925"/>
      <c r="Z294" s="762"/>
      <c r="AA294" s="762"/>
      <c r="AB294" s="762"/>
      <c r="AC294" s="762"/>
      <c r="AD294" s="762"/>
      <c r="AE294" s="762"/>
      <c r="AF294" s="762"/>
      <c r="AG294" s="925"/>
      <c r="AH294" s="762"/>
      <c r="AI294" s="762"/>
      <c r="AJ294" s="762"/>
      <c r="AK294" s="762"/>
      <c r="AL294" s="762"/>
      <c r="AM294" s="762"/>
      <c r="AN294" s="762"/>
      <c r="AO294" s="925"/>
      <c r="AP294" s="762"/>
      <c r="AQ294" s="762"/>
      <c r="AR294" s="762"/>
      <c r="AS294" s="762"/>
      <c r="AT294" s="762"/>
      <c r="AU294" s="762"/>
      <c r="AV294" s="762"/>
      <c r="AW294" s="762"/>
      <c r="AX294" s="762"/>
      <c r="AY294" s="762"/>
      <c r="AZ294" s="762"/>
      <c r="BA294" s="762"/>
      <c r="BB294" s="762"/>
      <c r="BC294" s="762"/>
      <c r="BD294" s="762"/>
      <c r="BE294" s="762"/>
      <c r="BF294" s="762"/>
      <c r="BG294" s="762"/>
      <c r="BH294" s="762"/>
    </row>
    <row r="295" spans="1:60" s="49" customFormat="1">
      <c r="A295" s="767"/>
      <c r="B295" s="767"/>
      <c r="C295" s="762"/>
      <c r="D295" s="762"/>
      <c r="E295" s="762"/>
      <c r="F295" s="762"/>
      <c r="G295" s="762"/>
      <c r="H295" s="762"/>
      <c r="I295" s="925"/>
      <c r="J295" s="762"/>
      <c r="K295" s="762"/>
      <c r="L295" s="762"/>
      <c r="M295" s="762"/>
      <c r="N295" s="762"/>
      <c r="O295" s="762"/>
      <c r="P295" s="762"/>
      <c r="Q295" s="925"/>
      <c r="R295" s="762"/>
      <c r="S295" s="762"/>
      <c r="T295" s="762"/>
      <c r="U295" s="762"/>
      <c r="V295" s="762"/>
      <c r="W295" s="762"/>
      <c r="X295" s="762"/>
      <c r="Y295" s="925"/>
      <c r="Z295" s="762"/>
      <c r="AA295" s="762"/>
      <c r="AB295" s="762"/>
      <c r="AC295" s="762"/>
      <c r="AD295" s="762"/>
      <c r="AE295" s="762"/>
      <c r="AF295" s="762"/>
      <c r="AG295" s="925"/>
      <c r="AH295" s="762"/>
      <c r="AI295" s="762"/>
      <c r="AJ295" s="762"/>
      <c r="AK295" s="762"/>
      <c r="AL295" s="762"/>
      <c r="AM295" s="762"/>
      <c r="AN295" s="762"/>
      <c r="AO295" s="925"/>
      <c r="AP295" s="762"/>
      <c r="AQ295" s="762"/>
      <c r="AR295" s="762"/>
      <c r="AS295" s="762"/>
      <c r="AT295" s="762"/>
      <c r="AU295" s="762"/>
      <c r="AV295" s="762"/>
      <c r="AW295" s="762"/>
      <c r="AX295" s="762"/>
      <c r="AY295" s="762"/>
      <c r="AZ295" s="762"/>
      <c r="BA295" s="762"/>
      <c r="BB295" s="762"/>
      <c r="BC295" s="762"/>
      <c r="BD295" s="762"/>
      <c r="BE295" s="762"/>
      <c r="BF295" s="762"/>
      <c r="BG295" s="762"/>
      <c r="BH295" s="762"/>
    </row>
    <row r="296" spans="1:60" s="49" customFormat="1">
      <c r="A296" s="767"/>
      <c r="B296" s="767"/>
      <c r="C296" s="762"/>
      <c r="D296" s="762"/>
      <c r="E296" s="762"/>
      <c r="F296" s="762"/>
      <c r="G296" s="762"/>
      <c r="H296" s="762"/>
      <c r="I296" s="925"/>
      <c r="J296" s="762"/>
      <c r="K296" s="762"/>
      <c r="L296" s="762"/>
      <c r="M296" s="762"/>
      <c r="N296" s="762"/>
      <c r="O296" s="762"/>
      <c r="P296" s="762"/>
      <c r="Q296" s="925"/>
      <c r="R296" s="762"/>
      <c r="S296" s="762"/>
      <c r="T296" s="762"/>
      <c r="U296" s="762"/>
      <c r="V296" s="762"/>
      <c r="W296" s="762"/>
      <c r="X296" s="762"/>
      <c r="Y296" s="925"/>
      <c r="Z296" s="762"/>
      <c r="AA296" s="762"/>
      <c r="AB296" s="762"/>
      <c r="AC296" s="762"/>
      <c r="AD296" s="762"/>
      <c r="AE296" s="762"/>
      <c r="AF296" s="762"/>
      <c r="AG296" s="925"/>
      <c r="AH296" s="762"/>
      <c r="AI296" s="762"/>
      <c r="AJ296" s="762"/>
      <c r="AK296" s="762"/>
      <c r="AL296" s="762"/>
      <c r="AM296" s="762"/>
      <c r="AN296" s="762"/>
      <c r="AO296" s="925"/>
      <c r="AP296" s="762"/>
      <c r="AQ296" s="762"/>
      <c r="AR296" s="762"/>
      <c r="AS296" s="762"/>
      <c r="AT296" s="762"/>
      <c r="AU296" s="762"/>
      <c r="AV296" s="762"/>
      <c r="AW296" s="762"/>
      <c r="AX296" s="762"/>
      <c r="AY296" s="762"/>
      <c r="AZ296" s="762"/>
      <c r="BA296" s="762"/>
      <c r="BB296" s="762"/>
      <c r="BC296" s="762"/>
      <c r="BD296" s="762"/>
      <c r="BE296" s="762"/>
      <c r="BF296" s="762"/>
      <c r="BG296" s="762"/>
      <c r="BH296" s="762"/>
    </row>
    <row r="297" spans="1:60" s="49" customFormat="1">
      <c r="A297" s="767"/>
      <c r="B297" s="767"/>
      <c r="C297" s="762"/>
      <c r="D297" s="762"/>
      <c r="E297" s="762"/>
      <c r="F297" s="762"/>
      <c r="G297" s="762"/>
      <c r="H297" s="762"/>
      <c r="I297" s="925"/>
      <c r="J297" s="762"/>
      <c r="K297" s="762"/>
      <c r="L297" s="762"/>
      <c r="M297" s="762"/>
      <c r="N297" s="762"/>
      <c r="O297" s="762"/>
      <c r="P297" s="762"/>
      <c r="Q297" s="925"/>
      <c r="R297" s="762"/>
      <c r="S297" s="762"/>
      <c r="T297" s="762"/>
      <c r="U297" s="762"/>
      <c r="V297" s="762"/>
      <c r="W297" s="762"/>
      <c r="X297" s="762"/>
      <c r="Y297" s="925"/>
      <c r="Z297" s="762"/>
      <c r="AA297" s="762"/>
      <c r="AB297" s="762"/>
      <c r="AC297" s="762"/>
      <c r="AD297" s="762"/>
      <c r="AE297" s="762"/>
      <c r="AF297" s="762"/>
      <c r="AG297" s="925"/>
      <c r="AH297" s="762"/>
      <c r="AI297" s="762"/>
      <c r="AJ297" s="762"/>
      <c r="AK297" s="762"/>
      <c r="AL297" s="762"/>
      <c r="AM297" s="762"/>
      <c r="AN297" s="762"/>
      <c r="AO297" s="925"/>
      <c r="AP297" s="762"/>
      <c r="AQ297" s="762"/>
      <c r="AR297" s="762"/>
      <c r="AS297" s="762"/>
      <c r="AT297" s="762"/>
      <c r="AU297" s="762"/>
      <c r="AV297" s="762"/>
      <c r="AW297" s="762"/>
      <c r="AX297" s="762"/>
      <c r="AY297" s="762"/>
      <c r="AZ297" s="762"/>
      <c r="BA297" s="762"/>
      <c r="BB297" s="762"/>
      <c r="BC297" s="762"/>
      <c r="BD297" s="762"/>
      <c r="BE297" s="762"/>
      <c r="BF297" s="762"/>
      <c r="BG297" s="762"/>
      <c r="BH297" s="762"/>
    </row>
    <row r="298" spans="1:60" s="49" customFormat="1">
      <c r="A298" s="767"/>
      <c r="B298" s="767"/>
      <c r="C298" s="762"/>
      <c r="D298" s="762"/>
      <c r="E298" s="762"/>
      <c r="F298" s="762"/>
      <c r="G298" s="762"/>
      <c r="H298" s="762"/>
      <c r="I298" s="925"/>
      <c r="J298" s="762"/>
      <c r="K298" s="762"/>
      <c r="L298" s="762"/>
      <c r="M298" s="762"/>
      <c r="N298" s="762"/>
      <c r="O298" s="762"/>
      <c r="P298" s="762"/>
      <c r="Q298" s="925"/>
      <c r="R298" s="762"/>
      <c r="S298" s="762"/>
      <c r="T298" s="762"/>
      <c r="U298" s="762"/>
      <c r="V298" s="762"/>
      <c r="W298" s="762"/>
      <c r="X298" s="762"/>
      <c r="Y298" s="925"/>
      <c r="Z298" s="762"/>
      <c r="AA298" s="762"/>
      <c r="AB298" s="762"/>
      <c r="AC298" s="762"/>
      <c r="AD298" s="762"/>
      <c r="AE298" s="762"/>
      <c r="AF298" s="762"/>
      <c r="AG298" s="925"/>
      <c r="AH298" s="762"/>
      <c r="AI298" s="762"/>
      <c r="AJ298" s="762"/>
      <c r="AK298" s="762"/>
      <c r="AL298" s="762"/>
      <c r="AM298" s="762"/>
      <c r="AN298" s="762"/>
      <c r="AO298" s="925"/>
      <c r="AP298" s="762"/>
      <c r="AQ298" s="762"/>
      <c r="AR298" s="762"/>
      <c r="AS298" s="762"/>
      <c r="AT298" s="762"/>
      <c r="AU298" s="762"/>
      <c r="AV298" s="762"/>
      <c r="AW298" s="762"/>
      <c r="AX298" s="762"/>
      <c r="AY298" s="762"/>
      <c r="AZ298" s="762"/>
      <c r="BA298" s="762"/>
      <c r="BB298" s="762"/>
      <c r="BC298" s="762"/>
      <c r="BD298" s="762"/>
      <c r="BE298" s="762"/>
      <c r="BF298" s="762"/>
      <c r="BG298" s="762"/>
      <c r="BH298" s="762"/>
    </row>
    <row r="299" spans="1:60" s="49" customFormat="1">
      <c r="A299" s="767"/>
      <c r="B299" s="767"/>
      <c r="C299" s="762"/>
      <c r="D299" s="762"/>
      <c r="E299" s="762"/>
      <c r="F299" s="762"/>
      <c r="G299" s="762"/>
      <c r="H299" s="762"/>
      <c r="I299" s="925"/>
      <c r="J299" s="762"/>
      <c r="K299" s="762"/>
      <c r="L299" s="762"/>
      <c r="M299" s="762"/>
      <c r="N299" s="762"/>
      <c r="O299" s="762"/>
      <c r="P299" s="762"/>
      <c r="Q299" s="925"/>
      <c r="R299" s="762"/>
      <c r="S299" s="762"/>
      <c r="T299" s="762"/>
      <c r="U299" s="762"/>
      <c r="V299" s="762"/>
      <c r="W299" s="762"/>
      <c r="X299" s="762"/>
      <c r="Y299" s="925"/>
      <c r="Z299" s="762"/>
      <c r="AA299" s="762"/>
      <c r="AB299" s="762"/>
      <c r="AC299" s="762"/>
      <c r="AD299" s="762"/>
      <c r="AE299" s="762"/>
      <c r="AF299" s="762"/>
      <c r="AG299" s="925"/>
      <c r="AH299" s="762"/>
      <c r="AI299" s="762"/>
      <c r="AJ299" s="762"/>
      <c r="AK299" s="762"/>
      <c r="AL299" s="762"/>
      <c r="AM299" s="762"/>
      <c r="AN299" s="762"/>
      <c r="AO299" s="925"/>
      <c r="AP299" s="762"/>
      <c r="AQ299" s="762"/>
      <c r="AR299" s="762"/>
      <c r="AS299" s="762"/>
      <c r="AT299" s="762"/>
      <c r="AU299" s="762"/>
      <c r="AV299" s="762"/>
      <c r="AW299" s="762"/>
      <c r="AX299" s="762"/>
      <c r="AY299" s="762"/>
      <c r="AZ299" s="762"/>
      <c r="BA299" s="762"/>
      <c r="BB299" s="762"/>
      <c r="BC299" s="762"/>
      <c r="BD299" s="762"/>
      <c r="BE299" s="762"/>
      <c r="BF299" s="762"/>
      <c r="BG299" s="762"/>
      <c r="BH299" s="762"/>
    </row>
    <row r="300" spans="1:60" s="49" customFormat="1">
      <c r="A300" s="767"/>
      <c r="B300" s="767"/>
      <c r="C300" s="762"/>
      <c r="D300" s="762"/>
      <c r="E300" s="762"/>
      <c r="F300" s="762"/>
      <c r="G300" s="762"/>
      <c r="H300" s="762"/>
      <c r="I300" s="925"/>
      <c r="J300" s="762"/>
      <c r="K300" s="762"/>
      <c r="L300" s="762"/>
      <c r="M300" s="762"/>
      <c r="N300" s="762"/>
      <c r="O300" s="762"/>
      <c r="P300" s="762"/>
      <c r="Q300" s="925"/>
      <c r="R300" s="762"/>
      <c r="S300" s="762"/>
      <c r="T300" s="762"/>
      <c r="U300" s="762"/>
      <c r="V300" s="762"/>
      <c r="W300" s="762"/>
      <c r="X300" s="762"/>
      <c r="Y300" s="925"/>
      <c r="Z300" s="762"/>
      <c r="AA300" s="762"/>
      <c r="AB300" s="762"/>
      <c r="AC300" s="762"/>
      <c r="AD300" s="762"/>
      <c r="AE300" s="762"/>
      <c r="AF300" s="762"/>
      <c r="AG300" s="925"/>
      <c r="AH300" s="762"/>
      <c r="AI300" s="762"/>
      <c r="AJ300" s="762"/>
      <c r="AK300" s="762"/>
      <c r="AL300" s="762"/>
      <c r="AM300" s="762"/>
      <c r="AN300" s="762"/>
      <c r="AO300" s="925"/>
      <c r="AP300" s="762"/>
      <c r="AQ300" s="762"/>
      <c r="AR300" s="762"/>
      <c r="AS300" s="762"/>
      <c r="AT300" s="762"/>
      <c r="AU300" s="762"/>
      <c r="AV300" s="762"/>
      <c r="AW300" s="762"/>
      <c r="AX300" s="762"/>
      <c r="AY300" s="762"/>
      <c r="AZ300" s="762"/>
      <c r="BA300" s="762"/>
      <c r="BB300" s="762"/>
      <c r="BC300" s="762"/>
      <c r="BD300" s="762"/>
      <c r="BE300" s="762"/>
      <c r="BF300" s="762"/>
      <c r="BG300" s="762"/>
      <c r="BH300" s="762"/>
    </row>
    <row r="301" spans="1:60" s="49" customFormat="1">
      <c r="A301" s="767"/>
      <c r="B301" s="767"/>
      <c r="C301" s="762"/>
      <c r="D301" s="762"/>
      <c r="E301" s="762"/>
      <c r="F301" s="762"/>
      <c r="G301" s="762"/>
      <c r="H301" s="762"/>
      <c r="I301" s="925"/>
      <c r="J301" s="762"/>
      <c r="K301" s="762"/>
      <c r="L301" s="762"/>
      <c r="M301" s="762"/>
      <c r="N301" s="762"/>
      <c r="O301" s="762"/>
      <c r="P301" s="762"/>
      <c r="Q301" s="925"/>
      <c r="R301" s="762"/>
      <c r="S301" s="762"/>
      <c r="T301" s="762"/>
      <c r="U301" s="762"/>
      <c r="V301" s="762"/>
      <c r="W301" s="762"/>
      <c r="X301" s="762"/>
      <c r="Y301" s="925"/>
      <c r="Z301" s="762"/>
      <c r="AA301" s="762"/>
      <c r="AB301" s="762"/>
      <c r="AC301" s="762"/>
      <c r="AD301" s="762"/>
      <c r="AE301" s="762"/>
      <c r="AF301" s="762"/>
      <c r="AG301" s="925"/>
      <c r="AH301" s="762"/>
      <c r="AI301" s="762"/>
      <c r="AJ301" s="762"/>
      <c r="AK301" s="762"/>
      <c r="AL301" s="762"/>
      <c r="AM301" s="762"/>
      <c r="AN301" s="762"/>
      <c r="AO301" s="925"/>
      <c r="AP301" s="762"/>
      <c r="AQ301" s="762"/>
      <c r="AR301" s="762"/>
      <c r="AS301" s="762"/>
      <c r="AT301" s="762"/>
      <c r="AU301" s="762"/>
      <c r="AV301" s="762"/>
      <c r="AW301" s="762"/>
      <c r="AX301" s="762"/>
      <c r="AY301" s="762"/>
      <c r="AZ301" s="762"/>
      <c r="BA301" s="762"/>
      <c r="BB301" s="762"/>
      <c r="BC301" s="762"/>
      <c r="BD301" s="762"/>
      <c r="BE301" s="762"/>
      <c r="BF301" s="762"/>
      <c r="BG301" s="762"/>
      <c r="BH301" s="762"/>
    </row>
    <row r="302" spans="1:60" s="49" customFormat="1">
      <c r="A302" s="767"/>
      <c r="B302" s="767"/>
      <c r="C302" s="762"/>
      <c r="D302" s="762"/>
      <c r="E302" s="762"/>
      <c r="F302" s="762"/>
      <c r="G302" s="762"/>
      <c r="H302" s="762"/>
      <c r="I302" s="925"/>
      <c r="J302" s="762"/>
      <c r="K302" s="762"/>
      <c r="L302" s="762"/>
      <c r="M302" s="762"/>
      <c r="N302" s="762"/>
      <c r="O302" s="762"/>
      <c r="P302" s="762"/>
      <c r="Q302" s="925"/>
      <c r="R302" s="762"/>
      <c r="S302" s="762"/>
      <c r="T302" s="762"/>
      <c r="U302" s="762"/>
      <c r="V302" s="762"/>
      <c r="W302" s="762"/>
      <c r="X302" s="762"/>
      <c r="Y302" s="925"/>
      <c r="Z302" s="762"/>
      <c r="AA302" s="762"/>
      <c r="AB302" s="762"/>
      <c r="AC302" s="762"/>
      <c r="AD302" s="762"/>
      <c r="AE302" s="762"/>
      <c r="AF302" s="762"/>
      <c r="AG302" s="925"/>
      <c r="AH302" s="762"/>
      <c r="AI302" s="762"/>
      <c r="AJ302" s="762"/>
      <c r="AK302" s="762"/>
      <c r="AL302" s="762"/>
      <c r="AM302" s="762"/>
      <c r="AN302" s="762"/>
      <c r="AO302" s="925"/>
      <c r="AP302" s="762"/>
      <c r="AQ302" s="762"/>
      <c r="AR302" s="762"/>
      <c r="AS302" s="762"/>
      <c r="AT302" s="762"/>
      <c r="AU302" s="762"/>
      <c r="AV302" s="762"/>
      <c r="AW302" s="762"/>
      <c r="AX302" s="762"/>
      <c r="AY302" s="762"/>
      <c r="AZ302" s="762"/>
      <c r="BA302" s="762"/>
      <c r="BB302" s="762"/>
      <c r="BC302" s="762"/>
      <c r="BD302" s="762"/>
      <c r="BE302" s="762"/>
      <c r="BF302" s="762"/>
      <c r="BG302" s="762"/>
      <c r="BH302" s="762"/>
    </row>
    <row r="303" spans="1:60" s="49" customFormat="1">
      <c r="A303" s="767"/>
      <c r="B303" s="767"/>
      <c r="C303" s="762"/>
      <c r="D303" s="762"/>
      <c r="E303" s="762"/>
      <c r="F303" s="762"/>
      <c r="G303" s="762"/>
      <c r="H303" s="762"/>
      <c r="I303" s="925"/>
      <c r="J303" s="762"/>
      <c r="K303" s="762"/>
      <c r="L303" s="762"/>
      <c r="M303" s="762"/>
      <c r="N303" s="762"/>
      <c r="O303" s="762"/>
      <c r="P303" s="762"/>
      <c r="Q303" s="925"/>
      <c r="R303" s="762"/>
      <c r="S303" s="762"/>
      <c r="T303" s="762"/>
      <c r="U303" s="762"/>
      <c r="V303" s="762"/>
      <c r="W303" s="762"/>
      <c r="X303" s="762"/>
      <c r="Y303" s="925"/>
      <c r="Z303" s="762"/>
      <c r="AA303" s="762"/>
      <c r="AB303" s="762"/>
      <c r="AC303" s="762"/>
      <c r="AD303" s="762"/>
      <c r="AE303" s="762"/>
      <c r="AF303" s="762"/>
      <c r="AG303" s="925"/>
      <c r="AH303" s="762"/>
      <c r="AI303" s="762"/>
      <c r="AJ303" s="762"/>
      <c r="AK303" s="762"/>
      <c r="AL303" s="762"/>
      <c r="AM303" s="762"/>
      <c r="AN303" s="762"/>
      <c r="AO303" s="925"/>
      <c r="AP303" s="762"/>
      <c r="AQ303" s="762"/>
      <c r="AR303" s="762"/>
      <c r="AS303" s="762"/>
      <c r="AT303" s="762"/>
      <c r="AU303" s="762"/>
      <c r="AV303" s="762"/>
      <c r="AW303" s="762"/>
      <c r="AX303" s="762"/>
      <c r="AY303" s="762"/>
      <c r="AZ303" s="762"/>
      <c r="BA303" s="762"/>
      <c r="BB303" s="762"/>
      <c r="BC303" s="762"/>
      <c r="BD303" s="762"/>
      <c r="BE303" s="762"/>
      <c r="BF303" s="762"/>
      <c r="BG303" s="762"/>
      <c r="BH303" s="762"/>
    </row>
    <row r="304" spans="1:60" s="49" customFormat="1">
      <c r="A304" s="767"/>
      <c r="B304" s="767"/>
      <c r="C304" s="762"/>
      <c r="D304" s="762"/>
      <c r="E304" s="762"/>
      <c r="F304" s="762"/>
      <c r="G304" s="762"/>
      <c r="H304" s="762"/>
      <c r="I304" s="925"/>
      <c r="J304" s="762"/>
      <c r="K304" s="762"/>
      <c r="L304" s="762"/>
      <c r="M304" s="762"/>
      <c r="N304" s="762"/>
      <c r="O304" s="762"/>
      <c r="P304" s="762"/>
      <c r="Q304" s="925"/>
      <c r="R304" s="762"/>
      <c r="S304" s="762"/>
      <c r="T304" s="762"/>
      <c r="U304" s="762"/>
      <c r="V304" s="762"/>
      <c r="W304" s="762"/>
      <c r="X304" s="762"/>
      <c r="Y304" s="925"/>
      <c r="Z304" s="762"/>
      <c r="AA304" s="762"/>
      <c r="AB304" s="762"/>
      <c r="AC304" s="762"/>
      <c r="AD304" s="762"/>
      <c r="AE304" s="762"/>
      <c r="AF304" s="762"/>
      <c r="AG304" s="925"/>
      <c r="AH304" s="762"/>
      <c r="AI304" s="762"/>
      <c r="AJ304" s="762"/>
      <c r="AK304" s="762"/>
      <c r="AL304" s="762"/>
      <c r="AM304" s="762"/>
      <c r="AN304" s="762"/>
      <c r="AO304" s="925"/>
      <c r="AP304" s="762"/>
      <c r="AQ304" s="762"/>
      <c r="AR304" s="762"/>
      <c r="AS304" s="762"/>
      <c r="AT304" s="762"/>
      <c r="AU304" s="762"/>
      <c r="AV304" s="762"/>
      <c r="AW304" s="762"/>
      <c r="AX304" s="762"/>
      <c r="AY304" s="762"/>
      <c r="AZ304" s="762"/>
      <c r="BA304" s="762"/>
      <c r="BB304" s="762"/>
      <c r="BC304" s="762"/>
      <c r="BD304" s="762"/>
      <c r="BE304" s="762"/>
      <c r="BF304" s="762"/>
      <c r="BG304" s="762"/>
      <c r="BH304" s="762"/>
    </row>
    <row r="305" spans="1:60" s="49" customFormat="1">
      <c r="A305" s="767"/>
      <c r="B305" s="767"/>
      <c r="C305" s="762"/>
      <c r="D305" s="762"/>
      <c r="E305" s="762"/>
      <c r="F305" s="762"/>
      <c r="G305" s="762"/>
      <c r="H305" s="762"/>
      <c r="I305" s="925"/>
      <c r="J305" s="762"/>
      <c r="K305" s="762"/>
      <c r="L305" s="762"/>
      <c r="M305" s="762"/>
      <c r="N305" s="762"/>
      <c r="O305" s="762"/>
      <c r="P305" s="762"/>
      <c r="Q305" s="925"/>
      <c r="R305" s="762"/>
      <c r="S305" s="762"/>
      <c r="T305" s="762"/>
      <c r="U305" s="762"/>
      <c r="V305" s="762"/>
      <c r="W305" s="762"/>
      <c r="X305" s="762"/>
      <c r="Y305" s="925"/>
      <c r="Z305" s="762"/>
      <c r="AA305" s="762"/>
      <c r="AB305" s="762"/>
      <c r="AC305" s="762"/>
      <c r="AD305" s="762"/>
      <c r="AE305" s="762"/>
      <c r="AF305" s="762"/>
      <c r="AG305" s="925"/>
      <c r="AH305" s="762"/>
      <c r="AI305" s="762"/>
      <c r="AJ305" s="762"/>
      <c r="AK305" s="762"/>
      <c r="AL305" s="762"/>
      <c r="AM305" s="762"/>
      <c r="AN305" s="762"/>
      <c r="AO305" s="925"/>
      <c r="AP305" s="762"/>
      <c r="AQ305" s="762"/>
      <c r="AR305" s="762"/>
      <c r="AS305" s="762"/>
      <c r="AT305" s="762"/>
      <c r="AU305" s="762"/>
      <c r="AV305" s="762"/>
      <c r="AW305" s="762"/>
      <c r="AX305" s="762"/>
      <c r="AY305" s="762"/>
      <c r="AZ305" s="762"/>
      <c r="BA305" s="762"/>
      <c r="BB305" s="762"/>
      <c r="BC305" s="762"/>
      <c r="BD305" s="762"/>
      <c r="BE305" s="762"/>
      <c r="BF305" s="762"/>
      <c r="BG305" s="762"/>
      <c r="BH305" s="762"/>
    </row>
    <row r="306" spans="1:60" s="49" customFormat="1">
      <c r="A306" s="767"/>
      <c r="B306" s="767"/>
      <c r="C306" s="762"/>
      <c r="D306" s="762"/>
      <c r="E306" s="762"/>
      <c r="F306" s="762"/>
      <c r="G306" s="762"/>
      <c r="H306" s="762"/>
      <c r="I306" s="925"/>
      <c r="J306" s="762"/>
      <c r="K306" s="762"/>
      <c r="L306" s="762"/>
      <c r="M306" s="762"/>
      <c r="N306" s="762"/>
      <c r="O306" s="762"/>
      <c r="P306" s="762"/>
      <c r="Q306" s="925"/>
      <c r="R306" s="762"/>
      <c r="S306" s="762"/>
      <c r="T306" s="762"/>
      <c r="U306" s="762"/>
      <c r="V306" s="762"/>
      <c r="W306" s="762"/>
      <c r="X306" s="762"/>
      <c r="Y306" s="925"/>
      <c r="Z306" s="762"/>
      <c r="AA306" s="762"/>
      <c r="AB306" s="762"/>
      <c r="AC306" s="762"/>
      <c r="AD306" s="762"/>
      <c r="AE306" s="762"/>
      <c r="AF306" s="762"/>
      <c r="AG306" s="925"/>
      <c r="AH306" s="762"/>
      <c r="AI306" s="762"/>
      <c r="AJ306" s="762"/>
      <c r="AK306" s="762"/>
      <c r="AL306" s="762"/>
      <c r="AM306" s="762"/>
      <c r="AN306" s="762"/>
      <c r="AO306" s="925"/>
      <c r="AP306" s="762"/>
      <c r="AQ306" s="762"/>
      <c r="AR306" s="762"/>
      <c r="AS306" s="762"/>
      <c r="AT306" s="762"/>
      <c r="AU306" s="762"/>
      <c r="AV306" s="762"/>
      <c r="AW306" s="762"/>
      <c r="AX306" s="762"/>
      <c r="AY306" s="762"/>
      <c r="AZ306" s="762"/>
      <c r="BA306" s="762"/>
      <c r="BB306" s="762"/>
      <c r="BC306" s="762"/>
      <c r="BD306" s="762"/>
      <c r="BE306" s="762"/>
      <c r="BF306" s="762"/>
      <c r="BG306" s="762"/>
      <c r="BH306" s="762"/>
    </row>
    <row r="307" spans="1:60" s="49" customFormat="1">
      <c r="A307" s="767"/>
      <c r="B307" s="767"/>
      <c r="C307" s="762"/>
      <c r="D307" s="762"/>
      <c r="E307" s="762"/>
      <c r="F307" s="762"/>
      <c r="G307" s="762"/>
      <c r="H307" s="762"/>
      <c r="I307" s="925"/>
      <c r="J307" s="762"/>
      <c r="K307" s="762"/>
      <c r="L307" s="762"/>
      <c r="M307" s="762"/>
      <c r="N307" s="762"/>
      <c r="O307" s="762"/>
      <c r="P307" s="762"/>
      <c r="Q307" s="925"/>
      <c r="R307" s="762"/>
      <c r="S307" s="762"/>
      <c r="T307" s="762"/>
      <c r="U307" s="762"/>
      <c r="V307" s="762"/>
      <c r="W307" s="762"/>
      <c r="X307" s="762"/>
      <c r="Y307" s="925"/>
      <c r="Z307" s="762"/>
      <c r="AA307" s="762"/>
      <c r="AB307" s="762"/>
      <c r="AC307" s="762"/>
      <c r="AD307" s="762"/>
      <c r="AE307" s="762"/>
      <c r="AF307" s="762"/>
      <c r="AG307" s="925"/>
      <c r="AH307" s="762"/>
      <c r="AI307" s="762"/>
      <c r="AJ307" s="762"/>
      <c r="AK307" s="762"/>
      <c r="AL307" s="762"/>
      <c r="AM307" s="762"/>
      <c r="AN307" s="762"/>
      <c r="AO307" s="925"/>
      <c r="AP307" s="762"/>
      <c r="AQ307" s="762"/>
      <c r="AR307" s="762"/>
      <c r="AS307" s="762"/>
      <c r="AT307" s="762"/>
      <c r="AU307" s="762"/>
      <c r="AV307" s="762"/>
      <c r="AW307" s="762"/>
      <c r="AX307" s="762"/>
      <c r="AY307" s="762"/>
      <c r="AZ307" s="762"/>
      <c r="BA307" s="762"/>
      <c r="BB307" s="762"/>
      <c r="BC307" s="762"/>
      <c r="BD307" s="762"/>
      <c r="BE307" s="762"/>
      <c r="BF307" s="762"/>
      <c r="BG307" s="762"/>
      <c r="BH307" s="762"/>
    </row>
    <row r="308" spans="1:60" s="49" customFormat="1">
      <c r="A308" s="767"/>
      <c r="B308" s="767"/>
      <c r="C308" s="762"/>
      <c r="D308" s="762"/>
      <c r="E308" s="762"/>
      <c r="F308" s="762"/>
      <c r="G308" s="762"/>
      <c r="H308" s="762"/>
      <c r="I308" s="925"/>
      <c r="J308" s="762"/>
      <c r="K308" s="762"/>
      <c r="L308" s="762"/>
      <c r="M308" s="762"/>
      <c r="N308" s="762"/>
      <c r="O308" s="762"/>
      <c r="P308" s="762"/>
      <c r="Q308" s="925"/>
      <c r="R308" s="762"/>
      <c r="S308" s="762"/>
      <c r="T308" s="762"/>
      <c r="U308" s="762"/>
      <c r="V308" s="762"/>
      <c r="W308" s="762"/>
      <c r="X308" s="762"/>
      <c r="Y308" s="925"/>
      <c r="Z308" s="762"/>
      <c r="AA308" s="762"/>
      <c r="AB308" s="762"/>
      <c r="AC308" s="762"/>
      <c r="AD308" s="762"/>
      <c r="AE308" s="762"/>
      <c r="AF308" s="762"/>
      <c r="AG308" s="925"/>
      <c r="AH308" s="762"/>
      <c r="AI308" s="762"/>
      <c r="AJ308" s="762"/>
      <c r="AK308" s="762"/>
      <c r="AL308" s="762"/>
      <c r="AM308" s="762"/>
      <c r="AN308" s="762"/>
      <c r="AO308" s="925"/>
      <c r="AP308" s="762"/>
      <c r="AQ308" s="762"/>
      <c r="AR308" s="762"/>
      <c r="AS308" s="762"/>
      <c r="AT308" s="762"/>
      <c r="AU308" s="762"/>
      <c r="AV308" s="762"/>
      <c r="AW308" s="762"/>
      <c r="AX308" s="762"/>
      <c r="AY308" s="762"/>
      <c r="AZ308" s="762"/>
      <c r="BA308" s="762"/>
      <c r="BB308" s="762"/>
      <c r="BC308" s="762"/>
      <c r="BD308" s="762"/>
      <c r="BE308" s="762"/>
      <c r="BF308" s="762"/>
      <c r="BG308" s="762"/>
      <c r="BH308" s="762"/>
    </row>
    <row r="309" spans="1:60" s="49" customFormat="1">
      <c r="A309" s="767"/>
      <c r="B309" s="767"/>
      <c r="C309" s="762"/>
      <c r="D309" s="762"/>
      <c r="E309" s="762"/>
      <c r="F309" s="762"/>
      <c r="G309" s="762"/>
      <c r="H309" s="762"/>
      <c r="I309" s="925"/>
      <c r="J309" s="762"/>
      <c r="K309" s="762"/>
      <c r="L309" s="762"/>
      <c r="M309" s="762"/>
      <c r="N309" s="762"/>
      <c r="O309" s="762"/>
      <c r="P309" s="762"/>
      <c r="Q309" s="925"/>
      <c r="R309" s="762"/>
      <c r="S309" s="762"/>
      <c r="T309" s="762"/>
      <c r="U309" s="762"/>
      <c r="V309" s="762"/>
      <c r="W309" s="762"/>
      <c r="X309" s="762"/>
      <c r="Y309" s="925"/>
      <c r="Z309" s="762"/>
      <c r="AA309" s="762"/>
      <c r="AB309" s="762"/>
      <c r="AC309" s="762"/>
      <c r="AD309" s="762"/>
      <c r="AE309" s="762"/>
      <c r="AF309" s="762"/>
      <c r="AG309" s="925"/>
      <c r="AH309" s="762"/>
      <c r="AI309" s="762"/>
      <c r="AJ309" s="762"/>
      <c r="AK309" s="762"/>
      <c r="AL309" s="762"/>
      <c r="AM309" s="762"/>
      <c r="AN309" s="762"/>
      <c r="AO309" s="925"/>
      <c r="AP309" s="762"/>
      <c r="AQ309" s="762"/>
      <c r="AR309" s="762"/>
      <c r="AS309" s="762"/>
      <c r="AT309" s="762"/>
      <c r="AU309" s="762"/>
      <c r="AV309" s="762"/>
      <c r="AW309" s="762"/>
      <c r="AX309" s="762"/>
      <c r="AY309" s="762"/>
      <c r="AZ309" s="762"/>
      <c r="BA309" s="762"/>
      <c r="BB309" s="762"/>
      <c r="BC309" s="762"/>
      <c r="BD309" s="762"/>
      <c r="BE309" s="762"/>
      <c r="BF309" s="762"/>
      <c r="BG309" s="762"/>
      <c r="BH309" s="762"/>
    </row>
    <row r="310" spans="1:60" s="49" customFormat="1">
      <c r="A310" s="767"/>
      <c r="B310" s="767"/>
      <c r="C310" s="762"/>
      <c r="D310" s="762"/>
      <c r="E310" s="762"/>
      <c r="F310" s="762"/>
      <c r="G310" s="762"/>
      <c r="H310" s="762"/>
      <c r="I310" s="925"/>
      <c r="J310" s="762"/>
      <c r="K310" s="762"/>
      <c r="L310" s="762"/>
      <c r="M310" s="762"/>
      <c r="N310" s="762"/>
      <c r="O310" s="762"/>
      <c r="P310" s="762"/>
      <c r="Q310" s="925"/>
      <c r="R310" s="762"/>
      <c r="S310" s="762"/>
      <c r="T310" s="762"/>
      <c r="U310" s="762"/>
      <c r="V310" s="762"/>
      <c r="W310" s="762"/>
      <c r="X310" s="762"/>
      <c r="Y310" s="925"/>
      <c r="Z310" s="762"/>
      <c r="AA310" s="762"/>
      <c r="AB310" s="762"/>
      <c r="AC310" s="762"/>
      <c r="AD310" s="762"/>
      <c r="AE310" s="762"/>
      <c r="AF310" s="762"/>
      <c r="AG310" s="925"/>
      <c r="AH310" s="762"/>
      <c r="AI310" s="762"/>
      <c r="AJ310" s="762"/>
      <c r="AK310" s="762"/>
      <c r="AL310" s="762"/>
      <c r="AM310" s="762"/>
      <c r="AN310" s="762"/>
      <c r="AO310" s="925"/>
      <c r="AP310" s="762"/>
      <c r="AQ310" s="762"/>
      <c r="AR310" s="762"/>
      <c r="AS310" s="762"/>
      <c r="AT310" s="762"/>
      <c r="AU310" s="762"/>
      <c r="AV310" s="762"/>
      <c r="AW310" s="762"/>
      <c r="AX310" s="762"/>
      <c r="AY310" s="762"/>
      <c r="AZ310" s="762"/>
      <c r="BA310" s="762"/>
      <c r="BB310" s="762"/>
      <c r="BC310" s="762"/>
      <c r="BD310" s="762"/>
      <c r="BE310" s="762"/>
      <c r="BF310" s="762"/>
      <c r="BG310" s="762"/>
      <c r="BH310" s="762"/>
    </row>
    <row r="311" spans="1:60" s="49" customFormat="1">
      <c r="A311" s="767"/>
      <c r="B311" s="767"/>
      <c r="C311" s="762"/>
      <c r="D311" s="762"/>
      <c r="E311" s="762"/>
      <c r="F311" s="762"/>
      <c r="G311" s="762"/>
      <c r="H311" s="762"/>
      <c r="I311" s="925"/>
      <c r="J311" s="762"/>
      <c r="K311" s="762"/>
      <c r="L311" s="762"/>
      <c r="M311" s="762"/>
      <c r="N311" s="762"/>
      <c r="O311" s="762"/>
      <c r="P311" s="762"/>
      <c r="Q311" s="925"/>
      <c r="R311" s="762"/>
      <c r="S311" s="762"/>
      <c r="T311" s="762"/>
      <c r="U311" s="762"/>
      <c r="V311" s="762"/>
      <c r="W311" s="762"/>
      <c r="X311" s="762"/>
      <c r="Y311" s="925"/>
      <c r="Z311" s="762"/>
      <c r="AA311" s="762"/>
      <c r="AB311" s="762"/>
      <c r="AC311" s="762"/>
      <c r="AD311" s="762"/>
      <c r="AE311" s="762"/>
      <c r="AF311" s="762"/>
      <c r="AG311" s="925"/>
      <c r="AH311" s="762"/>
      <c r="AI311" s="762"/>
      <c r="AJ311" s="762"/>
      <c r="AK311" s="762"/>
      <c r="AL311" s="762"/>
      <c r="AM311" s="762"/>
      <c r="AN311" s="762"/>
      <c r="AO311" s="925"/>
      <c r="AP311" s="762"/>
      <c r="AQ311" s="762"/>
      <c r="AR311" s="762"/>
      <c r="AS311" s="762"/>
      <c r="AT311" s="762"/>
      <c r="AU311" s="762"/>
      <c r="AV311" s="762"/>
      <c r="AW311" s="762"/>
      <c r="AX311" s="762"/>
      <c r="AY311" s="762"/>
      <c r="AZ311" s="762"/>
      <c r="BA311" s="762"/>
      <c r="BB311" s="762"/>
      <c r="BC311" s="762"/>
      <c r="BD311" s="762"/>
      <c r="BE311" s="762"/>
      <c r="BF311" s="762"/>
      <c r="BG311" s="762"/>
      <c r="BH311" s="762"/>
    </row>
    <row r="312" spans="1:60" s="49" customFormat="1">
      <c r="A312" s="767"/>
      <c r="B312" s="767"/>
      <c r="C312" s="762"/>
      <c r="D312" s="762"/>
      <c r="E312" s="762"/>
      <c r="F312" s="762"/>
      <c r="G312" s="762"/>
      <c r="H312" s="762"/>
      <c r="I312" s="925"/>
      <c r="J312" s="762"/>
      <c r="K312" s="762"/>
      <c r="L312" s="762"/>
      <c r="M312" s="762"/>
      <c r="N312" s="762"/>
      <c r="O312" s="762"/>
      <c r="P312" s="762"/>
      <c r="Q312" s="925"/>
      <c r="R312" s="762"/>
      <c r="S312" s="762"/>
      <c r="T312" s="762"/>
      <c r="U312" s="762"/>
      <c r="V312" s="762"/>
      <c r="W312" s="762"/>
      <c r="X312" s="762"/>
      <c r="Y312" s="925"/>
      <c r="Z312" s="762"/>
      <c r="AA312" s="762"/>
      <c r="AB312" s="762"/>
      <c r="AC312" s="762"/>
      <c r="AD312" s="762"/>
      <c r="AE312" s="762"/>
      <c r="AF312" s="762"/>
      <c r="AG312" s="925"/>
      <c r="AH312" s="762"/>
      <c r="AI312" s="762"/>
      <c r="AJ312" s="762"/>
      <c r="AK312" s="762"/>
      <c r="AL312" s="762"/>
      <c r="AM312" s="762"/>
      <c r="AN312" s="762"/>
      <c r="AO312" s="925"/>
      <c r="AP312" s="762"/>
      <c r="AQ312" s="762"/>
      <c r="AR312" s="762"/>
      <c r="AS312" s="762"/>
      <c r="AT312" s="762"/>
      <c r="AU312" s="762"/>
      <c r="AV312" s="762"/>
      <c r="AW312" s="762"/>
      <c r="AX312" s="762"/>
      <c r="AY312" s="762"/>
      <c r="AZ312" s="762"/>
      <c r="BA312" s="762"/>
      <c r="BB312" s="762"/>
      <c r="BC312" s="762"/>
      <c r="BD312" s="762"/>
      <c r="BE312" s="762"/>
      <c r="BF312" s="762"/>
      <c r="BG312" s="762"/>
      <c r="BH312" s="762"/>
    </row>
    <row r="313" spans="1:60" s="49" customFormat="1">
      <c r="A313" s="767"/>
      <c r="B313" s="767"/>
      <c r="C313" s="762"/>
      <c r="D313" s="762"/>
      <c r="E313" s="762"/>
      <c r="F313" s="762"/>
      <c r="G313" s="762"/>
      <c r="H313" s="762"/>
      <c r="I313" s="925"/>
      <c r="J313" s="762"/>
      <c r="K313" s="762"/>
      <c r="L313" s="762"/>
      <c r="M313" s="762"/>
      <c r="N313" s="762"/>
      <c r="O313" s="762"/>
      <c r="P313" s="762"/>
      <c r="Q313" s="925"/>
      <c r="R313" s="762"/>
      <c r="S313" s="762"/>
      <c r="T313" s="762"/>
      <c r="U313" s="762"/>
      <c r="V313" s="762"/>
      <c r="W313" s="762"/>
      <c r="X313" s="762"/>
      <c r="Y313" s="925"/>
      <c r="Z313" s="762"/>
      <c r="AA313" s="762"/>
      <c r="AB313" s="762"/>
      <c r="AC313" s="762"/>
      <c r="AD313" s="762"/>
      <c r="AE313" s="762"/>
      <c r="AF313" s="762"/>
      <c r="AG313" s="925"/>
      <c r="AH313" s="762"/>
      <c r="AI313" s="762"/>
      <c r="AJ313" s="762"/>
      <c r="AK313" s="762"/>
      <c r="AL313" s="762"/>
      <c r="AM313" s="762"/>
      <c r="AN313" s="762"/>
      <c r="AO313" s="925"/>
      <c r="AP313" s="762"/>
      <c r="AQ313" s="762"/>
      <c r="AR313" s="762"/>
      <c r="AS313" s="762"/>
      <c r="AT313" s="762"/>
      <c r="AU313" s="762"/>
      <c r="AV313" s="762"/>
      <c r="AW313" s="762"/>
      <c r="AX313" s="762"/>
      <c r="AY313" s="762"/>
      <c r="AZ313" s="762"/>
      <c r="BA313" s="762"/>
      <c r="BB313" s="762"/>
      <c r="BC313" s="762"/>
      <c r="BD313" s="762"/>
      <c r="BE313" s="762"/>
      <c r="BF313" s="762"/>
      <c r="BG313" s="762"/>
      <c r="BH313" s="762"/>
    </row>
    <row r="314" spans="1:60" s="49" customFormat="1">
      <c r="A314" s="767"/>
      <c r="B314" s="767"/>
      <c r="C314" s="762"/>
      <c r="D314" s="762"/>
      <c r="E314" s="762"/>
      <c r="F314" s="762"/>
      <c r="G314" s="762"/>
      <c r="H314" s="762"/>
      <c r="I314" s="925"/>
      <c r="J314" s="762"/>
      <c r="K314" s="762"/>
      <c r="L314" s="762"/>
      <c r="M314" s="762"/>
      <c r="N314" s="762"/>
      <c r="O314" s="762"/>
      <c r="P314" s="762"/>
      <c r="Q314" s="925"/>
      <c r="R314" s="762"/>
      <c r="S314" s="762"/>
      <c r="T314" s="762"/>
      <c r="U314" s="762"/>
      <c r="V314" s="762"/>
      <c r="W314" s="762"/>
      <c r="X314" s="762"/>
      <c r="Y314" s="925"/>
      <c r="Z314" s="762"/>
      <c r="AA314" s="762"/>
      <c r="AB314" s="762"/>
      <c r="AC314" s="762"/>
      <c r="AD314" s="762"/>
      <c r="AE314" s="762"/>
      <c r="AF314" s="762"/>
      <c r="AG314" s="925"/>
      <c r="AH314" s="762"/>
      <c r="AI314" s="762"/>
      <c r="AJ314" s="762"/>
      <c r="AK314" s="762"/>
      <c r="AL314" s="762"/>
      <c r="AM314" s="762"/>
      <c r="AN314" s="762"/>
      <c r="AO314" s="925"/>
      <c r="AP314" s="762"/>
      <c r="AQ314" s="762"/>
      <c r="AR314" s="762"/>
      <c r="AS314" s="762"/>
      <c r="AT314" s="762"/>
      <c r="AU314" s="762"/>
      <c r="AV314" s="762"/>
      <c r="AW314" s="762"/>
      <c r="AX314" s="762"/>
      <c r="AY314" s="762"/>
      <c r="AZ314" s="762"/>
      <c r="BA314" s="762"/>
      <c r="BB314" s="762"/>
      <c r="BC314" s="762"/>
      <c r="BD314" s="762"/>
      <c r="BE314" s="762"/>
      <c r="BF314" s="762"/>
      <c r="BG314" s="762"/>
      <c r="BH314" s="762"/>
    </row>
    <row r="315" spans="1:60" s="49" customFormat="1">
      <c r="A315" s="767"/>
      <c r="B315" s="767"/>
      <c r="C315" s="762"/>
      <c r="D315" s="762"/>
      <c r="E315" s="762"/>
      <c r="F315" s="762"/>
      <c r="G315" s="762"/>
      <c r="H315" s="762"/>
      <c r="I315" s="925"/>
      <c r="J315" s="762"/>
      <c r="K315" s="762"/>
      <c r="L315" s="762"/>
      <c r="M315" s="762"/>
      <c r="N315" s="762"/>
      <c r="O315" s="762"/>
      <c r="P315" s="762"/>
      <c r="Q315" s="925"/>
      <c r="R315" s="762"/>
      <c r="S315" s="762"/>
      <c r="T315" s="762"/>
      <c r="U315" s="762"/>
      <c r="V315" s="762"/>
      <c r="W315" s="762"/>
      <c r="X315" s="762"/>
      <c r="Y315" s="925"/>
      <c r="Z315" s="762"/>
      <c r="AA315" s="762"/>
      <c r="AB315" s="762"/>
      <c r="AC315" s="762"/>
      <c r="AD315" s="762"/>
      <c r="AE315" s="762"/>
      <c r="AF315" s="762"/>
      <c r="AG315" s="925"/>
      <c r="AH315" s="762"/>
      <c r="AI315" s="762"/>
      <c r="AJ315" s="762"/>
      <c r="AK315" s="762"/>
      <c r="AL315" s="762"/>
      <c r="AM315" s="762"/>
      <c r="AN315" s="762"/>
      <c r="AO315" s="925"/>
      <c r="AP315" s="762"/>
      <c r="AQ315" s="762"/>
      <c r="AR315" s="762"/>
      <c r="AS315" s="762"/>
      <c r="AT315" s="762"/>
      <c r="AU315" s="762"/>
      <c r="AV315" s="762"/>
      <c r="AW315" s="762"/>
      <c r="AX315" s="762"/>
      <c r="AY315" s="762"/>
      <c r="AZ315" s="762"/>
      <c r="BA315" s="762"/>
      <c r="BB315" s="762"/>
      <c r="BC315" s="762"/>
      <c r="BD315" s="762"/>
      <c r="BE315" s="762"/>
      <c r="BF315" s="762"/>
      <c r="BG315" s="762"/>
      <c r="BH315" s="762"/>
    </row>
    <row r="316" spans="1:60" s="49" customFormat="1">
      <c r="A316" s="767"/>
      <c r="B316" s="767"/>
      <c r="C316" s="762"/>
      <c r="D316" s="762"/>
      <c r="E316" s="762"/>
      <c r="F316" s="762"/>
      <c r="G316" s="762"/>
      <c r="H316" s="762"/>
      <c r="I316" s="925"/>
      <c r="J316" s="762"/>
      <c r="K316" s="762"/>
      <c r="L316" s="762"/>
      <c r="M316" s="762"/>
      <c r="N316" s="762"/>
      <c r="O316" s="762"/>
      <c r="P316" s="762"/>
      <c r="Q316" s="925"/>
      <c r="R316" s="762"/>
      <c r="S316" s="762"/>
      <c r="T316" s="762"/>
      <c r="U316" s="762"/>
      <c r="V316" s="762"/>
      <c r="W316" s="762"/>
      <c r="X316" s="762"/>
      <c r="Y316" s="925"/>
      <c r="Z316" s="762"/>
      <c r="AA316" s="762"/>
      <c r="AB316" s="762"/>
      <c r="AC316" s="762"/>
      <c r="AD316" s="762"/>
      <c r="AE316" s="762"/>
      <c r="AF316" s="762"/>
      <c r="AG316" s="925"/>
      <c r="AH316" s="762"/>
      <c r="AI316" s="762"/>
      <c r="AJ316" s="762"/>
      <c r="AK316" s="762"/>
      <c r="AL316" s="762"/>
      <c r="AM316" s="762"/>
      <c r="AN316" s="762"/>
      <c r="AO316" s="925"/>
      <c r="AP316" s="762"/>
      <c r="AQ316" s="762"/>
      <c r="AR316" s="762"/>
      <c r="AS316" s="762"/>
      <c r="AT316" s="762"/>
      <c r="AU316" s="762"/>
      <c r="AV316" s="762"/>
      <c r="AW316" s="762"/>
      <c r="AX316" s="762"/>
      <c r="AY316" s="762"/>
      <c r="AZ316" s="762"/>
      <c r="BA316" s="762"/>
      <c r="BB316" s="762"/>
      <c r="BC316" s="762"/>
      <c r="BD316" s="762"/>
      <c r="BE316" s="762"/>
      <c r="BF316" s="762"/>
      <c r="BG316" s="762"/>
      <c r="BH316" s="762"/>
    </row>
    <row r="317" spans="1:60" s="49" customFormat="1">
      <c r="A317" s="767"/>
      <c r="B317" s="767"/>
      <c r="C317" s="762"/>
      <c r="D317" s="762"/>
      <c r="E317" s="762"/>
      <c r="F317" s="762"/>
      <c r="G317" s="762"/>
      <c r="H317" s="762"/>
      <c r="I317" s="925"/>
      <c r="J317" s="762"/>
      <c r="K317" s="762"/>
      <c r="L317" s="762"/>
      <c r="M317" s="762"/>
      <c r="N317" s="762"/>
      <c r="O317" s="762"/>
      <c r="P317" s="762"/>
      <c r="Q317" s="925"/>
      <c r="R317" s="762"/>
      <c r="S317" s="762"/>
      <c r="T317" s="762"/>
      <c r="U317" s="762"/>
      <c r="V317" s="762"/>
      <c r="W317" s="762"/>
      <c r="X317" s="762"/>
      <c r="Y317" s="925"/>
      <c r="Z317" s="762"/>
      <c r="AA317" s="762"/>
      <c r="AB317" s="762"/>
      <c r="AC317" s="762"/>
      <c r="AD317" s="762"/>
      <c r="AE317" s="762"/>
      <c r="AF317" s="762"/>
      <c r="AG317" s="925"/>
      <c r="AH317" s="762"/>
      <c r="AI317" s="762"/>
      <c r="AJ317" s="762"/>
      <c r="AK317" s="762"/>
      <c r="AL317" s="762"/>
      <c r="AM317" s="762"/>
      <c r="AN317" s="762"/>
      <c r="AO317" s="925"/>
      <c r="AP317" s="762"/>
      <c r="AQ317" s="762"/>
      <c r="AR317" s="762"/>
      <c r="AS317" s="762"/>
      <c r="AT317" s="762"/>
      <c r="AU317" s="762"/>
      <c r="AV317" s="762"/>
      <c r="AW317" s="762"/>
      <c r="AX317" s="762"/>
      <c r="AY317" s="762"/>
      <c r="AZ317" s="762"/>
      <c r="BA317" s="762"/>
      <c r="BB317" s="762"/>
      <c r="BC317" s="762"/>
      <c r="BD317" s="762"/>
      <c r="BE317" s="762"/>
      <c r="BF317" s="762"/>
      <c r="BG317" s="762"/>
      <c r="BH317" s="762"/>
    </row>
    <row r="318" spans="1:60" s="49" customFormat="1">
      <c r="A318" s="767"/>
      <c r="B318" s="767"/>
      <c r="C318" s="762"/>
      <c r="D318" s="762"/>
      <c r="E318" s="762"/>
      <c r="F318" s="762"/>
      <c r="G318" s="762"/>
      <c r="H318" s="762"/>
      <c r="I318" s="925"/>
      <c r="J318" s="762"/>
      <c r="K318" s="762"/>
      <c r="L318" s="762"/>
      <c r="M318" s="762"/>
      <c r="N318" s="762"/>
      <c r="O318" s="762"/>
      <c r="P318" s="762"/>
      <c r="Q318" s="925"/>
      <c r="R318" s="762"/>
      <c r="S318" s="762"/>
      <c r="T318" s="762"/>
      <c r="U318" s="762"/>
      <c r="V318" s="762"/>
      <c r="W318" s="762"/>
      <c r="X318" s="762"/>
      <c r="Y318" s="925"/>
      <c r="Z318" s="762"/>
      <c r="AA318" s="762"/>
      <c r="AB318" s="762"/>
      <c r="AC318" s="762"/>
      <c r="AD318" s="762"/>
      <c r="AE318" s="762"/>
      <c r="AF318" s="762"/>
      <c r="AG318" s="925"/>
      <c r="AH318" s="762"/>
      <c r="AI318" s="762"/>
      <c r="AJ318" s="762"/>
      <c r="AK318" s="762"/>
      <c r="AL318" s="762"/>
      <c r="AM318" s="762"/>
      <c r="AN318" s="762"/>
      <c r="AO318" s="925"/>
      <c r="AP318" s="762"/>
      <c r="AQ318" s="762"/>
      <c r="AR318" s="762"/>
      <c r="AS318" s="762"/>
      <c r="AT318" s="762"/>
      <c r="AU318" s="762"/>
      <c r="AV318" s="762"/>
      <c r="AW318" s="762"/>
      <c r="AX318" s="762"/>
      <c r="AY318" s="762"/>
      <c r="AZ318" s="762"/>
      <c r="BA318" s="762"/>
      <c r="BB318" s="762"/>
      <c r="BC318" s="762"/>
      <c r="BD318" s="762"/>
      <c r="BE318" s="762"/>
      <c r="BF318" s="762"/>
      <c r="BG318" s="762"/>
      <c r="BH318" s="762"/>
    </row>
    <row r="319" spans="1:60" s="49" customFormat="1">
      <c r="A319" s="767"/>
      <c r="B319" s="767"/>
      <c r="C319" s="762"/>
      <c r="D319" s="762"/>
      <c r="E319" s="762"/>
      <c r="F319" s="762"/>
      <c r="G319" s="762"/>
      <c r="H319" s="762"/>
      <c r="I319" s="925"/>
      <c r="J319" s="762"/>
      <c r="K319" s="762"/>
      <c r="L319" s="762"/>
      <c r="M319" s="762"/>
      <c r="N319" s="762"/>
      <c r="O319" s="762"/>
      <c r="P319" s="762"/>
      <c r="Q319" s="925"/>
      <c r="R319" s="762"/>
      <c r="S319" s="762"/>
      <c r="T319" s="762"/>
      <c r="U319" s="762"/>
      <c r="V319" s="762"/>
      <c r="W319" s="762"/>
      <c r="X319" s="762"/>
      <c r="Y319" s="925"/>
      <c r="Z319" s="762"/>
      <c r="AA319" s="762"/>
      <c r="AB319" s="762"/>
      <c r="AC319" s="762"/>
      <c r="AD319" s="762"/>
      <c r="AE319" s="762"/>
      <c r="AF319" s="762"/>
      <c r="AG319" s="925"/>
      <c r="AH319" s="762"/>
      <c r="AI319" s="762"/>
      <c r="AJ319" s="762"/>
      <c r="AK319" s="762"/>
      <c r="AL319" s="762"/>
      <c r="AM319" s="762"/>
      <c r="AN319" s="762"/>
      <c r="AO319" s="925"/>
      <c r="AP319" s="762"/>
      <c r="AQ319" s="762"/>
      <c r="AR319" s="762"/>
      <c r="AS319" s="762"/>
      <c r="AT319" s="762"/>
      <c r="AU319" s="762"/>
      <c r="AV319" s="762"/>
      <c r="AW319" s="762"/>
      <c r="AX319" s="762"/>
      <c r="AY319" s="762"/>
      <c r="AZ319" s="762"/>
      <c r="BA319" s="762"/>
      <c r="BB319" s="762"/>
      <c r="BC319" s="762"/>
      <c r="BD319" s="762"/>
      <c r="BE319" s="762"/>
      <c r="BF319" s="762"/>
      <c r="BG319" s="762"/>
      <c r="BH319" s="762"/>
    </row>
    <row r="320" spans="1:60" s="49" customFormat="1">
      <c r="A320" s="767"/>
      <c r="B320" s="767"/>
      <c r="C320" s="762"/>
      <c r="D320" s="762"/>
      <c r="E320" s="762"/>
      <c r="F320" s="762"/>
      <c r="G320" s="762"/>
      <c r="H320" s="762"/>
      <c r="I320" s="925"/>
      <c r="J320" s="762"/>
      <c r="K320" s="762"/>
      <c r="L320" s="762"/>
      <c r="M320" s="762"/>
      <c r="N320" s="762"/>
      <c r="O320" s="762"/>
      <c r="P320" s="762"/>
      <c r="Q320" s="925"/>
      <c r="R320" s="762"/>
      <c r="S320" s="762"/>
      <c r="T320" s="762"/>
      <c r="U320" s="762"/>
      <c r="V320" s="762"/>
      <c r="W320" s="762"/>
      <c r="X320" s="762"/>
      <c r="Y320" s="925"/>
      <c r="Z320" s="762"/>
      <c r="AA320" s="762"/>
      <c r="AB320" s="762"/>
      <c r="AC320" s="762"/>
      <c r="AD320" s="762"/>
      <c r="AE320" s="762"/>
      <c r="AF320" s="762"/>
      <c r="AG320" s="925"/>
      <c r="AH320" s="762"/>
      <c r="AI320" s="762"/>
      <c r="AJ320" s="762"/>
      <c r="AK320" s="762"/>
      <c r="AL320" s="762"/>
      <c r="AM320" s="762"/>
      <c r="AN320" s="762"/>
      <c r="AO320" s="925"/>
      <c r="AP320" s="762"/>
      <c r="AQ320" s="762"/>
      <c r="AR320" s="762"/>
      <c r="AS320" s="762"/>
      <c r="AT320" s="762"/>
      <c r="AU320" s="762"/>
      <c r="AV320" s="762"/>
      <c r="AW320" s="762"/>
      <c r="AX320" s="762"/>
      <c r="AY320" s="762"/>
      <c r="AZ320" s="762"/>
      <c r="BA320" s="762"/>
      <c r="BB320" s="762"/>
      <c r="BC320" s="762"/>
      <c r="BD320" s="762"/>
      <c r="BE320" s="762"/>
      <c r="BF320" s="762"/>
      <c r="BG320" s="762"/>
      <c r="BH320" s="762"/>
    </row>
    <row r="321" spans="1:60" s="49" customFormat="1">
      <c r="A321" s="767"/>
      <c r="B321" s="767"/>
      <c r="C321" s="762"/>
      <c r="D321" s="762"/>
      <c r="E321" s="762"/>
      <c r="F321" s="762"/>
      <c r="G321" s="762"/>
      <c r="H321" s="762"/>
      <c r="I321" s="925"/>
      <c r="J321" s="762"/>
      <c r="K321" s="762"/>
      <c r="L321" s="762"/>
      <c r="M321" s="762"/>
      <c r="N321" s="762"/>
      <c r="O321" s="762"/>
      <c r="P321" s="762"/>
      <c r="Q321" s="925"/>
      <c r="R321" s="762"/>
      <c r="S321" s="762"/>
      <c r="T321" s="762"/>
      <c r="U321" s="762"/>
      <c r="V321" s="762"/>
      <c r="W321" s="762"/>
      <c r="X321" s="762"/>
      <c r="Y321" s="925"/>
      <c r="Z321" s="762"/>
      <c r="AA321" s="762"/>
      <c r="AB321" s="762"/>
      <c r="AC321" s="762"/>
      <c r="AD321" s="762"/>
      <c r="AE321" s="762"/>
      <c r="AF321" s="762"/>
      <c r="AG321" s="925"/>
      <c r="AH321" s="762"/>
      <c r="AI321" s="762"/>
      <c r="AJ321" s="762"/>
      <c r="AK321" s="762"/>
      <c r="AL321" s="762"/>
      <c r="AM321" s="762"/>
      <c r="AN321" s="762"/>
      <c r="AO321" s="925"/>
      <c r="AP321" s="762"/>
      <c r="AQ321" s="762"/>
      <c r="AR321" s="762"/>
      <c r="AS321" s="762"/>
      <c r="AT321" s="762"/>
      <c r="AU321" s="762"/>
      <c r="AV321" s="762"/>
      <c r="AW321" s="762"/>
      <c r="AX321" s="762"/>
      <c r="AY321" s="762"/>
      <c r="AZ321" s="762"/>
      <c r="BA321" s="762"/>
      <c r="BB321" s="762"/>
      <c r="BC321" s="762"/>
      <c r="BD321" s="762"/>
      <c r="BE321" s="762"/>
      <c r="BF321" s="762"/>
      <c r="BG321" s="762"/>
      <c r="BH321" s="762"/>
    </row>
    <row r="322" spans="1:60" s="49" customFormat="1">
      <c r="A322" s="767"/>
      <c r="B322" s="767"/>
      <c r="C322" s="762"/>
      <c r="D322" s="762"/>
      <c r="E322" s="762"/>
      <c r="F322" s="762"/>
      <c r="G322" s="762"/>
      <c r="H322" s="762"/>
      <c r="I322" s="925"/>
      <c r="J322" s="762"/>
      <c r="K322" s="762"/>
      <c r="L322" s="762"/>
      <c r="M322" s="762"/>
      <c r="N322" s="762"/>
      <c r="O322" s="762"/>
      <c r="P322" s="762"/>
      <c r="Q322" s="925"/>
      <c r="R322" s="762"/>
      <c r="S322" s="762"/>
      <c r="T322" s="762"/>
      <c r="U322" s="762"/>
      <c r="V322" s="762"/>
      <c r="W322" s="762"/>
      <c r="X322" s="762"/>
      <c r="Y322" s="925"/>
      <c r="Z322" s="762"/>
      <c r="AA322" s="762"/>
      <c r="AB322" s="762"/>
      <c r="AC322" s="762"/>
      <c r="AD322" s="762"/>
      <c r="AE322" s="762"/>
      <c r="AF322" s="762"/>
      <c r="AG322" s="925"/>
      <c r="AH322" s="762"/>
      <c r="AI322" s="762"/>
      <c r="AJ322" s="762"/>
      <c r="AK322" s="762"/>
      <c r="AL322" s="762"/>
      <c r="AM322" s="762"/>
      <c r="AN322" s="762"/>
      <c r="AO322" s="925"/>
      <c r="AP322" s="762"/>
      <c r="AQ322" s="762"/>
      <c r="AR322" s="762"/>
      <c r="AS322" s="762"/>
      <c r="AT322" s="762"/>
      <c r="AU322" s="762"/>
      <c r="AV322" s="762"/>
      <c r="AW322" s="762"/>
      <c r="AX322" s="762"/>
      <c r="AY322" s="762"/>
      <c r="AZ322" s="762"/>
      <c r="BA322" s="762"/>
      <c r="BB322" s="762"/>
      <c r="BC322" s="762"/>
      <c r="BD322" s="762"/>
      <c r="BE322" s="762"/>
      <c r="BF322" s="762"/>
      <c r="BG322" s="762"/>
      <c r="BH322" s="762"/>
    </row>
    <row r="323" spans="1:60" s="49" customFormat="1">
      <c r="A323" s="767"/>
      <c r="B323" s="767"/>
      <c r="C323" s="762"/>
      <c r="D323" s="762"/>
      <c r="E323" s="762"/>
      <c r="F323" s="762"/>
      <c r="G323" s="762"/>
      <c r="H323" s="762"/>
      <c r="I323" s="925"/>
      <c r="J323" s="762"/>
      <c r="K323" s="762"/>
      <c r="L323" s="762"/>
      <c r="M323" s="762"/>
      <c r="N323" s="762"/>
      <c r="O323" s="762"/>
      <c r="P323" s="762"/>
      <c r="Q323" s="925"/>
      <c r="R323" s="762"/>
      <c r="S323" s="762"/>
      <c r="T323" s="762"/>
      <c r="U323" s="762"/>
      <c r="V323" s="762"/>
      <c r="W323" s="762"/>
      <c r="X323" s="762"/>
      <c r="Y323" s="925"/>
      <c r="Z323" s="762"/>
      <c r="AA323" s="762"/>
      <c r="AB323" s="762"/>
      <c r="AC323" s="762"/>
      <c r="AD323" s="762"/>
      <c r="AE323" s="762"/>
      <c r="AF323" s="762"/>
      <c r="AG323" s="925"/>
      <c r="AH323" s="762"/>
      <c r="AI323" s="762"/>
      <c r="AJ323" s="762"/>
      <c r="AK323" s="762"/>
      <c r="AL323" s="762"/>
      <c r="AM323" s="762"/>
      <c r="AN323" s="762"/>
      <c r="AO323" s="925"/>
      <c r="AP323" s="762"/>
      <c r="AQ323" s="762"/>
      <c r="AR323" s="762"/>
      <c r="AS323" s="762"/>
      <c r="AT323" s="762"/>
      <c r="AU323" s="762"/>
      <c r="AV323" s="762"/>
      <c r="AW323" s="762"/>
      <c r="AX323" s="762"/>
      <c r="AY323" s="762"/>
      <c r="AZ323" s="762"/>
      <c r="BA323" s="762"/>
      <c r="BB323" s="762"/>
      <c r="BC323" s="762"/>
      <c r="BD323" s="762"/>
      <c r="BE323" s="762"/>
      <c r="BF323" s="762"/>
      <c r="BG323" s="762"/>
      <c r="BH323" s="762"/>
    </row>
    <row r="324" spans="1:60" s="49" customFormat="1">
      <c r="A324" s="767"/>
      <c r="B324" s="767"/>
      <c r="C324" s="762"/>
      <c r="D324" s="762"/>
      <c r="E324" s="762"/>
      <c r="F324" s="762"/>
      <c r="G324" s="762"/>
      <c r="H324" s="762"/>
      <c r="I324" s="925"/>
      <c r="J324" s="762"/>
      <c r="K324" s="762"/>
      <c r="L324" s="762"/>
      <c r="M324" s="762"/>
      <c r="N324" s="762"/>
      <c r="O324" s="762"/>
      <c r="P324" s="762"/>
      <c r="Q324" s="925"/>
      <c r="R324" s="762"/>
      <c r="S324" s="762"/>
      <c r="T324" s="762"/>
      <c r="U324" s="762"/>
      <c r="V324" s="762"/>
      <c r="W324" s="762"/>
      <c r="X324" s="762"/>
      <c r="Y324" s="925"/>
      <c r="Z324" s="762"/>
      <c r="AA324" s="762"/>
      <c r="AB324" s="762"/>
      <c r="AC324" s="762"/>
      <c r="AD324" s="762"/>
      <c r="AE324" s="762"/>
      <c r="AF324" s="762"/>
      <c r="AG324" s="925"/>
      <c r="AH324" s="762"/>
      <c r="AI324" s="762"/>
      <c r="AJ324" s="762"/>
      <c r="AK324" s="762"/>
      <c r="AL324" s="762"/>
      <c r="AM324" s="762"/>
      <c r="AN324" s="762"/>
      <c r="AO324" s="925"/>
      <c r="AP324" s="762"/>
      <c r="AQ324" s="762"/>
      <c r="AR324" s="762"/>
      <c r="AS324" s="762"/>
      <c r="AT324" s="762"/>
      <c r="AU324" s="762"/>
      <c r="AV324" s="762"/>
      <c r="AW324" s="762"/>
      <c r="AX324" s="762"/>
      <c r="AY324" s="762"/>
      <c r="AZ324" s="762"/>
      <c r="BA324" s="762"/>
      <c r="BB324" s="762"/>
      <c r="BC324" s="762"/>
      <c r="BD324" s="762"/>
      <c r="BE324" s="762"/>
      <c r="BF324" s="762"/>
      <c r="BG324" s="762"/>
      <c r="BH324" s="762"/>
    </row>
    <row r="325" spans="1:60" s="49" customFormat="1">
      <c r="A325" s="767"/>
      <c r="B325" s="767"/>
      <c r="C325" s="762"/>
      <c r="D325" s="762"/>
      <c r="E325" s="762"/>
      <c r="F325" s="762"/>
      <c r="G325" s="762"/>
      <c r="H325" s="762"/>
      <c r="I325" s="925"/>
      <c r="J325" s="762"/>
      <c r="K325" s="762"/>
      <c r="L325" s="762"/>
      <c r="M325" s="762"/>
      <c r="N325" s="762"/>
      <c r="O325" s="762"/>
      <c r="P325" s="762"/>
      <c r="Q325" s="925"/>
      <c r="R325" s="762"/>
      <c r="S325" s="762"/>
      <c r="T325" s="762"/>
      <c r="U325" s="762"/>
      <c r="V325" s="762"/>
      <c r="W325" s="762"/>
      <c r="X325" s="762"/>
      <c r="Y325" s="925"/>
      <c r="Z325" s="762"/>
      <c r="AA325" s="762"/>
      <c r="AB325" s="762"/>
      <c r="AC325" s="762"/>
      <c r="AD325" s="762"/>
      <c r="AE325" s="762"/>
      <c r="AF325" s="762"/>
      <c r="AG325" s="925"/>
      <c r="AH325" s="762"/>
      <c r="AI325" s="762"/>
      <c r="AJ325" s="762"/>
      <c r="AK325" s="762"/>
      <c r="AL325" s="762"/>
      <c r="AM325" s="762"/>
      <c r="AN325" s="762"/>
      <c r="AO325" s="925"/>
      <c r="AP325" s="762"/>
      <c r="AQ325" s="762"/>
      <c r="AR325" s="762"/>
      <c r="AS325" s="762"/>
      <c r="AT325" s="762"/>
      <c r="AU325" s="762"/>
      <c r="AV325" s="762"/>
      <c r="AW325" s="762"/>
      <c r="AX325" s="762"/>
      <c r="AY325" s="762"/>
      <c r="AZ325" s="762"/>
      <c r="BA325" s="762"/>
      <c r="BB325" s="762"/>
      <c r="BC325" s="762"/>
      <c r="BD325" s="762"/>
      <c r="BE325" s="762"/>
      <c r="BF325" s="762"/>
      <c r="BG325" s="762"/>
      <c r="BH325" s="762"/>
    </row>
    <row r="326" spans="1:60" s="49" customFormat="1">
      <c r="A326" s="767"/>
      <c r="B326" s="767"/>
      <c r="C326" s="762"/>
      <c r="D326" s="762"/>
      <c r="E326" s="762"/>
      <c r="F326" s="762"/>
      <c r="G326" s="762"/>
      <c r="H326" s="762"/>
      <c r="I326" s="925"/>
      <c r="J326" s="762"/>
      <c r="K326" s="762"/>
      <c r="L326" s="762"/>
      <c r="M326" s="762"/>
      <c r="N326" s="762"/>
      <c r="O326" s="762"/>
      <c r="P326" s="762"/>
      <c r="Q326" s="925"/>
      <c r="R326" s="762"/>
      <c r="S326" s="762"/>
      <c r="T326" s="762"/>
      <c r="U326" s="762"/>
      <c r="V326" s="762"/>
      <c r="W326" s="762"/>
      <c r="X326" s="762"/>
      <c r="Y326" s="925"/>
      <c r="Z326" s="762"/>
      <c r="AA326" s="762"/>
      <c r="AB326" s="762"/>
      <c r="AC326" s="762"/>
      <c r="AD326" s="762"/>
      <c r="AE326" s="762"/>
      <c r="AF326" s="762"/>
      <c r="AG326" s="925"/>
      <c r="AH326" s="762"/>
      <c r="AI326" s="762"/>
      <c r="AJ326" s="762"/>
      <c r="AK326" s="762"/>
      <c r="AL326" s="762"/>
      <c r="AM326" s="762"/>
      <c r="AN326" s="762"/>
      <c r="AO326" s="925"/>
      <c r="AP326" s="762"/>
      <c r="AQ326" s="762"/>
      <c r="AR326" s="762"/>
      <c r="AS326" s="762"/>
      <c r="AT326" s="762"/>
      <c r="AU326" s="762"/>
      <c r="AV326" s="762"/>
      <c r="AW326" s="762"/>
      <c r="AX326" s="762"/>
      <c r="AY326" s="762"/>
      <c r="AZ326" s="762"/>
      <c r="BA326" s="762"/>
      <c r="BB326" s="762"/>
      <c r="BC326" s="762"/>
      <c r="BD326" s="762"/>
      <c r="BE326" s="762"/>
      <c r="BF326" s="762"/>
      <c r="BG326" s="762"/>
      <c r="BH326" s="762"/>
    </row>
    <row r="327" spans="1:60" s="49" customFormat="1">
      <c r="A327" s="767"/>
      <c r="B327" s="767"/>
      <c r="C327" s="762"/>
      <c r="D327" s="762"/>
      <c r="E327" s="762"/>
      <c r="F327" s="762"/>
      <c r="G327" s="762"/>
      <c r="H327" s="762"/>
      <c r="I327" s="925"/>
      <c r="J327" s="762"/>
      <c r="K327" s="762"/>
      <c r="L327" s="762"/>
      <c r="M327" s="762"/>
      <c r="N327" s="762"/>
      <c r="O327" s="762"/>
      <c r="P327" s="762"/>
      <c r="Q327" s="925"/>
      <c r="R327" s="762"/>
      <c r="S327" s="762"/>
      <c r="T327" s="762"/>
      <c r="U327" s="762"/>
      <c r="V327" s="762"/>
      <c r="W327" s="762"/>
      <c r="X327" s="762"/>
      <c r="Y327" s="925"/>
      <c r="Z327" s="762"/>
      <c r="AA327" s="762"/>
      <c r="AB327" s="762"/>
      <c r="AC327" s="762"/>
      <c r="AD327" s="762"/>
      <c r="AE327" s="762"/>
      <c r="AF327" s="762"/>
      <c r="AG327" s="925"/>
      <c r="AH327" s="762"/>
      <c r="AI327" s="762"/>
      <c r="AJ327" s="762"/>
      <c r="AK327" s="762"/>
      <c r="AL327" s="762"/>
      <c r="AM327" s="762"/>
      <c r="AN327" s="762"/>
      <c r="AO327" s="925"/>
      <c r="AP327" s="762"/>
      <c r="AQ327" s="762"/>
      <c r="AR327" s="762"/>
      <c r="AS327" s="762"/>
      <c r="AT327" s="762"/>
      <c r="AU327" s="762"/>
      <c r="AV327" s="762"/>
      <c r="AW327" s="762"/>
      <c r="AX327" s="762"/>
      <c r="AY327" s="762"/>
      <c r="AZ327" s="762"/>
      <c r="BA327" s="762"/>
      <c r="BB327" s="762"/>
      <c r="BC327" s="762"/>
      <c r="BD327" s="762"/>
      <c r="BE327" s="762"/>
      <c r="BF327" s="762"/>
      <c r="BG327" s="762"/>
      <c r="BH327" s="762"/>
    </row>
    <row r="328" spans="1:60" s="49" customFormat="1">
      <c r="A328" s="767"/>
      <c r="B328" s="767"/>
      <c r="C328" s="762"/>
      <c r="D328" s="762"/>
      <c r="E328" s="762"/>
      <c r="F328" s="762"/>
      <c r="G328" s="762"/>
      <c r="H328" s="762"/>
      <c r="I328" s="925"/>
      <c r="J328" s="762"/>
      <c r="K328" s="762"/>
      <c r="L328" s="762"/>
      <c r="M328" s="762"/>
      <c r="N328" s="762"/>
      <c r="O328" s="762"/>
      <c r="P328" s="762"/>
      <c r="Q328" s="925"/>
      <c r="R328" s="762"/>
      <c r="S328" s="762"/>
      <c r="T328" s="762"/>
      <c r="U328" s="762"/>
      <c r="V328" s="762"/>
      <c r="W328" s="762"/>
      <c r="X328" s="762"/>
      <c r="Y328" s="925"/>
      <c r="Z328" s="762"/>
      <c r="AA328" s="762"/>
      <c r="AB328" s="762"/>
      <c r="AC328" s="762"/>
      <c r="AD328" s="762"/>
      <c r="AE328" s="762"/>
      <c r="AF328" s="762"/>
      <c r="AG328" s="925"/>
      <c r="AH328" s="762"/>
      <c r="AI328" s="762"/>
      <c r="AJ328" s="762"/>
      <c r="AK328" s="762"/>
      <c r="AL328" s="762"/>
      <c r="AM328" s="762"/>
      <c r="AN328" s="762"/>
      <c r="AO328" s="925"/>
      <c r="AP328" s="762"/>
      <c r="AQ328" s="762"/>
      <c r="AR328" s="762"/>
      <c r="AS328" s="762"/>
      <c r="AT328" s="762"/>
      <c r="AU328" s="762"/>
      <c r="AV328" s="762"/>
      <c r="AW328" s="762"/>
      <c r="AX328" s="762"/>
      <c r="AY328" s="762"/>
      <c r="AZ328" s="762"/>
      <c r="BA328" s="762"/>
      <c r="BB328" s="762"/>
      <c r="BC328" s="762"/>
      <c r="BD328" s="762"/>
      <c r="BE328" s="762"/>
      <c r="BF328" s="762"/>
      <c r="BG328" s="762"/>
      <c r="BH328" s="762"/>
    </row>
    <row r="329" spans="1:60" s="49" customFormat="1">
      <c r="A329" s="767"/>
      <c r="B329" s="767"/>
      <c r="C329" s="762"/>
      <c r="D329" s="762"/>
      <c r="E329" s="762"/>
      <c r="F329" s="762"/>
      <c r="G329" s="762"/>
      <c r="H329" s="762"/>
      <c r="I329" s="925"/>
      <c r="J329" s="762"/>
      <c r="K329" s="762"/>
      <c r="L329" s="762"/>
      <c r="M329" s="762"/>
      <c r="N329" s="762"/>
      <c r="O329" s="762"/>
      <c r="P329" s="762"/>
      <c r="Q329" s="925"/>
      <c r="R329" s="762"/>
      <c r="S329" s="762"/>
      <c r="T329" s="762"/>
      <c r="U329" s="762"/>
      <c r="V329" s="762"/>
      <c r="W329" s="762"/>
      <c r="X329" s="762"/>
      <c r="Y329" s="925"/>
      <c r="Z329" s="762"/>
      <c r="AA329" s="762"/>
      <c r="AB329" s="762"/>
      <c r="AC329" s="762"/>
      <c r="AD329" s="762"/>
      <c r="AE329" s="762"/>
      <c r="AF329" s="762"/>
      <c r="AG329" s="925"/>
      <c r="AH329" s="762"/>
      <c r="AI329" s="762"/>
      <c r="AJ329" s="762"/>
      <c r="AK329" s="762"/>
      <c r="AL329" s="762"/>
      <c r="AM329" s="762"/>
      <c r="AN329" s="762"/>
      <c r="AO329" s="925"/>
      <c r="AP329" s="762"/>
      <c r="AQ329" s="762"/>
      <c r="AR329" s="762"/>
      <c r="AS329" s="762"/>
      <c r="AT329" s="762"/>
      <c r="AU329" s="762"/>
      <c r="AV329" s="762"/>
      <c r="AW329" s="762"/>
      <c r="AX329" s="762"/>
      <c r="AY329" s="762"/>
      <c r="AZ329" s="762"/>
      <c r="BA329" s="762"/>
      <c r="BB329" s="762"/>
      <c r="BC329" s="762"/>
      <c r="BD329" s="762"/>
      <c r="BE329" s="762"/>
      <c r="BF329" s="762"/>
      <c r="BG329" s="762"/>
      <c r="BH329" s="762"/>
    </row>
    <row r="330" spans="1:60" s="49" customFormat="1">
      <c r="A330" s="767"/>
      <c r="B330" s="767"/>
      <c r="C330" s="762"/>
      <c r="D330" s="762"/>
      <c r="E330" s="762"/>
      <c r="F330" s="762"/>
      <c r="G330" s="762"/>
      <c r="H330" s="762"/>
      <c r="I330" s="925"/>
      <c r="J330" s="762"/>
      <c r="K330" s="762"/>
      <c r="L330" s="762"/>
      <c r="M330" s="762"/>
      <c r="N330" s="762"/>
      <c r="O330" s="762"/>
      <c r="P330" s="762"/>
      <c r="Q330" s="925"/>
      <c r="R330" s="762"/>
      <c r="S330" s="762"/>
      <c r="T330" s="762"/>
      <c r="U330" s="762"/>
      <c r="V330" s="762"/>
      <c r="W330" s="762"/>
      <c r="X330" s="762"/>
      <c r="Y330" s="925"/>
      <c r="Z330" s="762"/>
      <c r="AA330" s="762"/>
      <c r="AB330" s="762"/>
      <c r="AC330" s="762"/>
      <c r="AD330" s="762"/>
      <c r="AE330" s="762"/>
      <c r="AF330" s="762"/>
      <c r="AG330" s="925"/>
      <c r="AH330" s="762"/>
      <c r="AI330" s="762"/>
      <c r="AJ330" s="762"/>
      <c r="AK330" s="762"/>
      <c r="AL330" s="762"/>
      <c r="AM330" s="762"/>
      <c r="AN330" s="762"/>
      <c r="AO330" s="925"/>
      <c r="AP330" s="762"/>
      <c r="AQ330" s="762"/>
      <c r="AR330" s="762"/>
      <c r="AS330" s="762"/>
      <c r="AT330" s="762"/>
      <c r="AU330" s="762"/>
      <c r="AV330" s="762"/>
      <c r="AW330" s="762"/>
      <c r="AX330" s="762"/>
      <c r="AY330" s="762"/>
      <c r="AZ330" s="762"/>
      <c r="BA330" s="762"/>
      <c r="BB330" s="762"/>
      <c r="BC330" s="762"/>
      <c r="BD330" s="762"/>
      <c r="BE330" s="762"/>
      <c r="BF330" s="762"/>
      <c r="BG330" s="762"/>
      <c r="BH330" s="762"/>
    </row>
    <row r="331" spans="1:60" s="49" customFormat="1">
      <c r="A331" s="767"/>
      <c r="B331" s="767"/>
      <c r="C331" s="762"/>
      <c r="D331" s="762"/>
      <c r="E331" s="762"/>
      <c r="F331" s="762"/>
      <c r="G331" s="762"/>
      <c r="H331" s="762"/>
      <c r="I331" s="925"/>
      <c r="J331" s="762"/>
      <c r="K331" s="762"/>
      <c r="L331" s="762"/>
      <c r="M331" s="762"/>
      <c r="N331" s="762"/>
      <c r="O331" s="762"/>
      <c r="P331" s="762"/>
      <c r="Q331" s="925"/>
      <c r="R331" s="762"/>
      <c r="S331" s="762"/>
      <c r="T331" s="762"/>
      <c r="U331" s="762"/>
      <c r="V331" s="762"/>
      <c r="W331" s="762"/>
      <c r="X331" s="762"/>
      <c r="Y331" s="925"/>
      <c r="Z331" s="762"/>
      <c r="AA331" s="762"/>
      <c r="AB331" s="762"/>
      <c r="AC331" s="762"/>
      <c r="AD331" s="762"/>
      <c r="AE331" s="762"/>
      <c r="AF331" s="762"/>
      <c r="AG331" s="925"/>
      <c r="AH331" s="762"/>
      <c r="AI331" s="762"/>
      <c r="AJ331" s="762"/>
      <c r="AK331" s="762"/>
      <c r="AL331" s="762"/>
      <c r="AM331" s="762"/>
      <c r="AN331" s="762"/>
      <c r="AO331" s="925"/>
      <c r="AP331" s="762"/>
      <c r="AQ331" s="762"/>
      <c r="AR331" s="762"/>
      <c r="AS331" s="762"/>
      <c r="AT331" s="762"/>
      <c r="AU331" s="762"/>
      <c r="AV331" s="762"/>
      <c r="AW331" s="762"/>
      <c r="AX331" s="762"/>
      <c r="AY331" s="762"/>
      <c r="AZ331" s="762"/>
      <c r="BA331" s="762"/>
      <c r="BB331" s="762"/>
      <c r="BC331" s="762"/>
      <c r="BD331" s="762"/>
      <c r="BE331" s="762"/>
      <c r="BF331" s="762"/>
      <c r="BG331" s="762"/>
      <c r="BH331" s="762"/>
    </row>
    <row r="332" spans="1:60" s="49" customFormat="1">
      <c r="A332" s="767"/>
      <c r="B332" s="767"/>
      <c r="C332" s="762"/>
      <c r="D332" s="762"/>
      <c r="E332" s="762"/>
      <c r="F332" s="762"/>
      <c r="G332" s="762"/>
      <c r="H332" s="762"/>
      <c r="I332" s="925"/>
      <c r="J332" s="762"/>
      <c r="K332" s="762"/>
      <c r="L332" s="762"/>
      <c r="M332" s="762"/>
      <c r="N332" s="762"/>
      <c r="O332" s="762"/>
      <c r="P332" s="762"/>
      <c r="Q332" s="925"/>
      <c r="R332" s="762"/>
      <c r="S332" s="762"/>
      <c r="T332" s="762"/>
      <c r="U332" s="762"/>
      <c r="V332" s="762"/>
      <c r="W332" s="762"/>
      <c r="X332" s="762"/>
      <c r="Y332" s="925"/>
      <c r="Z332" s="762"/>
      <c r="AA332" s="762"/>
      <c r="AB332" s="762"/>
      <c r="AC332" s="762"/>
      <c r="AD332" s="762"/>
      <c r="AE332" s="762"/>
      <c r="AF332" s="762"/>
      <c r="AG332" s="925"/>
      <c r="AH332" s="762"/>
      <c r="AI332" s="762"/>
      <c r="AJ332" s="762"/>
      <c r="AK332" s="762"/>
      <c r="AL332" s="762"/>
      <c r="AM332" s="762"/>
      <c r="AN332" s="762"/>
      <c r="AO332" s="925"/>
      <c r="AP332" s="762"/>
      <c r="AQ332" s="762"/>
      <c r="AR332" s="762"/>
      <c r="AS332" s="762"/>
      <c r="AT332" s="762"/>
      <c r="AU332" s="762"/>
      <c r="AV332" s="762"/>
      <c r="AW332" s="762"/>
      <c r="AX332" s="762"/>
      <c r="AY332" s="762"/>
      <c r="AZ332" s="762"/>
      <c r="BA332" s="762"/>
      <c r="BB332" s="762"/>
      <c r="BC332" s="762"/>
      <c r="BD332" s="762"/>
      <c r="BE332" s="762"/>
      <c r="BF332" s="762"/>
      <c r="BG332" s="762"/>
      <c r="BH332" s="762"/>
    </row>
    <row r="333" spans="1:60" s="49" customFormat="1">
      <c r="A333" s="767"/>
      <c r="B333" s="767"/>
      <c r="C333" s="762"/>
      <c r="D333" s="762"/>
      <c r="E333" s="762"/>
      <c r="F333" s="762"/>
      <c r="G333" s="762"/>
      <c r="H333" s="762"/>
      <c r="I333" s="925"/>
      <c r="J333" s="762"/>
      <c r="K333" s="762"/>
      <c r="L333" s="762"/>
      <c r="M333" s="762"/>
      <c r="N333" s="762"/>
      <c r="O333" s="762"/>
      <c r="P333" s="762"/>
      <c r="Q333" s="925"/>
      <c r="R333" s="762"/>
      <c r="S333" s="762"/>
      <c r="T333" s="762"/>
      <c r="U333" s="762"/>
      <c r="V333" s="762"/>
      <c r="W333" s="762"/>
      <c r="X333" s="762"/>
      <c r="Y333" s="925"/>
      <c r="Z333" s="762"/>
      <c r="AA333" s="762"/>
      <c r="AB333" s="762"/>
      <c r="AC333" s="762"/>
      <c r="AD333" s="762"/>
      <c r="AE333" s="762"/>
      <c r="AF333" s="762"/>
      <c r="AG333" s="925"/>
      <c r="AH333" s="762"/>
      <c r="AI333" s="762"/>
      <c r="AJ333" s="762"/>
      <c r="AK333" s="762"/>
      <c r="AL333" s="762"/>
      <c r="AM333" s="762"/>
      <c r="AN333" s="762"/>
      <c r="AO333" s="925"/>
      <c r="AP333" s="762"/>
      <c r="AQ333" s="762"/>
      <c r="AR333" s="762"/>
      <c r="AS333" s="762"/>
      <c r="AT333" s="762"/>
      <c r="AU333" s="762"/>
      <c r="AV333" s="762"/>
      <c r="AW333" s="762"/>
      <c r="AX333" s="762"/>
      <c r="AY333" s="762"/>
      <c r="AZ333" s="762"/>
      <c r="BA333" s="762"/>
      <c r="BB333" s="762"/>
      <c r="BC333" s="762"/>
      <c r="BD333" s="762"/>
      <c r="BE333" s="762"/>
      <c r="BF333" s="762"/>
      <c r="BG333" s="762"/>
      <c r="BH333" s="762"/>
    </row>
    <row r="334" spans="1:60" s="49" customFormat="1">
      <c r="A334" s="767"/>
      <c r="B334" s="767"/>
      <c r="C334" s="762"/>
      <c r="D334" s="762"/>
      <c r="E334" s="762"/>
      <c r="F334" s="762"/>
      <c r="G334" s="762"/>
      <c r="H334" s="762"/>
      <c r="I334" s="925"/>
      <c r="J334" s="762"/>
      <c r="K334" s="762"/>
      <c r="L334" s="762"/>
      <c r="M334" s="762"/>
      <c r="N334" s="762"/>
      <c r="O334" s="762"/>
      <c r="P334" s="762"/>
      <c r="Q334" s="925"/>
      <c r="R334" s="762"/>
      <c r="S334" s="762"/>
      <c r="T334" s="762"/>
      <c r="U334" s="762"/>
      <c r="V334" s="762"/>
      <c r="W334" s="762"/>
      <c r="X334" s="762"/>
      <c r="Y334" s="925"/>
      <c r="Z334" s="762"/>
      <c r="AA334" s="762"/>
      <c r="AB334" s="762"/>
      <c r="AC334" s="762"/>
      <c r="AD334" s="762"/>
      <c r="AE334" s="762"/>
      <c r="AF334" s="762"/>
      <c r="AG334" s="925"/>
      <c r="AH334" s="762"/>
      <c r="AI334" s="762"/>
      <c r="AJ334" s="762"/>
      <c r="AK334" s="762"/>
      <c r="AL334" s="762"/>
      <c r="AM334" s="762"/>
      <c r="AN334" s="762"/>
      <c r="AO334" s="925"/>
      <c r="AP334" s="762"/>
      <c r="AQ334" s="762"/>
      <c r="AR334" s="762"/>
      <c r="AS334" s="762"/>
      <c r="AT334" s="762"/>
      <c r="AU334" s="762"/>
      <c r="AV334" s="762"/>
      <c r="AW334" s="762"/>
      <c r="AX334" s="762"/>
      <c r="AY334" s="762"/>
      <c r="AZ334" s="762"/>
      <c r="BA334" s="762"/>
      <c r="BB334" s="762"/>
      <c r="BC334" s="762"/>
      <c r="BD334" s="762"/>
      <c r="BE334" s="762"/>
      <c r="BF334" s="762"/>
      <c r="BG334" s="762"/>
      <c r="BH334" s="762"/>
    </row>
    <row r="335" spans="1:60" s="49" customFormat="1">
      <c r="A335" s="767"/>
      <c r="B335" s="767"/>
      <c r="C335" s="762"/>
      <c r="D335" s="762"/>
      <c r="E335" s="762"/>
      <c r="F335" s="762"/>
      <c r="G335" s="762"/>
      <c r="H335" s="762"/>
      <c r="I335" s="925"/>
      <c r="J335" s="762"/>
      <c r="K335" s="762"/>
      <c r="L335" s="762"/>
      <c r="M335" s="762"/>
      <c r="N335" s="762"/>
      <c r="O335" s="762"/>
      <c r="P335" s="762"/>
      <c r="Q335" s="925"/>
      <c r="R335" s="762"/>
      <c r="S335" s="762"/>
      <c r="T335" s="762"/>
      <c r="U335" s="762"/>
      <c r="V335" s="762"/>
      <c r="W335" s="762"/>
      <c r="X335" s="762"/>
      <c r="Y335" s="925"/>
      <c r="Z335" s="762"/>
      <c r="AA335" s="762"/>
      <c r="AB335" s="762"/>
      <c r="AC335" s="762"/>
      <c r="AD335" s="762"/>
      <c r="AE335" s="762"/>
      <c r="AF335" s="762"/>
      <c r="AG335" s="925"/>
      <c r="AH335" s="762"/>
      <c r="AI335" s="762"/>
      <c r="AJ335" s="762"/>
      <c r="AK335" s="762"/>
      <c r="AL335" s="762"/>
      <c r="AM335" s="762"/>
      <c r="AN335" s="762"/>
      <c r="AO335" s="925"/>
      <c r="AP335" s="762"/>
      <c r="AQ335" s="762"/>
      <c r="AR335" s="762"/>
      <c r="AS335" s="762"/>
      <c r="AT335" s="762"/>
      <c r="AU335" s="762"/>
      <c r="AV335" s="762"/>
      <c r="AW335" s="762"/>
      <c r="AX335" s="762"/>
      <c r="AY335" s="762"/>
      <c r="AZ335" s="762"/>
      <c r="BA335" s="762"/>
      <c r="BB335" s="762"/>
      <c r="BC335" s="762"/>
      <c r="BD335" s="762"/>
      <c r="BE335" s="762"/>
      <c r="BF335" s="762"/>
      <c r="BG335" s="762"/>
      <c r="BH335" s="762"/>
    </row>
    <row r="336" spans="1:60" s="49" customFormat="1">
      <c r="A336" s="767"/>
      <c r="B336" s="767"/>
      <c r="C336" s="762"/>
      <c r="D336" s="762"/>
      <c r="E336" s="762"/>
      <c r="F336" s="762"/>
      <c r="G336" s="762"/>
      <c r="H336" s="762"/>
      <c r="I336" s="925"/>
      <c r="J336" s="762"/>
      <c r="K336" s="762"/>
      <c r="L336" s="762"/>
      <c r="M336" s="762"/>
      <c r="N336" s="762"/>
      <c r="O336" s="762"/>
      <c r="P336" s="762"/>
      <c r="Q336" s="925"/>
      <c r="R336" s="762"/>
      <c r="S336" s="762"/>
      <c r="T336" s="762"/>
      <c r="U336" s="762"/>
      <c r="V336" s="762"/>
      <c r="W336" s="762"/>
      <c r="X336" s="762"/>
      <c r="Y336" s="925"/>
      <c r="Z336" s="762"/>
      <c r="AA336" s="762"/>
      <c r="AB336" s="762"/>
      <c r="AC336" s="762"/>
      <c r="AD336" s="762"/>
      <c r="AE336" s="762"/>
      <c r="AF336" s="762"/>
      <c r="AG336" s="925"/>
      <c r="AH336" s="762"/>
      <c r="AI336" s="762"/>
      <c r="AJ336" s="762"/>
      <c r="AK336" s="762"/>
      <c r="AL336" s="762"/>
      <c r="AM336" s="762"/>
      <c r="AN336" s="762"/>
      <c r="AO336" s="925"/>
      <c r="AP336" s="762"/>
      <c r="AQ336" s="762"/>
      <c r="AR336" s="762"/>
      <c r="AS336" s="762"/>
      <c r="AT336" s="762"/>
      <c r="AU336" s="762"/>
      <c r="AV336" s="762"/>
      <c r="AW336" s="762"/>
      <c r="AX336" s="762"/>
      <c r="AY336" s="762"/>
      <c r="AZ336" s="762"/>
      <c r="BA336" s="762"/>
      <c r="BB336" s="762"/>
      <c r="BC336" s="762"/>
      <c r="BD336" s="762"/>
      <c r="BE336" s="762"/>
      <c r="BF336" s="762"/>
      <c r="BG336" s="762"/>
      <c r="BH336" s="762"/>
    </row>
    <row r="337" spans="1:60" s="49" customFormat="1">
      <c r="A337" s="767"/>
      <c r="B337" s="767"/>
      <c r="C337" s="762"/>
      <c r="D337" s="762"/>
      <c r="E337" s="762"/>
      <c r="F337" s="762"/>
      <c r="G337" s="762"/>
      <c r="H337" s="762"/>
      <c r="I337" s="925"/>
      <c r="J337" s="762"/>
      <c r="K337" s="762"/>
      <c r="L337" s="762"/>
      <c r="M337" s="762"/>
      <c r="N337" s="762"/>
      <c r="O337" s="762"/>
      <c r="P337" s="762"/>
      <c r="Q337" s="925"/>
      <c r="R337" s="762"/>
      <c r="S337" s="762"/>
      <c r="T337" s="762"/>
      <c r="U337" s="762"/>
      <c r="V337" s="762"/>
      <c r="W337" s="762"/>
      <c r="X337" s="762"/>
      <c r="Y337" s="925"/>
      <c r="Z337" s="762"/>
      <c r="AA337" s="762"/>
      <c r="AB337" s="762"/>
      <c r="AC337" s="762"/>
      <c r="AD337" s="762"/>
      <c r="AE337" s="762"/>
      <c r="AF337" s="762"/>
      <c r="AG337" s="925"/>
      <c r="AH337" s="762"/>
      <c r="AI337" s="762"/>
      <c r="AJ337" s="762"/>
      <c r="AK337" s="762"/>
      <c r="AL337" s="762"/>
      <c r="AM337" s="762"/>
      <c r="AN337" s="762"/>
      <c r="AO337" s="925"/>
      <c r="AP337" s="762"/>
      <c r="AQ337" s="762"/>
      <c r="AR337" s="762"/>
      <c r="AS337" s="762"/>
      <c r="AT337" s="762"/>
      <c r="AU337" s="762"/>
      <c r="AV337" s="762"/>
      <c r="AW337" s="762"/>
      <c r="AX337" s="762"/>
      <c r="AY337" s="762"/>
      <c r="AZ337" s="762"/>
      <c r="BA337" s="762"/>
      <c r="BB337" s="762"/>
      <c r="BC337" s="762"/>
      <c r="BD337" s="762"/>
      <c r="BE337" s="762"/>
      <c r="BF337" s="762"/>
      <c r="BG337" s="762"/>
      <c r="BH337" s="762"/>
    </row>
    <row r="338" spans="1:60" s="49" customFormat="1">
      <c r="A338" s="767"/>
      <c r="B338" s="767"/>
      <c r="C338" s="762"/>
      <c r="D338" s="762"/>
      <c r="E338" s="762"/>
      <c r="F338" s="762"/>
      <c r="G338" s="762"/>
      <c r="H338" s="762"/>
      <c r="I338" s="925"/>
      <c r="J338" s="762"/>
      <c r="K338" s="762"/>
      <c r="L338" s="762"/>
      <c r="M338" s="762"/>
      <c r="N338" s="762"/>
      <c r="O338" s="762"/>
      <c r="P338" s="762"/>
      <c r="Q338" s="925"/>
      <c r="R338" s="762"/>
      <c r="S338" s="762"/>
      <c r="T338" s="762"/>
      <c r="U338" s="762"/>
      <c r="V338" s="762"/>
      <c r="W338" s="762"/>
      <c r="X338" s="762"/>
      <c r="Y338" s="925"/>
      <c r="Z338" s="762"/>
      <c r="AA338" s="762"/>
      <c r="AB338" s="762"/>
      <c r="AC338" s="762"/>
      <c r="AD338" s="762"/>
      <c r="AE338" s="762"/>
      <c r="AF338" s="762"/>
      <c r="AG338" s="925"/>
      <c r="AH338" s="762"/>
      <c r="AI338" s="762"/>
      <c r="AJ338" s="762"/>
      <c r="AK338" s="762"/>
      <c r="AL338" s="762"/>
      <c r="AM338" s="762"/>
      <c r="AN338" s="762"/>
      <c r="AO338" s="925"/>
      <c r="AP338" s="762"/>
      <c r="AQ338" s="762"/>
      <c r="AR338" s="762"/>
      <c r="AS338" s="762"/>
      <c r="AT338" s="762"/>
      <c r="AU338" s="762"/>
      <c r="AV338" s="762"/>
      <c r="AW338" s="762"/>
      <c r="AX338" s="762"/>
      <c r="AY338" s="762"/>
      <c r="AZ338" s="762"/>
      <c r="BA338" s="762"/>
      <c r="BB338" s="762"/>
      <c r="BC338" s="762"/>
      <c r="BD338" s="762"/>
      <c r="BE338" s="762"/>
      <c r="BF338" s="762"/>
      <c r="BG338" s="762"/>
      <c r="BH338" s="762"/>
    </row>
    <row r="339" spans="1:60" s="49" customFormat="1">
      <c r="A339" s="767"/>
      <c r="B339" s="767"/>
      <c r="C339" s="762"/>
      <c r="D339" s="762"/>
      <c r="E339" s="762"/>
      <c r="F339" s="762"/>
      <c r="G339" s="762"/>
      <c r="H339" s="762"/>
      <c r="I339" s="925"/>
      <c r="J339" s="762"/>
      <c r="K339" s="762"/>
      <c r="L339" s="762"/>
      <c r="M339" s="762"/>
      <c r="N339" s="762"/>
      <c r="O339" s="762"/>
      <c r="P339" s="762"/>
      <c r="Q339" s="925"/>
      <c r="R339" s="762"/>
      <c r="S339" s="762"/>
      <c r="T339" s="762"/>
      <c r="U339" s="762"/>
      <c r="V339" s="762"/>
      <c r="W339" s="762"/>
      <c r="X339" s="762"/>
      <c r="Y339" s="925"/>
      <c r="Z339" s="762"/>
      <c r="AA339" s="762"/>
      <c r="AB339" s="762"/>
      <c r="AC339" s="762"/>
      <c r="AD339" s="762"/>
      <c r="AE339" s="762"/>
      <c r="AF339" s="762"/>
      <c r="AG339" s="925"/>
      <c r="AH339" s="762"/>
      <c r="AI339" s="762"/>
      <c r="AJ339" s="762"/>
      <c r="AK339" s="762"/>
      <c r="AL339" s="762"/>
      <c r="AM339" s="762"/>
      <c r="AN339" s="762"/>
      <c r="AO339" s="925"/>
      <c r="AP339" s="762"/>
      <c r="AQ339" s="762"/>
      <c r="AR339" s="762"/>
      <c r="AS339" s="762"/>
      <c r="AT339" s="762"/>
      <c r="AU339" s="762"/>
      <c r="AV339" s="762"/>
      <c r="AW339" s="762"/>
      <c r="AX339" s="762"/>
      <c r="AY339" s="762"/>
      <c r="AZ339" s="762"/>
      <c r="BA339" s="762"/>
      <c r="BB339" s="762"/>
      <c r="BC339" s="762"/>
      <c r="BD339" s="762"/>
      <c r="BE339" s="762"/>
      <c r="BF339" s="762"/>
      <c r="BG339" s="762"/>
      <c r="BH339" s="762"/>
    </row>
    <row r="340" spans="1:60" s="49" customFormat="1">
      <c r="A340" s="767"/>
      <c r="B340" s="767"/>
      <c r="C340" s="762"/>
      <c r="D340" s="762"/>
      <c r="E340" s="762"/>
      <c r="F340" s="762"/>
      <c r="G340" s="762"/>
      <c r="H340" s="762"/>
      <c r="I340" s="925"/>
      <c r="J340" s="762"/>
      <c r="K340" s="762"/>
      <c r="L340" s="762"/>
      <c r="M340" s="762"/>
      <c r="N340" s="762"/>
      <c r="O340" s="762"/>
      <c r="P340" s="762"/>
      <c r="Q340" s="925"/>
      <c r="R340" s="762"/>
      <c r="S340" s="762"/>
      <c r="T340" s="762"/>
      <c r="U340" s="762"/>
      <c r="V340" s="762"/>
      <c r="W340" s="762"/>
      <c r="X340" s="762"/>
      <c r="Y340" s="925"/>
      <c r="Z340" s="762"/>
      <c r="AA340" s="762"/>
      <c r="AB340" s="762"/>
      <c r="AC340" s="762"/>
      <c r="AD340" s="762"/>
      <c r="AE340" s="762"/>
      <c r="AF340" s="762"/>
      <c r="AG340" s="925"/>
      <c r="AH340" s="762"/>
      <c r="AI340" s="762"/>
      <c r="AJ340" s="762"/>
      <c r="AK340" s="762"/>
      <c r="AL340" s="762"/>
      <c r="AM340" s="762"/>
      <c r="AN340" s="762"/>
      <c r="AO340" s="925"/>
      <c r="AP340" s="762"/>
      <c r="AQ340" s="762"/>
      <c r="AR340" s="762"/>
      <c r="AS340" s="762"/>
      <c r="AT340" s="762"/>
      <c r="AU340" s="762"/>
      <c r="AV340" s="762"/>
      <c r="AW340" s="762"/>
      <c r="AX340" s="762"/>
      <c r="AY340" s="762"/>
      <c r="AZ340" s="762"/>
      <c r="BA340" s="762"/>
      <c r="BB340" s="762"/>
      <c r="BC340" s="762"/>
      <c r="BD340" s="762"/>
      <c r="BE340" s="762"/>
      <c r="BF340" s="762"/>
      <c r="BG340" s="762"/>
      <c r="BH340" s="762"/>
    </row>
    <row r="341" spans="1:60" s="49" customFormat="1">
      <c r="A341" s="767"/>
      <c r="B341" s="767"/>
      <c r="C341" s="762"/>
      <c r="D341" s="762"/>
      <c r="E341" s="762"/>
      <c r="F341" s="762"/>
      <c r="G341" s="762"/>
      <c r="H341" s="762"/>
      <c r="I341" s="925"/>
      <c r="J341" s="762"/>
      <c r="K341" s="762"/>
      <c r="L341" s="762"/>
      <c r="M341" s="762"/>
      <c r="N341" s="762"/>
      <c r="O341" s="762"/>
      <c r="P341" s="762"/>
      <c r="Q341" s="925"/>
      <c r="R341" s="762"/>
      <c r="S341" s="762"/>
      <c r="T341" s="762"/>
      <c r="U341" s="762"/>
      <c r="V341" s="762"/>
      <c r="W341" s="762"/>
      <c r="X341" s="762"/>
      <c r="Y341" s="925"/>
      <c r="Z341" s="762"/>
      <c r="AA341" s="762"/>
      <c r="AB341" s="762"/>
      <c r="AC341" s="762"/>
      <c r="AD341" s="762"/>
      <c r="AE341" s="762"/>
      <c r="AF341" s="762"/>
      <c r="AG341" s="925"/>
      <c r="AH341" s="762"/>
      <c r="AI341" s="762"/>
      <c r="AJ341" s="762"/>
      <c r="AK341" s="762"/>
      <c r="AL341" s="762"/>
      <c r="AM341" s="762"/>
      <c r="AN341" s="762"/>
      <c r="AO341" s="925"/>
      <c r="AP341" s="762"/>
      <c r="AQ341" s="762"/>
      <c r="AR341" s="762"/>
      <c r="AS341" s="762"/>
      <c r="AT341" s="762"/>
      <c r="AU341" s="762"/>
      <c r="AV341" s="762"/>
      <c r="AW341" s="762"/>
      <c r="AX341" s="762"/>
      <c r="AY341" s="762"/>
      <c r="AZ341" s="762"/>
      <c r="BA341" s="762"/>
      <c r="BB341" s="762"/>
      <c r="BC341" s="762"/>
      <c r="BD341" s="762"/>
      <c r="BE341" s="762"/>
      <c r="BF341" s="762"/>
      <c r="BG341" s="762"/>
      <c r="BH341" s="762"/>
    </row>
    <row r="342" spans="1:60" s="49" customFormat="1">
      <c r="A342" s="767"/>
      <c r="B342" s="767"/>
      <c r="C342" s="762"/>
      <c r="D342" s="762"/>
      <c r="E342" s="762"/>
      <c r="F342" s="762"/>
      <c r="G342" s="762"/>
      <c r="H342" s="762"/>
      <c r="I342" s="925"/>
      <c r="J342" s="762"/>
      <c r="K342" s="762"/>
      <c r="L342" s="762"/>
      <c r="M342" s="762"/>
      <c r="N342" s="762"/>
      <c r="O342" s="762"/>
      <c r="P342" s="762"/>
      <c r="Q342" s="925"/>
      <c r="R342" s="762"/>
      <c r="S342" s="762"/>
      <c r="T342" s="762"/>
      <c r="U342" s="762"/>
      <c r="V342" s="762"/>
      <c r="W342" s="762"/>
      <c r="X342" s="762"/>
      <c r="Y342" s="925"/>
      <c r="Z342" s="762"/>
      <c r="AA342" s="762"/>
      <c r="AB342" s="762"/>
      <c r="AC342" s="762"/>
      <c r="AD342" s="762"/>
      <c r="AE342" s="762"/>
      <c r="AF342" s="762"/>
      <c r="AG342" s="925"/>
      <c r="AH342" s="762"/>
      <c r="AI342" s="762"/>
      <c r="AJ342" s="762"/>
      <c r="AK342" s="762"/>
      <c r="AL342" s="762"/>
      <c r="AM342" s="762"/>
      <c r="AN342" s="762"/>
      <c r="AO342" s="925"/>
      <c r="AP342" s="762"/>
      <c r="AQ342" s="762"/>
      <c r="AR342" s="762"/>
      <c r="AS342" s="762"/>
      <c r="AT342" s="762"/>
      <c r="AU342" s="762"/>
      <c r="AV342" s="762"/>
      <c r="AW342" s="762"/>
      <c r="AX342" s="762"/>
      <c r="AY342" s="762"/>
      <c r="AZ342" s="762"/>
      <c r="BA342" s="762"/>
      <c r="BB342" s="762"/>
      <c r="BC342" s="762"/>
      <c r="BD342" s="762"/>
      <c r="BE342" s="762"/>
      <c r="BF342" s="762"/>
      <c r="BG342" s="762"/>
      <c r="BH342" s="762"/>
    </row>
    <row r="343" spans="1:60" s="49" customFormat="1">
      <c r="A343" s="767"/>
      <c r="B343" s="767"/>
      <c r="C343" s="762"/>
      <c r="D343" s="762"/>
      <c r="E343" s="762"/>
      <c r="F343" s="762"/>
      <c r="G343" s="762"/>
      <c r="H343" s="762"/>
      <c r="I343" s="925"/>
      <c r="J343" s="762"/>
      <c r="K343" s="762"/>
      <c r="L343" s="762"/>
      <c r="M343" s="762"/>
      <c r="N343" s="762"/>
      <c r="O343" s="762"/>
      <c r="P343" s="762"/>
      <c r="Q343" s="925"/>
      <c r="R343" s="762"/>
      <c r="S343" s="762"/>
      <c r="T343" s="762"/>
      <c r="U343" s="762"/>
      <c r="V343" s="762"/>
      <c r="W343" s="762"/>
      <c r="X343" s="762"/>
      <c r="Y343" s="925"/>
      <c r="Z343" s="762"/>
      <c r="AA343" s="762"/>
      <c r="AB343" s="762"/>
      <c r="AC343" s="762"/>
      <c r="AD343" s="762"/>
      <c r="AE343" s="762"/>
      <c r="AF343" s="762"/>
      <c r="AG343" s="925"/>
      <c r="AH343" s="762"/>
      <c r="AI343" s="762"/>
      <c r="AJ343" s="762"/>
      <c r="AK343" s="762"/>
      <c r="AL343" s="762"/>
      <c r="AM343" s="762"/>
      <c r="AN343" s="762"/>
      <c r="AO343" s="925"/>
      <c r="AP343" s="762"/>
      <c r="AQ343" s="762"/>
      <c r="AR343" s="762"/>
      <c r="AS343" s="762"/>
      <c r="AT343" s="762"/>
      <c r="AU343" s="762"/>
      <c r="AV343" s="762"/>
      <c r="AW343" s="762"/>
      <c r="AX343" s="762"/>
      <c r="AY343" s="762"/>
      <c r="AZ343" s="762"/>
      <c r="BA343" s="762"/>
      <c r="BB343" s="762"/>
      <c r="BC343" s="762"/>
      <c r="BD343" s="762"/>
      <c r="BE343" s="762"/>
      <c r="BF343" s="762"/>
      <c r="BG343" s="762"/>
      <c r="BH343" s="762"/>
    </row>
    <row r="344" spans="1:60" s="49" customFormat="1">
      <c r="A344" s="767"/>
      <c r="B344" s="767"/>
      <c r="C344" s="762"/>
      <c r="D344" s="762"/>
      <c r="E344" s="762"/>
      <c r="F344" s="762"/>
      <c r="G344" s="762"/>
      <c r="H344" s="762"/>
      <c r="I344" s="925"/>
      <c r="J344" s="762"/>
      <c r="K344" s="762"/>
      <c r="L344" s="762"/>
      <c r="M344" s="762"/>
      <c r="N344" s="762"/>
      <c r="O344" s="762"/>
      <c r="P344" s="762"/>
      <c r="Q344" s="925"/>
      <c r="R344" s="762"/>
      <c r="S344" s="762"/>
      <c r="T344" s="762"/>
      <c r="U344" s="762"/>
      <c r="V344" s="762"/>
      <c r="W344" s="762"/>
      <c r="X344" s="762"/>
      <c r="Y344" s="925"/>
      <c r="Z344" s="762"/>
      <c r="AA344" s="762"/>
      <c r="AB344" s="762"/>
      <c r="AC344" s="762"/>
      <c r="AD344" s="762"/>
      <c r="AE344" s="762"/>
      <c r="AF344" s="762"/>
      <c r="AG344" s="925"/>
      <c r="AH344" s="762"/>
      <c r="AI344" s="762"/>
      <c r="AJ344" s="762"/>
      <c r="AK344" s="762"/>
      <c r="AL344" s="762"/>
      <c r="AM344" s="762"/>
      <c r="AN344" s="762"/>
      <c r="AO344" s="925"/>
      <c r="AP344" s="762"/>
      <c r="AQ344" s="762"/>
      <c r="AR344" s="762"/>
      <c r="AS344" s="762"/>
      <c r="AT344" s="762"/>
      <c r="AU344" s="762"/>
      <c r="AV344" s="762"/>
      <c r="AW344" s="762"/>
      <c r="AX344" s="762"/>
      <c r="AY344" s="762"/>
      <c r="AZ344" s="762"/>
      <c r="BA344" s="762"/>
      <c r="BB344" s="762"/>
      <c r="BC344" s="762"/>
      <c r="BD344" s="762"/>
      <c r="BE344" s="762"/>
      <c r="BF344" s="762"/>
      <c r="BG344" s="762"/>
      <c r="BH344" s="762"/>
    </row>
    <row r="345" spans="1:60" s="49" customFormat="1">
      <c r="A345" s="767"/>
      <c r="B345" s="767"/>
      <c r="C345" s="762"/>
      <c r="D345" s="762"/>
      <c r="E345" s="762"/>
      <c r="F345" s="762"/>
      <c r="G345" s="762"/>
      <c r="H345" s="762"/>
      <c r="I345" s="925"/>
      <c r="J345" s="762"/>
      <c r="K345" s="762"/>
      <c r="L345" s="762"/>
      <c r="M345" s="762"/>
      <c r="N345" s="762"/>
      <c r="O345" s="762"/>
      <c r="P345" s="762"/>
      <c r="Q345" s="925"/>
      <c r="R345" s="762"/>
      <c r="S345" s="762"/>
      <c r="T345" s="762"/>
      <c r="U345" s="762"/>
      <c r="V345" s="762"/>
      <c r="W345" s="762"/>
      <c r="X345" s="762"/>
      <c r="Y345" s="925"/>
      <c r="Z345" s="762"/>
      <c r="AA345" s="762"/>
      <c r="AB345" s="762"/>
      <c r="AC345" s="762"/>
      <c r="AD345" s="762"/>
      <c r="AE345" s="762"/>
      <c r="AF345" s="762"/>
      <c r="AG345" s="925"/>
      <c r="AH345" s="762"/>
      <c r="AI345" s="762"/>
      <c r="AJ345" s="762"/>
      <c r="AK345" s="762"/>
      <c r="AL345" s="762"/>
      <c r="AM345" s="762"/>
      <c r="AN345" s="762"/>
      <c r="AO345" s="925"/>
      <c r="AP345" s="762"/>
      <c r="AQ345" s="762"/>
      <c r="AR345" s="762"/>
      <c r="AS345" s="762"/>
      <c r="AT345" s="762"/>
      <c r="AU345" s="762"/>
      <c r="AV345" s="762"/>
      <c r="AW345" s="762"/>
      <c r="AX345" s="762"/>
      <c r="AY345" s="762"/>
      <c r="AZ345" s="762"/>
      <c r="BA345" s="762"/>
      <c r="BB345" s="762"/>
      <c r="BC345" s="762"/>
      <c r="BD345" s="762"/>
      <c r="BE345" s="762"/>
      <c r="BF345" s="762"/>
      <c r="BG345" s="762"/>
      <c r="BH345" s="762"/>
    </row>
    <row r="346" spans="1:60" s="49" customFormat="1">
      <c r="A346" s="767"/>
      <c r="B346" s="767"/>
      <c r="C346" s="762"/>
      <c r="D346" s="762"/>
      <c r="E346" s="762"/>
      <c r="F346" s="762"/>
      <c r="G346" s="762"/>
      <c r="H346" s="762"/>
      <c r="I346" s="925"/>
      <c r="J346" s="762"/>
      <c r="K346" s="762"/>
      <c r="L346" s="762"/>
      <c r="M346" s="762"/>
      <c r="N346" s="762"/>
      <c r="O346" s="762"/>
      <c r="P346" s="762"/>
      <c r="Q346" s="925"/>
      <c r="R346" s="762"/>
      <c r="S346" s="762"/>
      <c r="T346" s="762"/>
      <c r="U346" s="762"/>
      <c r="V346" s="762"/>
      <c r="W346" s="762"/>
      <c r="X346" s="762"/>
      <c r="Y346" s="925"/>
      <c r="Z346" s="762"/>
      <c r="AA346" s="762"/>
      <c r="AB346" s="762"/>
      <c r="AC346" s="762"/>
      <c r="AD346" s="762"/>
      <c r="AE346" s="762"/>
      <c r="AF346" s="762"/>
      <c r="AG346" s="925"/>
      <c r="AH346" s="762"/>
      <c r="AI346" s="762"/>
      <c r="AJ346" s="762"/>
      <c r="AK346" s="762"/>
      <c r="AL346" s="762"/>
      <c r="AM346" s="762"/>
      <c r="AN346" s="762"/>
      <c r="AO346" s="925"/>
      <c r="AP346" s="762"/>
      <c r="AQ346" s="762"/>
      <c r="AR346" s="762"/>
      <c r="AS346" s="762"/>
      <c r="AT346" s="762"/>
      <c r="AU346" s="762"/>
      <c r="AV346" s="762"/>
      <c r="AW346" s="762"/>
      <c r="AX346" s="762"/>
      <c r="AY346" s="762"/>
      <c r="AZ346" s="762"/>
      <c r="BA346" s="762"/>
      <c r="BB346" s="762"/>
      <c r="BC346" s="762"/>
      <c r="BD346" s="762"/>
      <c r="BE346" s="762"/>
      <c r="BF346" s="762"/>
      <c r="BG346" s="762"/>
      <c r="BH346" s="762"/>
    </row>
    <row r="347" spans="1:60" s="49" customFormat="1">
      <c r="A347" s="767"/>
      <c r="B347" s="767"/>
      <c r="C347" s="762"/>
      <c r="D347" s="762"/>
      <c r="E347" s="762"/>
      <c r="F347" s="762"/>
      <c r="G347" s="762"/>
      <c r="H347" s="762"/>
      <c r="I347" s="925"/>
      <c r="J347" s="762"/>
      <c r="K347" s="762"/>
      <c r="L347" s="762"/>
      <c r="M347" s="762"/>
      <c r="N347" s="762"/>
      <c r="O347" s="762"/>
      <c r="P347" s="762"/>
      <c r="Q347" s="925"/>
      <c r="R347" s="762"/>
      <c r="S347" s="762"/>
      <c r="T347" s="762"/>
      <c r="U347" s="762"/>
      <c r="V347" s="762"/>
      <c r="W347" s="762"/>
      <c r="X347" s="762"/>
      <c r="Y347" s="925"/>
      <c r="Z347" s="762"/>
      <c r="AA347" s="762"/>
      <c r="AB347" s="762"/>
      <c r="AC347" s="762"/>
      <c r="AD347" s="762"/>
      <c r="AE347" s="762"/>
      <c r="AF347" s="762"/>
      <c r="AG347" s="925"/>
      <c r="AH347" s="762"/>
      <c r="AI347" s="762"/>
      <c r="AJ347" s="762"/>
      <c r="AK347" s="762"/>
      <c r="AL347" s="762"/>
      <c r="AM347" s="762"/>
      <c r="AN347" s="762"/>
      <c r="AO347" s="925"/>
      <c r="AP347" s="762"/>
      <c r="AQ347" s="762"/>
      <c r="AR347" s="762"/>
      <c r="AS347" s="762"/>
      <c r="AT347" s="762"/>
      <c r="AU347" s="762"/>
      <c r="AV347" s="762"/>
      <c r="AW347" s="762"/>
      <c r="AX347" s="762"/>
      <c r="AY347" s="762"/>
      <c r="AZ347" s="762"/>
      <c r="BA347" s="762"/>
      <c r="BB347" s="762"/>
      <c r="BC347" s="762"/>
      <c r="BD347" s="762"/>
      <c r="BE347" s="762"/>
      <c r="BF347" s="762"/>
      <c r="BG347" s="762"/>
      <c r="BH347" s="762"/>
    </row>
    <row r="348" spans="1:60" s="49" customFormat="1">
      <c r="A348" s="767"/>
      <c r="B348" s="767"/>
      <c r="C348" s="762"/>
      <c r="D348" s="762"/>
      <c r="E348" s="762"/>
      <c r="F348" s="762"/>
      <c r="G348" s="762"/>
      <c r="H348" s="762"/>
      <c r="I348" s="925"/>
      <c r="J348" s="762"/>
      <c r="K348" s="762"/>
      <c r="L348" s="762"/>
      <c r="M348" s="762"/>
      <c r="N348" s="762"/>
      <c r="O348" s="762"/>
      <c r="P348" s="762"/>
      <c r="Q348" s="925"/>
      <c r="R348" s="762"/>
      <c r="S348" s="762"/>
      <c r="T348" s="762"/>
      <c r="U348" s="762"/>
      <c r="V348" s="762"/>
      <c r="W348" s="762"/>
      <c r="X348" s="762"/>
      <c r="Y348" s="925"/>
      <c r="Z348" s="762"/>
      <c r="AA348" s="762"/>
      <c r="AB348" s="762"/>
      <c r="AC348" s="762"/>
      <c r="AD348" s="762"/>
      <c r="AE348" s="762"/>
      <c r="AF348" s="762"/>
      <c r="AG348" s="925"/>
      <c r="AH348" s="762"/>
      <c r="AI348" s="762"/>
      <c r="AJ348" s="762"/>
      <c r="AK348" s="762"/>
      <c r="AL348" s="762"/>
      <c r="AM348" s="762"/>
      <c r="AN348" s="762"/>
      <c r="AO348" s="925"/>
      <c r="AP348" s="762"/>
      <c r="AQ348" s="762"/>
      <c r="AR348" s="762"/>
      <c r="AS348" s="762"/>
      <c r="AT348" s="762"/>
      <c r="AU348" s="762"/>
      <c r="AV348" s="762"/>
      <c r="AW348" s="762"/>
      <c r="AX348" s="762"/>
      <c r="AY348" s="762"/>
      <c r="AZ348" s="762"/>
      <c r="BA348" s="762"/>
      <c r="BB348" s="762"/>
      <c r="BC348" s="762"/>
      <c r="BD348" s="762"/>
      <c r="BE348" s="762"/>
      <c r="BF348" s="762"/>
      <c r="BG348" s="762"/>
      <c r="BH348" s="762"/>
    </row>
    <row r="349" spans="1:60" s="49" customFormat="1">
      <c r="A349" s="767"/>
      <c r="B349" s="767"/>
      <c r="C349" s="762"/>
      <c r="D349" s="762"/>
      <c r="E349" s="762"/>
      <c r="F349" s="762"/>
      <c r="G349" s="762"/>
      <c r="H349" s="762"/>
      <c r="I349" s="925"/>
      <c r="J349" s="762"/>
      <c r="K349" s="762"/>
      <c r="L349" s="762"/>
      <c r="M349" s="762"/>
      <c r="N349" s="762"/>
      <c r="O349" s="762"/>
      <c r="P349" s="762"/>
      <c r="Q349" s="925"/>
      <c r="R349" s="762"/>
      <c r="S349" s="762"/>
      <c r="T349" s="762"/>
      <c r="U349" s="762"/>
      <c r="V349" s="762"/>
      <c r="W349" s="762"/>
      <c r="X349" s="762"/>
      <c r="Y349" s="925"/>
      <c r="Z349" s="762"/>
      <c r="AA349" s="762"/>
      <c r="AB349" s="762"/>
      <c r="AC349" s="762"/>
      <c r="AD349" s="762"/>
      <c r="AE349" s="762"/>
      <c r="AF349" s="762"/>
      <c r="AG349" s="925"/>
      <c r="AH349" s="762"/>
      <c r="AI349" s="762"/>
      <c r="AJ349" s="762"/>
      <c r="AK349" s="762"/>
      <c r="AL349" s="762"/>
      <c r="AM349" s="762"/>
      <c r="AN349" s="762"/>
      <c r="AO349" s="925"/>
      <c r="AP349" s="762"/>
      <c r="AQ349" s="762"/>
      <c r="AR349" s="762"/>
      <c r="AS349" s="762"/>
      <c r="AT349" s="762"/>
      <c r="AU349" s="762"/>
      <c r="AV349" s="762"/>
      <c r="AW349" s="762"/>
      <c r="AX349" s="762"/>
      <c r="AY349" s="762"/>
      <c r="AZ349" s="762"/>
      <c r="BA349" s="762"/>
      <c r="BB349" s="762"/>
      <c r="BC349" s="762"/>
      <c r="BD349" s="762"/>
      <c r="BE349" s="762"/>
      <c r="BF349" s="762"/>
      <c r="BG349" s="762"/>
      <c r="BH349" s="762"/>
    </row>
    <row r="350" spans="1:60" s="49" customFormat="1">
      <c r="A350" s="767"/>
      <c r="B350" s="767"/>
      <c r="C350" s="762"/>
      <c r="D350" s="762"/>
      <c r="E350" s="762"/>
      <c r="F350" s="762"/>
      <c r="G350" s="762"/>
      <c r="H350" s="762"/>
      <c r="I350" s="925"/>
      <c r="J350" s="762"/>
      <c r="K350" s="762"/>
      <c r="L350" s="762"/>
      <c r="M350" s="762"/>
      <c r="N350" s="762"/>
      <c r="O350" s="762"/>
      <c r="P350" s="762"/>
      <c r="Q350" s="925"/>
      <c r="R350" s="762"/>
      <c r="S350" s="762"/>
      <c r="T350" s="762"/>
      <c r="U350" s="762"/>
      <c r="V350" s="762"/>
      <c r="W350" s="762"/>
      <c r="X350" s="762"/>
      <c r="Y350" s="925"/>
      <c r="Z350" s="762"/>
      <c r="AA350" s="762"/>
      <c r="AB350" s="762"/>
      <c r="AC350" s="762"/>
      <c r="AD350" s="762"/>
      <c r="AE350" s="762"/>
      <c r="AF350" s="762"/>
      <c r="AG350" s="925"/>
      <c r="AH350" s="762"/>
      <c r="AI350" s="762"/>
      <c r="AJ350" s="762"/>
      <c r="AK350" s="762"/>
      <c r="AL350" s="762"/>
      <c r="AM350" s="762"/>
      <c r="AN350" s="762"/>
      <c r="AO350" s="925"/>
      <c r="AP350" s="762"/>
      <c r="AQ350" s="762"/>
      <c r="AR350" s="762"/>
      <c r="AS350" s="762"/>
      <c r="AT350" s="762"/>
      <c r="AU350" s="762"/>
      <c r="AV350" s="762"/>
      <c r="AW350" s="762"/>
      <c r="AX350" s="762"/>
      <c r="AY350" s="762"/>
      <c r="AZ350" s="762"/>
      <c r="BA350" s="762"/>
      <c r="BB350" s="762"/>
      <c r="BC350" s="762"/>
      <c r="BD350" s="762"/>
      <c r="BE350" s="762"/>
      <c r="BF350" s="762"/>
      <c r="BG350" s="762"/>
      <c r="BH350" s="762"/>
    </row>
    <row r="351" spans="1:60" s="49" customFormat="1">
      <c r="A351" s="767"/>
      <c r="B351" s="767"/>
      <c r="C351" s="762"/>
      <c r="D351" s="762"/>
      <c r="E351" s="762"/>
      <c r="F351" s="762"/>
      <c r="G351" s="762"/>
      <c r="H351" s="762"/>
      <c r="I351" s="925"/>
      <c r="J351" s="762"/>
      <c r="K351" s="762"/>
      <c r="L351" s="762"/>
      <c r="M351" s="762"/>
      <c r="N351" s="762"/>
      <c r="O351" s="762"/>
      <c r="P351" s="762"/>
      <c r="Q351" s="925"/>
      <c r="R351" s="762"/>
      <c r="S351" s="762"/>
      <c r="T351" s="762"/>
      <c r="U351" s="762"/>
      <c r="V351" s="762"/>
      <c r="W351" s="762"/>
      <c r="X351" s="762"/>
      <c r="Y351" s="925"/>
      <c r="Z351" s="762"/>
      <c r="AA351" s="762"/>
      <c r="AB351" s="762"/>
      <c r="AC351" s="762"/>
      <c r="AD351" s="762"/>
      <c r="AE351" s="762"/>
      <c r="AF351" s="762"/>
      <c r="AG351" s="925"/>
      <c r="AH351" s="762"/>
      <c r="AI351" s="762"/>
      <c r="AJ351" s="762"/>
      <c r="AK351" s="762"/>
      <c r="AL351" s="762"/>
      <c r="AM351" s="762"/>
      <c r="AN351" s="762"/>
      <c r="AO351" s="925"/>
      <c r="AP351" s="762"/>
      <c r="AQ351" s="762"/>
      <c r="AR351" s="762"/>
      <c r="AS351" s="762"/>
      <c r="AT351" s="762"/>
      <c r="AU351" s="762"/>
      <c r="AV351" s="762"/>
      <c r="AW351" s="762"/>
      <c r="AX351" s="762"/>
      <c r="AY351" s="762"/>
      <c r="AZ351" s="762"/>
      <c r="BA351" s="762"/>
      <c r="BB351" s="762"/>
      <c r="BC351" s="762"/>
      <c r="BD351" s="762"/>
      <c r="BE351" s="762"/>
      <c r="BF351" s="762"/>
      <c r="BG351" s="762"/>
      <c r="BH351" s="762"/>
    </row>
    <row r="352" spans="1:60" s="49" customFormat="1">
      <c r="A352" s="767"/>
      <c r="B352" s="767"/>
      <c r="C352" s="762"/>
      <c r="D352" s="762"/>
      <c r="E352" s="762"/>
      <c r="F352" s="762"/>
      <c r="G352" s="762"/>
      <c r="H352" s="762"/>
      <c r="I352" s="925"/>
      <c r="J352" s="762"/>
      <c r="K352" s="762"/>
      <c r="L352" s="762"/>
      <c r="M352" s="762"/>
      <c r="N352" s="762"/>
      <c r="O352" s="762"/>
      <c r="P352" s="762"/>
      <c r="Q352" s="925"/>
      <c r="R352" s="762"/>
      <c r="S352" s="762"/>
      <c r="T352" s="762"/>
      <c r="U352" s="762"/>
      <c r="V352" s="762"/>
      <c r="W352" s="762"/>
      <c r="X352" s="762"/>
      <c r="Y352" s="925"/>
      <c r="Z352" s="762"/>
      <c r="AA352" s="762"/>
      <c r="AB352" s="762"/>
      <c r="AC352" s="762"/>
      <c r="AD352" s="762"/>
      <c r="AE352" s="762"/>
      <c r="AF352" s="762"/>
      <c r="AG352" s="925"/>
      <c r="AH352" s="762"/>
      <c r="AI352" s="762"/>
      <c r="AJ352" s="762"/>
      <c r="AK352" s="762"/>
      <c r="AL352" s="762"/>
      <c r="AM352" s="762"/>
      <c r="AN352" s="762"/>
      <c r="AO352" s="925"/>
      <c r="AP352" s="762"/>
      <c r="AQ352" s="762"/>
      <c r="AR352" s="762"/>
      <c r="AS352" s="762"/>
      <c r="AT352" s="762"/>
      <c r="AU352" s="762"/>
      <c r="AV352" s="762"/>
      <c r="AW352" s="762"/>
      <c r="AX352" s="762"/>
      <c r="AY352" s="762"/>
      <c r="AZ352" s="762"/>
      <c r="BA352" s="762"/>
      <c r="BB352" s="762"/>
      <c r="BC352" s="762"/>
      <c r="BD352" s="762"/>
      <c r="BE352" s="762"/>
      <c r="BF352" s="762"/>
      <c r="BG352" s="762"/>
      <c r="BH352" s="762"/>
    </row>
    <row r="353" spans="1:60" s="49" customFormat="1">
      <c r="A353" s="767"/>
      <c r="B353" s="767"/>
      <c r="C353" s="762"/>
      <c r="D353" s="762"/>
      <c r="E353" s="762"/>
      <c r="F353" s="762"/>
      <c r="G353" s="762"/>
      <c r="H353" s="762"/>
      <c r="I353" s="925"/>
      <c r="J353" s="762"/>
      <c r="K353" s="762"/>
      <c r="L353" s="762"/>
      <c r="M353" s="762"/>
      <c r="N353" s="762"/>
      <c r="O353" s="762"/>
      <c r="P353" s="762"/>
      <c r="Q353" s="925"/>
      <c r="R353" s="762"/>
      <c r="S353" s="762"/>
      <c r="T353" s="762"/>
      <c r="U353" s="762"/>
      <c r="V353" s="762"/>
      <c r="W353" s="762"/>
      <c r="X353" s="762"/>
      <c r="Y353" s="925"/>
      <c r="Z353" s="762"/>
      <c r="AA353" s="762"/>
      <c r="AB353" s="762"/>
      <c r="AC353" s="762"/>
      <c r="AD353" s="762"/>
      <c r="AE353" s="762"/>
      <c r="AF353" s="762"/>
      <c r="AG353" s="925"/>
      <c r="AH353" s="762"/>
      <c r="AI353" s="762"/>
      <c r="AJ353" s="762"/>
      <c r="AK353" s="762"/>
      <c r="AL353" s="762"/>
      <c r="AM353" s="762"/>
      <c r="AN353" s="762"/>
      <c r="AO353" s="925"/>
      <c r="AP353" s="762"/>
      <c r="AQ353" s="762"/>
      <c r="AR353" s="762"/>
      <c r="AS353" s="762"/>
      <c r="AT353" s="762"/>
      <c r="AU353" s="762"/>
      <c r="AV353" s="762"/>
      <c r="AW353" s="762"/>
      <c r="AX353" s="762"/>
      <c r="AY353" s="762"/>
      <c r="AZ353" s="762"/>
      <c r="BA353" s="762"/>
      <c r="BB353" s="762"/>
      <c r="BC353" s="762"/>
      <c r="BD353" s="762"/>
      <c r="BE353" s="762"/>
      <c r="BF353" s="762"/>
      <c r="BG353" s="762"/>
      <c r="BH353" s="762"/>
    </row>
    <row r="354" spans="1:60" s="49" customFormat="1">
      <c r="A354" s="767"/>
      <c r="B354" s="767"/>
      <c r="C354" s="762"/>
      <c r="D354" s="762"/>
      <c r="E354" s="762"/>
      <c r="F354" s="762"/>
      <c r="G354" s="762"/>
      <c r="H354" s="762"/>
      <c r="I354" s="925"/>
      <c r="J354" s="762"/>
      <c r="K354" s="762"/>
      <c r="L354" s="762"/>
      <c r="M354" s="762"/>
      <c r="N354" s="762"/>
      <c r="O354" s="762"/>
      <c r="P354" s="762"/>
      <c r="Q354" s="925"/>
      <c r="R354" s="762"/>
      <c r="S354" s="762"/>
      <c r="T354" s="762"/>
      <c r="U354" s="762"/>
      <c r="V354" s="762"/>
      <c r="W354" s="762"/>
      <c r="X354" s="762"/>
      <c r="Y354" s="925"/>
      <c r="Z354" s="762"/>
      <c r="AA354" s="762"/>
      <c r="AB354" s="762"/>
      <c r="AC354" s="762"/>
      <c r="AD354" s="762"/>
      <c r="AE354" s="762"/>
      <c r="AF354" s="762"/>
      <c r="AG354" s="925"/>
      <c r="AH354" s="762"/>
      <c r="AI354" s="762"/>
      <c r="AJ354" s="762"/>
      <c r="AK354" s="762"/>
      <c r="AL354" s="762"/>
      <c r="AM354" s="762"/>
      <c r="AN354" s="762"/>
      <c r="AO354" s="925"/>
      <c r="AP354" s="762"/>
      <c r="AQ354" s="762"/>
      <c r="AR354" s="762"/>
      <c r="AS354" s="762"/>
      <c r="AT354" s="762"/>
      <c r="AU354" s="762"/>
      <c r="AV354" s="762"/>
      <c r="AW354" s="762"/>
      <c r="AX354" s="762"/>
      <c r="AY354" s="762"/>
      <c r="AZ354" s="762"/>
      <c r="BA354" s="762"/>
      <c r="BB354" s="762"/>
      <c r="BC354" s="762"/>
      <c r="BD354" s="762"/>
      <c r="BE354" s="762"/>
      <c r="BF354" s="762"/>
      <c r="BG354" s="762"/>
      <c r="BH354" s="762"/>
    </row>
    <row r="355" spans="1:60" s="49" customFormat="1">
      <c r="A355" s="767"/>
      <c r="B355" s="767"/>
      <c r="C355" s="762"/>
      <c r="D355" s="762"/>
      <c r="E355" s="762"/>
      <c r="F355" s="762"/>
      <c r="G355" s="762"/>
      <c r="H355" s="762"/>
      <c r="I355" s="925"/>
      <c r="J355" s="762"/>
      <c r="K355" s="762"/>
      <c r="L355" s="762"/>
      <c r="M355" s="762"/>
      <c r="N355" s="762"/>
      <c r="O355" s="762"/>
      <c r="P355" s="762"/>
      <c r="Q355" s="925"/>
      <c r="R355" s="762"/>
      <c r="S355" s="762"/>
      <c r="T355" s="762"/>
      <c r="U355" s="762"/>
      <c r="V355" s="762"/>
      <c r="W355" s="762"/>
      <c r="X355" s="762"/>
      <c r="Y355" s="925"/>
      <c r="Z355" s="762"/>
      <c r="AA355" s="762"/>
      <c r="AB355" s="762"/>
      <c r="AC355" s="762"/>
      <c r="AD355" s="762"/>
      <c r="AE355" s="762"/>
      <c r="AF355" s="762"/>
      <c r="AG355" s="925"/>
      <c r="AH355" s="762"/>
      <c r="AI355" s="762"/>
      <c r="AJ355" s="762"/>
      <c r="AK355" s="762"/>
      <c r="AL355" s="762"/>
      <c r="AM355" s="762"/>
      <c r="AN355" s="762"/>
      <c r="AO355" s="925"/>
      <c r="AP355" s="762"/>
      <c r="AQ355" s="762"/>
      <c r="AR355" s="762"/>
      <c r="AS355" s="762"/>
      <c r="AT355" s="762"/>
      <c r="AU355" s="762"/>
      <c r="AV355" s="762"/>
      <c r="AW355" s="762"/>
      <c r="AX355" s="762"/>
      <c r="AY355" s="762"/>
      <c r="AZ355" s="762"/>
      <c r="BA355" s="762"/>
      <c r="BB355" s="762"/>
      <c r="BC355" s="762"/>
      <c r="BD355" s="762"/>
      <c r="BE355" s="762"/>
      <c r="BF355" s="762"/>
      <c r="BG355" s="762"/>
      <c r="BH355" s="762"/>
    </row>
    <row r="356" spans="1:60" s="49" customFormat="1">
      <c r="A356" s="767"/>
      <c r="B356" s="767"/>
      <c r="C356" s="762"/>
      <c r="D356" s="762"/>
      <c r="E356" s="762"/>
      <c r="F356" s="762"/>
      <c r="G356" s="762"/>
      <c r="H356" s="762"/>
      <c r="I356" s="925"/>
      <c r="J356" s="762"/>
      <c r="K356" s="762"/>
      <c r="L356" s="762"/>
      <c r="M356" s="762"/>
      <c r="N356" s="762"/>
      <c r="O356" s="762"/>
      <c r="P356" s="762"/>
      <c r="Q356" s="925"/>
      <c r="R356" s="762"/>
      <c r="S356" s="762"/>
      <c r="T356" s="762"/>
      <c r="U356" s="762"/>
      <c r="V356" s="762"/>
      <c r="W356" s="762"/>
      <c r="X356" s="762"/>
      <c r="Y356" s="925"/>
      <c r="Z356" s="762"/>
      <c r="AA356" s="762"/>
      <c r="AB356" s="762"/>
      <c r="AC356" s="762"/>
      <c r="AD356" s="762"/>
      <c r="AE356" s="762"/>
      <c r="AF356" s="762"/>
      <c r="AG356" s="925"/>
      <c r="AH356" s="762"/>
      <c r="AI356" s="762"/>
      <c r="AJ356" s="762"/>
      <c r="AK356" s="762"/>
      <c r="AL356" s="762"/>
      <c r="AM356" s="762"/>
      <c r="AN356" s="762"/>
      <c r="AO356" s="925"/>
      <c r="AP356" s="762"/>
      <c r="AQ356" s="762"/>
      <c r="AR356" s="762"/>
      <c r="AS356" s="762"/>
      <c r="AT356" s="762"/>
      <c r="AU356" s="762"/>
      <c r="AV356" s="762"/>
      <c r="AW356" s="762"/>
      <c r="AX356" s="762"/>
      <c r="AY356" s="762"/>
      <c r="AZ356" s="762"/>
      <c r="BA356" s="762"/>
      <c r="BB356" s="762"/>
      <c r="BC356" s="762"/>
      <c r="BD356" s="762"/>
      <c r="BE356" s="762"/>
      <c r="BF356" s="762"/>
      <c r="BG356" s="762"/>
      <c r="BH356" s="762"/>
    </row>
    <row r="357" spans="1:60" s="49" customFormat="1">
      <c r="A357" s="767"/>
      <c r="B357" s="767"/>
      <c r="C357" s="762"/>
      <c r="D357" s="762"/>
      <c r="E357" s="762"/>
      <c r="F357" s="762"/>
      <c r="G357" s="762"/>
      <c r="H357" s="762"/>
      <c r="I357" s="925"/>
      <c r="J357" s="762"/>
      <c r="K357" s="762"/>
      <c r="L357" s="762"/>
      <c r="M357" s="762"/>
      <c r="N357" s="762"/>
      <c r="O357" s="762"/>
      <c r="P357" s="762"/>
      <c r="Q357" s="925"/>
      <c r="R357" s="762"/>
      <c r="S357" s="762"/>
      <c r="T357" s="762"/>
      <c r="U357" s="762"/>
      <c r="V357" s="762"/>
      <c r="W357" s="762"/>
      <c r="X357" s="762"/>
      <c r="Y357" s="925"/>
      <c r="Z357" s="762"/>
      <c r="AA357" s="762"/>
      <c r="AB357" s="762"/>
      <c r="AC357" s="762"/>
      <c r="AD357" s="762"/>
      <c r="AE357" s="762"/>
      <c r="AF357" s="762"/>
      <c r="AG357" s="925"/>
      <c r="AH357" s="762"/>
      <c r="AI357" s="762"/>
      <c r="AJ357" s="762"/>
      <c r="AK357" s="762"/>
      <c r="AL357" s="762"/>
      <c r="AM357" s="762"/>
      <c r="AN357" s="762"/>
      <c r="AO357" s="925"/>
      <c r="AP357" s="762"/>
      <c r="AQ357" s="762"/>
      <c r="AR357" s="762"/>
      <c r="AS357" s="762"/>
      <c r="AT357" s="762"/>
      <c r="AU357" s="762"/>
      <c r="AV357" s="762"/>
      <c r="AW357" s="762"/>
      <c r="AX357" s="762"/>
      <c r="AY357" s="762"/>
      <c r="AZ357" s="762"/>
      <c r="BA357" s="762"/>
      <c r="BB357" s="762"/>
      <c r="BC357" s="762"/>
      <c r="BD357" s="762"/>
      <c r="BE357" s="762"/>
      <c r="BF357" s="762"/>
      <c r="BG357" s="762"/>
      <c r="BH357" s="762"/>
    </row>
    <row r="358" spans="1:60" s="49" customFormat="1">
      <c r="A358" s="767"/>
      <c r="B358" s="767"/>
      <c r="C358" s="762"/>
      <c r="D358" s="762"/>
      <c r="E358" s="762"/>
      <c r="F358" s="762"/>
      <c r="G358" s="762"/>
      <c r="H358" s="762"/>
      <c r="I358" s="925"/>
      <c r="J358" s="762"/>
      <c r="K358" s="762"/>
      <c r="L358" s="762"/>
      <c r="M358" s="762"/>
      <c r="N358" s="762"/>
      <c r="O358" s="762"/>
      <c r="P358" s="762"/>
      <c r="Q358" s="925"/>
      <c r="R358" s="762"/>
      <c r="S358" s="762"/>
      <c r="T358" s="762"/>
      <c r="U358" s="762"/>
      <c r="V358" s="762"/>
      <c r="W358" s="762"/>
      <c r="X358" s="762"/>
      <c r="Y358" s="925"/>
      <c r="Z358" s="762"/>
      <c r="AA358" s="762"/>
      <c r="AB358" s="762"/>
      <c r="AC358" s="762"/>
      <c r="AD358" s="762"/>
      <c r="AE358" s="762"/>
      <c r="AF358" s="762"/>
      <c r="AG358" s="925"/>
      <c r="AH358" s="762"/>
      <c r="AI358" s="762"/>
      <c r="AJ358" s="762"/>
      <c r="AK358" s="762"/>
      <c r="AL358" s="762"/>
      <c r="AM358" s="762"/>
      <c r="AN358" s="762"/>
      <c r="AO358" s="925"/>
      <c r="AP358" s="762"/>
      <c r="AQ358" s="762"/>
      <c r="AR358" s="762"/>
      <c r="AS358" s="762"/>
      <c r="AT358" s="762"/>
      <c r="AU358" s="762"/>
      <c r="AV358" s="762"/>
      <c r="AW358" s="762"/>
      <c r="AX358" s="762"/>
      <c r="AY358" s="762"/>
      <c r="AZ358" s="762"/>
      <c r="BA358" s="762"/>
      <c r="BB358" s="762"/>
      <c r="BC358" s="762"/>
      <c r="BD358" s="762"/>
      <c r="BE358" s="762"/>
      <c r="BF358" s="762"/>
      <c r="BG358" s="762"/>
      <c r="BH358" s="762"/>
    </row>
    <row r="359" spans="1:60" s="49" customFormat="1">
      <c r="A359" s="767"/>
      <c r="B359" s="767"/>
      <c r="C359" s="762"/>
      <c r="D359" s="762"/>
      <c r="E359" s="762"/>
      <c r="F359" s="762"/>
      <c r="G359" s="762"/>
      <c r="H359" s="762"/>
      <c r="I359" s="925"/>
      <c r="J359" s="762"/>
      <c r="K359" s="762"/>
      <c r="L359" s="762"/>
      <c r="M359" s="762"/>
      <c r="N359" s="762"/>
      <c r="O359" s="762"/>
      <c r="P359" s="762"/>
      <c r="Q359" s="925"/>
      <c r="R359" s="762"/>
      <c r="S359" s="762"/>
      <c r="T359" s="762"/>
      <c r="U359" s="762"/>
      <c r="V359" s="762"/>
      <c r="W359" s="762"/>
      <c r="X359" s="762"/>
      <c r="Y359" s="925"/>
      <c r="Z359" s="762"/>
      <c r="AA359" s="762"/>
      <c r="AB359" s="762"/>
      <c r="AC359" s="762"/>
      <c r="AD359" s="762"/>
      <c r="AE359" s="762"/>
      <c r="AF359" s="762"/>
      <c r="AG359" s="925"/>
      <c r="AH359" s="762"/>
      <c r="AI359" s="762"/>
      <c r="AJ359" s="762"/>
      <c r="AK359" s="762"/>
      <c r="AL359" s="762"/>
      <c r="AM359" s="762"/>
      <c r="AN359" s="762"/>
      <c r="AO359" s="925"/>
      <c r="AP359" s="762"/>
      <c r="AQ359" s="762"/>
      <c r="AR359" s="762"/>
      <c r="AS359" s="762"/>
      <c r="AT359" s="762"/>
      <c r="AU359" s="762"/>
      <c r="AV359" s="762"/>
      <c r="AW359" s="762"/>
      <c r="AX359" s="762"/>
      <c r="AY359" s="762"/>
      <c r="AZ359" s="762"/>
      <c r="BA359" s="762"/>
      <c r="BB359" s="762"/>
      <c r="BC359" s="762"/>
      <c r="BD359" s="762"/>
      <c r="BE359" s="762"/>
      <c r="BF359" s="762"/>
      <c r="BG359" s="762"/>
      <c r="BH359" s="762"/>
    </row>
    <row r="360" spans="1:60" s="49" customFormat="1">
      <c r="A360" s="767"/>
      <c r="B360" s="767"/>
      <c r="C360" s="762"/>
      <c r="D360" s="762"/>
      <c r="E360" s="762"/>
      <c r="F360" s="762"/>
      <c r="G360" s="762"/>
      <c r="H360" s="762"/>
      <c r="I360" s="925"/>
      <c r="J360" s="762"/>
      <c r="K360" s="762"/>
      <c r="L360" s="762"/>
      <c r="M360" s="762"/>
      <c r="N360" s="762"/>
      <c r="O360" s="762"/>
      <c r="P360" s="762"/>
      <c r="Q360" s="925"/>
      <c r="R360" s="762"/>
      <c r="S360" s="762"/>
      <c r="T360" s="762"/>
      <c r="U360" s="762"/>
      <c r="V360" s="762"/>
      <c r="W360" s="762"/>
      <c r="X360" s="762"/>
      <c r="Y360" s="925"/>
      <c r="Z360" s="762"/>
      <c r="AA360" s="762"/>
      <c r="AB360" s="762"/>
      <c r="AC360" s="762"/>
      <c r="AD360" s="762"/>
      <c r="AE360" s="762"/>
      <c r="AF360" s="762"/>
      <c r="AG360" s="925"/>
      <c r="AH360" s="762"/>
      <c r="AI360" s="762"/>
      <c r="AJ360" s="762"/>
      <c r="AK360" s="762"/>
      <c r="AL360" s="762"/>
      <c r="AM360" s="762"/>
      <c r="AN360" s="762"/>
      <c r="AO360" s="925"/>
      <c r="AP360" s="762"/>
      <c r="AQ360" s="762"/>
      <c r="AR360" s="762"/>
      <c r="AS360" s="762"/>
      <c r="AT360" s="762"/>
      <c r="AU360" s="762"/>
      <c r="AV360" s="762"/>
      <c r="AW360" s="762"/>
      <c r="AX360" s="762"/>
      <c r="AY360" s="762"/>
      <c r="AZ360" s="762"/>
      <c r="BA360" s="762"/>
      <c r="BB360" s="762"/>
      <c r="BC360" s="762"/>
      <c r="BD360" s="762"/>
      <c r="BE360" s="762"/>
      <c r="BF360" s="762"/>
      <c r="BG360" s="762"/>
      <c r="BH360" s="762"/>
    </row>
    <row r="361" spans="1:60" s="49" customFormat="1">
      <c r="A361" s="767"/>
      <c r="B361" s="767"/>
      <c r="C361" s="762"/>
      <c r="D361" s="762"/>
      <c r="E361" s="762"/>
      <c r="F361" s="762"/>
      <c r="G361" s="762"/>
      <c r="H361" s="762"/>
      <c r="I361" s="925"/>
      <c r="J361" s="762"/>
      <c r="K361" s="762"/>
      <c r="L361" s="762"/>
      <c r="M361" s="762"/>
      <c r="N361" s="762"/>
      <c r="O361" s="762"/>
      <c r="P361" s="762"/>
      <c r="Q361" s="925"/>
      <c r="R361" s="762"/>
      <c r="S361" s="762"/>
      <c r="T361" s="762"/>
      <c r="U361" s="762"/>
      <c r="V361" s="762"/>
      <c r="W361" s="762"/>
      <c r="X361" s="762"/>
      <c r="Y361" s="925"/>
      <c r="Z361" s="762"/>
      <c r="AA361" s="762"/>
      <c r="AB361" s="762"/>
      <c r="AC361" s="762"/>
      <c r="AD361" s="762"/>
      <c r="AE361" s="762"/>
      <c r="AF361" s="762"/>
      <c r="AG361" s="925"/>
      <c r="AH361" s="762"/>
      <c r="AI361" s="762"/>
      <c r="AJ361" s="762"/>
      <c r="AK361" s="762"/>
      <c r="AL361" s="762"/>
      <c r="AM361" s="762"/>
      <c r="AN361" s="762"/>
      <c r="AO361" s="925"/>
      <c r="AP361" s="762"/>
      <c r="AQ361" s="762"/>
      <c r="AR361" s="762"/>
      <c r="AS361" s="762"/>
      <c r="AT361" s="762"/>
      <c r="AU361" s="762"/>
      <c r="AV361" s="762"/>
      <c r="AW361" s="762"/>
      <c r="AX361" s="762"/>
      <c r="AY361" s="762"/>
      <c r="AZ361" s="762"/>
      <c r="BA361" s="762"/>
      <c r="BB361" s="762"/>
      <c r="BC361" s="762"/>
      <c r="BD361" s="762"/>
      <c r="BE361" s="762"/>
      <c r="BF361" s="762"/>
      <c r="BG361" s="762"/>
      <c r="BH361" s="762"/>
    </row>
    <row r="362" spans="1:60" s="49" customFormat="1">
      <c r="A362" s="767"/>
      <c r="B362" s="767"/>
      <c r="C362" s="762"/>
      <c r="D362" s="762"/>
      <c r="E362" s="762"/>
      <c r="F362" s="762"/>
      <c r="G362" s="762"/>
      <c r="H362" s="762"/>
      <c r="I362" s="925"/>
      <c r="J362" s="762"/>
      <c r="K362" s="762"/>
      <c r="L362" s="762"/>
      <c r="M362" s="762"/>
      <c r="N362" s="762"/>
      <c r="O362" s="762"/>
      <c r="P362" s="762"/>
      <c r="Q362" s="925"/>
      <c r="R362" s="762"/>
      <c r="S362" s="762"/>
      <c r="T362" s="762"/>
      <c r="U362" s="762"/>
      <c r="V362" s="762"/>
      <c r="W362" s="762"/>
      <c r="X362" s="762"/>
      <c r="Y362" s="925"/>
      <c r="Z362" s="762"/>
      <c r="AA362" s="762"/>
      <c r="AB362" s="762"/>
      <c r="AC362" s="762"/>
      <c r="AD362" s="762"/>
      <c r="AE362" s="762"/>
      <c r="AF362" s="762"/>
      <c r="AG362" s="925"/>
      <c r="AH362" s="762"/>
      <c r="AI362" s="762"/>
      <c r="AJ362" s="762"/>
      <c r="AK362" s="762"/>
      <c r="AL362" s="762"/>
      <c r="AM362" s="762"/>
      <c r="AN362" s="762"/>
      <c r="AO362" s="925"/>
      <c r="AP362" s="762"/>
      <c r="AQ362" s="762"/>
      <c r="AR362" s="762"/>
      <c r="AS362" s="762"/>
      <c r="AT362" s="762"/>
      <c r="AU362" s="762"/>
      <c r="AV362" s="762"/>
      <c r="AW362" s="762"/>
      <c r="AX362" s="762"/>
      <c r="AY362" s="762"/>
      <c r="AZ362" s="762"/>
      <c r="BA362" s="762"/>
      <c r="BB362" s="762"/>
      <c r="BC362" s="762"/>
      <c r="BD362" s="762"/>
      <c r="BE362" s="762"/>
      <c r="BF362" s="762"/>
      <c r="BG362" s="762"/>
      <c r="BH362" s="762"/>
    </row>
    <row r="363" spans="1:60" s="49" customFormat="1">
      <c r="A363" s="767"/>
      <c r="B363" s="767"/>
      <c r="C363" s="762"/>
      <c r="D363" s="762"/>
      <c r="E363" s="762"/>
      <c r="F363" s="762"/>
      <c r="G363" s="762"/>
      <c r="H363" s="762"/>
      <c r="I363" s="925"/>
      <c r="J363" s="762"/>
      <c r="K363" s="762"/>
      <c r="L363" s="762"/>
      <c r="M363" s="762"/>
      <c r="N363" s="762"/>
      <c r="O363" s="762"/>
      <c r="P363" s="762"/>
      <c r="Q363" s="925"/>
      <c r="R363" s="762"/>
      <c r="S363" s="762"/>
      <c r="T363" s="762"/>
      <c r="U363" s="762"/>
      <c r="V363" s="762"/>
      <c r="W363" s="762"/>
      <c r="X363" s="762"/>
      <c r="Y363" s="925"/>
      <c r="Z363" s="762"/>
      <c r="AA363" s="762"/>
      <c r="AB363" s="762"/>
      <c r="AC363" s="762"/>
      <c r="AD363" s="762"/>
      <c r="AE363" s="762"/>
      <c r="AF363" s="762"/>
      <c r="AG363" s="925"/>
      <c r="AH363" s="762"/>
      <c r="AI363" s="762"/>
      <c r="AJ363" s="762"/>
      <c r="AK363" s="762"/>
      <c r="AL363" s="762"/>
      <c r="AM363" s="762"/>
      <c r="AN363" s="762"/>
      <c r="AO363" s="925"/>
      <c r="AP363" s="762"/>
      <c r="AQ363" s="762"/>
      <c r="AR363" s="762"/>
      <c r="AS363" s="762"/>
      <c r="AT363" s="762"/>
      <c r="AU363" s="762"/>
      <c r="AV363" s="762"/>
      <c r="AW363" s="762"/>
      <c r="AX363" s="762"/>
      <c r="AY363" s="762"/>
      <c r="AZ363" s="762"/>
      <c r="BA363" s="762"/>
      <c r="BB363" s="762"/>
      <c r="BC363" s="762"/>
      <c r="BD363" s="762"/>
      <c r="BE363" s="762"/>
      <c r="BF363" s="762"/>
      <c r="BG363" s="762"/>
      <c r="BH363" s="762"/>
    </row>
    <row r="364" spans="1:60" s="49" customFormat="1">
      <c r="A364" s="767"/>
      <c r="B364" s="767"/>
      <c r="C364" s="762"/>
      <c r="D364" s="762"/>
      <c r="E364" s="762"/>
      <c r="F364" s="762"/>
      <c r="G364" s="762"/>
      <c r="H364" s="762"/>
      <c r="I364" s="925"/>
      <c r="J364" s="762"/>
      <c r="K364" s="762"/>
      <c r="L364" s="762"/>
      <c r="M364" s="762"/>
      <c r="N364" s="762"/>
      <c r="O364" s="762"/>
      <c r="P364" s="762"/>
      <c r="Q364" s="925"/>
      <c r="R364" s="762"/>
      <c r="S364" s="762"/>
      <c r="T364" s="762"/>
      <c r="U364" s="762"/>
      <c r="V364" s="762"/>
      <c r="W364" s="762"/>
      <c r="X364" s="762"/>
      <c r="Y364" s="925"/>
      <c r="Z364" s="762"/>
      <c r="AA364" s="762"/>
      <c r="AB364" s="762"/>
      <c r="AC364" s="762"/>
      <c r="AD364" s="762"/>
      <c r="AE364" s="762"/>
      <c r="AF364" s="762"/>
      <c r="AG364" s="925"/>
      <c r="AH364" s="762"/>
      <c r="AI364" s="762"/>
      <c r="AJ364" s="762"/>
      <c r="AK364" s="762"/>
      <c r="AL364" s="762"/>
      <c r="AM364" s="762"/>
      <c r="AN364" s="762"/>
      <c r="AO364" s="925"/>
      <c r="AP364" s="762"/>
      <c r="AQ364" s="762"/>
      <c r="AR364" s="762"/>
      <c r="AS364" s="762"/>
      <c r="AT364" s="762"/>
      <c r="AU364" s="762"/>
      <c r="AV364" s="762"/>
      <c r="AW364" s="762"/>
      <c r="AX364" s="762"/>
      <c r="AY364" s="762"/>
      <c r="AZ364" s="762"/>
      <c r="BA364" s="762"/>
      <c r="BB364" s="762"/>
      <c r="BC364" s="762"/>
      <c r="BD364" s="762"/>
      <c r="BE364" s="762"/>
      <c r="BF364" s="762"/>
      <c r="BG364" s="762"/>
      <c r="BH364" s="762"/>
    </row>
    <row r="365" spans="1:60" s="49" customFormat="1">
      <c r="A365" s="767"/>
      <c r="B365" s="767"/>
      <c r="C365" s="762"/>
      <c r="D365" s="762"/>
      <c r="E365" s="762"/>
      <c r="F365" s="762"/>
      <c r="G365" s="762"/>
      <c r="H365" s="762"/>
      <c r="I365" s="925"/>
      <c r="J365" s="762"/>
      <c r="K365" s="762"/>
      <c r="L365" s="762"/>
      <c r="M365" s="762"/>
      <c r="N365" s="762"/>
      <c r="O365" s="762"/>
      <c r="P365" s="762"/>
      <c r="Q365" s="925"/>
      <c r="R365" s="762"/>
      <c r="S365" s="762"/>
      <c r="T365" s="762"/>
      <c r="U365" s="762"/>
      <c r="V365" s="762"/>
      <c r="W365" s="762"/>
      <c r="X365" s="762"/>
      <c r="Y365" s="925"/>
      <c r="Z365" s="762"/>
      <c r="AA365" s="762"/>
      <c r="AB365" s="762"/>
      <c r="AC365" s="762"/>
      <c r="AD365" s="762"/>
      <c r="AE365" s="762"/>
      <c r="AF365" s="762"/>
      <c r="AG365" s="925"/>
      <c r="AH365" s="762"/>
      <c r="AI365" s="762"/>
      <c r="AJ365" s="762"/>
      <c r="AK365" s="762"/>
      <c r="AL365" s="762"/>
      <c r="AM365" s="762"/>
      <c r="AN365" s="762"/>
      <c r="AO365" s="925"/>
      <c r="AP365" s="762"/>
      <c r="AQ365" s="762"/>
      <c r="AR365" s="762"/>
      <c r="AS365" s="762"/>
      <c r="AT365" s="762"/>
      <c r="AU365" s="762"/>
      <c r="AV365" s="762"/>
      <c r="AW365" s="762"/>
      <c r="AX365" s="762"/>
      <c r="AY365" s="762"/>
      <c r="AZ365" s="762"/>
      <c r="BA365" s="762"/>
      <c r="BB365" s="762"/>
      <c r="BC365" s="762"/>
      <c r="BD365" s="762"/>
      <c r="BE365" s="762"/>
      <c r="BF365" s="762"/>
      <c r="BG365" s="762"/>
      <c r="BH365" s="762"/>
    </row>
    <row r="366" spans="1:60" s="49" customFormat="1">
      <c r="A366" s="767"/>
      <c r="B366" s="767"/>
      <c r="C366" s="762"/>
      <c r="D366" s="762"/>
      <c r="E366" s="762"/>
      <c r="F366" s="762"/>
      <c r="G366" s="762"/>
      <c r="H366" s="762"/>
      <c r="I366" s="925"/>
      <c r="J366" s="762"/>
      <c r="K366" s="762"/>
      <c r="L366" s="762"/>
      <c r="M366" s="762"/>
      <c r="N366" s="762"/>
      <c r="O366" s="762"/>
      <c r="P366" s="762"/>
      <c r="Q366" s="925"/>
      <c r="R366" s="762"/>
      <c r="S366" s="762"/>
      <c r="T366" s="762"/>
      <c r="U366" s="762"/>
      <c r="V366" s="762"/>
      <c r="W366" s="762"/>
      <c r="X366" s="762"/>
      <c r="Y366" s="925"/>
      <c r="Z366" s="762"/>
      <c r="AA366" s="762"/>
      <c r="AB366" s="762"/>
      <c r="AC366" s="762"/>
      <c r="AD366" s="762"/>
      <c r="AE366" s="762"/>
      <c r="AF366" s="762"/>
      <c r="AG366" s="925"/>
      <c r="AH366" s="762"/>
      <c r="AI366" s="762"/>
      <c r="AJ366" s="762"/>
      <c r="AK366" s="762"/>
      <c r="AL366" s="762"/>
      <c r="AM366" s="762"/>
      <c r="AN366" s="762"/>
      <c r="AO366" s="925"/>
      <c r="AP366" s="762"/>
      <c r="AQ366" s="762"/>
      <c r="AR366" s="762"/>
      <c r="AS366" s="762"/>
      <c r="AT366" s="762"/>
      <c r="AU366" s="762"/>
      <c r="AV366" s="762"/>
      <c r="AW366" s="762"/>
      <c r="AX366" s="762"/>
      <c r="AY366" s="762"/>
      <c r="AZ366" s="762"/>
      <c r="BA366" s="762"/>
      <c r="BB366" s="762"/>
      <c r="BC366" s="762"/>
      <c r="BD366" s="762"/>
      <c r="BE366" s="762"/>
      <c r="BF366" s="762"/>
      <c r="BG366" s="762"/>
      <c r="BH366" s="762"/>
    </row>
    <row r="367" spans="1:60" s="49" customFormat="1">
      <c r="A367" s="767"/>
      <c r="B367" s="767"/>
      <c r="C367" s="762"/>
      <c r="D367" s="762"/>
      <c r="E367" s="762"/>
      <c r="F367" s="762"/>
      <c r="G367" s="762"/>
      <c r="H367" s="762"/>
      <c r="I367" s="925"/>
      <c r="J367" s="762"/>
      <c r="K367" s="762"/>
      <c r="L367" s="762"/>
      <c r="M367" s="762"/>
      <c r="N367" s="762"/>
      <c r="O367" s="762"/>
      <c r="P367" s="762"/>
      <c r="Q367" s="925"/>
      <c r="R367" s="762"/>
      <c r="S367" s="762"/>
      <c r="T367" s="762"/>
      <c r="U367" s="762"/>
      <c r="V367" s="762"/>
      <c r="W367" s="762"/>
      <c r="X367" s="762"/>
      <c r="Y367" s="925"/>
      <c r="Z367" s="762"/>
      <c r="AA367" s="762"/>
      <c r="AB367" s="762"/>
      <c r="AC367" s="762"/>
      <c r="AD367" s="762"/>
      <c r="AE367" s="762"/>
      <c r="AF367" s="762"/>
      <c r="AG367" s="925"/>
      <c r="AH367" s="762"/>
      <c r="AI367" s="762"/>
      <c r="AJ367" s="762"/>
      <c r="AK367" s="762"/>
      <c r="AL367" s="762"/>
      <c r="AM367" s="762"/>
      <c r="AN367" s="762"/>
      <c r="AO367" s="925"/>
      <c r="AP367" s="762"/>
      <c r="AQ367" s="762"/>
      <c r="AR367" s="762"/>
      <c r="AS367" s="762"/>
      <c r="AT367" s="762"/>
      <c r="AU367" s="762"/>
      <c r="AV367" s="762"/>
      <c r="AW367" s="762"/>
      <c r="AX367" s="762"/>
      <c r="AY367" s="762"/>
      <c r="AZ367" s="762"/>
      <c r="BA367" s="762"/>
      <c r="BB367" s="762"/>
      <c r="BC367" s="762"/>
      <c r="BD367" s="762"/>
      <c r="BE367" s="762"/>
      <c r="BF367" s="762"/>
      <c r="BG367" s="762"/>
      <c r="BH367" s="762"/>
    </row>
    <row r="368" spans="1:60" s="49" customFormat="1">
      <c r="A368" s="767"/>
      <c r="B368" s="767"/>
      <c r="C368" s="762"/>
      <c r="D368" s="762"/>
      <c r="E368" s="762"/>
      <c r="F368" s="762"/>
      <c r="G368" s="762"/>
      <c r="H368" s="762"/>
      <c r="I368" s="925"/>
      <c r="J368" s="762"/>
      <c r="K368" s="762"/>
      <c r="L368" s="762"/>
      <c r="M368" s="762"/>
      <c r="N368" s="762"/>
      <c r="O368" s="762"/>
      <c r="P368" s="762"/>
      <c r="Q368" s="925"/>
      <c r="R368" s="762"/>
      <c r="S368" s="762"/>
      <c r="T368" s="762"/>
      <c r="U368" s="762"/>
      <c r="V368" s="762"/>
      <c r="W368" s="762"/>
      <c r="X368" s="762"/>
      <c r="Y368" s="925"/>
      <c r="Z368" s="762"/>
      <c r="AA368" s="762"/>
      <c r="AB368" s="762"/>
      <c r="AC368" s="762"/>
      <c r="AD368" s="762"/>
      <c r="AE368" s="762"/>
      <c r="AF368" s="762"/>
      <c r="AG368" s="925"/>
      <c r="AH368" s="762"/>
      <c r="AI368" s="762"/>
      <c r="AJ368" s="762"/>
      <c r="AK368" s="762"/>
      <c r="AL368" s="762"/>
      <c r="AM368" s="762"/>
      <c r="AN368" s="762"/>
      <c r="AO368" s="925"/>
      <c r="AP368" s="762"/>
      <c r="AQ368" s="762"/>
      <c r="AR368" s="762"/>
      <c r="AS368" s="762"/>
      <c r="AT368" s="762"/>
      <c r="AU368" s="762"/>
      <c r="AV368" s="762"/>
      <c r="AW368" s="762"/>
      <c r="AX368" s="762"/>
      <c r="AY368" s="762"/>
      <c r="AZ368" s="762"/>
      <c r="BA368" s="762"/>
      <c r="BB368" s="762"/>
      <c r="BC368" s="762"/>
      <c r="BD368" s="762"/>
      <c r="BE368" s="762"/>
      <c r="BF368" s="762"/>
      <c r="BG368" s="762"/>
      <c r="BH368" s="762"/>
    </row>
    <row r="369" spans="1:60" s="49" customFormat="1">
      <c r="A369" s="767"/>
      <c r="B369" s="767"/>
      <c r="C369" s="762"/>
      <c r="D369" s="762"/>
      <c r="E369" s="762"/>
      <c r="F369" s="762"/>
      <c r="G369" s="762"/>
      <c r="H369" s="762"/>
      <c r="I369" s="925"/>
      <c r="J369" s="762"/>
      <c r="K369" s="762"/>
      <c r="L369" s="762"/>
      <c r="M369" s="762"/>
      <c r="N369" s="762"/>
      <c r="O369" s="762"/>
      <c r="P369" s="762"/>
      <c r="Q369" s="925"/>
      <c r="R369" s="762"/>
      <c r="S369" s="762"/>
      <c r="T369" s="762"/>
      <c r="U369" s="762"/>
      <c r="V369" s="762"/>
      <c r="W369" s="762"/>
      <c r="X369" s="762"/>
      <c r="Y369" s="925"/>
      <c r="Z369" s="762"/>
      <c r="AA369" s="762"/>
      <c r="AB369" s="762"/>
      <c r="AC369" s="762"/>
      <c r="AD369" s="762"/>
      <c r="AE369" s="762"/>
      <c r="AF369" s="762"/>
      <c r="AG369" s="925"/>
      <c r="AH369" s="762"/>
      <c r="AI369" s="762"/>
      <c r="AJ369" s="762"/>
      <c r="AK369" s="762"/>
      <c r="AL369" s="762"/>
      <c r="AM369" s="762"/>
      <c r="AN369" s="762"/>
      <c r="AO369" s="925"/>
      <c r="AP369" s="762"/>
      <c r="AQ369" s="762"/>
      <c r="AR369" s="762"/>
      <c r="AS369" s="762"/>
      <c r="AT369" s="762"/>
      <c r="AU369" s="762"/>
      <c r="AV369" s="762"/>
      <c r="AW369" s="762"/>
      <c r="AX369" s="762"/>
      <c r="AY369" s="762"/>
      <c r="AZ369" s="762"/>
      <c r="BA369" s="762"/>
      <c r="BB369" s="762"/>
      <c r="BC369" s="762"/>
      <c r="BD369" s="762"/>
      <c r="BE369" s="762"/>
      <c r="BF369" s="762"/>
      <c r="BG369" s="762"/>
      <c r="BH369" s="762"/>
    </row>
    <row r="370" spans="1:60" s="49" customFormat="1">
      <c r="A370" s="767"/>
      <c r="B370" s="767"/>
      <c r="C370" s="762"/>
      <c r="D370" s="762"/>
      <c r="E370" s="762"/>
      <c r="F370" s="762"/>
      <c r="G370" s="762"/>
      <c r="H370" s="762"/>
      <c r="I370" s="925"/>
      <c r="J370" s="762"/>
      <c r="K370" s="762"/>
      <c r="L370" s="762"/>
      <c r="M370" s="762"/>
      <c r="N370" s="762"/>
      <c r="O370" s="762"/>
      <c r="P370" s="762"/>
      <c r="Q370" s="925"/>
      <c r="R370" s="762"/>
      <c r="S370" s="762"/>
      <c r="T370" s="762"/>
      <c r="U370" s="762"/>
      <c r="V370" s="762"/>
      <c r="W370" s="762"/>
      <c r="X370" s="762"/>
      <c r="Y370" s="925"/>
      <c r="Z370" s="762"/>
      <c r="AA370" s="762"/>
      <c r="AB370" s="762"/>
      <c r="AC370" s="762"/>
      <c r="AD370" s="762"/>
      <c r="AE370" s="762"/>
      <c r="AF370" s="762"/>
      <c r="AG370" s="925"/>
      <c r="AH370" s="762"/>
      <c r="AI370" s="762"/>
      <c r="AJ370" s="762"/>
      <c r="AK370" s="762"/>
      <c r="AL370" s="762"/>
      <c r="AM370" s="762"/>
      <c r="AN370" s="762"/>
      <c r="AO370" s="925"/>
      <c r="AP370" s="762"/>
      <c r="AQ370" s="762"/>
      <c r="AR370" s="762"/>
      <c r="AS370" s="762"/>
      <c r="AT370" s="762"/>
      <c r="AU370" s="762"/>
      <c r="AV370" s="762"/>
      <c r="AW370" s="762"/>
      <c r="AX370" s="762"/>
      <c r="AY370" s="762"/>
      <c r="AZ370" s="762"/>
      <c r="BA370" s="762"/>
      <c r="BB370" s="762"/>
      <c r="BC370" s="762"/>
      <c r="BD370" s="762"/>
      <c r="BE370" s="762"/>
      <c r="BF370" s="762"/>
      <c r="BG370" s="762"/>
      <c r="BH370" s="762"/>
    </row>
    <row r="371" spans="1:60" s="49" customFormat="1">
      <c r="A371" s="767"/>
      <c r="B371" s="767"/>
      <c r="C371" s="762"/>
      <c r="D371" s="762"/>
      <c r="E371" s="762"/>
      <c r="F371" s="762"/>
      <c r="G371" s="762"/>
      <c r="H371" s="762"/>
      <c r="I371" s="925"/>
      <c r="J371" s="762"/>
      <c r="K371" s="762"/>
      <c r="L371" s="762"/>
      <c r="M371" s="762"/>
      <c r="N371" s="762"/>
      <c r="O371" s="762"/>
      <c r="P371" s="762"/>
      <c r="Q371" s="925"/>
      <c r="R371" s="762"/>
      <c r="S371" s="762"/>
      <c r="T371" s="762"/>
      <c r="U371" s="762"/>
      <c r="V371" s="762"/>
      <c r="W371" s="762"/>
      <c r="X371" s="762"/>
      <c r="Y371" s="925"/>
      <c r="Z371" s="762"/>
      <c r="AA371" s="762"/>
      <c r="AB371" s="762"/>
      <c r="AC371" s="762"/>
      <c r="AD371" s="762"/>
      <c r="AE371" s="762"/>
      <c r="AF371" s="762"/>
      <c r="AG371" s="925"/>
      <c r="AH371" s="762"/>
      <c r="AI371" s="762"/>
      <c r="AJ371" s="762"/>
      <c r="AK371" s="762"/>
      <c r="AL371" s="762"/>
      <c r="AM371" s="762"/>
      <c r="AN371" s="762"/>
      <c r="AO371" s="925"/>
      <c r="AP371" s="762"/>
      <c r="AQ371" s="762"/>
      <c r="AR371" s="762"/>
      <c r="AS371" s="762"/>
      <c r="AT371" s="762"/>
      <c r="AU371" s="762"/>
      <c r="AV371" s="762"/>
      <c r="AW371" s="762"/>
      <c r="AX371" s="762"/>
      <c r="AY371" s="762"/>
      <c r="AZ371" s="762"/>
      <c r="BA371" s="762"/>
      <c r="BB371" s="762"/>
      <c r="BC371" s="762"/>
      <c r="BD371" s="762"/>
      <c r="BE371" s="762"/>
      <c r="BF371" s="762"/>
      <c r="BG371" s="762"/>
      <c r="BH371" s="762"/>
    </row>
    <row r="372" spans="1:60" s="49" customFormat="1">
      <c r="A372" s="767"/>
      <c r="B372" s="767"/>
      <c r="C372" s="762"/>
      <c r="D372" s="762"/>
      <c r="E372" s="762"/>
      <c r="F372" s="762"/>
      <c r="G372" s="762"/>
      <c r="H372" s="762"/>
      <c r="I372" s="925"/>
      <c r="J372" s="762"/>
      <c r="K372" s="762"/>
      <c r="L372" s="762"/>
      <c r="M372" s="762"/>
      <c r="N372" s="762"/>
      <c r="O372" s="762"/>
      <c r="P372" s="762"/>
      <c r="Q372" s="925"/>
      <c r="R372" s="762"/>
      <c r="S372" s="762"/>
      <c r="T372" s="762"/>
      <c r="U372" s="762"/>
      <c r="V372" s="762"/>
      <c r="W372" s="762"/>
      <c r="X372" s="762"/>
      <c r="Y372" s="925"/>
      <c r="Z372" s="762"/>
      <c r="AA372" s="762"/>
      <c r="AB372" s="762"/>
      <c r="AC372" s="762"/>
      <c r="AD372" s="762"/>
      <c r="AE372" s="762"/>
      <c r="AF372" s="762"/>
      <c r="AG372" s="925"/>
      <c r="AH372" s="762"/>
      <c r="AI372" s="762"/>
      <c r="AJ372" s="762"/>
      <c r="AK372" s="762"/>
      <c r="AL372" s="762"/>
      <c r="AM372" s="762"/>
      <c r="AN372" s="762"/>
      <c r="AO372" s="925"/>
      <c r="AP372" s="762"/>
      <c r="AQ372" s="762"/>
      <c r="AR372" s="762"/>
      <c r="AS372" s="762"/>
      <c r="AT372" s="762"/>
      <c r="AU372" s="762"/>
      <c r="AV372" s="762"/>
      <c r="AW372" s="762"/>
      <c r="AX372" s="762"/>
      <c r="AY372" s="762"/>
      <c r="AZ372" s="762"/>
      <c r="BA372" s="762"/>
      <c r="BB372" s="762"/>
      <c r="BC372" s="762"/>
      <c r="BD372" s="762"/>
      <c r="BE372" s="762"/>
      <c r="BF372" s="762"/>
      <c r="BG372" s="762"/>
      <c r="BH372" s="762"/>
    </row>
    <row r="373" spans="1:60" s="49" customFormat="1">
      <c r="A373" s="767"/>
      <c r="B373" s="767"/>
      <c r="C373" s="762"/>
      <c r="D373" s="762"/>
      <c r="E373" s="762"/>
      <c r="F373" s="762"/>
      <c r="G373" s="762"/>
      <c r="H373" s="762"/>
      <c r="I373" s="925"/>
      <c r="J373" s="762"/>
      <c r="K373" s="762"/>
      <c r="L373" s="762"/>
      <c r="M373" s="762"/>
      <c r="N373" s="762"/>
      <c r="O373" s="762"/>
      <c r="P373" s="762"/>
      <c r="Q373" s="925"/>
      <c r="R373" s="762"/>
      <c r="S373" s="762"/>
      <c r="T373" s="762"/>
      <c r="U373" s="762"/>
      <c r="V373" s="762"/>
      <c r="W373" s="762"/>
      <c r="X373" s="762"/>
      <c r="Y373" s="925"/>
      <c r="Z373" s="762"/>
      <c r="AA373" s="762"/>
      <c r="AB373" s="762"/>
      <c r="AC373" s="762"/>
      <c r="AD373" s="762"/>
      <c r="AE373" s="762"/>
      <c r="AF373" s="762"/>
      <c r="AG373" s="925"/>
      <c r="AH373" s="762"/>
      <c r="AI373" s="762"/>
      <c r="AJ373" s="762"/>
      <c r="AK373" s="762"/>
      <c r="AL373" s="762"/>
      <c r="AM373" s="762"/>
      <c r="AN373" s="762"/>
      <c r="AO373" s="925"/>
      <c r="AP373" s="762"/>
      <c r="AQ373" s="762"/>
      <c r="AR373" s="762"/>
      <c r="AS373" s="762"/>
      <c r="AT373" s="762"/>
      <c r="AU373" s="762"/>
      <c r="AV373" s="762"/>
      <c r="AW373" s="762"/>
      <c r="AX373" s="762"/>
      <c r="AY373" s="762"/>
      <c r="AZ373" s="762"/>
      <c r="BA373" s="762"/>
      <c r="BB373" s="762"/>
      <c r="BC373" s="762"/>
      <c r="BD373" s="762"/>
      <c r="BE373" s="762"/>
      <c r="BF373" s="762"/>
      <c r="BG373" s="762"/>
      <c r="BH373" s="762"/>
    </row>
    <row r="374" spans="1:60" s="49" customFormat="1">
      <c r="A374" s="767"/>
      <c r="B374" s="767"/>
      <c r="C374" s="762"/>
      <c r="D374" s="762"/>
      <c r="E374" s="762"/>
      <c r="F374" s="762"/>
      <c r="G374" s="762"/>
      <c r="H374" s="762"/>
      <c r="I374" s="925"/>
      <c r="J374" s="762"/>
      <c r="K374" s="762"/>
      <c r="L374" s="762"/>
      <c r="M374" s="762"/>
      <c r="N374" s="762"/>
      <c r="O374" s="762"/>
      <c r="P374" s="762"/>
      <c r="Q374" s="925"/>
      <c r="R374" s="762"/>
      <c r="S374" s="762"/>
      <c r="T374" s="762"/>
      <c r="U374" s="762"/>
      <c r="V374" s="762"/>
      <c r="W374" s="762"/>
      <c r="X374" s="762"/>
      <c r="Y374" s="925"/>
      <c r="Z374" s="762"/>
      <c r="AA374" s="762"/>
      <c r="AB374" s="762"/>
      <c r="AC374" s="762"/>
      <c r="AD374" s="762"/>
      <c r="AE374" s="762"/>
      <c r="AF374" s="762"/>
      <c r="AG374" s="925"/>
      <c r="AH374" s="762"/>
      <c r="AI374" s="762"/>
      <c r="AJ374" s="762"/>
      <c r="AK374" s="762"/>
      <c r="AL374" s="762"/>
      <c r="AM374" s="762"/>
      <c r="AN374" s="762"/>
      <c r="AO374" s="925"/>
      <c r="AP374" s="762"/>
      <c r="AQ374" s="762"/>
      <c r="AR374" s="762"/>
      <c r="AS374" s="762"/>
      <c r="AT374" s="762"/>
      <c r="AU374" s="762"/>
      <c r="AV374" s="762"/>
      <c r="AW374" s="762"/>
      <c r="AX374" s="762"/>
      <c r="AY374" s="762"/>
      <c r="AZ374" s="762"/>
      <c r="BA374" s="762"/>
      <c r="BB374" s="762"/>
      <c r="BC374" s="762"/>
      <c r="BD374" s="762"/>
      <c r="BE374" s="762"/>
      <c r="BF374" s="762"/>
      <c r="BG374" s="762"/>
      <c r="BH374" s="762"/>
    </row>
    <row r="375" spans="1:60" s="49" customFormat="1">
      <c r="A375" s="767"/>
      <c r="B375" s="767"/>
      <c r="C375" s="762"/>
      <c r="D375" s="762"/>
      <c r="E375" s="762"/>
      <c r="F375" s="762"/>
      <c r="G375" s="762"/>
      <c r="H375" s="762"/>
      <c r="I375" s="925"/>
      <c r="J375" s="762"/>
      <c r="K375" s="762"/>
      <c r="L375" s="762"/>
      <c r="M375" s="762"/>
      <c r="N375" s="762"/>
      <c r="O375" s="762"/>
      <c r="P375" s="762"/>
      <c r="Q375" s="925"/>
      <c r="R375" s="762"/>
      <c r="S375" s="762"/>
      <c r="T375" s="762"/>
      <c r="U375" s="762"/>
      <c r="V375" s="762"/>
      <c r="W375" s="762"/>
      <c r="X375" s="762"/>
      <c r="Y375" s="925"/>
      <c r="Z375" s="762"/>
      <c r="AA375" s="762"/>
      <c r="AB375" s="762"/>
      <c r="AC375" s="762"/>
      <c r="AD375" s="762"/>
      <c r="AE375" s="762"/>
      <c r="AF375" s="762"/>
      <c r="AG375" s="925"/>
      <c r="AH375" s="762"/>
      <c r="AI375" s="762"/>
      <c r="AJ375" s="762"/>
      <c r="AK375" s="762"/>
      <c r="AL375" s="762"/>
      <c r="AM375" s="762"/>
      <c r="AN375" s="762"/>
      <c r="AO375" s="925"/>
      <c r="AP375" s="762"/>
      <c r="AQ375" s="762"/>
      <c r="AR375" s="762"/>
      <c r="AS375" s="762"/>
      <c r="AT375" s="762"/>
      <c r="AU375" s="762"/>
      <c r="AV375" s="762"/>
      <c r="AW375" s="762"/>
      <c r="AX375" s="762"/>
      <c r="AY375" s="762"/>
      <c r="AZ375" s="762"/>
      <c r="BA375" s="762"/>
      <c r="BB375" s="762"/>
      <c r="BC375" s="762"/>
      <c r="BD375" s="762"/>
      <c r="BE375" s="762"/>
      <c r="BF375" s="762"/>
      <c r="BG375" s="762"/>
      <c r="BH375" s="762"/>
    </row>
    <row r="376" spans="1:60" s="49" customFormat="1">
      <c r="A376" s="767"/>
      <c r="B376" s="767"/>
      <c r="C376" s="762"/>
      <c r="D376" s="762"/>
      <c r="E376" s="762"/>
      <c r="F376" s="762"/>
      <c r="G376" s="762"/>
      <c r="H376" s="762"/>
      <c r="I376" s="925"/>
      <c r="J376" s="762"/>
      <c r="K376" s="762"/>
      <c r="L376" s="762"/>
      <c r="M376" s="762"/>
      <c r="N376" s="762"/>
      <c r="O376" s="762"/>
      <c r="P376" s="762"/>
      <c r="Q376" s="925"/>
      <c r="R376" s="762"/>
      <c r="S376" s="762"/>
      <c r="T376" s="762"/>
      <c r="U376" s="762"/>
      <c r="V376" s="762"/>
      <c r="W376" s="762"/>
      <c r="X376" s="762"/>
      <c r="Y376" s="925"/>
      <c r="Z376" s="762"/>
      <c r="AA376" s="762"/>
      <c r="AB376" s="762"/>
      <c r="AC376" s="762"/>
      <c r="AD376" s="762"/>
      <c r="AE376" s="762"/>
      <c r="AF376" s="762"/>
      <c r="AG376" s="925"/>
      <c r="AH376" s="762"/>
      <c r="AI376" s="762"/>
      <c r="AJ376" s="762"/>
      <c r="AK376" s="762"/>
      <c r="AL376" s="762"/>
      <c r="AM376" s="762"/>
      <c r="AN376" s="762"/>
      <c r="AO376" s="925"/>
      <c r="AP376" s="762"/>
      <c r="AQ376" s="762"/>
      <c r="AR376" s="762"/>
      <c r="AS376" s="762"/>
      <c r="AT376" s="762"/>
      <c r="AU376" s="762"/>
      <c r="AV376" s="762"/>
      <c r="AW376" s="762"/>
      <c r="AX376" s="762"/>
      <c r="AY376" s="762"/>
      <c r="AZ376" s="762"/>
      <c r="BA376" s="762"/>
      <c r="BB376" s="762"/>
      <c r="BC376" s="762"/>
      <c r="BD376" s="762"/>
      <c r="BE376" s="762"/>
      <c r="BF376" s="762"/>
      <c r="BG376" s="762"/>
      <c r="BH376" s="762"/>
    </row>
    <row r="377" spans="1:60" s="49" customFormat="1">
      <c r="A377" s="767"/>
      <c r="B377" s="767"/>
      <c r="C377" s="762"/>
      <c r="D377" s="762"/>
      <c r="E377" s="762"/>
      <c r="F377" s="762"/>
      <c r="G377" s="762"/>
      <c r="H377" s="762"/>
      <c r="I377" s="925"/>
      <c r="J377" s="762"/>
      <c r="K377" s="762"/>
      <c r="L377" s="762"/>
      <c r="M377" s="762"/>
      <c r="N377" s="762"/>
      <c r="O377" s="762"/>
      <c r="P377" s="762"/>
      <c r="Q377" s="925"/>
      <c r="R377" s="762"/>
      <c r="S377" s="762"/>
      <c r="T377" s="762"/>
      <c r="U377" s="762"/>
      <c r="V377" s="762"/>
      <c r="W377" s="762"/>
      <c r="X377" s="762"/>
      <c r="Y377" s="925"/>
      <c r="Z377" s="762"/>
      <c r="AA377" s="762"/>
      <c r="AB377" s="762"/>
      <c r="AC377" s="762"/>
      <c r="AD377" s="762"/>
      <c r="AE377" s="762"/>
      <c r="AF377" s="762"/>
      <c r="AG377" s="925"/>
      <c r="AH377" s="762"/>
      <c r="AI377" s="762"/>
      <c r="AJ377" s="762"/>
      <c r="AK377" s="762"/>
      <c r="AL377" s="762"/>
      <c r="AM377" s="762"/>
      <c r="AN377" s="762"/>
      <c r="AO377" s="925"/>
      <c r="AP377" s="762"/>
      <c r="AQ377" s="762"/>
      <c r="AR377" s="762"/>
      <c r="AS377" s="762"/>
      <c r="AT377" s="762"/>
      <c r="AU377" s="762"/>
      <c r="AV377" s="762"/>
      <c r="AW377" s="762"/>
      <c r="AX377" s="762"/>
      <c r="AY377" s="762"/>
      <c r="AZ377" s="762"/>
      <c r="BA377" s="762"/>
      <c r="BB377" s="762"/>
      <c r="BC377" s="762"/>
      <c r="BD377" s="762"/>
      <c r="BE377" s="762"/>
      <c r="BF377" s="762"/>
      <c r="BG377" s="762"/>
      <c r="BH377" s="762"/>
    </row>
    <row r="378" spans="1:60" s="49" customFormat="1">
      <c r="A378" s="767"/>
      <c r="B378" s="767"/>
      <c r="C378" s="762"/>
      <c r="D378" s="762"/>
      <c r="E378" s="762"/>
      <c r="F378" s="762"/>
      <c r="G378" s="762"/>
      <c r="H378" s="762"/>
      <c r="I378" s="925"/>
      <c r="J378" s="762"/>
      <c r="K378" s="762"/>
      <c r="L378" s="762"/>
      <c r="M378" s="762"/>
      <c r="N378" s="762"/>
      <c r="O378" s="762"/>
      <c r="P378" s="762"/>
      <c r="Q378" s="925"/>
      <c r="R378" s="762"/>
      <c r="S378" s="762"/>
      <c r="T378" s="762"/>
      <c r="U378" s="762"/>
      <c r="V378" s="762"/>
      <c r="W378" s="762"/>
      <c r="X378" s="762"/>
      <c r="Y378" s="925"/>
      <c r="Z378" s="762"/>
      <c r="AA378" s="762"/>
      <c r="AB378" s="762"/>
      <c r="AC378" s="762"/>
      <c r="AD378" s="762"/>
      <c r="AE378" s="762"/>
      <c r="AF378" s="762"/>
      <c r="AG378" s="925"/>
      <c r="AH378" s="762"/>
      <c r="AI378" s="762"/>
      <c r="AJ378" s="762"/>
      <c r="AK378" s="762"/>
      <c r="AL378" s="762"/>
      <c r="AM378" s="762"/>
      <c r="AN378" s="762"/>
      <c r="AO378" s="925"/>
      <c r="AP378" s="762"/>
      <c r="AQ378" s="762"/>
      <c r="AR378" s="762"/>
      <c r="AS378" s="762"/>
      <c r="AT378" s="762"/>
      <c r="AU378" s="762"/>
      <c r="AV378" s="762"/>
      <c r="AW378" s="762"/>
      <c r="AX378" s="762"/>
      <c r="AY378" s="762"/>
      <c r="AZ378" s="762"/>
      <c r="BA378" s="762"/>
      <c r="BB378" s="762"/>
      <c r="BC378" s="762"/>
      <c r="BD378" s="762"/>
      <c r="BE378" s="762"/>
      <c r="BF378" s="762"/>
      <c r="BG378" s="762"/>
      <c r="BH378" s="762"/>
    </row>
    <row r="379" spans="1:60" s="49" customFormat="1">
      <c r="A379" s="767"/>
      <c r="B379" s="767"/>
      <c r="C379" s="762"/>
      <c r="D379" s="762"/>
      <c r="E379" s="762"/>
      <c r="F379" s="762"/>
      <c r="G379" s="762"/>
      <c r="H379" s="762"/>
      <c r="I379" s="925"/>
      <c r="J379" s="762"/>
      <c r="K379" s="762"/>
      <c r="L379" s="762"/>
      <c r="M379" s="762"/>
      <c r="N379" s="762"/>
      <c r="O379" s="762"/>
      <c r="P379" s="762"/>
      <c r="Q379" s="925"/>
      <c r="R379" s="762"/>
      <c r="S379" s="762"/>
      <c r="T379" s="762"/>
      <c r="U379" s="762"/>
      <c r="V379" s="762"/>
      <c r="W379" s="762"/>
      <c r="X379" s="762"/>
      <c r="Y379" s="925"/>
      <c r="Z379" s="762"/>
      <c r="AA379" s="762"/>
      <c r="AB379" s="762"/>
      <c r="AC379" s="762"/>
      <c r="AD379" s="762"/>
      <c r="AE379" s="762"/>
      <c r="AF379" s="762"/>
      <c r="AG379" s="925"/>
      <c r="AH379" s="762"/>
      <c r="AI379" s="762"/>
      <c r="AJ379" s="762"/>
      <c r="AK379" s="762"/>
      <c r="AL379" s="762"/>
      <c r="AM379" s="762"/>
      <c r="AN379" s="762"/>
      <c r="AO379" s="925"/>
      <c r="AP379" s="762"/>
      <c r="AQ379" s="762"/>
      <c r="AR379" s="762"/>
      <c r="AS379" s="762"/>
      <c r="AT379" s="762"/>
      <c r="AU379" s="762"/>
      <c r="AV379" s="762"/>
      <c r="AW379" s="762"/>
      <c r="AX379" s="762"/>
      <c r="AY379" s="762"/>
      <c r="AZ379" s="762"/>
      <c r="BA379" s="762"/>
      <c r="BB379" s="762"/>
      <c r="BC379" s="762"/>
      <c r="BD379" s="762"/>
      <c r="BE379" s="762"/>
      <c r="BF379" s="762"/>
      <c r="BG379" s="762"/>
      <c r="BH379" s="762"/>
    </row>
    <row r="380" spans="1:60" s="49" customFormat="1">
      <c r="A380" s="767"/>
      <c r="B380" s="767"/>
      <c r="C380" s="762"/>
      <c r="D380" s="762"/>
      <c r="E380" s="762"/>
      <c r="F380" s="762"/>
      <c r="G380" s="762"/>
      <c r="H380" s="762"/>
      <c r="I380" s="925"/>
      <c r="J380" s="762"/>
      <c r="K380" s="762"/>
      <c r="L380" s="762"/>
      <c r="M380" s="762"/>
      <c r="N380" s="762"/>
      <c r="O380" s="762"/>
      <c r="P380" s="762"/>
      <c r="Q380" s="925"/>
      <c r="R380" s="762"/>
      <c r="S380" s="762"/>
      <c r="T380" s="762"/>
      <c r="U380" s="762"/>
      <c r="V380" s="762"/>
      <c r="W380" s="762"/>
      <c r="X380" s="762"/>
      <c r="Y380" s="925"/>
      <c r="Z380" s="762"/>
      <c r="AA380" s="762"/>
      <c r="AB380" s="762"/>
      <c r="AC380" s="762"/>
      <c r="AD380" s="762"/>
      <c r="AE380" s="762"/>
      <c r="AF380" s="762"/>
      <c r="AG380" s="925"/>
      <c r="AH380" s="762"/>
      <c r="AI380" s="762"/>
      <c r="AJ380" s="762"/>
      <c r="AK380" s="762"/>
      <c r="AL380" s="762"/>
      <c r="AM380" s="762"/>
      <c r="AN380" s="762"/>
      <c r="AO380" s="925"/>
      <c r="AP380" s="762"/>
      <c r="AQ380" s="762"/>
      <c r="AR380" s="762"/>
      <c r="AS380" s="762"/>
      <c r="AT380" s="762"/>
      <c r="AU380" s="762"/>
      <c r="AV380" s="762"/>
      <c r="AW380" s="762"/>
      <c r="AX380" s="762"/>
      <c r="AY380" s="762"/>
      <c r="AZ380" s="762"/>
      <c r="BA380" s="762"/>
      <c r="BB380" s="762"/>
      <c r="BC380" s="762"/>
      <c r="BD380" s="762"/>
      <c r="BE380" s="762"/>
      <c r="BF380" s="762"/>
      <c r="BG380" s="762"/>
      <c r="BH380" s="762"/>
    </row>
    <row r="381" spans="1:60" s="49" customFormat="1">
      <c r="A381" s="767"/>
      <c r="B381" s="767"/>
      <c r="C381" s="762"/>
      <c r="D381" s="762"/>
      <c r="E381" s="762"/>
      <c r="F381" s="762"/>
      <c r="G381" s="762"/>
      <c r="H381" s="762"/>
      <c r="I381" s="925"/>
      <c r="J381" s="762"/>
      <c r="K381" s="762"/>
      <c r="L381" s="762"/>
      <c r="M381" s="762"/>
      <c r="N381" s="762"/>
      <c r="O381" s="762"/>
      <c r="P381" s="762"/>
      <c r="Q381" s="925"/>
      <c r="R381" s="762"/>
      <c r="S381" s="762"/>
      <c r="T381" s="762"/>
      <c r="U381" s="762"/>
      <c r="V381" s="762"/>
      <c r="W381" s="762"/>
      <c r="X381" s="762"/>
      <c r="Y381" s="925"/>
      <c r="Z381" s="762"/>
      <c r="AA381" s="762"/>
      <c r="AB381" s="762"/>
      <c r="AC381" s="762"/>
      <c r="AD381" s="762"/>
      <c r="AE381" s="762"/>
      <c r="AF381" s="762"/>
      <c r="AG381" s="925"/>
      <c r="AH381" s="762"/>
      <c r="AI381" s="762"/>
      <c r="AJ381" s="762"/>
      <c r="AK381" s="762"/>
      <c r="AL381" s="762"/>
      <c r="AM381" s="762"/>
      <c r="AN381" s="762"/>
      <c r="AO381" s="925"/>
      <c r="AP381" s="762"/>
      <c r="AQ381" s="762"/>
      <c r="AR381" s="762"/>
      <c r="AS381" s="762"/>
      <c r="AT381" s="762"/>
      <c r="AU381" s="762"/>
      <c r="AV381" s="762"/>
      <c r="AW381" s="762"/>
      <c r="AX381" s="762"/>
      <c r="AY381" s="762"/>
      <c r="AZ381" s="762"/>
      <c r="BA381" s="762"/>
      <c r="BB381" s="762"/>
      <c r="BC381" s="762"/>
      <c r="BD381" s="762"/>
      <c r="BE381" s="762"/>
      <c r="BF381" s="762"/>
      <c r="BG381" s="762"/>
      <c r="BH381" s="762"/>
    </row>
    <row r="382" spans="1:60" s="49" customFormat="1">
      <c r="A382" s="767"/>
      <c r="B382" s="767"/>
      <c r="C382" s="762"/>
      <c r="D382" s="762"/>
      <c r="E382" s="762"/>
      <c r="F382" s="762"/>
      <c r="G382" s="762"/>
      <c r="H382" s="762"/>
      <c r="I382" s="925"/>
      <c r="J382" s="762"/>
      <c r="K382" s="762"/>
      <c r="L382" s="762"/>
      <c r="M382" s="762"/>
      <c r="N382" s="762"/>
      <c r="O382" s="762"/>
      <c r="P382" s="762"/>
      <c r="Q382" s="925"/>
      <c r="R382" s="762"/>
      <c r="S382" s="762"/>
      <c r="T382" s="762"/>
      <c r="U382" s="762"/>
      <c r="V382" s="762"/>
      <c r="W382" s="762"/>
      <c r="X382" s="762"/>
      <c r="Y382" s="925"/>
      <c r="Z382" s="762"/>
      <c r="AA382" s="762"/>
      <c r="AB382" s="762"/>
      <c r="AC382" s="762"/>
      <c r="AD382" s="762"/>
      <c r="AE382" s="762"/>
      <c r="AF382" s="762"/>
      <c r="AG382" s="925"/>
      <c r="AH382" s="762"/>
      <c r="AI382" s="762"/>
      <c r="AJ382" s="762"/>
      <c r="AK382" s="762"/>
      <c r="AL382" s="762"/>
      <c r="AM382" s="762"/>
      <c r="AN382" s="762"/>
      <c r="AO382" s="925"/>
      <c r="AP382" s="762"/>
      <c r="AQ382" s="762"/>
      <c r="AR382" s="762"/>
      <c r="AS382" s="762"/>
      <c r="AT382" s="762"/>
      <c r="AU382" s="762"/>
      <c r="AV382" s="762"/>
      <c r="AW382" s="762"/>
      <c r="AX382" s="762"/>
      <c r="AY382" s="762"/>
      <c r="AZ382" s="762"/>
      <c r="BA382" s="762"/>
      <c r="BB382" s="762"/>
      <c r="BC382" s="762"/>
      <c r="BD382" s="762"/>
      <c r="BE382" s="762"/>
      <c r="BF382" s="762"/>
      <c r="BG382" s="762"/>
      <c r="BH382" s="762"/>
    </row>
    <row r="383" spans="1:60" s="49" customFormat="1">
      <c r="A383" s="767"/>
      <c r="B383" s="767"/>
      <c r="C383" s="762"/>
      <c r="D383" s="762"/>
      <c r="E383" s="762"/>
      <c r="F383" s="762"/>
      <c r="G383" s="762"/>
      <c r="H383" s="762"/>
      <c r="I383" s="925"/>
      <c r="J383" s="762"/>
      <c r="K383" s="762"/>
      <c r="L383" s="762"/>
      <c r="M383" s="762"/>
      <c r="N383" s="762"/>
      <c r="O383" s="762"/>
      <c r="P383" s="762"/>
      <c r="Q383" s="925"/>
      <c r="R383" s="762"/>
      <c r="S383" s="762"/>
      <c r="T383" s="762"/>
      <c r="U383" s="762"/>
      <c r="V383" s="762"/>
      <c r="W383" s="762"/>
      <c r="X383" s="762"/>
      <c r="Y383" s="925"/>
      <c r="Z383" s="762"/>
      <c r="AA383" s="762"/>
      <c r="AB383" s="762"/>
      <c r="AC383" s="762"/>
      <c r="AD383" s="762"/>
      <c r="AE383" s="762"/>
      <c r="AF383" s="762"/>
      <c r="AG383" s="925"/>
      <c r="AH383" s="762"/>
      <c r="AI383" s="762"/>
      <c r="AJ383" s="762"/>
      <c r="AK383" s="762"/>
      <c r="AL383" s="762"/>
      <c r="AM383" s="762"/>
      <c r="AN383" s="762"/>
      <c r="AO383" s="925"/>
      <c r="AP383" s="762"/>
      <c r="AQ383" s="762"/>
      <c r="AR383" s="762"/>
      <c r="AS383" s="762"/>
      <c r="AT383" s="762"/>
      <c r="AU383" s="762"/>
      <c r="AV383" s="762"/>
      <c r="AW383" s="762"/>
      <c r="AX383" s="762"/>
      <c r="AY383" s="762"/>
      <c r="AZ383" s="762"/>
      <c r="BA383" s="762"/>
      <c r="BB383" s="762"/>
      <c r="BC383" s="762"/>
      <c r="BD383" s="762"/>
      <c r="BE383" s="762"/>
      <c r="BF383" s="762"/>
      <c r="BG383" s="762"/>
      <c r="BH383" s="762"/>
    </row>
    <row r="384" spans="1:60" s="49" customFormat="1">
      <c r="A384" s="767"/>
      <c r="B384" s="767"/>
      <c r="C384" s="762"/>
      <c r="D384" s="762"/>
      <c r="E384" s="762"/>
      <c r="F384" s="762"/>
      <c r="G384" s="762"/>
      <c r="H384" s="762"/>
      <c r="I384" s="925"/>
      <c r="J384" s="762"/>
      <c r="K384" s="762"/>
      <c r="L384" s="762"/>
      <c r="M384" s="762"/>
      <c r="N384" s="762"/>
      <c r="O384" s="762"/>
      <c r="P384" s="762"/>
      <c r="Q384" s="925"/>
      <c r="R384" s="762"/>
      <c r="S384" s="762"/>
      <c r="T384" s="762"/>
      <c r="U384" s="762"/>
      <c r="V384" s="762"/>
      <c r="W384" s="762"/>
      <c r="X384" s="762"/>
      <c r="Y384" s="925"/>
      <c r="Z384" s="762"/>
      <c r="AA384" s="762"/>
      <c r="AB384" s="762"/>
      <c r="AC384" s="762"/>
      <c r="AD384" s="762"/>
      <c r="AE384" s="762"/>
      <c r="AF384" s="762"/>
      <c r="AG384" s="925"/>
      <c r="AH384" s="762"/>
      <c r="AI384" s="762"/>
      <c r="AJ384" s="762"/>
      <c r="AK384" s="762"/>
      <c r="AL384" s="762"/>
      <c r="AM384" s="762"/>
      <c r="AN384" s="762"/>
      <c r="AO384" s="925"/>
      <c r="AP384" s="762"/>
      <c r="AQ384" s="762"/>
      <c r="AR384" s="762"/>
      <c r="AS384" s="762"/>
      <c r="AT384" s="762"/>
      <c r="AU384" s="762"/>
      <c r="AV384" s="762"/>
      <c r="AW384" s="762"/>
      <c r="AX384" s="762"/>
      <c r="AY384" s="762"/>
      <c r="AZ384" s="762"/>
      <c r="BA384" s="762"/>
      <c r="BB384" s="762"/>
      <c r="BC384" s="762"/>
      <c r="BD384" s="762"/>
      <c r="BE384" s="762"/>
      <c r="BF384" s="762"/>
      <c r="BG384" s="762"/>
      <c r="BH384" s="762"/>
    </row>
    <row r="385" spans="1:60" s="49" customFormat="1">
      <c r="A385" s="767"/>
      <c r="B385" s="767"/>
      <c r="C385" s="762"/>
      <c r="D385" s="762"/>
      <c r="E385" s="762"/>
      <c r="F385" s="762"/>
      <c r="G385" s="762"/>
      <c r="H385" s="762"/>
      <c r="I385" s="925"/>
      <c r="J385" s="762"/>
      <c r="K385" s="762"/>
      <c r="L385" s="762"/>
      <c r="M385" s="762"/>
      <c r="N385" s="762"/>
      <c r="O385" s="762"/>
      <c r="P385" s="762"/>
      <c r="Q385" s="925"/>
      <c r="R385" s="762"/>
      <c r="S385" s="762"/>
      <c r="T385" s="762"/>
      <c r="U385" s="762"/>
      <c r="V385" s="762"/>
      <c r="W385" s="762"/>
      <c r="X385" s="762"/>
      <c r="Y385" s="925"/>
      <c r="Z385" s="762"/>
      <c r="AA385" s="762"/>
      <c r="AB385" s="762"/>
      <c r="AC385" s="762"/>
      <c r="AD385" s="762"/>
      <c r="AE385" s="762"/>
      <c r="AF385" s="762"/>
      <c r="AG385" s="925"/>
      <c r="AH385" s="762"/>
      <c r="AI385" s="762"/>
      <c r="AJ385" s="762"/>
      <c r="AK385" s="762"/>
      <c r="AL385" s="762"/>
      <c r="AM385" s="762"/>
      <c r="AN385" s="762"/>
      <c r="AO385" s="925"/>
      <c r="AP385" s="762"/>
      <c r="AQ385" s="762"/>
      <c r="AR385" s="762"/>
      <c r="AS385" s="762"/>
      <c r="AT385" s="762"/>
      <c r="AU385" s="762"/>
      <c r="AV385" s="762"/>
      <c r="AW385" s="762"/>
      <c r="AX385" s="762"/>
      <c r="AY385" s="762"/>
      <c r="AZ385" s="762"/>
      <c r="BA385" s="762"/>
      <c r="BB385" s="762"/>
      <c r="BC385" s="762"/>
      <c r="BD385" s="762"/>
      <c r="BE385" s="762"/>
      <c r="BF385" s="762"/>
      <c r="BG385" s="762"/>
      <c r="BH385" s="762"/>
    </row>
    <row r="386" spans="1:60" s="49" customFormat="1">
      <c r="A386" s="767"/>
      <c r="B386" s="767"/>
      <c r="C386" s="762"/>
      <c r="D386" s="762"/>
      <c r="E386" s="762"/>
      <c r="F386" s="762"/>
      <c r="G386" s="762"/>
      <c r="H386" s="762"/>
      <c r="I386" s="925"/>
      <c r="J386" s="762"/>
      <c r="K386" s="762"/>
      <c r="L386" s="762"/>
      <c r="M386" s="762"/>
      <c r="N386" s="762"/>
      <c r="O386" s="762"/>
      <c r="P386" s="762"/>
      <c r="Q386" s="925"/>
      <c r="R386" s="762"/>
      <c r="S386" s="762"/>
      <c r="T386" s="762"/>
      <c r="U386" s="762"/>
      <c r="V386" s="762"/>
      <c r="W386" s="762"/>
      <c r="X386" s="762"/>
      <c r="Y386" s="925"/>
      <c r="Z386" s="762"/>
      <c r="AA386" s="762"/>
      <c r="AB386" s="762"/>
      <c r="AC386" s="762"/>
      <c r="AD386" s="762"/>
      <c r="AE386" s="762"/>
      <c r="AF386" s="762"/>
      <c r="AG386" s="925"/>
      <c r="AH386" s="762"/>
      <c r="AI386" s="762"/>
      <c r="AJ386" s="762"/>
      <c r="AK386" s="762"/>
      <c r="AL386" s="762"/>
      <c r="AM386" s="762"/>
      <c r="AN386" s="762"/>
      <c r="AO386" s="925"/>
      <c r="AP386" s="762"/>
      <c r="AQ386" s="762"/>
      <c r="AR386" s="762"/>
      <c r="AS386" s="762"/>
      <c r="AT386" s="762"/>
      <c r="AU386" s="762"/>
      <c r="AV386" s="762"/>
      <c r="AW386" s="762"/>
      <c r="AX386" s="762"/>
      <c r="AY386" s="762"/>
      <c r="AZ386" s="762"/>
      <c r="BA386" s="762"/>
      <c r="BB386" s="762"/>
      <c r="BC386" s="762"/>
      <c r="BD386" s="762"/>
      <c r="BE386" s="762"/>
      <c r="BF386" s="762"/>
      <c r="BG386" s="762"/>
      <c r="BH386" s="762"/>
    </row>
    <row r="387" spans="1:60" s="49" customFormat="1">
      <c r="A387" s="767"/>
      <c r="B387" s="767"/>
      <c r="C387" s="762"/>
      <c r="D387" s="762"/>
      <c r="E387" s="762"/>
      <c r="F387" s="762"/>
      <c r="G387" s="762"/>
      <c r="H387" s="762"/>
      <c r="I387" s="925"/>
      <c r="J387" s="762"/>
      <c r="K387" s="762"/>
      <c r="L387" s="762"/>
      <c r="M387" s="762"/>
      <c r="N387" s="762"/>
      <c r="O387" s="762"/>
      <c r="P387" s="762"/>
      <c r="Q387" s="925"/>
      <c r="R387" s="762"/>
      <c r="S387" s="762"/>
      <c r="T387" s="762"/>
      <c r="U387" s="762"/>
      <c r="V387" s="762"/>
      <c r="W387" s="762"/>
      <c r="X387" s="762"/>
      <c r="Y387" s="925"/>
      <c r="Z387" s="762"/>
      <c r="AA387" s="762"/>
      <c r="AB387" s="762"/>
      <c r="AC387" s="762"/>
      <c r="AD387" s="762"/>
      <c r="AE387" s="762"/>
      <c r="AF387" s="762"/>
      <c r="AG387" s="925"/>
      <c r="AH387" s="762"/>
      <c r="AI387" s="762"/>
      <c r="AJ387" s="762"/>
      <c r="AK387" s="762"/>
      <c r="AL387" s="762"/>
      <c r="AM387" s="762"/>
      <c r="AN387" s="762"/>
      <c r="AO387" s="925"/>
      <c r="AP387" s="762"/>
      <c r="AQ387" s="762"/>
      <c r="AR387" s="762"/>
      <c r="AS387" s="762"/>
      <c r="AT387" s="762"/>
      <c r="AU387" s="762"/>
      <c r="AV387" s="762"/>
      <c r="AW387" s="762"/>
      <c r="AX387" s="762"/>
      <c r="AY387" s="762"/>
      <c r="AZ387" s="762"/>
      <c r="BA387" s="762"/>
      <c r="BB387" s="762"/>
      <c r="BC387" s="762"/>
      <c r="BD387" s="762"/>
      <c r="BE387" s="762"/>
      <c r="BF387" s="762"/>
      <c r="BG387" s="762"/>
      <c r="BH387" s="762"/>
    </row>
    <row r="388" spans="1:60" s="49" customFormat="1">
      <c r="A388" s="767"/>
      <c r="B388" s="767"/>
      <c r="C388" s="762"/>
      <c r="D388" s="762"/>
      <c r="E388" s="762"/>
      <c r="F388" s="762"/>
      <c r="G388" s="762"/>
      <c r="H388" s="762"/>
      <c r="I388" s="925"/>
      <c r="J388" s="762"/>
      <c r="K388" s="762"/>
      <c r="L388" s="762"/>
      <c r="M388" s="762"/>
      <c r="N388" s="762"/>
      <c r="O388" s="762"/>
      <c r="P388" s="762"/>
      <c r="Q388" s="925"/>
      <c r="R388" s="762"/>
      <c r="S388" s="762"/>
      <c r="T388" s="762"/>
      <c r="U388" s="762"/>
      <c r="V388" s="762"/>
      <c r="W388" s="762"/>
      <c r="X388" s="762"/>
      <c r="Y388" s="925"/>
      <c r="Z388" s="762"/>
      <c r="AA388" s="762"/>
      <c r="AB388" s="762"/>
      <c r="AC388" s="762"/>
      <c r="AD388" s="762"/>
      <c r="AE388" s="762"/>
      <c r="AF388" s="762"/>
      <c r="AG388" s="925"/>
      <c r="AH388" s="762"/>
      <c r="AI388" s="762"/>
      <c r="AJ388" s="762"/>
      <c r="AK388" s="762"/>
      <c r="AL388" s="762"/>
      <c r="AM388" s="762"/>
      <c r="AN388" s="762"/>
      <c r="AO388" s="925"/>
      <c r="AP388" s="762"/>
      <c r="AQ388" s="762"/>
      <c r="AR388" s="762"/>
      <c r="AS388" s="762"/>
      <c r="AT388" s="762"/>
      <c r="AU388" s="762"/>
      <c r="AV388" s="762"/>
      <c r="AW388" s="762"/>
      <c r="AX388" s="762"/>
      <c r="AY388" s="762"/>
      <c r="AZ388" s="762"/>
      <c r="BA388" s="762"/>
      <c r="BB388" s="762"/>
      <c r="BC388" s="762"/>
      <c r="BD388" s="762"/>
      <c r="BE388" s="762"/>
      <c r="BF388" s="762"/>
      <c r="BG388" s="762"/>
      <c r="BH388" s="762"/>
    </row>
    <row r="389" spans="1:60" s="49" customFormat="1">
      <c r="A389" s="767"/>
      <c r="B389" s="767"/>
      <c r="C389" s="762"/>
      <c r="D389" s="762"/>
      <c r="E389" s="762"/>
      <c r="F389" s="762"/>
      <c r="G389" s="762"/>
      <c r="H389" s="762"/>
      <c r="I389" s="925"/>
      <c r="J389" s="762"/>
      <c r="K389" s="762"/>
      <c r="L389" s="762"/>
      <c r="M389" s="762"/>
      <c r="N389" s="762"/>
      <c r="O389" s="762"/>
      <c r="P389" s="762"/>
      <c r="Q389" s="925"/>
      <c r="R389" s="762"/>
      <c r="S389" s="762"/>
      <c r="T389" s="762"/>
      <c r="U389" s="762"/>
      <c r="V389" s="762"/>
      <c r="W389" s="762"/>
      <c r="X389" s="762"/>
      <c r="Y389" s="925"/>
      <c r="Z389" s="762"/>
      <c r="AA389" s="762"/>
      <c r="AB389" s="762"/>
      <c r="AC389" s="762"/>
      <c r="AD389" s="762"/>
      <c r="AE389" s="762"/>
      <c r="AF389" s="762"/>
      <c r="AG389" s="925"/>
      <c r="AH389" s="762"/>
      <c r="AI389" s="762"/>
      <c r="AJ389" s="762"/>
      <c r="AK389" s="762"/>
      <c r="AL389" s="762"/>
      <c r="AM389" s="762"/>
      <c r="AN389" s="762"/>
      <c r="AO389" s="925"/>
      <c r="AP389" s="762"/>
      <c r="AQ389" s="762"/>
      <c r="AR389" s="762"/>
      <c r="AS389" s="762"/>
      <c r="AT389" s="762"/>
      <c r="AU389" s="762"/>
      <c r="AV389" s="762"/>
      <c r="AW389" s="762"/>
      <c r="AX389" s="762"/>
      <c r="AY389" s="762"/>
      <c r="AZ389" s="762"/>
      <c r="BA389" s="762"/>
      <c r="BB389" s="762"/>
      <c r="BC389" s="762"/>
      <c r="BD389" s="762"/>
      <c r="BE389" s="762"/>
      <c r="BF389" s="762"/>
      <c r="BG389" s="762"/>
      <c r="BH389" s="762"/>
    </row>
    <row r="390" spans="1:60" s="49" customFormat="1">
      <c r="A390" s="767"/>
      <c r="B390" s="767"/>
      <c r="C390" s="762"/>
      <c r="D390" s="762"/>
      <c r="E390" s="762"/>
      <c r="F390" s="762"/>
      <c r="G390" s="762"/>
      <c r="H390" s="762"/>
      <c r="I390" s="925"/>
      <c r="J390" s="762"/>
      <c r="K390" s="762"/>
      <c r="L390" s="762"/>
      <c r="M390" s="762"/>
      <c r="N390" s="762"/>
      <c r="O390" s="762"/>
      <c r="P390" s="762"/>
      <c r="Q390" s="925"/>
      <c r="R390" s="762"/>
      <c r="S390" s="762"/>
      <c r="T390" s="762"/>
      <c r="U390" s="762"/>
      <c r="V390" s="762"/>
      <c r="W390" s="762"/>
      <c r="X390" s="762"/>
      <c r="Y390" s="925"/>
      <c r="Z390" s="762"/>
      <c r="AA390" s="762"/>
      <c r="AB390" s="762"/>
      <c r="AC390" s="762"/>
      <c r="AD390" s="762"/>
      <c r="AE390" s="762"/>
      <c r="AF390" s="762"/>
      <c r="AG390" s="925"/>
      <c r="AH390" s="762"/>
      <c r="AI390" s="762"/>
      <c r="AJ390" s="762"/>
      <c r="AK390" s="762"/>
      <c r="AL390" s="762"/>
      <c r="AM390" s="762"/>
      <c r="AN390" s="762"/>
      <c r="AO390" s="925"/>
      <c r="AP390" s="762"/>
      <c r="AQ390" s="762"/>
      <c r="AR390" s="762"/>
      <c r="AS390" s="762"/>
      <c r="AT390" s="762"/>
      <c r="AU390" s="762"/>
      <c r="AV390" s="762"/>
      <c r="AW390" s="762"/>
      <c r="AX390" s="762"/>
      <c r="AY390" s="762"/>
      <c r="AZ390" s="762"/>
      <c r="BA390" s="762"/>
      <c r="BB390" s="762"/>
      <c r="BC390" s="762"/>
      <c r="BD390" s="762"/>
      <c r="BE390" s="762"/>
      <c r="BF390" s="762"/>
      <c r="BG390" s="762"/>
      <c r="BH390" s="762"/>
    </row>
    <row r="391" spans="1:60" s="49" customFormat="1">
      <c r="A391" s="767"/>
      <c r="B391" s="767"/>
      <c r="C391" s="762"/>
      <c r="D391" s="762"/>
      <c r="E391" s="762"/>
      <c r="F391" s="762"/>
      <c r="G391" s="762"/>
      <c r="H391" s="762"/>
      <c r="I391" s="925"/>
      <c r="J391" s="762"/>
      <c r="K391" s="762"/>
      <c r="L391" s="762"/>
      <c r="M391" s="762"/>
      <c r="N391" s="762"/>
      <c r="O391" s="762"/>
      <c r="P391" s="762"/>
      <c r="Q391" s="925"/>
      <c r="R391" s="762"/>
      <c r="S391" s="762"/>
      <c r="T391" s="762"/>
      <c r="U391" s="762"/>
      <c r="V391" s="762"/>
      <c r="W391" s="762"/>
      <c r="X391" s="762"/>
      <c r="Y391" s="925"/>
      <c r="Z391" s="762"/>
      <c r="AA391" s="762"/>
      <c r="AB391" s="762"/>
      <c r="AC391" s="762"/>
      <c r="AD391" s="762"/>
      <c r="AE391" s="762"/>
      <c r="AF391" s="762"/>
      <c r="AG391" s="925"/>
      <c r="AH391" s="762"/>
      <c r="AI391" s="762"/>
      <c r="AJ391" s="762"/>
      <c r="AK391" s="762"/>
      <c r="AL391" s="762"/>
      <c r="AM391" s="762"/>
      <c r="AN391" s="762"/>
      <c r="AO391" s="925"/>
      <c r="AP391" s="762"/>
      <c r="AQ391" s="762"/>
      <c r="AR391" s="762"/>
      <c r="AS391" s="762"/>
      <c r="AT391" s="762"/>
      <c r="AU391" s="762"/>
      <c r="AV391" s="762"/>
      <c r="AW391" s="762"/>
      <c r="AX391" s="762"/>
      <c r="AY391" s="762"/>
      <c r="AZ391" s="762"/>
      <c r="BA391" s="762"/>
      <c r="BB391" s="762"/>
      <c r="BC391" s="762"/>
      <c r="BD391" s="762"/>
      <c r="BE391" s="762"/>
      <c r="BF391" s="762"/>
      <c r="BG391" s="762"/>
      <c r="BH391" s="762"/>
    </row>
    <row r="392" spans="1:60" s="49" customFormat="1">
      <c r="A392" s="767"/>
      <c r="B392" s="767"/>
      <c r="C392" s="762"/>
      <c r="D392" s="762"/>
      <c r="E392" s="762"/>
      <c r="F392" s="762"/>
      <c r="G392" s="762"/>
      <c r="H392" s="762"/>
      <c r="I392" s="925"/>
      <c r="J392" s="762"/>
      <c r="K392" s="762"/>
      <c r="L392" s="762"/>
      <c r="M392" s="762"/>
      <c r="N392" s="762"/>
      <c r="O392" s="762"/>
      <c r="P392" s="762"/>
      <c r="Q392" s="925"/>
      <c r="R392" s="762"/>
      <c r="S392" s="762"/>
      <c r="T392" s="762"/>
      <c r="U392" s="762"/>
      <c r="V392" s="762"/>
      <c r="W392" s="762"/>
      <c r="X392" s="762"/>
      <c r="Y392" s="925"/>
      <c r="Z392" s="762"/>
      <c r="AA392" s="762"/>
      <c r="AB392" s="762"/>
      <c r="AC392" s="762"/>
      <c r="AD392" s="762"/>
      <c r="AE392" s="762"/>
      <c r="AF392" s="762"/>
      <c r="AG392" s="925"/>
      <c r="AH392" s="762"/>
      <c r="AI392" s="762"/>
      <c r="AJ392" s="762"/>
      <c r="AK392" s="762"/>
      <c r="AL392" s="762"/>
      <c r="AM392" s="762"/>
      <c r="AN392" s="762"/>
      <c r="AO392" s="925"/>
      <c r="AP392" s="762"/>
      <c r="AQ392" s="762"/>
      <c r="AR392" s="762"/>
      <c r="AS392" s="762"/>
      <c r="AT392" s="762"/>
      <c r="AU392" s="762"/>
      <c r="AV392" s="762"/>
      <c r="AW392" s="762"/>
      <c r="AX392" s="762"/>
      <c r="AY392" s="762"/>
      <c r="AZ392" s="762"/>
      <c r="BA392" s="762"/>
      <c r="BB392" s="762"/>
      <c r="BC392" s="762"/>
      <c r="BD392" s="762"/>
      <c r="BE392" s="762"/>
      <c r="BF392" s="762"/>
      <c r="BG392" s="762"/>
      <c r="BH392" s="762"/>
    </row>
    <row r="393" spans="1:60" s="49" customFormat="1">
      <c r="A393" s="767"/>
      <c r="B393" s="767"/>
      <c r="C393" s="762"/>
      <c r="D393" s="762"/>
      <c r="E393" s="762"/>
      <c r="F393" s="762"/>
      <c r="G393" s="762"/>
      <c r="H393" s="762"/>
      <c r="I393" s="925"/>
      <c r="J393" s="762"/>
      <c r="K393" s="762"/>
      <c r="L393" s="762"/>
      <c r="M393" s="762"/>
      <c r="N393" s="762"/>
      <c r="O393" s="762"/>
      <c r="P393" s="762"/>
      <c r="Q393" s="925"/>
      <c r="R393" s="762"/>
      <c r="S393" s="762"/>
      <c r="T393" s="762"/>
      <c r="U393" s="762"/>
      <c r="V393" s="762"/>
      <c r="W393" s="762"/>
      <c r="X393" s="762"/>
      <c r="Y393" s="925"/>
      <c r="Z393" s="762"/>
      <c r="AA393" s="762"/>
      <c r="AB393" s="762"/>
      <c r="AC393" s="762"/>
      <c r="AD393" s="762"/>
      <c r="AE393" s="762"/>
      <c r="AF393" s="762"/>
      <c r="AG393" s="925"/>
      <c r="AH393" s="762"/>
      <c r="AI393" s="762"/>
      <c r="AJ393" s="762"/>
      <c r="AK393" s="762"/>
      <c r="AL393" s="762"/>
      <c r="AM393" s="762"/>
      <c r="AN393" s="762"/>
      <c r="AO393" s="925"/>
      <c r="AP393" s="762"/>
      <c r="AQ393" s="762"/>
      <c r="AR393" s="762"/>
      <c r="AS393" s="762"/>
      <c r="AT393" s="762"/>
      <c r="AU393" s="762"/>
      <c r="AV393" s="762"/>
      <c r="AW393" s="762"/>
      <c r="AX393" s="762"/>
      <c r="AY393" s="762"/>
      <c r="AZ393" s="762"/>
      <c r="BA393" s="762"/>
      <c r="BB393" s="762"/>
      <c r="BC393" s="762"/>
      <c r="BD393" s="762"/>
      <c r="BE393" s="762"/>
      <c r="BF393" s="762"/>
      <c r="BG393" s="762"/>
      <c r="BH393" s="762"/>
    </row>
    <row r="394" spans="1:60" s="49" customFormat="1">
      <c r="A394" s="767"/>
      <c r="B394" s="767"/>
      <c r="C394" s="762"/>
      <c r="D394" s="762"/>
      <c r="E394" s="762"/>
      <c r="F394" s="762"/>
      <c r="G394" s="762"/>
      <c r="H394" s="762"/>
      <c r="I394" s="925"/>
      <c r="J394" s="762"/>
      <c r="K394" s="762"/>
      <c r="L394" s="762"/>
      <c r="M394" s="762"/>
      <c r="N394" s="762"/>
      <c r="O394" s="762"/>
      <c r="P394" s="762"/>
      <c r="Q394" s="925"/>
      <c r="R394" s="762"/>
      <c r="S394" s="762"/>
      <c r="T394" s="762"/>
      <c r="U394" s="762"/>
      <c r="V394" s="762"/>
      <c r="W394" s="762"/>
      <c r="X394" s="762"/>
      <c r="Y394" s="925"/>
      <c r="Z394" s="762"/>
      <c r="AA394" s="762"/>
      <c r="AB394" s="762"/>
      <c r="AC394" s="762"/>
      <c r="AD394" s="762"/>
      <c r="AE394" s="762"/>
      <c r="AF394" s="762"/>
      <c r="AG394" s="925"/>
      <c r="AH394" s="762"/>
      <c r="AI394" s="762"/>
      <c r="AJ394" s="762"/>
      <c r="AK394" s="762"/>
      <c r="AL394" s="762"/>
      <c r="AM394" s="762"/>
      <c r="AN394" s="762"/>
      <c r="AO394" s="925"/>
      <c r="AP394" s="762"/>
      <c r="AQ394" s="762"/>
      <c r="AR394" s="762"/>
      <c r="AS394" s="762"/>
      <c r="AT394" s="762"/>
      <c r="AU394" s="762"/>
      <c r="AV394" s="762"/>
      <c r="AW394" s="762"/>
      <c r="AX394" s="762"/>
      <c r="AY394" s="762"/>
      <c r="AZ394" s="762"/>
      <c r="BA394" s="762"/>
      <c r="BB394" s="762"/>
      <c r="BC394" s="762"/>
      <c r="BD394" s="762"/>
      <c r="BE394" s="762"/>
      <c r="BF394" s="762"/>
      <c r="BG394" s="762"/>
      <c r="BH394" s="762"/>
    </row>
    <row r="395" spans="1:60" s="49" customFormat="1">
      <c r="A395" s="767"/>
      <c r="B395" s="767"/>
      <c r="C395" s="762"/>
      <c r="D395" s="762"/>
      <c r="E395" s="762"/>
      <c r="F395" s="762"/>
      <c r="G395" s="762"/>
      <c r="H395" s="762"/>
      <c r="I395" s="925"/>
      <c r="J395" s="762"/>
      <c r="K395" s="762"/>
      <c r="L395" s="762"/>
      <c r="M395" s="762"/>
      <c r="N395" s="762"/>
      <c r="O395" s="762"/>
      <c r="P395" s="762"/>
      <c r="Q395" s="925"/>
      <c r="R395" s="762"/>
      <c r="S395" s="762"/>
      <c r="T395" s="762"/>
      <c r="U395" s="762"/>
      <c r="V395" s="762"/>
      <c r="W395" s="762"/>
      <c r="X395" s="762"/>
      <c r="Y395" s="925"/>
      <c r="Z395" s="762"/>
      <c r="AA395" s="762"/>
      <c r="AB395" s="762"/>
      <c r="AC395" s="762"/>
      <c r="AD395" s="762"/>
      <c r="AE395" s="762"/>
      <c r="AF395" s="762"/>
      <c r="AG395" s="925"/>
      <c r="AH395" s="762"/>
      <c r="AI395" s="762"/>
      <c r="AJ395" s="762"/>
      <c r="AK395" s="762"/>
      <c r="AL395" s="762"/>
      <c r="AM395" s="762"/>
      <c r="AN395" s="762"/>
      <c r="AO395" s="925"/>
      <c r="AP395" s="762"/>
      <c r="AQ395" s="762"/>
      <c r="AR395" s="762"/>
      <c r="AS395" s="762"/>
      <c r="AT395" s="762"/>
      <c r="AU395" s="762"/>
      <c r="AV395" s="762"/>
      <c r="AW395" s="762"/>
      <c r="AX395" s="762"/>
      <c r="AY395" s="762"/>
      <c r="AZ395" s="762"/>
      <c r="BA395" s="762"/>
      <c r="BB395" s="762"/>
      <c r="BC395" s="762"/>
      <c r="BD395" s="762"/>
      <c r="BE395" s="762"/>
      <c r="BF395" s="762"/>
      <c r="BG395" s="762"/>
      <c r="BH395" s="762"/>
    </row>
    <row r="396" spans="1:60" s="49" customFormat="1">
      <c r="A396" s="767"/>
      <c r="B396" s="767"/>
      <c r="C396" s="762"/>
      <c r="D396" s="762"/>
      <c r="E396" s="762"/>
      <c r="F396" s="762"/>
      <c r="G396" s="762"/>
      <c r="H396" s="762"/>
      <c r="I396" s="925"/>
      <c r="J396" s="762"/>
      <c r="K396" s="762"/>
      <c r="L396" s="762"/>
      <c r="M396" s="762"/>
      <c r="N396" s="762"/>
      <c r="O396" s="762"/>
      <c r="P396" s="762"/>
      <c r="Q396" s="925"/>
      <c r="R396" s="762"/>
      <c r="S396" s="762"/>
      <c r="T396" s="762"/>
      <c r="U396" s="762"/>
      <c r="V396" s="762"/>
      <c r="W396" s="762"/>
      <c r="X396" s="762"/>
      <c r="Y396" s="925"/>
      <c r="Z396" s="762"/>
      <c r="AA396" s="762"/>
      <c r="AB396" s="762"/>
      <c r="AC396" s="762"/>
      <c r="AD396" s="762"/>
      <c r="AE396" s="762"/>
      <c r="AF396" s="762"/>
      <c r="AG396" s="925"/>
      <c r="AH396" s="762"/>
      <c r="AI396" s="762"/>
      <c r="AJ396" s="762"/>
      <c r="AK396" s="762"/>
      <c r="AL396" s="762"/>
      <c r="AM396" s="762"/>
      <c r="AN396" s="762"/>
      <c r="AO396" s="925"/>
      <c r="AP396" s="762"/>
      <c r="AQ396" s="762"/>
      <c r="AR396" s="762"/>
      <c r="AS396" s="762"/>
      <c r="AT396" s="762"/>
      <c r="AU396" s="762"/>
      <c r="AV396" s="762"/>
      <c r="AW396" s="762"/>
      <c r="AX396" s="762"/>
      <c r="AY396" s="762"/>
      <c r="AZ396" s="762"/>
      <c r="BA396" s="762"/>
      <c r="BB396" s="762"/>
      <c r="BC396" s="762"/>
      <c r="BD396" s="762"/>
      <c r="BE396" s="762"/>
      <c r="BF396" s="762"/>
      <c r="BG396" s="762"/>
      <c r="BH396" s="762"/>
    </row>
    <row r="397" spans="1:60" s="49" customFormat="1">
      <c r="A397" s="767"/>
      <c r="B397" s="767"/>
      <c r="C397" s="762"/>
      <c r="D397" s="762"/>
      <c r="E397" s="762"/>
      <c r="F397" s="762"/>
      <c r="G397" s="762"/>
      <c r="H397" s="762"/>
      <c r="I397" s="925"/>
      <c r="J397" s="762"/>
      <c r="K397" s="762"/>
      <c r="L397" s="762"/>
      <c r="M397" s="762"/>
      <c r="N397" s="762"/>
      <c r="O397" s="762"/>
      <c r="P397" s="762"/>
      <c r="Q397" s="925"/>
      <c r="R397" s="762"/>
      <c r="S397" s="762"/>
      <c r="T397" s="762"/>
      <c r="U397" s="762"/>
      <c r="V397" s="762"/>
      <c r="W397" s="762"/>
      <c r="X397" s="762"/>
      <c r="Y397" s="925"/>
      <c r="Z397" s="762"/>
      <c r="AA397" s="762"/>
      <c r="AB397" s="762"/>
      <c r="AC397" s="762"/>
      <c r="AD397" s="762"/>
      <c r="AE397" s="762"/>
      <c r="AF397" s="762"/>
      <c r="AG397" s="925"/>
      <c r="AH397" s="762"/>
      <c r="AI397" s="762"/>
      <c r="AJ397" s="762"/>
      <c r="AK397" s="762"/>
      <c r="AL397" s="762"/>
      <c r="AM397" s="762"/>
      <c r="AN397" s="762"/>
      <c r="AO397" s="925"/>
      <c r="AP397" s="762"/>
      <c r="AQ397" s="762"/>
      <c r="AR397" s="762"/>
      <c r="AS397" s="762"/>
      <c r="AT397" s="762"/>
      <c r="AU397" s="762"/>
      <c r="AV397" s="762"/>
      <c r="AW397" s="762"/>
      <c r="AX397" s="762"/>
      <c r="AY397" s="762"/>
      <c r="AZ397" s="762"/>
      <c r="BA397" s="762"/>
      <c r="BB397" s="762"/>
      <c r="BC397" s="762"/>
      <c r="BD397" s="762"/>
      <c r="BE397" s="762"/>
      <c r="BF397" s="762"/>
      <c r="BG397" s="762"/>
      <c r="BH397" s="762"/>
    </row>
    <row r="398" spans="1:60" s="49" customFormat="1">
      <c r="A398" s="767"/>
      <c r="B398" s="767"/>
      <c r="C398" s="762"/>
      <c r="D398" s="762"/>
      <c r="E398" s="762"/>
      <c r="F398" s="762"/>
      <c r="G398" s="762"/>
      <c r="H398" s="762"/>
      <c r="I398" s="925"/>
      <c r="J398" s="762"/>
      <c r="K398" s="762"/>
      <c r="L398" s="762"/>
      <c r="M398" s="762"/>
      <c r="N398" s="762"/>
      <c r="O398" s="762"/>
      <c r="P398" s="762"/>
      <c r="Q398" s="925"/>
      <c r="R398" s="762"/>
      <c r="S398" s="762"/>
      <c r="T398" s="762"/>
      <c r="U398" s="762"/>
      <c r="V398" s="762"/>
      <c r="W398" s="762"/>
      <c r="X398" s="762"/>
      <c r="Y398" s="925"/>
      <c r="Z398" s="762"/>
      <c r="AA398" s="762"/>
      <c r="AB398" s="762"/>
      <c r="AC398" s="762"/>
      <c r="AD398" s="762"/>
      <c r="AE398" s="762"/>
      <c r="AF398" s="762"/>
      <c r="AG398" s="925"/>
      <c r="AH398" s="762"/>
      <c r="AI398" s="762"/>
      <c r="AJ398" s="762"/>
      <c r="AK398" s="762"/>
      <c r="AL398" s="762"/>
      <c r="AM398" s="762"/>
      <c r="AN398" s="762"/>
      <c r="AO398" s="925"/>
      <c r="AP398" s="762"/>
      <c r="AQ398" s="762"/>
      <c r="AR398" s="762"/>
      <c r="AS398" s="762"/>
      <c r="AT398" s="762"/>
      <c r="AU398" s="762"/>
      <c r="AV398" s="762"/>
      <c r="AW398" s="762"/>
      <c r="AX398" s="762"/>
      <c r="AY398" s="762"/>
      <c r="AZ398" s="762"/>
      <c r="BA398" s="762"/>
      <c r="BB398" s="762"/>
      <c r="BC398" s="762"/>
      <c r="BD398" s="762"/>
      <c r="BE398" s="762"/>
      <c r="BF398" s="762"/>
      <c r="BG398" s="762"/>
      <c r="BH398" s="762"/>
    </row>
    <row r="399" spans="1:60" s="49" customFormat="1">
      <c r="A399" s="767"/>
      <c r="B399" s="767"/>
      <c r="C399" s="762"/>
      <c r="D399" s="762"/>
      <c r="E399" s="762"/>
      <c r="F399" s="762"/>
      <c r="G399" s="762"/>
      <c r="H399" s="762"/>
      <c r="I399" s="925"/>
      <c r="J399" s="762"/>
      <c r="K399" s="762"/>
      <c r="L399" s="762"/>
      <c r="M399" s="762"/>
      <c r="N399" s="762"/>
      <c r="O399" s="762"/>
      <c r="P399" s="762"/>
      <c r="Q399" s="925"/>
      <c r="R399" s="762"/>
      <c r="S399" s="762"/>
      <c r="T399" s="762"/>
      <c r="U399" s="762"/>
      <c r="V399" s="762"/>
      <c r="W399" s="762"/>
      <c r="X399" s="762"/>
      <c r="Y399" s="925"/>
      <c r="Z399" s="762"/>
      <c r="AA399" s="762"/>
      <c r="AB399" s="762"/>
      <c r="AC399" s="762"/>
      <c r="AD399" s="762"/>
      <c r="AE399" s="762"/>
      <c r="AF399" s="762"/>
      <c r="AG399" s="925"/>
      <c r="AH399" s="762"/>
      <c r="AI399" s="762"/>
      <c r="AJ399" s="762"/>
      <c r="AK399" s="762"/>
      <c r="AL399" s="762"/>
      <c r="AM399" s="762"/>
      <c r="AN399" s="762"/>
      <c r="AO399" s="925"/>
      <c r="AP399" s="762"/>
      <c r="AQ399" s="762"/>
      <c r="AR399" s="762"/>
      <c r="AS399" s="762"/>
      <c r="AT399" s="762"/>
      <c r="AU399" s="762"/>
      <c r="AV399" s="762"/>
      <c r="AW399" s="762"/>
      <c r="AX399" s="762"/>
      <c r="AY399" s="762"/>
      <c r="AZ399" s="762"/>
      <c r="BA399" s="762"/>
      <c r="BB399" s="762"/>
      <c r="BC399" s="762"/>
      <c r="BD399" s="762"/>
      <c r="BE399" s="762"/>
      <c r="BF399" s="762"/>
      <c r="BG399" s="762"/>
      <c r="BH399" s="762"/>
    </row>
    <row r="400" spans="1:60" s="49" customFormat="1">
      <c r="A400" s="767"/>
      <c r="B400" s="767"/>
      <c r="C400" s="762"/>
      <c r="D400" s="762"/>
      <c r="E400" s="762"/>
      <c r="F400" s="762"/>
      <c r="G400" s="762"/>
      <c r="H400" s="762"/>
      <c r="I400" s="925"/>
      <c r="J400" s="762"/>
      <c r="K400" s="762"/>
      <c r="L400" s="762"/>
      <c r="M400" s="762"/>
      <c r="N400" s="762"/>
      <c r="O400" s="762"/>
      <c r="P400" s="762"/>
      <c r="Q400" s="925"/>
      <c r="R400" s="762"/>
      <c r="S400" s="762"/>
      <c r="T400" s="762"/>
      <c r="U400" s="762"/>
      <c r="V400" s="762"/>
      <c r="W400" s="762"/>
      <c r="X400" s="762"/>
      <c r="Y400" s="925"/>
      <c r="Z400" s="762"/>
      <c r="AA400" s="762"/>
      <c r="AB400" s="762"/>
      <c r="AC400" s="762"/>
      <c r="AD400" s="762"/>
      <c r="AE400" s="762"/>
      <c r="AF400" s="762"/>
      <c r="AG400" s="925"/>
      <c r="AH400" s="762"/>
      <c r="AI400" s="762"/>
      <c r="AJ400" s="762"/>
      <c r="AK400" s="762"/>
      <c r="AL400" s="762"/>
      <c r="AM400" s="762"/>
      <c r="AN400" s="762"/>
      <c r="AO400" s="925"/>
      <c r="AP400" s="762"/>
      <c r="AQ400" s="762"/>
      <c r="AR400" s="762"/>
      <c r="AS400" s="762"/>
      <c r="AT400" s="762"/>
      <c r="AU400" s="762"/>
      <c r="AV400" s="762"/>
      <c r="AW400" s="762"/>
      <c r="AX400" s="762"/>
      <c r="AY400" s="762"/>
      <c r="AZ400" s="762"/>
      <c r="BA400" s="762"/>
      <c r="BB400" s="762"/>
      <c r="BC400" s="762"/>
      <c r="BD400" s="762"/>
      <c r="BE400" s="762"/>
      <c r="BF400" s="762"/>
      <c r="BG400" s="762"/>
      <c r="BH400" s="762"/>
    </row>
    <row r="401" spans="1:60" s="49" customFormat="1">
      <c r="A401" s="767"/>
      <c r="B401" s="767"/>
      <c r="C401" s="762"/>
      <c r="D401" s="762"/>
      <c r="E401" s="762"/>
      <c r="F401" s="762"/>
      <c r="G401" s="762"/>
      <c r="H401" s="762"/>
      <c r="I401" s="925"/>
      <c r="J401" s="762"/>
      <c r="K401" s="762"/>
      <c r="L401" s="762"/>
      <c r="M401" s="762"/>
      <c r="N401" s="762"/>
      <c r="O401" s="762"/>
      <c r="P401" s="762"/>
      <c r="Q401" s="925"/>
      <c r="R401" s="762"/>
      <c r="S401" s="762"/>
      <c r="T401" s="762"/>
      <c r="U401" s="762"/>
      <c r="V401" s="762"/>
      <c r="W401" s="762"/>
      <c r="X401" s="762"/>
      <c r="Y401" s="925"/>
      <c r="Z401" s="762"/>
      <c r="AA401" s="762"/>
      <c r="AB401" s="762"/>
      <c r="AC401" s="762"/>
      <c r="AD401" s="762"/>
      <c r="AE401" s="762"/>
      <c r="AF401" s="762"/>
      <c r="AG401" s="925"/>
      <c r="AH401" s="762"/>
      <c r="AI401" s="762"/>
      <c r="AJ401" s="762"/>
      <c r="AK401" s="762"/>
      <c r="AL401" s="762"/>
      <c r="AM401" s="762"/>
      <c r="AN401" s="762"/>
      <c r="AO401" s="925"/>
      <c r="AP401" s="762"/>
      <c r="AQ401" s="762"/>
      <c r="AR401" s="762"/>
      <c r="AS401" s="762"/>
      <c r="AT401" s="762"/>
      <c r="AU401" s="762"/>
      <c r="AV401" s="762"/>
      <c r="AW401" s="762"/>
      <c r="AX401" s="762"/>
      <c r="AY401" s="762"/>
      <c r="AZ401" s="762"/>
      <c r="BA401" s="762"/>
      <c r="BB401" s="762"/>
      <c r="BC401" s="762"/>
      <c r="BD401" s="762"/>
      <c r="BE401" s="762"/>
      <c r="BF401" s="762"/>
      <c r="BG401" s="762"/>
      <c r="BH401" s="762"/>
    </row>
    <row r="402" spans="1:60" s="49" customFormat="1">
      <c r="A402" s="767"/>
      <c r="B402" s="767"/>
      <c r="C402" s="762"/>
      <c r="D402" s="762"/>
      <c r="E402" s="762"/>
      <c r="F402" s="762"/>
      <c r="G402" s="762"/>
      <c r="H402" s="762"/>
      <c r="I402" s="925"/>
      <c r="J402" s="762"/>
      <c r="K402" s="762"/>
      <c r="L402" s="762"/>
      <c r="M402" s="762"/>
      <c r="N402" s="762"/>
      <c r="O402" s="762"/>
      <c r="P402" s="762"/>
      <c r="Q402" s="925"/>
      <c r="R402" s="762"/>
      <c r="S402" s="762"/>
      <c r="T402" s="762"/>
      <c r="U402" s="762"/>
      <c r="V402" s="762"/>
      <c r="W402" s="762"/>
      <c r="X402" s="762"/>
      <c r="Y402" s="925"/>
      <c r="Z402" s="762"/>
      <c r="AA402" s="762"/>
      <c r="AB402" s="762"/>
      <c r="AC402" s="762"/>
      <c r="AD402" s="762"/>
      <c r="AE402" s="762"/>
      <c r="AF402" s="762"/>
      <c r="AG402" s="925"/>
      <c r="AH402" s="762"/>
      <c r="AI402" s="762"/>
      <c r="AJ402" s="762"/>
      <c r="AK402" s="762"/>
      <c r="AL402" s="762"/>
      <c r="AM402" s="762"/>
      <c r="AN402" s="762"/>
      <c r="AO402" s="925"/>
      <c r="AP402" s="762"/>
      <c r="AQ402" s="762"/>
      <c r="AR402" s="762"/>
      <c r="AS402" s="762"/>
      <c r="AT402" s="762"/>
      <c r="AU402" s="762"/>
      <c r="AV402" s="762"/>
      <c r="AW402" s="762"/>
      <c r="AX402" s="762"/>
      <c r="AY402" s="762"/>
      <c r="AZ402" s="762"/>
      <c r="BA402" s="762"/>
      <c r="BB402" s="762"/>
      <c r="BC402" s="762"/>
      <c r="BD402" s="762"/>
      <c r="BE402" s="762"/>
      <c r="BF402" s="762"/>
      <c r="BG402" s="762"/>
      <c r="BH402" s="762"/>
    </row>
    <row r="403" spans="1:60" s="49" customFormat="1">
      <c r="A403" s="767"/>
      <c r="B403" s="767"/>
      <c r="C403" s="762"/>
      <c r="D403" s="762"/>
      <c r="E403" s="762"/>
      <c r="F403" s="762"/>
      <c r="G403" s="762"/>
      <c r="H403" s="762"/>
      <c r="I403" s="925"/>
      <c r="J403" s="762"/>
      <c r="K403" s="762"/>
      <c r="L403" s="762"/>
      <c r="M403" s="762"/>
      <c r="N403" s="762"/>
      <c r="O403" s="762"/>
      <c r="P403" s="762"/>
      <c r="Q403" s="925"/>
      <c r="R403" s="762"/>
      <c r="S403" s="762"/>
      <c r="T403" s="762"/>
      <c r="U403" s="762"/>
      <c r="V403" s="762"/>
      <c r="W403" s="762"/>
      <c r="X403" s="762"/>
      <c r="Y403" s="925"/>
      <c r="Z403" s="762"/>
      <c r="AA403" s="762"/>
      <c r="AB403" s="762"/>
      <c r="AC403" s="762"/>
      <c r="AD403" s="762"/>
      <c r="AE403" s="762"/>
      <c r="AF403" s="762"/>
      <c r="AG403" s="925"/>
      <c r="AH403" s="762"/>
      <c r="AI403" s="762"/>
      <c r="AJ403" s="762"/>
      <c r="AK403" s="762"/>
      <c r="AL403" s="762"/>
      <c r="AM403" s="762"/>
      <c r="AN403" s="762"/>
      <c r="AO403" s="925"/>
      <c r="AP403" s="762"/>
      <c r="AQ403" s="762"/>
      <c r="AR403" s="762"/>
      <c r="AS403" s="762"/>
      <c r="AT403" s="762"/>
      <c r="AU403" s="762"/>
      <c r="AV403" s="762"/>
      <c r="AW403" s="762"/>
      <c r="AX403" s="762"/>
      <c r="AY403" s="762"/>
      <c r="AZ403" s="762"/>
      <c r="BA403" s="762"/>
      <c r="BB403" s="762"/>
      <c r="BC403" s="762"/>
      <c r="BD403" s="762"/>
      <c r="BE403" s="762"/>
      <c r="BF403" s="762"/>
      <c r="BG403" s="762"/>
      <c r="BH403" s="762"/>
    </row>
    <row r="404" spans="1:60" s="49" customFormat="1">
      <c r="A404" s="767"/>
      <c r="B404" s="767"/>
      <c r="C404" s="762"/>
      <c r="D404" s="762"/>
      <c r="E404" s="762"/>
      <c r="F404" s="762"/>
      <c r="G404" s="762"/>
      <c r="H404" s="762"/>
      <c r="I404" s="925"/>
      <c r="J404" s="762"/>
      <c r="K404" s="762"/>
      <c r="L404" s="762"/>
      <c r="M404" s="762"/>
      <c r="N404" s="762"/>
      <c r="O404" s="762"/>
      <c r="P404" s="762"/>
      <c r="Q404" s="925"/>
      <c r="R404" s="762"/>
      <c r="S404" s="762"/>
      <c r="T404" s="762"/>
      <c r="U404" s="762"/>
      <c r="V404" s="762"/>
      <c r="W404" s="762"/>
      <c r="X404" s="762"/>
      <c r="Y404" s="925"/>
      <c r="Z404" s="762"/>
      <c r="AA404" s="762"/>
      <c r="AB404" s="762"/>
      <c r="AC404" s="762"/>
      <c r="AD404" s="762"/>
      <c r="AE404" s="762"/>
      <c r="AF404" s="762"/>
      <c r="AG404" s="925"/>
      <c r="AH404" s="762"/>
      <c r="AI404" s="762"/>
      <c r="AJ404" s="762"/>
      <c r="AK404" s="762"/>
      <c r="AL404" s="762"/>
      <c r="AM404" s="762"/>
      <c r="AN404" s="762"/>
      <c r="AO404" s="925"/>
      <c r="AP404" s="762"/>
      <c r="AQ404" s="762"/>
      <c r="AR404" s="762"/>
      <c r="AS404" s="762"/>
      <c r="AT404" s="762"/>
      <c r="AU404" s="762"/>
      <c r="AV404" s="762"/>
      <c r="AW404" s="762"/>
      <c r="AX404" s="762"/>
      <c r="AY404" s="762"/>
      <c r="AZ404" s="762"/>
      <c r="BA404" s="762"/>
      <c r="BB404" s="762"/>
      <c r="BC404" s="762"/>
      <c r="BD404" s="762"/>
      <c r="BE404" s="762"/>
      <c r="BF404" s="762"/>
      <c r="BG404" s="762"/>
      <c r="BH404" s="762"/>
    </row>
    <row r="405" spans="1:60" s="49" customFormat="1">
      <c r="A405" s="767"/>
      <c r="B405" s="767"/>
      <c r="C405" s="762"/>
      <c r="D405" s="762"/>
      <c r="E405" s="762"/>
      <c r="F405" s="762"/>
      <c r="G405" s="762"/>
      <c r="H405" s="762"/>
      <c r="I405" s="925"/>
      <c r="J405" s="762"/>
      <c r="K405" s="762"/>
      <c r="L405" s="762"/>
      <c r="M405" s="762"/>
      <c r="N405" s="762"/>
      <c r="O405" s="762"/>
      <c r="P405" s="762"/>
      <c r="Q405" s="925"/>
      <c r="R405" s="762"/>
      <c r="S405" s="762"/>
      <c r="T405" s="762"/>
      <c r="U405" s="762"/>
      <c r="V405" s="762"/>
      <c r="W405" s="762"/>
      <c r="X405" s="762"/>
      <c r="Y405" s="925"/>
      <c r="Z405" s="762"/>
      <c r="AA405" s="762"/>
      <c r="AB405" s="762"/>
      <c r="AC405" s="762"/>
      <c r="AD405" s="762"/>
      <c r="AE405" s="762"/>
      <c r="AF405" s="762"/>
      <c r="AG405" s="925"/>
      <c r="AH405" s="762"/>
      <c r="AI405" s="762"/>
      <c r="AJ405" s="762"/>
      <c r="AK405" s="762"/>
      <c r="AL405" s="762"/>
      <c r="AM405" s="762"/>
      <c r="AN405" s="762"/>
      <c r="AO405" s="925"/>
      <c r="AP405" s="762"/>
      <c r="AQ405" s="762"/>
      <c r="AR405" s="762"/>
      <c r="AS405" s="762"/>
      <c r="AT405" s="762"/>
      <c r="AU405" s="762"/>
      <c r="AV405" s="762"/>
      <c r="AW405" s="762"/>
      <c r="AX405" s="762"/>
      <c r="AY405" s="762"/>
      <c r="AZ405" s="762"/>
      <c r="BA405" s="762"/>
      <c r="BB405" s="762"/>
      <c r="BC405" s="762"/>
      <c r="BD405" s="762"/>
      <c r="BE405" s="762"/>
      <c r="BF405" s="762"/>
      <c r="BG405" s="762"/>
      <c r="BH405" s="762"/>
    </row>
    <row r="406" spans="1:60" s="49" customFormat="1">
      <c r="A406" s="767"/>
      <c r="B406" s="767"/>
      <c r="C406" s="762"/>
      <c r="D406" s="762"/>
      <c r="E406" s="762"/>
      <c r="F406" s="762"/>
      <c r="G406" s="762"/>
      <c r="H406" s="762"/>
      <c r="I406" s="925"/>
      <c r="J406" s="762"/>
      <c r="K406" s="762"/>
      <c r="L406" s="762"/>
      <c r="M406" s="762"/>
      <c r="N406" s="762"/>
      <c r="O406" s="762"/>
      <c r="P406" s="762"/>
      <c r="Q406" s="925"/>
      <c r="R406" s="762"/>
      <c r="S406" s="762"/>
      <c r="T406" s="762"/>
      <c r="U406" s="762"/>
      <c r="V406" s="762"/>
      <c r="W406" s="762"/>
      <c r="X406" s="762"/>
      <c r="Y406" s="925"/>
      <c r="Z406" s="762"/>
      <c r="AA406" s="762"/>
      <c r="AB406" s="762"/>
      <c r="AC406" s="762"/>
      <c r="AD406" s="762"/>
      <c r="AE406" s="762"/>
      <c r="AF406" s="762"/>
      <c r="AG406" s="925"/>
      <c r="AH406" s="762"/>
      <c r="AI406" s="762"/>
      <c r="AJ406" s="762"/>
      <c r="AK406" s="762"/>
      <c r="AL406" s="762"/>
      <c r="AM406" s="762"/>
      <c r="AN406" s="762"/>
      <c r="AO406" s="925"/>
      <c r="AP406" s="762"/>
      <c r="AQ406" s="762"/>
      <c r="AR406" s="762"/>
      <c r="AS406" s="762"/>
      <c r="AT406" s="762"/>
      <c r="AU406" s="762"/>
      <c r="AV406" s="762"/>
      <c r="AW406" s="762"/>
      <c r="AX406" s="762"/>
      <c r="AY406" s="762"/>
      <c r="AZ406" s="762"/>
      <c r="BA406" s="762"/>
      <c r="BB406" s="762"/>
      <c r="BC406" s="762"/>
      <c r="BD406" s="762"/>
      <c r="BE406" s="762"/>
      <c r="BF406" s="762"/>
      <c r="BG406" s="762"/>
      <c r="BH406" s="762"/>
    </row>
    <row r="407" spans="1:60" s="49" customFormat="1">
      <c r="A407" s="767"/>
      <c r="B407" s="767"/>
      <c r="C407" s="762"/>
      <c r="D407" s="762"/>
      <c r="E407" s="762"/>
      <c r="F407" s="762"/>
      <c r="G407" s="762"/>
      <c r="H407" s="762"/>
      <c r="I407" s="925"/>
      <c r="J407" s="762"/>
      <c r="K407" s="762"/>
      <c r="L407" s="762"/>
      <c r="M407" s="762"/>
      <c r="N407" s="762"/>
      <c r="O407" s="762"/>
      <c r="P407" s="762"/>
      <c r="Q407" s="925"/>
      <c r="R407" s="762"/>
      <c r="S407" s="762"/>
      <c r="T407" s="762"/>
      <c r="U407" s="762"/>
      <c r="V407" s="762"/>
      <c r="W407" s="762"/>
      <c r="X407" s="762"/>
      <c r="Y407" s="925"/>
      <c r="Z407" s="762"/>
      <c r="AA407" s="762"/>
      <c r="AB407" s="762"/>
      <c r="AC407" s="762"/>
      <c r="AD407" s="762"/>
      <c r="AE407" s="762"/>
      <c r="AF407" s="762"/>
      <c r="AG407" s="925"/>
      <c r="AH407" s="762"/>
      <c r="AI407" s="762"/>
      <c r="AJ407" s="762"/>
      <c r="AK407" s="762"/>
      <c r="AL407" s="762"/>
      <c r="AM407" s="762"/>
      <c r="AN407" s="762"/>
      <c r="AO407" s="925"/>
      <c r="AP407" s="762"/>
      <c r="AQ407" s="762"/>
      <c r="AR407" s="762"/>
      <c r="AS407" s="762"/>
      <c r="AT407" s="762"/>
      <c r="AU407" s="762"/>
      <c r="AV407" s="762"/>
      <c r="AW407" s="762"/>
      <c r="AX407" s="762"/>
      <c r="AY407" s="762"/>
      <c r="AZ407" s="762"/>
      <c r="BA407" s="762"/>
      <c r="BB407" s="762"/>
      <c r="BC407" s="762"/>
      <c r="BD407" s="762"/>
      <c r="BE407" s="762"/>
      <c r="BF407" s="762"/>
      <c r="BG407" s="762"/>
      <c r="BH407" s="762"/>
    </row>
    <row r="408" spans="1:60" s="49" customFormat="1">
      <c r="A408" s="767"/>
      <c r="B408" s="767"/>
      <c r="C408" s="762"/>
      <c r="D408" s="762"/>
      <c r="E408" s="762"/>
      <c r="F408" s="762"/>
      <c r="G408" s="762"/>
      <c r="H408" s="762"/>
      <c r="I408" s="925"/>
      <c r="J408" s="762"/>
      <c r="K408" s="762"/>
      <c r="L408" s="762"/>
      <c r="M408" s="762"/>
      <c r="N408" s="762"/>
      <c r="O408" s="762"/>
      <c r="P408" s="762"/>
      <c r="Q408" s="925"/>
      <c r="R408" s="762"/>
      <c r="S408" s="762"/>
      <c r="T408" s="762"/>
      <c r="U408" s="762"/>
      <c r="V408" s="762"/>
      <c r="W408" s="762"/>
      <c r="X408" s="762"/>
      <c r="Y408" s="925"/>
      <c r="Z408" s="762"/>
      <c r="AA408" s="762"/>
      <c r="AB408" s="762"/>
      <c r="AC408" s="762"/>
      <c r="AD408" s="762"/>
      <c r="AE408" s="762"/>
      <c r="AF408" s="762"/>
      <c r="AG408" s="925"/>
      <c r="AH408" s="762"/>
      <c r="AI408" s="762"/>
      <c r="AJ408" s="762"/>
      <c r="AK408" s="762"/>
      <c r="AL408" s="762"/>
      <c r="AM408" s="762"/>
      <c r="AN408" s="762"/>
      <c r="AO408" s="925"/>
      <c r="AP408" s="762"/>
      <c r="AQ408" s="762"/>
      <c r="AR408" s="762"/>
      <c r="AS408" s="762"/>
      <c r="AT408" s="762"/>
      <c r="AU408" s="762"/>
      <c r="AV408" s="762"/>
      <c r="AW408" s="762"/>
      <c r="AX408" s="762"/>
      <c r="AY408" s="762"/>
      <c r="AZ408" s="762"/>
      <c r="BA408" s="762"/>
      <c r="BB408" s="762"/>
      <c r="BC408" s="762"/>
      <c r="BD408" s="762"/>
      <c r="BE408" s="762"/>
      <c r="BF408" s="762"/>
      <c r="BG408" s="762"/>
      <c r="BH408" s="762"/>
    </row>
    <row r="409" spans="1:60" s="49" customFormat="1">
      <c r="A409" s="767"/>
      <c r="B409" s="767"/>
      <c r="C409" s="762"/>
      <c r="D409" s="762"/>
      <c r="E409" s="762"/>
      <c r="F409" s="762"/>
      <c r="G409" s="762"/>
      <c r="H409" s="762"/>
      <c r="I409" s="925"/>
      <c r="J409" s="762"/>
      <c r="K409" s="762"/>
      <c r="L409" s="762"/>
      <c r="M409" s="762"/>
      <c r="N409" s="762"/>
      <c r="O409" s="762"/>
      <c r="P409" s="762"/>
      <c r="Q409" s="925"/>
      <c r="R409" s="762"/>
      <c r="S409" s="762"/>
      <c r="T409" s="762"/>
      <c r="U409" s="762"/>
      <c r="V409" s="762"/>
      <c r="W409" s="762"/>
      <c r="X409" s="762"/>
      <c r="Y409" s="925"/>
      <c r="Z409" s="762"/>
      <c r="AA409" s="762"/>
      <c r="AB409" s="762"/>
      <c r="AC409" s="762"/>
      <c r="AD409" s="762"/>
      <c r="AE409" s="762"/>
      <c r="AF409" s="762"/>
      <c r="AG409" s="925"/>
      <c r="AH409" s="762"/>
      <c r="AI409" s="762"/>
      <c r="AJ409" s="762"/>
      <c r="AK409" s="762"/>
      <c r="AL409" s="762"/>
      <c r="AM409" s="762"/>
      <c r="AN409" s="762"/>
      <c r="AO409" s="925"/>
      <c r="AP409" s="762"/>
      <c r="AQ409" s="762"/>
      <c r="AR409" s="762"/>
      <c r="AS409" s="762"/>
      <c r="AT409" s="762"/>
      <c r="AU409" s="762"/>
      <c r="AV409" s="762"/>
      <c r="AW409" s="762"/>
      <c r="AX409" s="762"/>
      <c r="AY409" s="762"/>
      <c r="AZ409" s="762"/>
      <c r="BA409" s="762"/>
      <c r="BB409" s="762"/>
      <c r="BC409" s="762"/>
      <c r="BD409" s="762"/>
      <c r="BE409" s="762"/>
      <c r="BF409" s="762"/>
      <c r="BG409" s="762"/>
      <c r="BH409" s="762"/>
    </row>
    <row r="410" spans="1:60" s="49" customFormat="1">
      <c r="A410" s="767"/>
      <c r="B410" s="767"/>
      <c r="C410" s="762"/>
      <c r="D410" s="762"/>
      <c r="E410" s="762"/>
      <c r="F410" s="762"/>
      <c r="G410" s="762"/>
      <c r="H410" s="762"/>
      <c r="I410" s="925"/>
      <c r="J410" s="762"/>
      <c r="K410" s="762"/>
      <c r="L410" s="762"/>
      <c r="M410" s="762"/>
      <c r="N410" s="762"/>
      <c r="O410" s="762"/>
      <c r="P410" s="762"/>
      <c r="Q410" s="925"/>
      <c r="R410" s="762"/>
      <c r="S410" s="762"/>
      <c r="T410" s="762"/>
      <c r="U410" s="762"/>
      <c r="V410" s="762"/>
      <c r="W410" s="762"/>
      <c r="X410" s="762"/>
      <c r="Y410" s="925"/>
      <c r="Z410" s="762"/>
      <c r="AA410" s="762"/>
      <c r="AB410" s="762"/>
      <c r="AC410" s="762"/>
      <c r="AD410" s="762"/>
      <c r="AE410" s="762"/>
      <c r="AF410" s="762"/>
      <c r="AG410" s="925"/>
      <c r="AH410" s="762"/>
      <c r="AI410" s="762"/>
      <c r="AJ410" s="762"/>
      <c r="AK410" s="762"/>
      <c r="AL410" s="762"/>
      <c r="AM410" s="762"/>
      <c r="AN410" s="762"/>
      <c r="AO410" s="925"/>
      <c r="AP410" s="762"/>
      <c r="AQ410" s="762"/>
      <c r="AR410" s="762"/>
      <c r="AS410" s="762"/>
      <c r="AT410" s="762"/>
      <c r="AU410" s="762"/>
      <c r="AV410" s="762"/>
      <c r="AW410" s="762"/>
      <c r="AX410" s="762"/>
      <c r="AY410" s="762"/>
      <c r="AZ410" s="762"/>
      <c r="BA410" s="762"/>
      <c r="BB410" s="762"/>
      <c r="BC410" s="762"/>
      <c r="BD410" s="762"/>
      <c r="BE410" s="762"/>
      <c r="BF410" s="762"/>
      <c r="BG410" s="762"/>
      <c r="BH410" s="762"/>
    </row>
    <row r="411" spans="1:60" s="49" customFormat="1">
      <c r="A411" s="767"/>
      <c r="B411" s="767"/>
      <c r="C411" s="762"/>
      <c r="D411" s="762"/>
      <c r="E411" s="762"/>
      <c r="F411" s="762"/>
      <c r="G411" s="762"/>
      <c r="H411" s="762"/>
      <c r="I411" s="925"/>
      <c r="J411" s="762"/>
      <c r="K411" s="762"/>
      <c r="L411" s="762"/>
      <c r="M411" s="762"/>
      <c r="N411" s="762"/>
      <c r="O411" s="762"/>
      <c r="P411" s="762"/>
      <c r="Q411" s="925"/>
      <c r="R411" s="762"/>
      <c r="S411" s="762"/>
      <c r="T411" s="762"/>
      <c r="U411" s="762"/>
      <c r="V411" s="762"/>
      <c r="W411" s="762"/>
      <c r="X411" s="762"/>
      <c r="Y411" s="925"/>
      <c r="Z411" s="762"/>
      <c r="AA411" s="762"/>
      <c r="AB411" s="762"/>
      <c r="AC411" s="762"/>
      <c r="AD411" s="762"/>
      <c r="AE411" s="762"/>
      <c r="AF411" s="762"/>
      <c r="AG411" s="925"/>
      <c r="AH411" s="762"/>
      <c r="AI411" s="762"/>
      <c r="AJ411" s="762"/>
      <c r="AK411" s="762"/>
      <c r="AL411" s="762"/>
      <c r="AM411" s="762"/>
      <c r="AN411" s="762"/>
      <c r="AO411" s="925"/>
      <c r="AP411" s="762"/>
      <c r="AQ411" s="762"/>
      <c r="AR411" s="762"/>
      <c r="AS411" s="762"/>
      <c r="AT411" s="762"/>
      <c r="AU411" s="762"/>
      <c r="AV411" s="762"/>
      <c r="AW411" s="762"/>
      <c r="AX411" s="762"/>
      <c r="AY411" s="762"/>
      <c r="AZ411" s="762"/>
      <c r="BA411" s="762"/>
      <c r="BB411" s="762"/>
      <c r="BC411" s="762"/>
      <c r="BD411" s="762"/>
      <c r="BE411" s="762"/>
      <c r="BF411" s="762"/>
      <c r="BG411" s="762"/>
      <c r="BH411" s="762"/>
    </row>
    <row r="412" spans="1:60" s="49" customFormat="1">
      <c r="A412" s="767"/>
      <c r="B412" s="767"/>
      <c r="C412" s="762"/>
      <c r="D412" s="762"/>
      <c r="E412" s="762"/>
      <c r="F412" s="762"/>
      <c r="G412" s="762"/>
      <c r="H412" s="762"/>
      <c r="I412" s="925"/>
      <c r="J412" s="762"/>
      <c r="K412" s="762"/>
      <c r="L412" s="762"/>
      <c r="M412" s="762"/>
      <c r="N412" s="762"/>
      <c r="O412" s="762"/>
      <c r="P412" s="762"/>
      <c r="Q412" s="925"/>
      <c r="R412" s="762"/>
      <c r="S412" s="762"/>
      <c r="T412" s="762"/>
      <c r="U412" s="762"/>
      <c r="V412" s="762"/>
      <c r="W412" s="762"/>
      <c r="X412" s="762"/>
      <c r="Y412" s="925"/>
      <c r="Z412" s="762"/>
      <c r="AA412" s="762"/>
      <c r="AB412" s="762"/>
      <c r="AC412" s="762"/>
      <c r="AD412" s="762"/>
      <c r="AE412" s="762"/>
      <c r="AF412" s="762"/>
      <c r="AG412" s="925"/>
      <c r="AH412" s="762"/>
      <c r="AI412" s="762"/>
      <c r="AJ412" s="762"/>
      <c r="AK412" s="762"/>
      <c r="AL412" s="762"/>
      <c r="AM412" s="762"/>
      <c r="AN412" s="762"/>
      <c r="AO412" s="925"/>
      <c r="AP412" s="762"/>
      <c r="AQ412" s="762"/>
      <c r="AR412" s="762"/>
      <c r="AS412" s="762"/>
      <c r="AT412" s="762"/>
      <c r="AU412" s="762"/>
      <c r="AV412" s="762"/>
      <c r="AW412" s="762"/>
      <c r="AX412" s="762"/>
      <c r="AY412" s="762"/>
      <c r="AZ412" s="762"/>
      <c r="BA412" s="762"/>
      <c r="BB412" s="762"/>
      <c r="BC412" s="762"/>
      <c r="BD412" s="762"/>
      <c r="BE412" s="762"/>
      <c r="BF412" s="762"/>
      <c r="BG412" s="762"/>
      <c r="BH412" s="762"/>
    </row>
    <row r="413" spans="1:60" s="49" customFormat="1">
      <c r="A413" s="767"/>
      <c r="B413" s="767"/>
      <c r="C413" s="762"/>
      <c r="D413" s="762"/>
      <c r="E413" s="762"/>
      <c r="F413" s="762"/>
      <c r="G413" s="762"/>
      <c r="H413" s="762"/>
      <c r="I413" s="925"/>
      <c r="J413" s="762"/>
      <c r="K413" s="762"/>
      <c r="L413" s="762"/>
      <c r="M413" s="762"/>
      <c r="N413" s="762"/>
      <c r="O413" s="762"/>
      <c r="P413" s="762"/>
      <c r="Q413" s="925"/>
      <c r="R413" s="762"/>
      <c r="S413" s="762"/>
      <c r="T413" s="762"/>
      <c r="U413" s="762"/>
      <c r="V413" s="762"/>
      <c r="W413" s="762"/>
      <c r="X413" s="762"/>
      <c r="Y413" s="925"/>
      <c r="Z413" s="762"/>
      <c r="AA413" s="762"/>
      <c r="AB413" s="762"/>
      <c r="AC413" s="762"/>
      <c r="AD413" s="762"/>
      <c r="AE413" s="762"/>
      <c r="AF413" s="762"/>
      <c r="AG413" s="925"/>
      <c r="AH413" s="762"/>
      <c r="AI413" s="762"/>
      <c r="AJ413" s="762"/>
      <c r="AK413" s="762"/>
      <c r="AL413" s="762"/>
      <c r="AM413" s="762"/>
      <c r="AN413" s="762"/>
      <c r="AO413" s="925"/>
      <c r="AP413" s="762"/>
      <c r="AQ413" s="762"/>
      <c r="AR413" s="762"/>
      <c r="AS413" s="762"/>
      <c r="AT413" s="762"/>
      <c r="AU413" s="762"/>
      <c r="AV413" s="762"/>
      <c r="AW413" s="762"/>
      <c r="AX413" s="762"/>
      <c r="AY413" s="762"/>
      <c r="AZ413" s="762"/>
      <c r="BA413" s="762"/>
      <c r="BB413" s="762"/>
      <c r="BC413" s="762"/>
      <c r="BD413" s="762"/>
      <c r="BE413" s="762"/>
      <c r="BF413" s="762"/>
      <c r="BG413" s="762"/>
      <c r="BH413" s="762"/>
    </row>
    <row r="414" spans="1:60" s="49" customFormat="1">
      <c r="A414" s="767"/>
      <c r="B414" s="767"/>
      <c r="C414" s="762"/>
      <c r="D414" s="762"/>
      <c r="E414" s="762"/>
      <c r="F414" s="762"/>
      <c r="G414" s="762"/>
      <c r="H414" s="762"/>
      <c r="I414" s="925"/>
      <c r="J414" s="762"/>
      <c r="K414" s="762"/>
      <c r="L414" s="762"/>
      <c r="M414" s="762"/>
      <c r="N414" s="762"/>
      <c r="O414" s="762"/>
      <c r="P414" s="762"/>
      <c r="Q414" s="925"/>
      <c r="R414" s="762"/>
      <c r="S414" s="762"/>
      <c r="T414" s="762"/>
      <c r="U414" s="762"/>
      <c r="V414" s="762"/>
      <c r="W414" s="762"/>
      <c r="X414" s="762"/>
      <c r="Y414" s="925"/>
      <c r="Z414" s="762"/>
      <c r="AA414" s="762"/>
      <c r="AB414" s="762"/>
      <c r="AC414" s="762"/>
      <c r="AD414" s="762"/>
      <c r="AE414" s="762"/>
      <c r="AF414" s="762"/>
      <c r="AG414" s="925"/>
      <c r="AH414" s="762"/>
      <c r="AI414" s="762"/>
      <c r="AJ414" s="762"/>
      <c r="AK414" s="762"/>
      <c r="AL414" s="762"/>
      <c r="AM414" s="762"/>
      <c r="AN414" s="762"/>
      <c r="AO414" s="925"/>
      <c r="AP414" s="762"/>
      <c r="AQ414" s="762"/>
      <c r="AR414" s="762"/>
      <c r="AS414" s="762"/>
      <c r="AT414" s="762"/>
      <c r="AU414" s="762"/>
      <c r="AV414" s="762"/>
      <c r="AW414" s="762"/>
      <c r="AX414" s="762"/>
      <c r="AY414" s="762"/>
      <c r="AZ414" s="762"/>
      <c r="BA414" s="762"/>
      <c r="BB414" s="762"/>
      <c r="BC414" s="762"/>
      <c r="BD414" s="762"/>
      <c r="BE414" s="762"/>
      <c r="BF414" s="762"/>
      <c r="BG414" s="762"/>
      <c r="BH414" s="762"/>
    </row>
    <row r="415" spans="1:60" s="49" customFormat="1">
      <c r="A415" s="767"/>
      <c r="B415" s="767"/>
      <c r="C415" s="762"/>
      <c r="D415" s="762"/>
      <c r="E415" s="762"/>
      <c r="F415" s="762"/>
      <c r="G415" s="762"/>
      <c r="H415" s="762"/>
      <c r="I415" s="925"/>
      <c r="J415" s="762"/>
      <c r="K415" s="762"/>
      <c r="L415" s="762"/>
      <c r="M415" s="762"/>
      <c r="N415" s="762"/>
      <c r="O415" s="762"/>
      <c r="P415" s="762"/>
      <c r="Q415" s="925"/>
      <c r="R415" s="762"/>
      <c r="S415" s="762"/>
      <c r="T415" s="762"/>
      <c r="U415" s="762"/>
      <c r="V415" s="762"/>
      <c r="W415" s="762"/>
      <c r="X415" s="762"/>
      <c r="Y415" s="925"/>
      <c r="Z415" s="762"/>
      <c r="AA415" s="762"/>
      <c r="AB415" s="762"/>
      <c r="AC415" s="762"/>
      <c r="AD415" s="762"/>
      <c r="AE415" s="762"/>
      <c r="AF415" s="762"/>
      <c r="AG415" s="925"/>
      <c r="AH415" s="762"/>
      <c r="AI415" s="762"/>
      <c r="AJ415" s="762"/>
      <c r="AK415" s="762"/>
      <c r="AL415" s="762"/>
      <c r="AM415" s="762"/>
      <c r="AN415" s="762"/>
      <c r="AO415" s="925"/>
      <c r="AP415" s="762"/>
      <c r="AQ415" s="762"/>
      <c r="AR415" s="762"/>
      <c r="AS415" s="762"/>
      <c r="AT415" s="762"/>
      <c r="AU415" s="762"/>
      <c r="AV415" s="762"/>
      <c r="AW415" s="762"/>
      <c r="AX415" s="762"/>
      <c r="AY415" s="762"/>
      <c r="AZ415" s="762"/>
      <c r="BA415" s="762"/>
      <c r="BB415" s="762"/>
      <c r="BC415" s="762"/>
      <c r="BD415" s="762"/>
      <c r="BE415" s="762"/>
      <c r="BF415" s="762"/>
      <c r="BG415" s="762"/>
      <c r="BH415" s="762"/>
    </row>
    <row r="416" spans="1:60" s="49" customFormat="1">
      <c r="A416" s="767"/>
      <c r="B416" s="767"/>
      <c r="C416" s="762"/>
      <c r="D416" s="762"/>
      <c r="E416" s="762"/>
      <c r="F416" s="762"/>
      <c r="G416" s="762"/>
      <c r="H416" s="762"/>
      <c r="I416" s="925"/>
      <c r="J416" s="762"/>
      <c r="K416" s="762"/>
      <c r="L416" s="762"/>
      <c r="M416" s="762"/>
      <c r="N416" s="762"/>
      <c r="O416" s="762"/>
      <c r="P416" s="762"/>
      <c r="Q416" s="925"/>
      <c r="R416" s="762"/>
      <c r="S416" s="762"/>
      <c r="T416" s="762"/>
      <c r="U416" s="762"/>
      <c r="V416" s="762"/>
      <c r="W416" s="762"/>
      <c r="X416" s="762"/>
      <c r="Y416" s="925"/>
      <c r="Z416" s="762"/>
      <c r="AA416" s="762"/>
      <c r="AB416" s="762"/>
      <c r="AC416" s="762"/>
      <c r="AD416" s="762"/>
      <c r="AE416" s="762"/>
      <c r="AF416" s="762"/>
      <c r="AG416" s="925"/>
      <c r="AH416" s="762"/>
      <c r="AI416" s="762"/>
      <c r="AJ416" s="762"/>
      <c r="AK416" s="762"/>
      <c r="AL416" s="762"/>
      <c r="AM416" s="762"/>
      <c r="AN416" s="762"/>
      <c r="AO416" s="925"/>
      <c r="AP416" s="762"/>
      <c r="AQ416" s="762"/>
      <c r="AR416" s="762"/>
      <c r="AS416" s="762"/>
      <c r="AT416" s="762"/>
      <c r="AU416" s="762"/>
      <c r="AV416" s="762"/>
      <c r="AW416" s="762"/>
      <c r="AX416" s="762"/>
      <c r="AY416" s="762"/>
      <c r="AZ416" s="762"/>
      <c r="BA416" s="762"/>
      <c r="BB416" s="762"/>
      <c r="BC416" s="762"/>
      <c r="BD416" s="762"/>
      <c r="BE416" s="762"/>
      <c r="BF416" s="762"/>
      <c r="BG416" s="762"/>
      <c r="BH416" s="762"/>
    </row>
    <row r="417" spans="1:60" s="49" customFormat="1">
      <c r="A417" s="767"/>
      <c r="B417" s="767"/>
      <c r="C417" s="762"/>
      <c r="D417" s="762"/>
      <c r="E417" s="762"/>
      <c r="F417" s="762"/>
      <c r="G417" s="762"/>
      <c r="H417" s="762"/>
      <c r="I417" s="925"/>
      <c r="J417" s="762"/>
      <c r="K417" s="762"/>
      <c r="L417" s="762"/>
      <c r="M417" s="762"/>
      <c r="N417" s="762"/>
      <c r="O417" s="762"/>
      <c r="P417" s="762"/>
      <c r="Q417" s="925"/>
      <c r="R417" s="762"/>
      <c r="S417" s="762"/>
      <c r="T417" s="762"/>
      <c r="U417" s="762"/>
      <c r="V417" s="762"/>
      <c r="W417" s="762"/>
      <c r="X417" s="762"/>
      <c r="Y417" s="925"/>
      <c r="Z417" s="762"/>
      <c r="AA417" s="762"/>
      <c r="AB417" s="762"/>
      <c r="AC417" s="762"/>
      <c r="AD417" s="762"/>
      <c r="AE417" s="762"/>
      <c r="AF417" s="762"/>
      <c r="AG417" s="925"/>
      <c r="AH417" s="762"/>
      <c r="AI417" s="762"/>
      <c r="AJ417" s="762"/>
      <c r="AK417" s="762"/>
      <c r="AL417" s="762"/>
      <c r="AM417" s="762"/>
      <c r="AN417" s="762"/>
      <c r="AO417" s="925"/>
      <c r="AP417" s="762"/>
      <c r="AQ417" s="762"/>
      <c r="AR417" s="762"/>
      <c r="AS417" s="762"/>
      <c r="AT417" s="762"/>
      <c r="AU417" s="762"/>
      <c r="AV417" s="762"/>
      <c r="AW417" s="762"/>
      <c r="AX417" s="762"/>
      <c r="AY417" s="762"/>
      <c r="AZ417" s="762"/>
      <c r="BA417" s="762"/>
      <c r="BB417" s="762"/>
      <c r="BC417" s="762"/>
      <c r="BD417" s="762"/>
      <c r="BE417" s="762"/>
      <c r="BF417" s="762"/>
      <c r="BG417" s="762"/>
      <c r="BH417" s="762"/>
    </row>
    <row r="418" spans="1:60" s="49" customFormat="1">
      <c r="A418" s="767"/>
      <c r="B418" s="767"/>
      <c r="C418" s="762"/>
      <c r="D418" s="762"/>
      <c r="E418" s="762"/>
      <c r="F418" s="762"/>
      <c r="G418" s="762"/>
      <c r="H418" s="762"/>
      <c r="I418" s="925"/>
      <c r="J418" s="762"/>
      <c r="K418" s="762"/>
      <c r="L418" s="762"/>
      <c r="M418" s="762"/>
      <c r="N418" s="762"/>
      <c r="O418" s="762"/>
      <c r="P418" s="762"/>
      <c r="Q418" s="925"/>
      <c r="R418" s="762"/>
      <c r="S418" s="762"/>
      <c r="T418" s="762"/>
      <c r="U418" s="762"/>
      <c r="V418" s="762"/>
      <c r="W418" s="762"/>
      <c r="X418" s="762"/>
      <c r="Y418" s="925"/>
      <c r="Z418" s="762"/>
      <c r="AA418" s="762"/>
      <c r="AB418" s="762"/>
      <c r="AC418" s="762"/>
      <c r="AD418" s="762"/>
      <c r="AE418" s="762"/>
      <c r="AF418" s="762"/>
      <c r="AG418" s="925"/>
      <c r="AH418" s="762"/>
      <c r="AI418" s="762"/>
      <c r="AJ418" s="762"/>
      <c r="AK418" s="762"/>
      <c r="AL418" s="762"/>
      <c r="AM418" s="762"/>
      <c r="AN418" s="762"/>
      <c r="AO418" s="925"/>
      <c r="AP418" s="762"/>
      <c r="AQ418" s="762"/>
      <c r="AR418" s="762"/>
      <c r="AS418" s="762"/>
      <c r="AT418" s="762"/>
      <c r="AU418" s="762"/>
      <c r="AV418" s="762"/>
      <c r="AW418" s="762"/>
      <c r="AX418" s="762"/>
      <c r="AY418" s="762"/>
      <c r="AZ418" s="762"/>
      <c r="BA418" s="762"/>
      <c r="BB418" s="762"/>
      <c r="BC418" s="762"/>
      <c r="BD418" s="762"/>
      <c r="BE418" s="762"/>
      <c r="BF418" s="762"/>
      <c r="BG418" s="762"/>
      <c r="BH418" s="762"/>
    </row>
    <row r="419" spans="1:60" s="49" customFormat="1">
      <c r="A419" s="767"/>
      <c r="B419" s="767"/>
      <c r="C419" s="762"/>
      <c r="D419" s="762"/>
      <c r="E419" s="762"/>
      <c r="F419" s="762"/>
      <c r="G419" s="762"/>
      <c r="H419" s="762"/>
      <c r="I419" s="925"/>
      <c r="J419" s="762"/>
      <c r="K419" s="762"/>
      <c r="L419" s="762"/>
      <c r="M419" s="762"/>
      <c r="N419" s="762"/>
      <c r="O419" s="762"/>
      <c r="P419" s="762"/>
      <c r="Q419" s="925"/>
      <c r="R419" s="762"/>
      <c r="S419" s="762"/>
      <c r="T419" s="762"/>
      <c r="U419" s="762"/>
      <c r="V419" s="762"/>
      <c r="W419" s="762"/>
      <c r="X419" s="762"/>
      <c r="Y419" s="925"/>
      <c r="Z419" s="762"/>
      <c r="AA419" s="762"/>
      <c r="AB419" s="762"/>
      <c r="AC419" s="762"/>
      <c r="AD419" s="762"/>
      <c r="AE419" s="762"/>
      <c r="AF419" s="762"/>
      <c r="AG419" s="925"/>
      <c r="AH419" s="762"/>
      <c r="AI419" s="762"/>
      <c r="AJ419" s="762"/>
      <c r="AK419" s="762"/>
      <c r="AL419" s="762"/>
      <c r="AM419" s="762"/>
      <c r="AN419" s="762"/>
      <c r="AO419" s="925"/>
      <c r="AP419" s="762"/>
      <c r="AQ419" s="762"/>
      <c r="AR419" s="762"/>
      <c r="AS419" s="762"/>
      <c r="AT419" s="762"/>
      <c r="AU419" s="762"/>
      <c r="AV419" s="762"/>
      <c r="AW419" s="762"/>
      <c r="AX419" s="762"/>
      <c r="AY419" s="762"/>
      <c r="AZ419" s="762"/>
      <c r="BA419" s="762"/>
      <c r="BB419" s="762"/>
      <c r="BC419" s="762"/>
      <c r="BD419" s="762"/>
      <c r="BE419" s="762"/>
      <c r="BF419" s="762"/>
      <c r="BG419" s="762"/>
      <c r="BH419" s="762"/>
    </row>
    <row r="420" spans="1:60" s="49" customFormat="1">
      <c r="A420" s="767"/>
      <c r="B420" s="767"/>
      <c r="C420" s="762"/>
      <c r="D420" s="762"/>
      <c r="E420" s="762"/>
      <c r="F420" s="762"/>
      <c r="G420" s="762"/>
      <c r="H420" s="762"/>
      <c r="I420" s="925"/>
      <c r="J420" s="762"/>
      <c r="K420" s="762"/>
      <c r="L420" s="762"/>
      <c r="M420" s="762"/>
      <c r="N420" s="762"/>
      <c r="O420" s="762"/>
      <c r="P420" s="762"/>
      <c r="Q420" s="925"/>
      <c r="R420" s="762"/>
      <c r="S420" s="762"/>
      <c r="T420" s="762"/>
      <c r="U420" s="762"/>
      <c r="V420" s="762"/>
      <c r="W420" s="762"/>
      <c r="X420" s="762"/>
      <c r="Y420" s="925"/>
      <c r="Z420" s="762"/>
      <c r="AA420" s="762"/>
      <c r="AB420" s="762"/>
      <c r="AC420" s="762"/>
      <c r="AD420" s="762"/>
      <c r="AE420" s="762"/>
      <c r="AF420" s="762"/>
      <c r="AG420" s="925"/>
      <c r="AH420" s="762"/>
      <c r="AI420" s="762"/>
      <c r="AJ420" s="762"/>
      <c r="AK420" s="762"/>
      <c r="AL420" s="762"/>
      <c r="AM420" s="762"/>
      <c r="AN420" s="762"/>
      <c r="AO420" s="925"/>
      <c r="AP420" s="762"/>
      <c r="AQ420" s="762"/>
      <c r="AR420" s="762"/>
      <c r="AS420" s="762"/>
      <c r="AT420" s="762"/>
      <c r="AU420" s="762"/>
      <c r="AV420" s="762"/>
      <c r="AW420" s="762"/>
      <c r="AX420" s="762"/>
      <c r="AY420" s="762"/>
      <c r="AZ420" s="762"/>
      <c r="BA420" s="762"/>
      <c r="BB420" s="762"/>
      <c r="BC420" s="762"/>
      <c r="BD420" s="762"/>
      <c r="BE420" s="762"/>
      <c r="BF420" s="762"/>
      <c r="BG420" s="762"/>
      <c r="BH420" s="762"/>
    </row>
    <row r="421" spans="1:60" s="49" customFormat="1">
      <c r="A421" s="767"/>
      <c r="B421" s="767"/>
      <c r="C421" s="762"/>
      <c r="D421" s="762"/>
      <c r="E421" s="762"/>
      <c r="F421" s="762"/>
      <c r="G421" s="762"/>
      <c r="H421" s="762"/>
      <c r="I421" s="925"/>
      <c r="J421" s="762"/>
      <c r="K421" s="762"/>
      <c r="L421" s="762"/>
      <c r="M421" s="762"/>
      <c r="N421" s="762"/>
      <c r="O421" s="762"/>
      <c r="P421" s="762"/>
      <c r="Q421" s="925"/>
      <c r="R421" s="762"/>
      <c r="S421" s="762"/>
      <c r="T421" s="762"/>
      <c r="U421" s="762"/>
      <c r="V421" s="762"/>
      <c r="W421" s="762"/>
      <c r="X421" s="762"/>
      <c r="Y421" s="925"/>
      <c r="Z421" s="762"/>
      <c r="AA421" s="762"/>
      <c r="AB421" s="762"/>
      <c r="AC421" s="762"/>
      <c r="AD421" s="762"/>
      <c r="AE421" s="762"/>
      <c r="AF421" s="762"/>
      <c r="AG421" s="925"/>
      <c r="AH421" s="762"/>
      <c r="AI421" s="762"/>
      <c r="AJ421" s="762"/>
      <c r="AK421" s="762"/>
      <c r="AL421" s="762"/>
      <c r="AM421" s="762"/>
      <c r="AN421" s="762"/>
      <c r="AO421" s="925"/>
      <c r="AP421" s="762"/>
      <c r="AQ421" s="762"/>
      <c r="AR421" s="762"/>
      <c r="AS421" s="762"/>
      <c r="AT421" s="762"/>
      <c r="AU421" s="762"/>
      <c r="AV421" s="762"/>
      <c r="AW421" s="762"/>
      <c r="AX421" s="762"/>
      <c r="AY421" s="762"/>
      <c r="AZ421" s="762"/>
      <c r="BA421" s="762"/>
      <c r="BB421" s="762"/>
      <c r="BC421" s="762"/>
      <c r="BD421" s="762"/>
      <c r="BE421" s="762"/>
      <c r="BF421" s="762"/>
      <c r="BG421" s="762"/>
      <c r="BH421" s="762"/>
    </row>
    <row r="422" spans="1:60" s="49" customFormat="1">
      <c r="A422" s="767"/>
      <c r="B422" s="767"/>
      <c r="C422" s="762"/>
      <c r="D422" s="762"/>
      <c r="E422" s="762"/>
      <c r="F422" s="762"/>
      <c r="G422" s="762"/>
      <c r="H422" s="762"/>
      <c r="I422" s="925"/>
      <c r="J422" s="762"/>
      <c r="K422" s="762"/>
      <c r="L422" s="762"/>
      <c r="M422" s="762"/>
      <c r="N422" s="762"/>
      <c r="O422" s="762"/>
      <c r="P422" s="762"/>
      <c r="Q422" s="925"/>
      <c r="R422" s="762"/>
      <c r="S422" s="762"/>
      <c r="T422" s="762"/>
      <c r="U422" s="762"/>
      <c r="V422" s="762"/>
      <c r="W422" s="762"/>
      <c r="X422" s="762"/>
      <c r="Y422" s="925"/>
      <c r="Z422" s="762"/>
      <c r="AA422" s="762"/>
      <c r="AB422" s="762"/>
      <c r="AC422" s="762"/>
      <c r="AD422" s="762"/>
      <c r="AE422" s="762"/>
      <c r="AF422" s="762"/>
      <c r="AG422" s="925"/>
      <c r="AH422" s="762"/>
      <c r="AI422" s="762"/>
      <c r="AJ422" s="762"/>
      <c r="AK422" s="762"/>
      <c r="AL422" s="762"/>
      <c r="AM422" s="762"/>
      <c r="AN422" s="762"/>
      <c r="AO422" s="925"/>
      <c r="AP422" s="762"/>
      <c r="AQ422" s="762"/>
      <c r="AR422" s="762"/>
      <c r="AS422" s="762"/>
      <c r="AT422" s="762"/>
      <c r="AU422" s="762"/>
      <c r="AV422" s="762"/>
      <c r="AW422" s="762"/>
      <c r="AX422" s="762"/>
      <c r="AY422" s="762"/>
      <c r="AZ422" s="762"/>
      <c r="BA422" s="762"/>
      <c r="BB422" s="762"/>
      <c r="BC422" s="762"/>
      <c r="BD422" s="762"/>
      <c r="BE422" s="762"/>
      <c r="BF422" s="762"/>
      <c r="BG422" s="762"/>
      <c r="BH422" s="762"/>
    </row>
    <row r="423" spans="1:60" s="49" customFormat="1">
      <c r="A423" s="767"/>
      <c r="B423" s="767"/>
      <c r="C423" s="762"/>
      <c r="D423" s="762"/>
      <c r="E423" s="762"/>
      <c r="F423" s="762"/>
      <c r="G423" s="762"/>
      <c r="H423" s="762"/>
      <c r="I423" s="925"/>
      <c r="J423" s="762"/>
      <c r="K423" s="762"/>
      <c r="L423" s="762"/>
      <c r="M423" s="762"/>
      <c r="N423" s="762"/>
      <c r="O423" s="762"/>
      <c r="P423" s="762"/>
      <c r="Q423" s="925"/>
      <c r="R423" s="762"/>
      <c r="S423" s="762"/>
      <c r="T423" s="762"/>
      <c r="U423" s="762"/>
      <c r="V423" s="762"/>
      <c r="W423" s="762"/>
      <c r="X423" s="762"/>
      <c r="Y423" s="925"/>
      <c r="Z423" s="762"/>
      <c r="AA423" s="762"/>
      <c r="AB423" s="762"/>
      <c r="AC423" s="762"/>
      <c r="AD423" s="762"/>
      <c r="AE423" s="762"/>
      <c r="AF423" s="762"/>
      <c r="AG423" s="925"/>
      <c r="AH423" s="762"/>
      <c r="AI423" s="762"/>
      <c r="AJ423" s="762"/>
      <c r="AK423" s="762"/>
      <c r="AL423" s="762"/>
      <c r="AM423" s="762"/>
      <c r="AN423" s="762"/>
      <c r="AO423" s="925"/>
      <c r="AP423" s="762"/>
      <c r="AQ423" s="762"/>
      <c r="AR423" s="762"/>
      <c r="AS423" s="762"/>
      <c r="AT423" s="762"/>
      <c r="AU423" s="762"/>
      <c r="AV423" s="762"/>
      <c r="AW423" s="762"/>
      <c r="AX423" s="762"/>
      <c r="AY423" s="762"/>
      <c r="AZ423" s="762"/>
      <c r="BA423" s="762"/>
      <c r="BB423" s="762"/>
      <c r="BC423" s="762"/>
      <c r="BD423" s="762"/>
      <c r="BE423" s="762"/>
      <c r="BF423" s="762"/>
      <c r="BG423" s="762"/>
      <c r="BH423" s="762"/>
    </row>
    <row r="424" spans="1:60" s="49" customFormat="1">
      <c r="A424" s="767"/>
      <c r="B424" s="767"/>
      <c r="C424" s="762"/>
      <c r="D424" s="762"/>
      <c r="E424" s="762"/>
      <c r="F424" s="762"/>
      <c r="G424" s="762"/>
      <c r="H424" s="762"/>
      <c r="I424" s="925"/>
      <c r="J424" s="762"/>
      <c r="K424" s="762"/>
      <c r="L424" s="762"/>
      <c r="M424" s="762"/>
      <c r="N424" s="762"/>
      <c r="O424" s="762"/>
      <c r="P424" s="762"/>
      <c r="Q424" s="925"/>
      <c r="R424" s="762"/>
      <c r="S424" s="762"/>
      <c r="T424" s="762"/>
      <c r="U424" s="762"/>
      <c r="V424" s="762"/>
      <c r="W424" s="762"/>
      <c r="X424" s="762"/>
      <c r="Y424" s="925"/>
      <c r="Z424" s="762"/>
      <c r="AA424" s="762"/>
      <c r="AB424" s="762"/>
      <c r="AC424" s="762"/>
      <c r="AD424" s="762"/>
      <c r="AE424" s="762"/>
      <c r="AF424" s="762"/>
      <c r="AG424" s="925"/>
      <c r="AH424" s="762"/>
      <c r="AI424" s="762"/>
      <c r="AJ424" s="762"/>
      <c r="AK424" s="762"/>
      <c r="AL424" s="762"/>
      <c r="AM424" s="762"/>
      <c r="AN424" s="762"/>
      <c r="AO424" s="925"/>
      <c r="AP424" s="762"/>
      <c r="AQ424" s="762"/>
      <c r="AR424" s="762"/>
      <c r="AS424" s="762"/>
      <c r="AT424" s="762"/>
      <c r="AU424" s="762"/>
      <c r="AV424" s="762"/>
      <c r="AW424" s="762"/>
      <c r="AX424" s="762"/>
      <c r="AY424" s="762"/>
      <c r="AZ424" s="762"/>
      <c r="BA424" s="762"/>
      <c r="BB424" s="762"/>
      <c r="BC424" s="762"/>
      <c r="BD424" s="762"/>
      <c r="BE424" s="762"/>
      <c r="BF424" s="762"/>
      <c r="BG424" s="762"/>
      <c r="BH424" s="762"/>
    </row>
    <row r="425" spans="1:60" s="49" customFormat="1">
      <c r="A425" s="767"/>
      <c r="B425" s="767"/>
      <c r="C425" s="762"/>
      <c r="D425" s="762"/>
      <c r="E425" s="762"/>
      <c r="F425" s="762"/>
      <c r="G425" s="762"/>
      <c r="H425" s="762"/>
      <c r="I425" s="925"/>
      <c r="J425" s="762"/>
      <c r="K425" s="762"/>
      <c r="L425" s="762"/>
      <c r="M425" s="762"/>
      <c r="N425" s="762"/>
      <c r="O425" s="762"/>
      <c r="P425" s="762"/>
      <c r="Q425" s="925"/>
      <c r="R425" s="762"/>
      <c r="S425" s="762"/>
      <c r="T425" s="762"/>
      <c r="U425" s="762"/>
      <c r="V425" s="762"/>
      <c r="W425" s="762"/>
      <c r="X425" s="762"/>
      <c r="Y425" s="925"/>
      <c r="Z425" s="762"/>
      <c r="AA425" s="762"/>
      <c r="AB425" s="762"/>
      <c r="AC425" s="762"/>
      <c r="AD425" s="762"/>
      <c r="AE425" s="762"/>
      <c r="AF425" s="762"/>
      <c r="AG425" s="925"/>
      <c r="AH425" s="762"/>
      <c r="AI425" s="762"/>
      <c r="AJ425" s="762"/>
      <c r="AK425" s="762"/>
      <c r="AL425" s="762"/>
      <c r="AM425" s="762"/>
      <c r="AN425" s="762"/>
      <c r="AO425" s="925"/>
      <c r="AP425" s="762"/>
      <c r="AQ425" s="762"/>
      <c r="AR425" s="762"/>
      <c r="AS425" s="762"/>
      <c r="AT425" s="762"/>
      <c r="AU425" s="762"/>
      <c r="AV425" s="762"/>
      <c r="AW425" s="762"/>
      <c r="AX425" s="762"/>
      <c r="AY425" s="762"/>
      <c r="AZ425" s="762"/>
      <c r="BA425" s="762"/>
      <c r="BB425" s="762"/>
      <c r="BC425" s="762"/>
      <c r="BD425" s="762"/>
      <c r="BE425" s="762"/>
      <c r="BF425" s="762"/>
      <c r="BG425" s="762"/>
      <c r="BH425" s="762"/>
    </row>
    <row r="426" spans="1:60" s="49" customFormat="1">
      <c r="A426" s="767"/>
      <c r="B426" s="767"/>
      <c r="C426" s="762"/>
      <c r="D426" s="762"/>
      <c r="E426" s="762"/>
      <c r="F426" s="762"/>
      <c r="G426" s="762"/>
      <c r="H426" s="762"/>
      <c r="I426" s="925"/>
      <c r="J426" s="762"/>
      <c r="K426" s="762"/>
      <c r="L426" s="762"/>
      <c r="M426" s="762"/>
      <c r="N426" s="762"/>
      <c r="O426" s="762"/>
      <c r="P426" s="762"/>
      <c r="Q426" s="925"/>
      <c r="R426" s="762"/>
      <c r="S426" s="762"/>
      <c r="T426" s="762"/>
      <c r="U426" s="762"/>
      <c r="V426" s="762"/>
      <c r="W426" s="762"/>
      <c r="X426" s="762"/>
      <c r="Y426" s="925"/>
      <c r="Z426" s="762"/>
      <c r="AA426" s="762"/>
      <c r="AB426" s="762"/>
      <c r="AC426" s="762"/>
      <c r="AD426" s="762"/>
      <c r="AE426" s="762"/>
      <c r="AF426" s="762"/>
      <c r="AG426" s="925"/>
      <c r="AH426" s="762"/>
      <c r="AI426" s="762"/>
      <c r="AJ426" s="762"/>
      <c r="AK426" s="762"/>
      <c r="AL426" s="762"/>
      <c r="AM426" s="762"/>
      <c r="AN426" s="762"/>
      <c r="AO426" s="925"/>
      <c r="AP426" s="762"/>
      <c r="AQ426" s="762"/>
      <c r="AR426" s="762"/>
      <c r="AS426" s="762"/>
      <c r="AT426" s="762"/>
      <c r="AU426" s="762"/>
      <c r="AV426" s="762"/>
      <c r="AW426" s="762"/>
      <c r="AX426" s="762"/>
      <c r="AY426" s="762"/>
      <c r="AZ426" s="762"/>
      <c r="BA426" s="762"/>
      <c r="BB426" s="762"/>
      <c r="BC426" s="762"/>
      <c r="BD426" s="762"/>
      <c r="BE426" s="762"/>
      <c r="BF426" s="762"/>
      <c r="BG426" s="762"/>
      <c r="BH426" s="762"/>
    </row>
    <row r="427" spans="1:60" s="49" customFormat="1">
      <c r="A427" s="767"/>
      <c r="B427" s="767"/>
      <c r="C427" s="762"/>
      <c r="D427" s="762"/>
      <c r="E427" s="762"/>
      <c r="F427" s="762"/>
      <c r="G427" s="762"/>
      <c r="H427" s="762"/>
      <c r="I427" s="925"/>
      <c r="J427" s="762"/>
      <c r="K427" s="762"/>
      <c r="L427" s="762"/>
      <c r="M427" s="762"/>
      <c r="N427" s="762"/>
      <c r="O427" s="762"/>
      <c r="P427" s="762"/>
      <c r="Q427" s="925"/>
      <c r="R427" s="762"/>
      <c r="S427" s="762"/>
      <c r="T427" s="762"/>
      <c r="U427" s="762"/>
      <c r="V427" s="762"/>
      <c r="W427" s="762"/>
      <c r="X427" s="762"/>
      <c r="Y427" s="925"/>
      <c r="Z427" s="762"/>
      <c r="AA427" s="762"/>
      <c r="AB427" s="762"/>
      <c r="AC427" s="762"/>
      <c r="AD427" s="762"/>
      <c r="AE427" s="762"/>
      <c r="AF427" s="762"/>
      <c r="AG427" s="925"/>
      <c r="AH427" s="762"/>
      <c r="AI427" s="762"/>
      <c r="AJ427" s="762"/>
      <c r="AK427" s="762"/>
      <c r="AL427" s="762"/>
      <c r="AM427" s="762"/>
      <c r="AN427" s="762"/>
      <c r="AO427" s="925"/>
      <c r="AP427" s="762"/>
      <c r="AQ427" s="762"/>
      <c r="AR427" s="762"/>
      <c r="AS427" s="762"/>
      <c r="AT427" s="762"/>
      <c r="AU427" s="762"/>
      <c r="AV427" s="762"/>
      <c r="AW427" s="762"/>
      <c r="AX427" s="762"/>
      <c r="AY427" s="762"/>
      <c r="AZ427" s="762"/>
      <c r="BA427" s="762"/>
      <c r="BB427" s="762"/>
      <c r="BC427" s="762"/>
      <c r="BD427" s="762"/>
      <c r="BE427" s="762"/>
      <c r="BF427" s="762"/>
      <c r="BG427" s="762"/>
      <c r="BH427" s="762"/>
    </row>
    <row r="428" spans="1:60" s="49" customFormat="1">
      <c r="A428" s="767"/>
      <c r="B428" s="767"/>
      <c r="C428" s="762"/>
      <c r="D428" s="762"/>
      <c r="E428" s="762"/>
      <c r="F428" s="762"/>
      <c r="G428" s="762"/>
      <c r="H428" s="762"/>
      <c r="I428" s="925"/>
      <c r="J428" s="762"/>
      <c r="K428" s="762"/>
      <c r="L428" s="762"/>
      <c r="M428" s="762"/>
      <c r="N428" s="762"/>
      <c r="O428" s="762"/>
      <c r="P428" s="762"/>
      <c r="Q428" s="925"/>
      <c r="R428" s="762"/>
      <c r="S428" s="762"/>
      <c r="T428" s="762"/>
      <c r="U428" s="762"/>
      <c r="V428" s="762"/>
      <c r="W428" s="762"/>
      <c r="X428" s="762"/>
      <c r="Y428" s="925"/>
      <c r="Z428" s="762"/>
      <c r="AA428" s="762"/>
      <c r="AB428" s="762"/>
      <c r="AC428" s="762"/>
      <c r="AD428" s="762"/>
      <c r="AE428" s="762"/>
      <c r="AF428" s="762"/>
      <c r="AG428" s="925"/>
      <c r="AH428" s="762"/>
      <c r="AI428" s="762"/>
      <c r="AJ428" s="762"/>
      <c r="AK428" s="762"/>
      <c r="AL428" s="762"/>
      <c r="AM428" s="762"/>
      <c r="AN428" s="762"/>
      <c r="AO428" s="925"/>
      <c r="AP428" s="762"/>
      <c r="AQ428" s="762"/>
      <c r="AR428" s="762"/>
      <c r="AS428" s="762"/>
      <c r="AT428" s="762"/>
      <c r="AU428" s="762"/>
      <c r="AV428" s="762"/>
      <c r="AW428" s="762"/>
      <c r="AX428" s="762"/>
      <c r="AY428" s="762"/>
      <c r="AZ428" s="762"/>
      <c r="BA428" s="762"/>
      <c r="BB428" s="762"/>
      <c r="BC428" s="762"/>
      <c r="BD428" s="762"/>
      <c r="BE428" s="762"/>
      <c r="BF428" s="762"/>
      <c r="BG428" s="762"/>
      <c r="BH428" s="762"/>
    </row>
    <row r="429" spans="1:60" s="49" customFormat="1">
      <c r="A429" s="767"/>
      <c r="B429" s="767"/>
      <c r="C429" s="762"/>
      <c r="D429" s="762"/>
      <c r="E429" s="762"/>
      <c r="F429" s="762"/>
      <c r="G429" s="762"/>
      <c r="H429" s="762"/>
      <c r="I429" s="925"/>
      <c r="J429" s="762"/>
      <c r="K429" s="762"/>
      <c r="L429" s="762"/>
      <c r="M429" s="762"/>
      <c r="N429" s="762"/>
      <c r="O429" s="762"/>
      <c r="P429" s="762"/>
      <c r="Q429" s="925"/>
      <c r="R429" s="762"/>
      <c r="S429" s="762"/>
      <c r="T429" s="762"/>
      <c r="U429" s="762"/>
      <c r="V429" s="762"/>
      <c r="W429" s="762"/>
      <c r="X429" s="762"/>
      <c r="Y429" s="925"/>
      <c r="Z429" s="762"/>
      <c r="AA429" s="762"/>
      <c r="AB429" s="762"/>
      <c r="AC429" s="762"/>
      <c r="AD429" s="762"/>
      <c r="AE429" s="762"/>
      <c r="AF429" s="762"/>
      <c r="AG429" s="925"/>
      <c r="AH429" s="762"/>
      <c r="AI429" s="762"/>
      <c r="AJ429" s="762"/>
      <c r="AK429" s="762"/>
      <c r="AL429" s="762"/>
      <c r="AM429" s="762"/>
      <c r="AN429" s="762"/>
      <c r="AO429" s="925"/>
      <c r="AP429" s="762"/>
      <c r="AQ429" s="762"/>
      <c r="AR429" s="762"/>
      <c r="AS429" s="762"/>
      <c r="AT429" s="762"/>
      <c r="AU429" s="762"/>
      <c r="AV429" s="762"/>
      <c r="AW429" s="762"/>
      <c r="AX429" s="762"/>
      <c r="AY429" s="762"/>
      <c r="AZ429" s="762"/>
      <c r="BA429" s="762"/>
      <c r="BB429" s="762"/>
      <c r="BC429" s="762"/>
      <c r="BD429" s="762"/>
      <c r="BE429" s="762"/>
      <c r="BF429" s="762"/>
      <c r="BG429" s="762"/>
      <c r="BH429" s="762"/>
    </row>
    <row r="430" spans="1:60" s="49" customFormat="1">
      <c r="A430" s="767"/>
      <c r="B430" s="767"/>
      <c r="C430" s="762"/>
      <c r="D430" s="762"/>
      <c r="E430" s="762"/>
      <c r="F430" s="762"/>
      <c r="G430" s="762"/>
      <c r="H430" s="762"/>
      <c r="I430" s="925"/>
      <c r="J430" s="762"/>
      <c r="K430" s="762"/>
      <c r="L430" s="762"/>
      <c r="M430" s="762"/>
      <c r="N430" s="762"/>
      <c r="O430" s="762"/>
      <c r="P430" s="762"/>
      <c r="Q430" s="925"/>
      <c r="R430" s="762"/>
      <c r="S430" s="762"/>
      <c r="T430" s="762"/>
      <c r="U430" s="762"/>
      <c r="V430" s="762"/>
      <c r="W430" s="762"/>
      <c r="X430" s="762"/>
      <c r="Y430" s="925"/>
      <c r="Z430" s="762"/>
      <c r="AA430" s="762"/>
      <c r="AB430" s="762"/>
      <c r="AC430" s="762"/>
      <c r="AD430" s="762"/>
      <c r="AE430" s="762"/>
      <c r="AF430" s="762"/>
      <c r="AG430" s="925"/>
      <c r="AH430" s="762"/>
      <c r="AI430" s="762"/>
      <c r="AJ430" s="762"/>
      <c r="AK430" s="762"/>
      <c r="AL430" s="762"/>
      <c r="AM430" s="762"/>
      <c r="AN430" s="762"/>
      <c r="AO430" s="925"/>
      <c r="AP430" s="762"/>
      <c r="AQ430" s="762"/>
      <c r="AR430" s="762"/>
      <c r="AS430" s="762"/>
      <c r="AT430" s="762"/>
      <c r="AU430" s="762"/>
      <c r="AV430" s="762"/>
      <c r="AW430" s="762"/>
      <c r="AX430" s="762"/>
      <c r="AY430" s="762"/>
      <c r="AZ430" s="762"/>
      <c r="BA430" s="762"/>
      <c r="BB430" s="762"/>
      <c r="BC430" s="762"/>
      <c r="BD430" s="762"/>
      <c r="BE430" s="762"/>
      <c r="BF430" s="762"/>
      <c r="BG430" s="762"/>
      <c r="BH430" s="762"/>
    </row>
    <row r="431" spans="1:60" s="49" customFormat="1">
      <c r="A431" s="768"/>
      <c r="B431" s="768"/>
      <c r="C431" s="762"/>
      <c r="D431" s="762"/>
      <c r="E431" s="762"/>
      <c r="F431" s="762"/>
      <c r="G431" s="762"/>
      <c r="H431" s="762"/>
      <c r="I431" s="925"/>
      <c r="J431" s="762"/>
      <c r="K431" s="762"/>
      <c r="L431" s="762"/>
      <c r="M431" s="762"/>
      <c r="N431" s="762"/>
      <c r="O431" s="762"/>
      <c r="P431" s="762"/>
      <c r="Q431" s="925"/>
      <c r="R431" s="762"/>
      <c r="S431" s="762"/>
      <c r="T431" s="762"/>
      <c r="U431" s="762"/>
      <c r="V431" s="762"/>
      <c r="W431" s="762"/>
      <c r="X431" s="762"/>
      <c r="Y431" s="925"/>
      <c r="Z431" s="762"/>
      <c r="AA431" s="762"/>
      <c r="AB431" s="762"/>
      <c r="AC431" s="762"/>
      <c r="AD431" s="762"/>
      <c r="AE431" s="762"/>
      <c r="AF431" s="762"/>
      <c r="AG431" s="925"/>
      <c r="AH431" s="762"/>
      <c r="AI431" s="762"/>
      <c r="AJ431" s="762"/>
      <c r="AK431" s="762"/>
      <c r="AL431" s="762"/>
      <c r="AM431" s="762"/>
      <c r="AN431" s="762"/>
      <c r="AO431" s="925"/>
      <c r="AP431" s="762"/>
      <c r="AQ431" s="762"/>
      <c r="AR431" s="762"/>
      <c r="AS431" s="762"/>
      <c r="AT431" s="762"/>
      <c r="AU431" s="762"/>
      <c r="AV431" s="762"/>
      <c r="AW431" s="762"/>
      <c r="AX431" s="762"/>
      <c r="AY431" s="762"/>
      <c r="AZ431" s="762"/>
      <c r="BA431" s="762"/>
      <c r="BB431" s="762"/>
      <c r="BC431" s="762"/>
      <c r="BD431" s="762"/>
      <c r="BE431" s="762"/>
      <c r="BF431" s="762"/>
      <c r="BG431" s="762"/>
      <c r="BH431" s="762"/>
    </row>
    <row r="432" spans="1:60" s="49" customFormat="1">
      <c r="A432" s="768"/>
      <c r="B432" s="768"/>
      <c r="C432" s="762"/>
      <c r="D432" s="762"/>
      <c r="E432" s="762"/>
      <c r="F432" s="762"/>
      <c r="G432" s="762"/>
      <c r="H432" s="762"/>
      <c r="I432" s="925"/>
      <c r="J432" s="762"/>
      <c r="K432" s="762"/>
      <c r="L432" s="762"/>
      <c r="M432" s="762"/>
      <c r="N432" s="762"/>
      <c r="O432" s="762"/>
      <c r="P432" s="762"/>
      <c r="Q432" s="925"/>
      <c r="R432" s="762"/>
      <c r="S432" s="762"/>
      <c r="T432" s="762"/>
      <c r="U432" s="762"/>
      <c r="V432" s="762"/>
      <c r="W432" s="762"/>
      <c r="X432" s="762"/>
      <c r="Y432" s="925"/>
      <c r="Z432" s="762"/>
      <c r="AA432" s="762"/>
      <c r="AB432" s="762"/>
      <c r="AC432" s="762"/>
      <c r="AD432" s="762"/>
      <c r="AE432" s="762"/>
      <c r="AF432" s="762"/>
      <c r="AG432" s="925"/>
      <c r="AH432" s="762"/>
      <c r="AI432" s="762"/>
      <c r="AJ432" s="762"/>
      <c r="AK432" s="762"/>
      <c r="AL432" s="762"/>
      <c r="AM432" s="762"/>
      <c r="AN432" s="762"/>
      <c r="AO432" s="925"/>
      <c r="AP432" s="762"/>
      <c r="AQ432" s="762"/>
      <c r="AR432" s="762"/>
      <c r="AS432" s="762"/>
      <c r="AT432" s="762"/>
      <c r="AU432" s="762"/>
      <c r="AV432" s="762"/>
      <c r="AW432" s="762"/>
      <c r="AX432" s="762"/>
      <c r="AY432" s="762"/>
      <c r="AZ432" s="762"/>
      <c r="BA432" s="762"/>
      <c r="BB432" s="762"/>
      <c r="BC432" s="762"/>
      <c r="BD432" s="762"/>
      <c r="BE432" s="762"/>
      <c r="BF432" s="762"/>
      <c r="BG432" s="762"/>
      <c r="BH432" s="762"/>
    </row>
    <row r="433" spans="1:60" s="49" customFormat="1">
      <c r="A433" s="768"/>
      <c r="B433" s="768"/>
      <c r="C433" s="762"/>
      <c r="D433" s="762"/>
      <c r="E433" s="762"/>
      <c r="F433" s="762"/>
      <c r="G433" s="762"/>
      <c r="H433" s="762"/>
      <c r="I433" s="925"/>
      <c r="J433" s="762"/>
      <c r="K433" s="762"/>
      <c r="L433" s="762"/>
      <c r="M433" s="762"/>
      <c r="N433" s="762"/>
      <c r="O433" s="762"/>
      <c r="P433" s="762"/>
      <c r="Q433" s="925"/>
      <c r="R433" s="762"/>
      <c r="S433" s="762"/>
      <c r="T433" s="762"/>
      <c r="U433" s="762"/>
      <c r="V433" s="762"/>
      <c r="W433" s="762"/>
      <c r="X433" s="762"/>
      <c r="Y433" s="925"/>
      <c r="Z433" s="762"/>
      <c r="AA433" s="762"/>
      <c r="AB433" s="762"/>
      <c r="AC433" s="762"/>
      <c r="AD433" s="762"/>
      <c r="AE433" s="762"/>
      <c r="AF433" s="762"/>
      <c r="AG433" s="925"/>
      <c r="AH433" s="762"/>
      <c r="AI433" s="762"/>
      <c r="AJ433" s="762"/>
      <c r="AK433" s="762"/>
      <c r="AL433" s="762"/>
      <c r="AM433" s="762"/>
      <c r="AN433" s="762"/>
      <c r="AO433" s="925"/>
      <c r="AP433" s="762"/>
      <c r="AQ433" s="762"/>
      <c r="AR433" s="762"/>
      <c r="AS433" s="762"/>
      <c r="AT433" s="762"/>
      <c r="AU433" s="762"/>
      <c r="AV433" s="762"/>
      <c r="AW433" s="762"/>
      <c r="AX433" s="762"/>
      <c r="AY433" s="762"/>
      <c r="AZ433" s="762"/>
      <c r="BA433" s="762"/>
      <c r="BB433" s="762"/>
      <c r="BC433" s="762"/>
      <c r="BD433" s="762"/>
      <c r="BE433" s="762"/>
      <c r="BF433" s="762"/>
      <c r="BG433" s="762"/>
      <c r="BH433" s="762"/>
    </row>
    <row r="434" spans="1:60" s="49" customFormat="1">
      <c r="A434" s="768"/>
      <c r="B434" s="768"/>
      <c r="C434" s="762"/>
      <c r="D434" s="762"/>
      <c r="E434" s="762"/>
      <c r="F434" s="762"/>
      <c r="G434" s="762"/>
      <c r="H434" s="762"/>
      <c r="I434" s="925"/>
      <c r="J434" s="762"/>
      <c r="K434" s="762"/>
      <c r="L434" s="762"/>
      <c r="M434" s="762"/>
      <c r="N434" s="762"/>
      <c r="O434" s="762"/>
      <c r="P434" s="762"/>
      <c r="Q434" s="925"/>
      <c r="R434" s="762"/>
      <c r="S434" s="762"/>
      <c r="T434" s="762"/>
      <c r="U434" s="762"/>
      <c r="V434" s="762"/>
      <c r="W434" s="762"/>
      <c r="X434" s="762"/>
      <c r="Y434" s="925"/>
      <c r="Z434" s="762"/>
      <c r="AA434" s="762"/>
      <c r="AB434" s="762"/>
      <c r="AC434" s="762"/>
      <c r="AD434" s="762"/>
      <c r="AE434" s="762"/>
      <c r="AF434" s="762"/>
      <c r="AG434" s="925"/>
      <c r="AH434" s="762"/>
      <c r="AI434" s="762"/>
      <c r="AJ434" s="762"/>
      <c r="AK434" s="762"/>
      <c r="AL434" s="762"/>
      <c r="AM434" s="762"/>
      <c r="AN434" s="762"/>
      <c r="AO434" s="925"/>
      <c r="AP434" s="762"/>
      <c r="AQ434" s="762"/>
      <c r="AR434" s="762"/>
      <c r="AS434" s="762"/>
      <c r="AT434" s="762"/>
      <c r="AU434" s="762"/>
      <c r="AV434" s="762"/>
      <c r="AW434" s="762"/>
      <c r="AX434" s="762"/>
      <c r="AY434" s="762"/>
      <c r="AZ434" s="762"/>
      <c r="BA434" s="762"/>
      <c r="BB434" s="762"/>
      <c r="BC434" s="762"/>
      <c r="BD434" s="762"/>
      <c r="BE434" s="762"/>
      <c r="BF434" s="762"/>
      <c r="BG434" s="762"/>
      <c r="BH434" s="762"/>
    </row>
    <row r="435" spans="1:60" s="49" customFormat="1">
      <c r="A435" s="768"/>
      <c r="B435" s="768"/>
      <c r="C435" s="762"/>
      <c r="D435" s="762"/>
      <c r="E435" s="762"/>
      <c r="F435" s="762"/>
      <c r="G435" s="762"/>
      <c r="H435" s="762"/>
      <c r="I435" s="925"/>
      <c r="J435" s="762"/>
      <c r="K435" s="762"/>
      <c r="L435" s="762"/>
      <c r="M435" s="762"/>
      <c r="N435" s="762"/>
      <c r="O435" s="762"/>
      <c r="P435" s="762"/>
      <c r="Q435" s="925"/>
      <c r="R435" s="762"/>
      <c r="S435" s="762"/>
      <c r="T435" s="762"/>
      <c r="U435" s="762"/>
      <c r="V435" s="762"/>
      <c r="W435" s="762"/>
      <c r="X435" s="762"/>
      <c r="Y435" s="925"/>
      <c r="Z435" s="762"/>
      <c r="AA435" s="762"/>
      <c r="AB435" s="762"/>
      <c r="AC435" s="762"/>
      <c r="AD435" s="762"/>
      <c r="AE435" s="762"/>
      <c r="AF435" s="762"/>
      <c r="AG435" s="925"/>
      <c r="AH435" s="762"/>
      <c r="AI435" s="762"/>
      <c r="AJ435" s="762"/>
      <c r="AK435" s="762"/>
      <c r="AL435" s="762"/>
      <c r="AM435" s="762"/>
      <c r="AN435" s="762"/>
      <c r="AO435" s="925"/>
      <c r="AP435" s="762"/>
      <c r="AQ435" s="762"/>
      <c r="AR435" s="762"/>
      <c r="AS435" s="762"/>
      <c r="AT435" s="762"/>
      <c r="AU435" s="762"/>
      <c r="AV435" s="762"/>
      <c r="AW435" s="762"/>
      <c r="AX435" s="762"/>
      <c r="AY435" s="762"/>
      <c r="AZ435" s="762"/>
      <c r="BA435" s="762"/>
      <c r="BB435" s="762"/>
      <c r="BC435" s="762"/>
      <c r="BD435" s="762"/>
      <c r="BE435" s="762"/>
      <c r="BF435" s="762"/>
      <c r="BG435" s="762"/>
      <c r="BH435" s="762"/>
    </row>
    <row r="436" spans="1:60" s="49" customFormat="1">
      <c r="A436" s="768"/>
      <c r="B436" s="768"/>
      <c r="C436" s="762"/>
      <c r="D436" s="762"/>
      <c r="E436" s="762"/>
      <c r="F436" s="762"/>
      <c r="G436" s="762"/>
      <c r="H436" s="762"/>
      <c r="I436" s="925"/>
      <c r="J436" s="762"/>
      <c r="K436" s="762"/>
      <c r="L436" s="762"/>
      <c r="M436" s="762"/>
      <c r="N436" s="762"/>
      <c r="O436" s="762"/>
      <c r="P436" s="762"/>
      <c r="Q436" s="925"/>
      <c r="R436" s="762"/>
      <c r="S436" s="762"/>
      <c r="T436" s="762"/>
      <c r="U436" s="762"/>
      <c r="V436" s="762"/>
      <c r="W436" s="762"/>
      <c r="X436" s="762"/>
      <c r="Y436" s="925"/>
      <c r="Z436" s="762"/>
      <c r="AA436" s="762"/>
      <c r="AB436" s="762"/>
      <c r="AC436" s="762"/>
      <c r="AD436" s="762"/>
      <c r="AE436" s="762"/>
      <c r="AF436" s="762"/>
      <c r="AG436" s="925"/>
      <c r="AH436" s="762"/>
      <c r="AI436" s="762"/>
      <c r="AJ436" s="762"/>
      <c r="AK436" s="762"/>
      <c r="AL436" s="762"/>
      <c r="AM436" s="762"/>
      <c r="AN436" s="762"/>
      <c r="AO436" s="925"/>
      <c r="AP436" s="762"/>
      <c r="AQ436" s="762"/>
      <c r="AR436" s="762"/>
      <c r="AS436" s="762"/>
      <c r="AT436" s="762"/>
      <c r="AU436" s="762"/>
      <c r="AV436" s="762"/>
      <c r="AW436" s="762"/>
      <c r="AX436" s="762"/>
      <c r="AY436" s="762"/>
      <c r="AZ436" s="762"/>
      <c r="BA436" s="762"/>
      <c r="BB436" s="762"/>
      <c r="BC436" s="762"/>
      <c r="BD436" s="762"/>
      <c r="BE436" s="762"/>
      <c r="BF436" s="762"/>
      <c r="BG436" s="762"/>
      <c r="BH436" s="762"/>
    </row>
    <row r="437" spans="1:60" s="49" customFormat="1">
      <c r="A437" s="768"/>
      <c r="B437" s="768"/>
      <c r="C437" s="762"/>
      <c r="D437" s="762"/>
      <c r="E437" s="762"/>
      <c r="F437" s="762"/>
      <c r="G437" s="762"/>
      <c r="H437" s="762"/>
      <c r="I437" s="925"/>
      <c r="J437" s="762"/>
      <c r="K437" s="762"/>
      <c r="L437" s="762"/>
      <c r="M437" s="762"/>
      <c r="N437" s="762"/>
      <c r="O437" s="762"/>
      <c r="P437" s="762"/>
      <c r="Q437" s="925"/>
      <c r="R437" s="762"/>
      <c r="S437" s="762"/>
      <c r="T437" s="762"/>
      <c r="U437" s="762"/>
      <c r="V437" s="762"/>
      <c r="W437" s="762"/>
      <c r="X437" s="762"/>
      <c r="Y437" s="925"/>
      <c r="Z437" s="762"/>
      <c r="AA437" s="762"/>
      <c r="AB437" s="762"/>
      <c r="AC437" s="762"/>
      <c r="AD437" s="762"/>
      <c r="AE437" s="762"/>
      <c r="AF437" s="762"/>
      <c r="AG437" s="925"/>
      <c r="AH437" s="762"/>
      <c r="AI437" s="762"/>
      <c r="AJ437" s="762"/>
      <c r="AK437" s="762"/>
      <c r="AL437" s="762"/>
      <c r="AM437" s="762"/>
      <c r="AN437" s="762"/>
      <c r="AO437" s="925"/>
      <c r="AP437" s="762"/>
      <c r="AQ437" s="762"/>
      <c r="AR437" s="762"/>
      <c r="AS437" s="762"/>
      <c r="AT437" s="762"/>
      <c r="AU437" s="762"/>
      <c r="AV437" s="762"/>
      <c r="AW437" s="762"/>
      <c r="AX437" s="762"/>
      <c r="AY437" s="762"/>
      <c r="AZ437" s="762"/>
      <c r="BA437" s="762"/>
      <c r="BB437" s="762"/>
      <c r="BC437" s="762"/>
      <c r="BD437" s="762"/>
      <c r="BE437" s="762"/>
      <c r="BF437" s="762"/>
      <c r="BG437" s="762"/>
      <c r="BH437" s="762"/>
    </row>
    <row r="438" spans="1:60" s="49" customFormat="1">
      <c r="A438" s="768"/>
      <c r="B438" s="768"/>
      <c r="C438" s="762"/>
      <c r="D438" s="762"/>
      <c r="E438" s="762"/>
      <c r="F438" s="762"/>
      <c r="G438" s="762"/>
      <c r="H438" s="762"/>
      <c r="I438" s="925"/>
      <c r="J438" s="762"/>
      <c r="K438" s="762"/>
      <c r="L438" s="762"/>
      <c r="M438" s="762"/>
      <c r="N438" s="762"/>
      <c r="O438" s="762"/>
      <c r="P438" s="762"/>
      <c r="Q438" s="925"/>
      <c r="R438" s="762"/>
      <c r="S438" s="762"/>
      <c r="T438" s="762"/>
      <c r="U438" s="762"/>
      <c r="V438" s="762"/>
      <c r="W438" s="762"/>
      <c r="X438" s="762"/>
      <c r="Y438" s="925"/>
      <c r="Z438" s="762"/>
      <c r="AA438" s="762"/>
      <c r="AB438" s="762"/>
      <c r="AC438" s="762"/>
      <c r="AD438" s="762"/>
      <c r="AE438" s="762"/>
      <c r="AF438" s="762"/>
      <c r="AG438" s="925"/>
      <c r="AH438" s="762"/>
      <c r="AI438" s="762"/>
      <c r="AJ438" s="762"/>
      <c r="AK438" s="762"/>
      <c r="AL438" s="762"/>
      <c r="AM438" s="762"/>
      <c r="AN438" s="762"/>
      <c r="AO438" s="925"/>
      <c r="AP438" s="762"/>
      <c r="AQ438" s="762"/>
      <c r="AR438" s="762"/>
      <c r="AS438" s="762"/>
      <c r="AT438" s="762"/>
      <c r="AU438" s="762"/>
      <c r="AV438" s="762"/>
      <c r="AW438" s="762"/>
      <c r="AX438" s="762"/>
      <c r="AY438" s="762"/>
      <c r="AZ438" s="762"/>
      <c r="BA438" s="762"/>
      <c r="BB438" s="762"/>
      <c r="BC438" s="762"/>
      <c r="BD438" s="762"/>
      <c r="BE438" s="762"/>
      <c r="BF438" s="762"/>
      <c r="BG438" s="762"/>
      <c r="BH438" s="762"/>
    </row>
    <row r="439" spans="1:60" s="49" customFormat="1">
      <c r="A439" s="768"/>
      <c r="B439" s="768"/>
      <c r="C439" s="762"/>
      <c r="D439" s="762"/>
      <c r="E439" s="762"/>
      <c r="F439" s="762"/>
      <c r="G439" s="762"/>
      <c r="H439" s="762"/>
      <c r="I439" s="925"/>
      <c r="J439" s="762"/>
      <c r="K439" s="762"/>
      <c r="L439" s="762"/>
      <c r="M439" s="762"/>
      <c r="N439" s="762"/>
      <c r="O439" s="762"/>
      <c r="P439" s="762"/>
      <c r="Q439" s="925"/>
      <c r="R439" s="762"/>
      <c r="S439" s="762"/>
      <c r="T439" s="762"/>
      <c r="U439" s="762"/>
      <c r="V439" s="762"/>
      <c r="W439" s="762"/>
      <c r="X439" s="762"/>
      <c r="Y439" s="925"/>
      <c r="Z439" s="762"/>
      <c r="AA439" s="762"/>
      <c r="AB439" s="762"/>
      <c r="AC439" s="762"/>
      <c r="AD439" s="762"/>
      <c r="AE439" s="762"/>
      <c r="AF439" s="762"/>
      <c r="AG439" s="925"/>
      <c r="AH439" s="762"/>
      <c r="AI439" s="762"/>
      <c r="AJ439" s="762"/>
      <c r="AK439" s="762"/>
      <c r="AL439" s="762"/>
      <c r="AM439" s="762"/>
      <c r="AN439" s="762"/>
      <c r="AO439" s="925"/>
      <c r="AP439" s="762"/>
      <c r="AQ439" s="762"/>
      <c r="AR439" s="762"/>
      <c r="AS439" s="762"/>
      <c r="AT439" s="762"/>
      <c r="AU439" s="762"/>
      <c r="AV439" s="762"/>
      <c r="AW439" s="762"/>
      <c r="AX439" s="762"/>
      <c r="AY439" s="762"/>
      <c r="AZ439" s="762"/>
      <c r="BA439" s="762"/>
      <c r="BB439" s="762"/>
      <c r="BC439" s="762"/>
      <c r="BD439" s="762"/>
      <c r="BE439" s="762"/>
      <c r="BF439" s="762"/>
      <c r="BG439" s="762"/>
      <c r="BH439" s="762"/>
    </row>
    <row r="440" spans="1:60" s="49" customFormat="1">
      <c r="A440" s="768"/>
      <c r="B440" s="768"/>
      <c r="C440" s="762"/>
      <c r="D440" s="762"/>
      <c r="E440" s="762"/>
      <c r="F440" s="762"/>
      <c r="G440" s="762"/>
      <c r="H440" s="762"/>
      <c r="I440" s="925"/>
      <c r="J440" s="762"/>
      <c r="K440" s="762"/>
      <c r="L440" s="762"/>
      <c r="M440" s="762"/>
      <c r="N440" s="762"/>
      <c r="O440" s="762"/>
      <c r="P440" s="762"/>
      <c r="Q440" s="925"/>
      <c r="R440" s="762"/>
      <c r="S440" s="762"/>
      <c r="T440" s="762"/>
      <c r="U440" s="762"/>
      <c r="V440" s="762"/>
      <c r="W440" s="762"/>
      <c r="X440" s="762"/>
      <c r="Y440" s="925"/>
      <c r="Z440" s="762"/>
      <c r="AA440" s="762"/>
      <c r="AB440" s="762"/>
      <c r="AC440" s="762"/>
      <c r="AD440" s="762"/>
      <c r="AE440" s="762"/>
      <c r="AF440" s="762"/>
      <c r="AG440" s="925"/>
      <c r="AH440" s="762"/>
      <c r="AI440" s="762"/>
      <c r="AJ440" s="762"/>
      <c r="AK440" s="762"/>
      <c r="AL440" s="762"/>
      <c r="AM440" s="762"/>
      <c r="AN440" s="762"/>
      <c r="AO440" s="925"/>
      <c r="AP440" s="762"/>
      <c r="AQ440" s="762"/>
      <c r="AR440" s="762"/>
      <c r="AS440" s="762"/>
      <c r="AT440" s="762"/>
      <c r="AU440" s="762"/>
      <c r="AV440" s="762"/>
      <c r="AW440" s="762"/>
      <c r="AX440" s="762"/>
      <c r="AY440" s="762"/>
      <c r="AZ440" s="762"/>
      <c r="BA440" s="762"/>
      <c r="BB440" s="762"/>
      <c r="BC440" s="762"/>
      <c r="BD440" s="762"/>
      <c r="BE440" s="762"/>
      <c r="BF440" s="762"/>
      <c r="BG440" s="762"/>
      <c r="BH440" s="762"/>
    </row>
    <row r="441" spans="1:60" s="49" customFormat="1">
      <c r="A441" s="768"/>
      <c r="B441" s="768"/>
      <c r="C441" s="762"/>
      <c r="D441" s="762"/>
      <c r="E441" s="762"/>
      <c r="F441" s="762"/>
      <c r="G441" s="762"/>
      <c r="H441" s="762"/>
      <c r="I441" s="925"/>
      <c r="J441" s="762"/>
      <c r="K441" s="762"/>
      <c r="L441" s="762"/>
      <c r="M441" s="762"/>
      <c r="N441" s="762"/>
      <c r="O441" s="762"/>
      <c r="P441" s="762"/>
      <c r="Q441" s="925"/>
      <c r="R441" s="762"/>
      <c r="S441" s="762"/>
      <c r="T441" s="762"/>
      <c r="U441" s="762"/>
      <c r="V441" s="762"/>
      <c r="W441" s="762"/>
      <c r="X441" s="762"/>
      <c r="Y441" s="925"/>
      <c r="Z441" s="762"/>
      <c r="AA441" s="762"/>
      <c r="AB441" s="762"/>
      <c r="AC441" s="762"/>
      <c r="AD441" s="762"/>
      <c r="AE441" s="762"/>
      <c r="AF441" s="762"/>
      <c r="AG441" s="925"/>
      <c r="AH441" s="762"/>
      <c r="AI441" s="762"/>
      <c r="AJ441" s="762"/>
      <c r="AK441" s="762"/>
      <c r="AL441" s="762"/>
      <c r="AM441" s="762"/>
      <c r="AN441" s="762"/>
      <c r="AO441" s="925"/>
      <c r="AP441" s="762"/>
      <c r="AQ441" s="762"/>
      <c r="AR441" s="762"/>
      <c r="AS441" s="762"/>
      <c r="AT441" s="762"/>
      <c r="AU441" s="762"/>
      <c r="AV441" s="762"/>
      <c r="AW441" s="762"/>
      <c r="AX441" s="762"/>
      <c r="AY441" s="762"/>
      <c r="AZ441" s="762"/>
      <c r="BA441" s="762"/>
      <c r="BB441" s="762"/>
      <c r="BC441" s="762"/>
      <c r="BD441" s="762"/>
      <c r="BE441" s="762"/>
      <c r="BF441" s="762"/>
      <c r="BG441" s="762"/>
      <c r="BH441" s="762"/>
    </row>
    <row r="442" spans="1:60" s="49" customFormat="1">
      <c r="A442" s="768"/>
      <c r="B442" s="768"/>
      <c r="C442" s="762"/>
      <c r="D442" s="762"/>
      <c r="E442" s="762"/>
      <c r="F442" s="762"/>
      <c r="G442" s="762"/>
      <c r="H442" s="762"/>
      <c r="I442" s="925"/>
      <c r="J442" s="762"/>
      <c r="K442" s="762"/>
      <c r="L442" s="762"/>
      <c r="M442" s="762"/>
      <c r="N442" s="762"/>
      <c r="O442" s="762"/>
      <c r="P442" s="762"/>
      <c r="Q442" s="925"/>
      <c r="R442" s="762"/>
      <c r="S442" s="762"/>
      <c r="T442" s="762"/>
      <c r="U442" s="762"/>
      <c r="V442" s="762"/>
      <c r="W442" s="762"/>
      <c r="X442" s="762"/>
      <c r="Y442" s="925"/>
      <c r="Z442" s="762"/>
      <c r="AA442" s="762"/>
      <c r="AB442" s="762"/>
      <c r="AC442" s="762"/>
      <c r="AD442" s="762"/>
      <c r="AE442" s="762"/>
      <c r="AF442" s="762"/>
      <c r="AG442" s="925"/>
      <c r="AH442" s="762"/>
      <c r="AI442" s="762"/>
      <c r="AJ442" s="762"/>
      <c r="AK442" s="762"/>
      <c r="AL442" s="762"/>
      <c r="AM442" s="762"/>
      <c r="AN442" s="762"/>
      <c r="AO442" s="925"/>
      <c r="AP442" s="762"/>
      <c r="AQ442" s="762"/>
      <c r="AR442" s="762"/>
      <c r="AS442" s="762"/>
      <c r="AT442" s="762"/>
      <c r="AU442" s="762"/>
      <c r="AV442" s="762"/>
      <c r="AW442" s="762"/>
      <c r="AX442" s="762"/>
      <c r="AY442" s="762"/>
      <c r="AZ442" s="762"/>
      <c r="BA442" s="762"/>
      <c r="BB442" s="762"/>
      <c r="BC442" s="762"/>
      <c r="BD442" s="762"/>
      <c r="BE442" s="762"/>
      <c r="BF442" s="762"/>
      <c r="BG442" s="762"/>
      <c r="BH442" s="762"/>
    </row>
    <row r="443" spans="1:60" s="49" customFormat="1">
      <c r="A443" s="768"/>
      <c r="B443" s="768"/>
      <c r="C443" s="762"/>
      <c r="D443" s="762"/>
      <c r="E443" s="762"/>
      <c r="F443" s="762"/>
      <c r="G443" s="762"/>
      <c r="H443" s="762"/>
      <c r="I443" s="925"/>
      <c r="J443" s="762"/>
      <c r="K443" s="762"/>
      <c r="L443" s="762"/>
      <c r="M443" s="762"/>
      <c r="N443" s="762"/>
      <c r="O443" s="762"/>
      <c r="P443" s="762"/>
      <c r="Q443" s="925"/>
      <c r="R443" s="762"/>
      <c r="S443" s="762"/>
      <c r="T443" s="762"/>
      <c r="U443" s="762"/>
      <c r="V443" s="762"/>
      <c r="W443" s="762"/>
      <c r="X443" s="762"/>
      <c r="Y443" s="925"/>
      <c r="Z443" s="762"/>
      <c r="AA443" s="762"/>
      <c r="AB443" s="762"/>
      <c r="AC443" s="762"/>
      <c r="AD443" s="762"/>
      <c r="AE443" s="762"/>
      <c r="AF443" s="762"/>
      <c r="AG443" s="925"/>
      <c r="AH443" s="762"/>
      <c r="AI443" s="762"/>
      <c r="AJ443" s="762"/>
      <c r="AK443" s="762"/>
      <c r="AL443" s="762"/>
      <c r="AM443" s="762"/>
      <c r="AN443" s="762"/>
      <c r="AO443" s="925"/>
      <c r="AP443" s="762"/>
      <c r="AQ443" s="762"/>
      <c r="AR443" s="762"/>
      <c r="AS443" s="762"/>
      <c r="AT443" s="762"/>
      <c r="AU443" s="762"/>
      <c r="AV443" s="762"/>
      <c r="AW443" s="762"/>
      <c r="AX443" s="762"/>
      <c r="AY443" s="762"/>
      <c r="AZ443" s="762"/>
      <c r="BA443" s="762"/>
      <c r="BB443" s="762"/>
      <c r="BC443" s="762"/>
      <c r="BD443" s="762"/>
      <c r="BE443" s="762"/>
      <c r="BF443" s="762"/>
      <c r="BG443" s="762"/>
      <c r="BH443" s="762"/>
    </row>
    <row r="444" spans="1:60" s="49" customFormat="1">
      <c r="C444" s="762"/>
      <c r="D444" s="762"/>
      <c r="E444" s="762"/>
      <c r="F444" s="762"/>
      <c r="G444" s="762"/>
      <c r="H444" s="762"/>
      <c r="I444" s="925"/>
      <c r="J444" s="762"/>
      <c r="K444" s="762"/>
      <c r="L444" s="762"/>
      <c r="M444" s="762"/>
      <c r="N444" s="762"/>
      <c r="O444" s="762"/>
      <c r="P444" s="762"/>
      <c r="Q444" s="925"/>
      <c r="R444" s="762"/>
      <c r="S444" s="762"/>
      <c r="T444" s="762"/>
      <c r="U444" s="762"/>
      <c r="V444" s="762"/>
      <c r="W444" s="762"/>
      <c r="X444" s="762"/>
      <c r="Y444" s="925"/>
      <c r="Z444" s="762"/>
      <c r="AA444" s="762"/>
      <c r="AB444" s="762"/>
      <c r="AC444" s="762"/>
      <c r="AD444" s="762"/>
      <c r="AE444" s="762"/>
      <c r="AF444" s="762"/>
      <c r="AG444" s="925"/>
      <c r="AH444" s="762"/>
      <c r="AI444" s="762"/>
      <c r="AJ444" s="762"/>
      <c r="AK444" s="762"/>
      <c r="AL444" s="762"/>
      <c r="AM444" s="762"/>
      <c r="AN444" s="762"/>
      <c r="AO444" s="925"/>
      <c r="AP444" s="762"/>
      <c r="AQ444" s="762"/>
      <c r="AR444" s="762"/>
      <c r="AS444" s="762"/>
      <c r="AT444" s="762"/>
      <c r="AU444" s="762"/>
      <c r="AV444" s="762"/>
      <c r="AW444" s="762"/>
      <c r="AX444" s="762"/>
      <c r="AY444" s="762"/>
      <c r="AZ444" s="762"/>
      <c r="BA444" s="762"/>
      <c r="BB444" s="762"/>
      <c r="BC444" s="762"/>
      <c r="BD444" s="762"/>
      <c r="BE444" s="762"/>
      <c r="BF444" s="762"/>
      <c r="BG444" s="762"/>
      <c r="BH444" s="762"/>
    </row>
    <row r="445" spans="1:60" s="49" customFormat="1">
      <c r="C445" s="762"/>
      <c r="D445" s="762"/>
      <c r="E445" s="762"/>
      <c r="F445" s="762"/>
      <c r="G445" s="762"/>
      <c r="H445" s="762"/>
      <c r="I445" s="925"/>
      <c r="J445" s="762"/>
      <c r="K445" s="762"/>
      <c r="L445" s="762"/>
      <c r="M445" s="762"/>
      <c r="N445" s="762"/>
      <c r="O445" s="762"/>
      <c r="P445" s="762"/>
      <c r="Q445" s="925"/>
      <c r="R445" s="762"/>
      <c r="S445" s="762"/>
      <c r="T445" s="762"/>
      <c r="U445" s="762"/>
      <c r="V445" s="762"/>
      <c r="W445" s="762"/>
      <c r="X445" s="762"/>
      <c r="Y445" s="925"/>
      <c r="Z445" s="762"/>
      <c r="AA445" s="762"/>
      <c r="AB445" s="762"/>
      <c r="AC445" s="762"/>
      <c r="AD445" s="762"/>
      <c r="AE445" s="762"/>
      <c r="AF445" s="762"/>
      <c r="AG445" s="925"/>
      <c r="AH445" s="762"/>
      <c r="AI445" s="762"/>
      <c r="AJ445" s="762"/>
      <c r="AK445" s="762"/>
      <c r="AL445" s="762"/>
      <c r="AM445" s="762"/>
      <c r="AN445" s="762"/>
      <c r="AO445" s="925"/>
      <c r="AP445" s="762"/>
      <c r="AQ445" s="762"/>
      <c r="AR445" s="762"/>
      <c r="AS445" s="762"/>
      <c r="AT445" s="762"/>
      <c r="AU445" s="762"/>
      <c r="AV445" s="762"/>
      <c r="AW445" s="762"/>
      <c r="AX445" s="762"/>
      <c r="AY445" s="762"/>
      <c r="AZ445" s="762"/>
      <c r="BA445" s="762"/>
      <c r="BB445" s="762"/>
      <c r="BC445" s="762"/>
      <c r="BD445" s="762"/>
      <c r="BE445" s="762"/>
      <c r="BF445" s="762"/>
      <c r="BG445" s="762"/>
      <c r="BH445" s="762"/>
    </row>
    <row r="446" spans="1:60" s="49" customFormat="1">
      <c r="C446" s="762"/>
      <c r="D446" s="762"/>
      <c r="E446" s="762"/>
      <c r="F446" s="762"/>
      <c r="G446" s="762"/>
      <c r="H446" s="762"/>
      <c r="I446" s="925"/>
      <c r="J446" s="762"/>
      <c r="K446" s="762"/>
      <c r="L446" s="762"/>
      <c r="M446" s="762"/>
      <c r="N446" s="762"/>
      <c r="O446" s="762"/>
      <c r="P446" s="762"/>
      <c r="Q446" s="925"/>
      <c r="R446" s="762"/>
      <c r="S446" s="762"/>
      <c r="T446" s="762"/>
      <c r="U446" s="762"/>
      <c r="V446" s="762"/>
      <c r="W446" s="762"/>
      <c r="X446" s="762"/>
      <c r="Y446" s="925"/>
      <c r="Z446" s="762"/>
      <c r="AA446" s="762"/>
      <c r="AB446" s="762"/>
      <c r="AC446" s="762"/>
      <c r="AD446" s="762"/>
      <c r="AE446" s="762"/>
      <c r="AF446" s="762"/>
      <c r="AG446" s="925"/>
      <c r="AH446" s="762"/>
      <c r="AI446" s="762"/>
      <c r="AJ446" s="762"/>
      <c r="AK446" s="762"/>
      <c r="AL446" s="762"/>
      <c r="AM446" s="762"/>
      <c r="AN446" s="762"/>
      <c r="AO446" s="925"/>
      <c r="AP446" s="762"/>
      <c r="AQ446" s="762"/>
      <c r="AR446" s="762"/>
      <c r="AS446" s="762"/>
      <c r="AT446" s="762"/>
      <c r="AU446" s="762"/>
      <c r="AV446" s="762"/>
      <c r="AW446" s="762"/>
      <c r="AX446" s="762"/>
      <c r="AY446" s="762"/>
      <c r="AZ446" s="762"/>
      <c r="BA446" s="762"/>
      <c r="BB446" s="762"/>
      <c r="BC446" s="762"/>
      <c r="BD446" s="762"/>
      <c r="BE446" s="762"/>
      <c r="BF446" s="762"/>
      <c r="BG446" s="762"/>
      <c r="BH446" s="762"/>
    </row>
    <row r="447" spans="1:60" s="49" customFormat="1">
      <c r="C447" s="762"/>
      <c r="D447" s="762"/>
      <c r="E447" s="762"/>
      <c r="F447" s="762"/>
      <c r="G447" s="762"/>
      <c r="H447" s="762"/>
      <c r="I447" s="925"/>
      <c r="J447" s="762"/>
      <c r="K447" s="762"/>
      <c r="L447" s="762"/>
      <c r="M447" s="762"/>
      <c r="N447" s="762"/>
      <c r="O447" s="762"/>
      <c r="P447" s="762"/>
      <c r="Q447" s="925"/>
      <c r="R447" s="762"/>
      <c r="S447" s="762"/>
      <c r="T447" s="762"/>
      <c r="U447" s="762"/>
      <c r="V447" s="762"/>
      <c r="W447" s="762"/>
      <c r="X447" s="762"/>
      <c r="Y447" s="925"/>
      <c r="Z447" s="762"/>
      <c r="AA447" s="762"/>
      <c r="AB447" s="762"/>
      <c r="AC447" s="762"/>
      <c r="AD447" s="762"/>
      <c r="AE447" s="762"/>
      <c r="AF447" s="762"/>
      <c r="AG447" s="925"/>
      <c r="AH447" s="762"/>
      <c r="AI447" s="762"/>
      <c r="AJ447" s="762"/>
      <c r="AK447" s="762"/>
      <c r="AL447" s="762"/>
      <c r="AM447" s="762"/>
      <c r="AN447" s="762"/>
      <c r="AO447" s="925"/>
      <c r="AP447" s="762"/>
      <c r="AQ447" s="762"/>
      <c r="AR447" s="762"/>
      <c r="AS447" s="762"/>
      <c r="AT447" s="762"/>
      <c r="AU447" s="762"/>
      <c r="AV447" s="762"/>
      <c r="AW447" s="762"/>
      <c r="AX447" s="762"/>
      <c r="AY447" s="762"/>
      <c r="AZ447" s="762"/>
      <c r="BA447" s="762"/>
      <c r="BB447" s="762"/>
      <c r="BC447" s="762"/>
      <c r="BD447" s="762"/>
      <c r="BE447" s="762"/>
      <c r="BF447" s="762"/>
      <c r="BG447" s="762"/>
      <c r="BH447" s="762"/>
    </row>
    <row r="448" spans="1:60" s="49" customFormat="1">
      <c r="C448" s="762"/>
      <c r="D448" s="762"/>
      <c r="E448" s="762"/>
      <c r="F448" s="762"/>
      <c r="G448" s="762"/>
      <c r="H448" s="762"/>
      <c r="I448" s="925"/>
      <c r="J448" s="762"/>
      <c r="K448" s="762"/>
      <c r="L448" s="762"/>
      <c r="M448" s="762"/>
      <c r="N448" s="762"/>
      <c r="O448" s="762"/>
      <c r="P448" s="762"/>
      <c r="Q448" s="925"/>
      <c r="R448" s="762"/>
      <c r="S448" s="762"/>
      <c r="T448" s="762"/>
      <c r="U448" s="762"/>
      <c r="V448" s="762"/>
      <c r="W448" s="762"/>
      <c r="X448" s="762"/>
      <c r="Y448" s="925"/>
      <c r="Z448" s="762"/>
      <c r="AA448" s="762"/>
      <c r="AB448" s="762"/>
      <c r="AC448" s="762"/>
      <c r="AD448" s="762"/>
      <c r="AE448" s="762"/>
      <c r="AF448" s="762"/>
      <c r="AG448" s="925"/>
      <c r="AH448" s="762"/>
      <c r="AI448" s="762"/>
      <c r="AJ448" s="762"/>
      <c r="AK448" s="762"/>
      <c r="AL448" s="762"/>
      <c r="AM448" s="762"/>
      <c r="AN448" s="762"/>
      <c r="AO448" s="925"/>
      <c r="AP448" s="762"/>
      <c r="AQ448" s="762"/>
      <c r="AR448" s="762"/>
      <c r="AS448" s="762"/>
      <c r="AT448" s="762"/>
      <c r="AU448" s="762"/>
      <c r="AV448" s="762"/>
      <c r="AW448" s="762"/>
      <c r="AX448" s="762"/>
      <c r="AY448" s="762"/>
      <c r="AZ448" s="762"/>
      <c r="BA448" s="762"/>
      <c r="BB448" s="762"/>
      <c r="BC448" s="762"/>
      <c r="BD448" s="762"/>
      <c r="BE448" s="762"/>
      <c r="BF448" s="762"/>
      <c r="BG448" s="762"/>
      <c r="BH448" s="762"/>
    </row>
    <row r="449" spans="3:60" s="49" customFormat="1">
      <c r="C449" s="762"/>
      <c r="D449" s="762"/>
      <c r="E449" s="762"/>
      <c r="F449" s="762"/>
      <c r="G449" s="762"/>
      <c r="H449" s="762"/>
      <c r="I449" s="925"/>
      <c r="J449" s="762"/>
      <c r="K449" s="762"/>
      <c r="L449" s="762"/>
      <c r="M449" s="762"/>
      <c r="N449" s="762"/>
      <c r="O449" s="762"/>
      <c r="P449" s="762"/>
      <c r="Q449" s="925"/>
      <c r="R449" s="762"/>
      <c r="S449" s="762"/>
      <c r="T449" s="762"/>
      <c r="U449" s="762"/>
      <c r="V449" s="762"/>
      <c r="W449" s="762"/>
      <c r="X449" s="762"/>
      <c r="Y449" s="925"/>
      <c r="Z449" s="762"/>
      <c r="AA449" s="762"/>
      <c r="AB449" s="762"/>
      <c r="AC449" s="762"/>
      <c r="AD449" s="762"/>
      <c r="AE449" s="762"/>
      <c r="AF449" s="762"/>
      <c r="AG449" s="925"/>
      <c r="AH449" s="762"/>
      <c r="AI449" s="762"/>
      <c r="AJ449" s="762"/>
      <c r="AK449" s="762"/>
      <c r="AL449" s="762"/>
      <c r="AM449" s="762"/>
      <c r="AN449" s="762"/>
      <c r="AO449" s="925"/>
      <c r="AP449" s="762"/>
      <c r="AQ449" s="762"/>
      <c r="AR449" s="762"/>
      <c r="AS449" s="762"/>
      <c r="AT449" s="762"/>
      <c r="AU449" s="762"/>
      <c r="AV449" s="762"/>
      <c r="AW449" s="762"/>
      <c r="AX449" s="762"/>
      <c r="AY449" s="762"/>
      <c r="AZ449" s="762"/>
      <c r="BA449" s="762"/>
      <c r="BB449" s="762"/>
      <c r="BC449" s="762"/>
      <c r="BD449" s="762"/>
      <c r="BE449" s="762"/>
      <c r="BF449" s="762"/>
      <c r="BG449" s="762"/>
      <c r="BH449" s="762"/>
    </row>
    <row r="450" spans="3:60" s="49" customFormat="1">
      <c r="C450" s="762"/>
      <c r="D450" s="762"/>
      <c r="E450" s="762"/>
      <c r="F450" s="762"/>
      <c r="G450" s="762"/>
      <c r="H450" s="762"/>
      <c r="I450" s="925"/>
      <c r="J450" s="762"/>
      <c r="K450" s="762"/>
      <c r="L450" s="762"/>
      <c r="M450" s="762"/>
      <c r="N450" s="762"/>
      <c r="O450" s="762"/>
      <c r="P450" s="762"/>
      <c r="Q450" s="925"/>
      <c r="R450" s="762"/>
      <c r="S450" s="762"/>
      <c r="T450" s="762"/>
      <c r="U450" s="762"/>
      <c r="V450" s="762"/>
      <c r="W450" s="762"/>
      <c r="X450" s="762"/>
      <c r="Y450" s="925"/>
      <c r="Z450" s="762"/>
      <c r="AA450" s="762"/>
      <c r="AB450" s="762"/>
      <c r="AC450" s="762"/>
      <c r="AD450" s="762"/>
      <c r="AE450" s="762"/>
      <c r="AF450" s="762"/>
      <c r="AG450" s="925"/>
      <c r="AH450" s="762"/>
      <c r="AI450" s="762"/>
      <c r="AJ450" s="762"/>
      <c r="AK450" s="762"/>
      <c r="AL450" s="762"/>
      <c r="AM450" s="762"/>
      <c r="AN450" s="762"/>
      <c r="AO450" s="925"/>
      <c r="AP450" s="762"/>
      <c r="AQ450" s="762"/>
      <c r="AR450" s="762"/>
      <c r="AS450" s="762"/>
      <c r="AT450" s="762"/>
      <c r="AU450" s="762"/>
      <c r="AV450" s="762"/>
      <c r="AW450" s="762"/>
      <c r="AX450" s="762"/>
      <c r="AY450" s="762"/>
      <c r="AZ450" s="762"/>
      <c r="BA450" s="762"/>
      <c r="BB450" s="762"/>
      <c r="BC450" s="762"/>
      <c r="BD450" s="762"/>
      <c r="BE450" s="762"/>
      <c r="BF450" s="762"/>
      <c r="BG450" s="762"/>
      <c r="BH450" s="762"/>
    </row>
    <row r="451" spans="3:60" s="49" customFormat="1">
      <c r="C451" s="762"/>
      <c r="D451" s="762"/>
      <c r="E451" s="762"/>
      <c r="F451" s="762"/>
      <c r="G451" s="762"/>
      <c r="H451" s="762"/>
      <c r="I451" s="925"/>
      <c r="J451" s="762"/>
      <c r="K451" s="762"/>
      <c r="L451" s="762"/>
      <c r="M451" s="762"/>
      <c r="N451" s="762"/>
      <c r="O451" s="762"/>
      <c r="P451" s="762"/>
      <c r="Q451" s="925"/>
      <c r="R451" s="762"/>
      <c r="S451" s="762"/>
      <c r="T451" s="762"/>
      <c r="U451" s="762"/>
      <c r="V451" s="762"/>
      <c r="W451" s="762"/>
      <c r="X451" s="762"/>
      <c r="Y451" s="925"/>
      <c r="Z451" s="762"/>
      <c r="AA451" s="762"/>
      <c r="AB451" s="762"/>
      <c r="AC451" s="762"/>
      <c r="AD451" s="762"/>
      <c r="AE451" s="762"/>
      <c r="AF451" s="762"/>
      <c r="AG451" s="925"/>
      <c r="AH451" s="762"/>
      <c r="AI451" s="762"/>
      <c r="AJ451" s="762"/>
      <c r="AK451" s="762"/>
      <c r="AL451" s="762"/>
      <c r="AM451" s="762"/>
      <c r="AN451" s="762"/>
      <c r="AO451" s="925"/>
      <c r="AP451" s="762"/>
      <c r="AQ451" s="762"/>
      <c r="AR451" s="762"/>
      <c r="AS451" s="762"/>
      <c r="AT451" s="762"/>
      <c r="AU451" s="762"/>
      <c r="AV451" s="762"/>
      <c r="AW451" s="762"/>
      <c r="AX451" s="762"/>
      <c r="AY451" s="762"/>
      <c r="AZ451" s="762"/>
      <c r="BA451" s="762"/>
      <c r="BB451" s="762"/>
      <c r="BC451" s="762"/>
      <c r="BD451" s="762"/>
      <c r="BE451" s="762"/>
      <c r="BF451" s="762"/>
      <c r="BG451" s="762"/>
      <c r="BH451" s="762"/>
    </row>
    <row r="452" spans="3:60" s="49" customFormat="1">
      <c r="C452" s="762"/>
      <c r="D452" s="762"/>
      <c r="E452" s="762"/>
      <c r="F452" s="762"/>
      <c r="G452" s="762"/>
      <c r="H452" s="762"/>
      <c r="I452" s="925"/>
      <c r="J452" s="762"/>
      <c r="K452" s="762"/>
      <c r="L452" s="762"/>
      <c r="M452" s="762"/>
      <c r="N452" s="762"/>
      <c r="O452" s="762"/>
      <c r="P452" s="762"/>
      <c r="Q452" s="925"/>
      <c r="R452" s="762"/>
      <c r="S452" s="762"/>
      <c r="T452" s="762"/>
      <c r="U452" s="762"/>
      <c r="V452" s="762"/>
      <c r="W452" s="762"/>
      <c r="X452" s="762"/>
      <c r="Y452" s="925"/>
      <c r="Z452" s="762"/>
      <c r="AA452" s="762"/>
      <c r="AB452" s="762"/>
      <c r="AC452" s="762"/>
      <c r="AD452" s="762"/>
      <c r="AE452" s="762"/>
      <c r="AF452" s="762"/>
      <c r="AG452" s="925"/>
      <c r="AH452" s="762"/>
      <c r="AI452" s="762"/>
      <c r="AJ452" s="762"/>
      <c r="AK452" s="762"/>
      <c r="AL452" s="762"/>
      <c r="AM452" s="762"/>
      <c r="AN452" s="762"/>
      <c r="AO452" s="925"/>
      <c r="AP452" s="762"/>
      <c r="AQ452" s="762"/>
      <c r="AR452" s="762"/>
      <c r="AS452" s="762"/>
      <c r="AT452" s="762"/>
      <c r="AU452" s="762"/>
      <c r="AV452" s="762"/>
      <c r="AW452" s="762"/>
      <c r="AX452" s="762"/>
      <c r="AY452" s="762"/>
      <c r="AZ452" s="762"/>
      <c r="BA452" s="762"/>
      <c r="BB452" s="762"/>
      <c r="BC452" s="762"/>
      <c r="BD452" s="762"/>
      <c r="BE452" s="762"/>
      <c r="BF452" s="762"/>
      <c r="BG452" s="762"/>
      <c r="BH452" s="762"/>
    </row>
    <row r="453" spans="3:60" s="49" customFormat="1">
      <c r="C453" s="762"/>
      <c r="D453" s="762"/>
      <c r="E453" s="762"/>
      <c r="F453" s="762"/>
      <c r="G453" s="762"/>
      <c r="H453" s="762"/>
      <c r="I453" s="925"/>
      <c r="J453" s="762"/>
      <c r="K453" s="762"/>
      <c r="L453" s="762"/>
      <c r="M453" s="762"/>
      <c r="N453" s="762"/>
      <c r="O453" s="762"/>
      <c r="P453" s="762"/>
      <c r="Q453" s="925"/>
      <c r="R453" s="762"/>
      <c r="S453" s="762"/>
      <c r="T453" s="762"/>
      <c r="U453" s="762"/>
      <c r="V453" s="762"/>
      <c r="W453" s="762"/>
      <c r="X453" s="762"/>
      <c r="Y453" s="925"/>
      <c r="Z453" s="762"/>
      <c r="AA453" s="762"/>
      <c r="AB453" s="762"/>
      <c r="AC453" s="762"/>
      <c r="AD453" s="762"/>
      <c r="AE453" s="762"/>
      <c r="AF453" s="762"/>
      <c r="AG453" s="925"/>
      <c r="AH453" s="762"/>
      <c r="AI453" s="762"/>
      <c r="AJ453" s="762"/>
      <c r="AK453" s="762"/>
      <c r="AL453" s="762"/>
      <c r="AM453" s="762"/>
      <c r="AN453" s="762"/>
      <c r="AO453" s="925"/>
      <c r="AP453" s="762"/>
      <c r="AQ453" s="762"/>
      <c r="AR453" s="762"/>
      <c r="AS453" s="762"/>
      <c r="AT453" s="762"/>
      <c r="AU453" s="762"/>
      <c r="AV453" s="762"/>
      <c r="AW453" s="762"/>
      <c r="AX453" s="762"/>
      <c r="AY453" s="762"/>
      <c r="AZ453" s="762"/>
      <c r="BA453" s="762"/>
      <c r="BB453" s="762"/>
      <c r="BC453" s="762"/>
      <c r="BD453" s="762"/>
      <c r="BE453" s="762"/>
      <c r="BF453" s="762"/>
      <c r="BG453" s="762"/>
      <c r="BH453" s="762"/>
    </row>
    <row r="454" spans="3:60" s="49" customFormat="1">
      <c r="C454" s="762"/>
      <c r="D454" s="762"/>
      <c r="E454" s="762"/>
      <c r="F454" s="762"/>
      <c r="G454" s="762"/>
      <c r="H454" s="762"/>
      <c r="I454" s="925"/>
      <c r="J454" s="762"/>
      <c r="K454" s="762"/>
      <c r="L454" s="762"/>
      <c r="M454" s="762"/>
      <c r="N454" s="762"/>
      <c r="O454" s="762"/>
      <c r="P454" s="762"/>
      <c r="Q454" s="925"/>
      <c r="R454" s="762"/>
      <c r="S454" s="762"/>
      <c r="T454" s="762"/>
      <c r="U454" s="762"/>
      <c r="V454" s="762"/>
      <c r="W454" s="762"/>
      <c r="X454" s="762"/>
      <c r="Y454" s="925"/>
      <c r="Z454" s="762"/>
      <c r="AA454" s="762"/>
      <c r="AB454" s="762"/>
      <c r="AC454" s="762"/>
      <c r="AD454" s="762"/>
      <c r="AE454" s="762"/>
      <c r="AF454" s="762"/>
      <c r="AG454" s="925"/>
      <c r="AH454" s="762"/>
      <c r="AI454" s="762"/>
      <c r="AJ454" s="762"/>
      <c r="AK454" s="762"/>
      <c r="AL454" s="762"/>
      <c r="AM454" s="762"/>
      <c r="AN454" s="762"/>
      <c r="AO454" s="925"/>
      <c r="AP454" s="762"/>
      <c r="AQ454" s="762"/>
      <c r="AR454" s="762"/>
      <c r="AS454" s="762"/>
      <c r="AT454" s="762"/>
      <c r="AU454" s="762"/>
      <c r="AV454" s="762"/>
      <c r="AW454" s="762"/>
      <c r="AX454" s="762"/>
      <c r="AY454" s="762"/>
      <c r="AZ454" s="762"/>
      <c r="BA454" s="762"/>
      <c r="BB454" s="762"/>
      <c r="BC454" s="762"/>
      <c r="BD454" s="762"/>
      <c r="BE454" s="762"/>
      <c r="BF454" s="762"/>
      <c r="BG454" s="762"/>
      <c r="BH454" s="762"/>
    </row>
    <row r="455" spans="3:60" s="49" customFormat="1">
      <c r="C455" s="762"/>
      <c r="D455" s="762"/>
      <c r="E455" s="762"/>
      <c r="F455" s="762"/>
      <c r="G455" s="762"/>
      <c r="H455" s="762"/>
      <c r="I455" s="925"/>
      <c r="J455" s="762"/>
      <c r="K455" s="762"/>
      <c r="L455" s="762"/>
      <c r="M455" s="762"/>
      <c r="N455" s="762"/>
      <c r="O455" s="762"/>
      <c r="P455" s="762"/>
      <c r="Q455" s="925"/>
      <c r="R455" s="762"/>
      <c r="S455" s="762"/>
      <c r="T455" s="762"/>
      <c r="U455" s="762"/>
      <c r="V455" s="762"/>
      <c r="W455" s="762"/>
      <c r="X455" s="762"/>
      <c r="Y455" s="925"/>
      <c r="Z455" s="762"/>
      <c r="AA455" s="762"/>
      <c r="AB455" s="762"/>
      <c r="AC455" s="762"/>
      <c r="AD455" s="762"/>
      <c r="AE455" s="762"/>
      <c r="AF455" s="762"/>
      <c r="AG455" s="925"/>
      <c r="AH455" s="762"/>
      <c r="AI455" s="762"/>
      <c r="AJ455" s="762"/>
      <c r="AK455" s="762"/>
      <c r="AL455" s="762"/>
      <c r="AM455" s="762"/>
      <c r="AN455" s="762"/>
      <c r="AO455" s="925"/>
      <c r="AP455" s="762"/>
      <c r="AQ455" s="762"/>
      <c r="AR455" s="762"/>
      <c r="AS455" s="762"/>
      <c r="AT455" s="762"/>
      <c r="AU455" s="762"/>
      <c r="AV455" s="762"/>
      <c r="AW455" s="762"/>
      <c r="AX455" s="762"/>
      <c r="AY455" s="762"/>
      <c r="AZ455" s="762"/>
      <c r="BA455" s="762"/>
      <c r="BB455" s="762"/>
      <c r="BC455" s="762"/>
      <c r="BD455" s="762"/>
      <c r="BE455" s="762"/>
      <c r="BF455" s="762"/>
      <c r="BG455" s="762"/>
      <c r="BH455" s="762"/>
    </row>
    <row r="456" spans="3:60" s="49" customFormat="1">
      <c r="C456" s="762"/>
      <c r="D456" s="762"/>
      <c r="E456" s="762"/>
      <c r="F456" s="762"/>
      <c r="G456" s="762"/>
      <c r="H456" s="762"/>
      <c r="I456" s="925"/>
      <c r="J456" s="762"/>
      <c r="K456" s="762"/>
      <c r="L456" s="762"/>
      <c r="M456" s="762"/>
      <c r="N456" s="762"/>
      <c r="O456" s="762"/>
      <c r="P456" s="762"/>
      <c r="Q456" s="925"/>
      <c r="R456" s="762"/>
      <c r="S456" s="762"/>
      <c r="T456" s="762"/>
      <c r="U456" s="762"/>
      <c r="V456" s="762"/>
      <c r="W456" s="762"/>
      <c r="X456" s="762"/>
      <c r="Y456" s="925"/>
      <c r="Z456" s="762"/>
      <c r="AA456" s="762"/>
      <c r="AB456" s="762"/>
      <c r="AC456" s="762"/>
      <c r="AD456" s="762"/>
      <c r="AE456" s="762"/>
      <c r="AF456" s="762"/>
      <c r="AG456" s="925"/>
      <c r="AH456" s="762"/>
      <c r="AI456" s="762"/>
      <c r="AJ456" s="762"/>
      <c r="AK456" s="762"/>
      <c r="AL456" s="762"/>
      <c r="AM456" s="762"/>
      <c r="AN456" s="762"/>
      <c r="AO456" s="925"/>
      <c r="AP456" s="762"/>
      <c r="AQ456" s="762"/>
      <c r="AR456" s="762"/>
      <c r="AS456" s="762"/>
      <c r="AT456" s="762"/>
      <c r="AU456" s="762"/>
      <c r="AV456" s="762"/>
      <c r="AW456" s="762"/>
      <c r="AX456" s="762"/>
      <c r="AY456" s="762"/>
      <c r="AZ456" s="762"/>
      <c r="BA456" s="762"/>
      <c r="BB456" s="762"/>
      <c r="BC456" s="762"/>
      <c r="BD456" s="762"/>
      <c r="BE456" s="762"/>
      <c r="BF456" s="762"/>
      <c r="BG456" s="762"/>
      <c r="BH456" s="762"/>
    </row>
    <row r="457" spans="3:60" s="49" customFormat="1">
      <c r="C457" s="762"/>
      <c r="D457" s="762"/>
      <c r="E457" s="762"/>
      <c r="F457" s="762"/>
      <c r="G457" s="762"/>
      <c r="H457" s="762"/>
      <c r="I457" s="925"/>
      <c r="J457" s="762"/>
      <c r="K457" s="762"/>
      <c r="L457" s="762"/>
      <c r="M457" s="762"/>
      <c r="N457" s="762"/>
      <c r="O457" s="762"/>
      <c r="P457" s="762"/>
      <c r="Q457" s="925"/>
      <c r="R457" s="762"/>
      <c r="S457" s="762"/>
      <c r="T457" s="762"/>
      <c r="U457" s="762"/>
      <c r="V457" s="762"/>
      <c r="W457" s="762"/>
      <c r="X457" s="762"/>
      <c r="Y457" s="925"/>
      <c r="Z457" s="762"/>
      <c r="AA457" s="762"/>
      <c r="AB457" s="762"/>
      <c r="AC457" s="762"/>
      <c r="AD457" s="762"/>
      <c r="AE457" s="762"/>
      <c r="AF457" s="762"/>
      <c r="AG457" s="925"/>
      <c r="AH457" s="762"/>
      <c r="AI457" s="762"/>
      <c r="AJ457" s="762"/>
      <c r="AK457" s="762"/>
      <c r="AL457" s="762"/>
      <c r="AM457" s="762"/>
      <c r="AN457" s="762"/>
      <c r="AO457" s="925"/>
      <c r="AP457" s="762"/>
      <c r="AQ457" s="762"/>
      <c r="AR457" s="762"/>
      <c r="AS457" s="762"/>
      <c r="AT457" s="762"/>
      <c r="AU457" s="762"/>
      <c r="AV457" s="762"/>
      <c r="AW457" s="762"/>
      <c r="AX457" s="762"/>
      <c r="AY457" s="762"/>
      <c r="AZ457" s="762"/>
      <c r="BA457" s="762"/>
      <c r="BB457" s="762"/>
      <c r="BC457" s="762"/>
      <c r="BD457" s="762"/>
      <c r="BE457" s="762"/>
      <c r="BF457" s="762"/>
      <c r="BG457" s="762"/>
      <c r="BH457" s="762"/>
    </row>
    <row r="458" spans="3:60" s="49" customFormat="1">
      <c r="C458" s="762"/>
      <c r="D458" s="762"/>
      <c r="E458" s="762"/>
      <c r="F458" s="762"/>
      <c r="G458" s="762"/>
      <c r="H458" s="762"/>
      <c r="I458" s="925"/>
      <c r="J458" s="762"/>
      <c r="K458" s="762"/>
      <c r="L458" s="762"/>
      <c r="M458" s="762"/>
      <c r="N458" s="762"/>
      <c r="O458" s="762"/>
      <c r="P458" s="762"/>
      <c r="Q458" s="925"/>
      <c r="R458" s="762"/>
      <c r="S458" s="762"/>
      <c r="T458" s="762"/>
      <c r="U458" s="762"/>
      <c r="V458" s="762"/>
      <c r="W458" s="762"/>
      <c r="X458" s="762"/>
      <c r="Y458" s="925"/>
      <c r="Z458" s="762"/>
      <c r="AA458" s="762"/>
      <c r="AB458" s="762"/>
      <c r="AC458" s="762"/>
      <c r="AD458" s="762"/>
      <c r="AE458" s="762"/>
      <c r="AF458" s="762"/>
      <c r="AG458" s="925"/>
      <c r="AH458" s="762"/>
      <c r="AI458" s="762"/>
      <c r="AJ458" s="762"/>
      <c r="AK458" s="762"/>
      <c r="AL458" s="762"/>
      <c r="AM458" s="762"/>
      <c r="AN458" s="762"/>
      <c r="AO458" s="925"/>
      <c r="AP458" s="762"/>
      <c r="AQ458" s="762"/>
      <c r="AR458" s="762"/>
      <c r="AS458" s="762"/>
      <c r="AT458" s="762"/>
      <c r="AU458" s="762"/>
      <c r="AV458" s="762"/>
      <c r="AW458" s="762"/>
      <c r="AX458" s="762"/>
      <c r="AY458" s="762"/>
      <c r="AZ458" s="762"/>
      <c r="BA458" s="762"/>
      <c r="BB458" s="762"/>
      <c r="BC458" s="762"/>
      <c r="BD458" s="762"/>
      <c r="BE458" s="762"/>
      <c r="BF458" s="762"/>
      <c r="BG458" s="762"/>
      <c r="BH458" s="762"/>
    </row>
    <row r="459" spans="3:60" s="49" customFormat="1">
      <c r="C459" s="762"/>
      <c r="D459" s="762"/>
      <c r="E459" s="762"/>
      <c r="F459" s="762"/>
      <c r="G459" s="762"/>
      <c r="H459" s="762"/>
      <c r="I459" s="925"/>
      <c r="J459" s="762"/>
      <c r="K459" s="762"/>
      <c r="L459" s="762"/>
      <c r="M459" s="762"/>
      <c r="N459" s="762"/>
      <c r="O459" s="762"/>
      <c r="P459" s="762"/>
      <c r="Q459" s="925"/>
      <c r="R459" s="762"/>
      <c r="S459" s="762"/>
      <c r="T459" s="762"/>
      <c r="U459" s="762"/>
      <c r="V459" s="762"/>
      <c r="W459" s="762"/>
      <c r="X459" s="762"/>
      <c r="Y459" s="925"/>
      <c r="Z459" s="762"/>
      <c r="AA459" s="762"/>
      <c r="AB459" s="762"/>
      <c r="AC459" s="762"/>
      <c r="AD459" s="762"/>
      <c r="AE459" s="762"/>
      <c r="AF459" s="762"/>
      <c r="AG459" s="925"/>
      <c r="AH459" s="762"/>
      <c r="AI459" s="762"/>
      <c r="AJ459" s="762"/>
      <c r="AK459" s="762"/>
      <c r="AL459" s="762"/>
      <c r="AM459" s="762"/>
      <c r="AN459" s="762"/>
      <c r="AO459" s="925"/>
      <c r="AP459" s="762"/>
      <c r="AQ459" s="762"/>
      <c r="AR459" s="762"/>
      <c r="AS459" s="762"/>
      <c r="AT459" s="762"/>
      <c r="AU459" s="762"/>
      <c r="AV459" s="762"/>
      <c r="AW459" s="762"/>
      <c r="AX459" s="762"/>
      <c r="AY459" s="762"/>
      <c r="AZ459" s="762"/>
      <c r="BA459" s="762"/>
      <c r="BB459" s="762"/>
      <c r="BC459" s="762"/>
      <c r="BD459" s="762"/>
      <c r="BE459" s="762"/>
      <c r="BF459" s="762"/>
      <c r="BG459" s="762"/>
      <c r="BH459" s="762"/>
    </row>
    <row r="460" spans="3:60" s="49" customFormat="1">
      <c r="C460" s="762"/>
      <c r="D460" s="762"/>
      <c r="E460" s="762"/>
      <c r="F460" s="762"/>
      <c r="G460" s="762"/>
      <c r="H460" s="762"/>
      <c r="I460" s="925"/>
      <c r="J460" s="762"/>
      <c r="K460" s="762"/>
      <c r="L460" s="762"/>
      <c r="M460" s="762"/>
      <c r="N460" s="762"/>
      <c r="O460" s="762"/>
      <c r="P460" s="762"/>
      <c r="Q460" s="925"/>
      <c r="R460" s="762"/>
      <c r="S460" s="762"/>
      <c r="T460" s="762"/>
      <c r="U460" s="762"/>
      <c r="V460" s="762"/>
      <c r="W460" s="762"/>
      <c r="X460" s="762"/>
      <c r="Y460" s="925"/>
      <c r="Z460" s="762"/>
      <c r="AA460" s="762"/>
      <c r="AB460" s="762"/>
      <c r="AC460" s="762"/>
      <c r="AD460" s="762"/>
      <c r="AE460" s="762"/>
      <c r="AF460" s="762"/>
      <c r="AG460" s="925"/>
      <c r="AH460" s="762"/>
      <c r="AI460" s="762"/>
      <c r="AJ460" s="762"/>
      <c r="AK460" s="762"/>
      <c r="AL460" s="762"/>
      <c r="AM460" s="762"/>
      <c r="AN460" s="762"/>
      <c r="AO460" s="925"/>
      <c r="AP460" s="762"/>
      <c r="AQ460" s="762"/>
      <c r="AR460" s="762"/>
      <c r="AS460" s="762"/>
      <c r="AT460" s="762"/>
      <c r="AU460" s="762"/>
      <c r="AV460" s="762"/>
      <c r="AW460" s="762"/>
      <c r="AX460" s="762"/>
      <c r="AY460" s="762"/>
      <c r="AZ460" s="762"/>
      <c r="BA460" s="762"/>
      <c r="BB460" s="762"/>
      <c r="BC460" s="762"/>
      <c r="BD460" s="762"/>
      <c r="BE460" s="762"/>
      <c r="BF460" s="762"/>
      <c r="BG460" s="762"/>
      <c r="BH460" s="762"/>
    </row>
    <row r="461" spans="3:60" s="49" customFormat="1">
      <c r="C461" s="762"/>
      <c r="D461" s="762"/>
      <c r="E461" s="762"/>
      <c r="F461" s="762"/>
      <c r="G461" s="762"/>
      <c r="H461" s="762"/>
      <c r="I461" s="925"/>
      <c r="J461" s="762"/>
      <c r="K461" s="762"/>
      <c r="L461" s="762"/>
      <c r="M461" s="762"/>
      <c r="N461" s="762"/>
      <c r="O461" s="762"/>
      <c r="P461" s="762"/>
      <c r="Q461" s="925"/>
      <c r="R461" s="762"/>
      <c r="S461" s="762"/>
      <c r="T461" s="762"/>
      <c r="U461" s="762"/>
      <c r="V461" s="762"/>
      <c r="W461" s="762"/>
      <c r="X461" s="762"/>
      <c r="Y461" s="925"/>
      <c r="Z461" s="762"/>
      <c r="AA461" s="762"/>
      <c r="AB461" s="762"/>
      <c r="AC461" s="762"/>
      <c r="AD461" s="762"/>
      <c r="AE461" s="762"/>
      <c r="AF461" s="762"/>
      <c r="AG461" s="925"/>
      <c r="AH461" s="762"/>
      <c r="AI461" s="762"/>
      <c r="AJ461" s="762"/>
      <c r="AK461" s="762"/>
      <c r="AL461" s="762"/>
      <c r="AM461" s="762"/>
      <c r="AN461" s="762"/>
      <c r="AO461" s="925"/>
      <c r="AP461" s="762"/>
      <c r="AQ461" s="762"/>
      <c r="AR461" s="762"/>
      <c r="AS461" s="762"/>
      <c r="AT461" s="762"/>
      <c r="AU461" s="762"/>
      <c r="AV461" s="762"/>
      <c r="AW461" s="762"/>
      <c r="AX461" s="762"/>
      <c r="AY461" s="762"/>
      <c r="AZ461" s="762"/>
      <c r="BA461" s="762"/>
      <c r="BB461" s="762"/>
      <c r="BC461" s="762"/>
      <c r="BD461" s="762"/>
      <c r="BE461" s="762"/>
      <c r="BF461" s="762"/>
      <c r="BG461" s="762"/>
      <c r="BH461" s="762"/>
    </row>
    <row r="462" spans="3:60" s="49" customFormat="1">
      <c r="C462" s="762"/>
      <c r="D462" s="762"/>
      <c r="E462" s="762"/>
      <c r="F462" s="762"/>
      <c r="G462" s="762"/>
      <c r="H462" s="762"/>
      <c r="I462" s="925"/>
      <c r="J462" s="762"/>
      <c r="K462" s="762"/>
      <c r="L462" s="762"/>
      <c r="M462" s="762"/>
      <c r="N462" s="762"/>
      <c r="O462" s="762"/>
      <c r="P462" s="762"/>
      <c r="Q462" s="925"/>
      <c r="R462" s="762"/>
      <c r="S462" s="762"/>
      <c r="T462" s="762"/>
      <c r="U462" s="762"/>
      <c r="V462" s="762"/>
      <c r="W462" s="762"/>
      <c r="X462" s="762"/>
      <c r="Y462" s="925"/>
      <c r="Z462" s="762"/>
      <c r="AA462" s="762"/>
      <c r="AB462" s="762"/>
      <c r="AC462" s="762"/>
      <c r="AD462" s="762"/>
      <c r="AE462" s="762"/>
      <c r="AF462" s="762"/>
      <c r="AG462" s="925"/>
      <c r="AH462" s="762"/>
      <c r="AI462" s="762"/>
      <c r="AJ462" s="762"/>
      <c r="AK462" s="762"/>
      <c r="AL462" s="762"/>
      <c r="AM462" s="762"/>
      <c r="AN462" s="762"/>
      <c r="AO462" s="925"/>
      <c r="AP462" s="762"/>
      <c r="AQ462" s="762"/>
      <c r="AR462" s="762"/>
      <c r="AS462" s="762"/>
      <c r="AT462" s="762"/>
      <c r="AU462" s="762"/>
      <c r="AV462" s="762"/>
      <c r="AW462" s="762"/>
      <c r="AX462" s="762"/>
      <c r="AY462" s="762"/>
      <c r="AZ462" s="762"/>
      <c r="BA462" s="762"/>
      <c r="BB462" s="762"/>
      <c r="BC462" s="762"/>
      <c r="BD462" s="762"/>
      <c r="BE462" s="762"/>
      <c r="BF462" s="762"/>
      <c r="BG462" s="762"/>
      <c r="BH462" s="762"/>
    </row>
    <row r="463" spans="3:60" s="49" customFormat="1">
      <c r="C463" s="762"/>
      <c r="D463" s="762"/>
      <c r="E463" s="762"/>
      <c r="F463" s="762"/>
      <c r="G463" s="762"/>
      <c r="H463" s="762"/>
      <c r="I463" s="925"/>
      <c r="J463" s="762"/>
      <c r="K463" s="762"/>
      <c r="L463" s="762"/>
      <c r="M463" s="762"/>
      <c r="N463" s="762"/>
      <c r="O463" s="762"/>
      <c r="P463" s="762"/>
      <c r="Q463" s="925"/>
      <c r="R463" s="762"/>
      <c r="S463" s="762"/>
      <c r="T463" s="762"/>
      <c r="U463" s="762"/>
      <c r="V463" s="762"/>
      <c r="W463" s="762"/>
      <c r="X463" s="762"/>
      <c r="Y463" s="925"/>
      <c r="Z463" s="762"/>
      <c r="AA463" s="762"/>
      <c r="AB463" s="762"/>
      <c r="AC463" s="762"/>
      <c r="AD463" s="762"/>
      <c r="AE463" s="762"/>
      <c r="AF463" s="762"/>
      <c r="AG463" s="925"/>
      <c r="AH463" s="762"/>
      <c r="AI463" s="762"/>
      <c r="AJ463" s="762"/>
      <c r="AK463" s="762"/>
      <c r="AL463" s="762"/>
      <c r="AM463" s="762"/>
      <c r="AN463" s="762"/>
      <c r="AO463" s="925"/>
      <c r="AP463" s="762"/>
      <c r="AQ463" s="762"/>
      <c r="AR463" s="762"/>
      <c r="AS463" s="762"/>
      <c r="AT463" s="762"/>
      <c r="AU463" s="762"/>
      <c r="AV463" s="762"/>
      <c r="AW463" s="762"/>
      <c r="AX463" s="762"/>
      <c r="AY463" s="762"/>
      <c r="AZ463" s="762"/>
      <c r="BA463" s="762"/>
      <c r="BB463" s="762"/>
      <c r="BC463" s="762"/>
      <c r="BD463" s="762"/>
      <c r="BE463" s="762"/>
      <c r="BF463" s="762"/>
      <c r="BG463" s="762"/>
      <c r="BH463" s="762"/>
    </row>
    <row r="464" spans="3:60" s="49" customFormat="1">
      <c r="C464" s="762"/>
      <c r="D464" s="762"/>
      <c r="E464" s="762"/>
      <c r="F464" s="762"/>
      <c r="G464" s="762"/>
      <c r="H464" s="762"/>
      <c r="I464" s="925"/>
      <c r="J464" s="762"/>
      <c r="K464" s="762"/>
      <c r="L464" s="762"/>
      <c r="M464" s="762"/>
      <c r="N464" s="762"/>
      <c r="O464" s="762"/>
      <c r="P464" s="762"/>
      <c r="Q464" s="925"/>
      <c r="R464" s="762"/>
      <c r="S464" s="762"/>
      <c r="T464" s="762"/>
      <c r="U464" s="762"/>
      <c r="V464" s="762"/>
      <c r="W464" s="762"/>
      <c r="X464" s="762"/>
      <c r="Y464" s="925"/>
      <c r="Z464" s="762"/>
      <c r="AA464" s="762"/>
      <c r="AB464" s="762"/>
      <c r="AC464" s="762"/>
      <c r="AD464" s="762"/>
      <c r="AE464" s="762"/>
      <c r="AF464" s="762"/>
      <c r="AG464" s="925"/>
      <c r="AH464" s="762"/>
      <c r="AI464" s="762"/>
      <c r="AJ464" s="762"/>
      <c r="AK464" s="762"/>
      <c r="AL464" s="762"/>
      <c r="AM464" s="762"/>
      <c r="AN464" s="762"/>
      <c r="AO464" s="925"/>
      <c r="AP464" s="762"/>
      <c r="AQ464" s="762"/>
      <c r="AR464" s="762"/>
      <c r="AS464" s="762"/>
      <c r="AT464" s="762"/>
      <c r="AU464" s="762"/>
      <c r="AV464" s="762"/>
      <c r="AW464" s="762"/>
      <c r="AX464" s="762"/>
      <c r="AY464" s="762"/>
      <c r="AZ464" s="762"/>
      <c r="BA464" s="762"/>
      <c r="BB464" s="762"/>
      <c r="BC464" s="762"/>
      <c r="BD464" s="762"/>
      <c r="BE464" s="762"/>
      <c r="BF464" s="762"/>
      <c r="BG464" s="762"/>
      <c r="BH464" s="762"/>
    </row>
    <row r="465" spans="3:60" s="49" customFormat="1">
      <c r="C465" s="762"/>
      <c r="D465" s="762"/>
      <c r="E465" s="762"/>
      <c r="F465" s="762"/>
      <c r="G465" s="762"/>
      <c r="H465" s="762"/>
      <c r="I465" s="925"/>
      <c r="J465" s="762"/>
      <c r="K465" s="762"/>
      <c r="L465" s="762"/>
      <c r="M465" s="762"/>
      <c r="N465" s="762"/>
      <c r="O465" s="762"/>
      <c r="P465" s="762"/>
      <c r="Q465" s="925"/>
      <c r="R465" s="762"/>
      <c r="S465" s="762"/>
      <c r="T465" s="762"/>
      <c r="U465" s="762"/>
      <c r="V465" s="762"/>
      <c r="W465" s="762"/>
      <c r="X465" s="762"/>
      <c r="Y465" s="925"/>
      <c r="Z465" s="762"/>
      <c r="AA465" s="762"/>
      <c r="AB465" s="762"/>
      <c r="AC465" s="762"/>
      <c r="AD465" s="762"/>
      <c r="AE465" s="762"/>
      <c r="AF465" s="762"/>
      <c r="AG465" s="925"/>
      <c r="AH465" s="762"/>
      <c r="AI465" s="762"/>
      <c r="AJ465" s="762"/>
      <c r="AK465" s="762"/>
      <c r="AL465" s="762"/>
      <c r="AM465" s="762"/>
      <c r="AN465" s="762"/>
      <c r="AO465" s="925"/>
      <c r="AP465" s="762"/>
      <c r="AQ465" s="762"/>
      <c r="AR465" s="762"/>
      <c r="AS465" s="762"/>
      <c r="AT465" s="762"/>
      <c r="AU465" s="762"/>
      <c r="AV465" s="762"/>
      <c r="AW465" s="762"/>
      <c r="AX465" s="762"/>
      <c r="AY465" s="762"/>
      <c r="AZ465" s="762"/>
      <c r="BA465" s="762"/>
      <c r="BB465" s="762"/>
      <c r="BC465" s="762"/>
      <c r="BD465" s="762"/>
      <c r="BE465" s="762"/>
      <c r="BF465" s="762"/>
      <c r="BG465" s="762"/>
      <c r="BH465" s="762"/>
    </row>
    <row r="466" spans="3:60" s="49" customFormat="1">
      <c r="C466" s="762"/>
      <c r="D466" s="762"/>
      <c r="E466" s="762"/>
      <c r="F466" s="762"/>
      <c r="G466" s="762"/>
      <c r="H466" s="762"/>
      <c r="I466" s="925"/>
      <c r="J466" s="762"/>
      <c r="K466" s="762"/>
      <c r="L466" s="762"/>
      <c r="M466" s="762"/>
      <c r="N466" s="762"/>
      <c r="O466" s="762"/>
      <c r="P466" s="762"/>
      <c r="Q466" s="925"/>
      <c r="R466" s="762"/>
      <c r="S466" s="762"/>
      <c r="T466" s="762"/>
      <c r="U466" s="762"/>
      <c r="V466" s="762"/>
      <c r="W466" s="762"/>
      <c r="X466" s="762"/>
      <c r="Y466" s="925"/>
      <c r="Z466" s="762"/>
      <c r="AA466" s="762"/>
      <c r="AB466" s="762"/>
      <c r="AC466" s="762"/>
      <c r="AD466" s="762"/>
      <c r="AE466" s="762"/>
      <c r="AF466" s="762"/>
      <c r="AG466" s="925"/>
      <c r="AH466" s="762"/>
      <c r="AI466" s="762"/>
      <c r="AJ466" s="762"/>
      <c r="AK466" s="762"/>
      <c r="AL466" s="762"/>
      <c r="AM466" s="762"/>
      <c r="AN466" s="762"/>
      <c r="AO466" s="925"/>
      <c r="AP466" s="762"/>
      <c r="AQ466" s="762"/>
      <c r="AR466" s="762"/>
      <c r="AS466" s="762"/>
      <c r="AT466" s="762"/>
      <c r="AU466" s="762"/>
      <c r="AV466" s="762"/>
      <c r="AW466" s="762"/>
      <c r="AX466" s="762"/>
      <c r="AY466" s="762"/>
      <c r="AZ466" s="762"/>
      <c r="BA466" s="762"/>
      <c r="BB466" s="762"/>
      <c r="BC466" s="762"/>
      <c r="BD466" s="762"/>
      <c r="BE466" s="762"/>
      <c r="BF466" s="762"/>
      <c r="BG466" s="762"/>
      <c r="BH466" s="762"/>
    </row>
    <row r="467" spans="3:60" s="49" customFormat="1">
      <c r="C467" s="762"/>
      <c r="D467" s="762"/>
      <c r="E467" s="762"/>
      <c r="F467" s="762"/>
      <c r="G467" s="762"/>
      <c r="H467" s="762"/>
      <c r="I467" s="925"/>
      <c r="J467" s="762"/>
      <c r="K467" s="762"/>
      <c r="L467" s="762"/>
      <c r="M467" s="762"/>
      <c r="N467" s="762"/>
      <c r="O467" s="762"/>
      <c r="P467" s="762"/>
      <c r="Q467" s="925"/>
      <c r="R467" s="762"/>
      <c r="S467" s="762"/>
      <c r="T467" s="762"/>
      <c r="U467" s="762"/>
      <c r="V467" s="762"/>
      <c r="W467" s="762"/>
      <c r="X467" s="762"/>
      <c r="Y467" s="925"/>
      <c r="Z467" s="762"/>
      <c r="AA467" s="762"/>
      <c r="AB467" s="762"/>
      <c r="AC467" s="762"/>
      <c r="AD467" s="762"/>
      <c r="AE467" s="762"/>
      <c r="AF467" s="762"/>
      <c r="AG467" s="925"/>
      <c r="AH467" s="762"/>
      <c r="AI467" s="762"/>
      <c r="AJ467" s="762"/>
      <c r="AK467" s="762"/>
      <c r="AL467" s="762"/>
      <c r="AM467" s="762"/>
      <c r="AN467" s="762"/>
      <c r="AO467" s="925"/>
      <c r="AP467" s="762"/>
      <c r="AQ467" s="762"/>
      <c r="AR467" s="762"/>
      <c r="AS467" s="762"/>
      <c r="AT467" s="762"/>
      <c r="AU467" s="762"/>
      <c r="AV467" s="762"/>
      <c r="AW467" s="762"/>
      <c r="AX467" s="762"/>
      <c r="AY467" s="762"/>
      <c r="AZ467" s="762"/>
      <c r="BA467" s="762"/>
      <c r="BB467" s="762"/>
      <c r="BC467" s="762"/>
      <c r="BD467" s="762"/>
      <c r="BE467" s="762"/>
      <c r="BF467" s="762"/>
      <c r="BG467" s="762"/>
      <c r="BH467" s="762"/>
    </row>
    <row r="468" spans="3:60" s="49" customFormat="1">
      <c r="C468" s="762"/>
      <c r="D468" s="762"/>
      <c r="E468" s="762"/>
      <c r="F468" s="762"/>
      <c r="G468" s="762"/>
      <c r="H468" s="762"/>
      <c r="I468" s="925"/>
      <c r="J468" s="762"/>
      <c r="K468" s="762"/>
      <c r="L468" s="762"/>
      <c r="M468" s="762"/>
      <c r="N468" s="762"/>
      <c r="O468" s="762"/>
      <c r="P468" s="762"/>
      <c r="Q468" s="925"/>
      <c r="R468" s="762"/>
      <c r="S468" s="762"/>
      <c r="T468" s="762"/>
      <c r="U468" s="762"/>
      <c r="V468" s="762"/>
      <c r="W468" s="762"/>
      <c r="X468" s="762"/>
      <c r="Y468" s="925"/>
      <c r="Z468" s="762"/>
      <c r="AA468" s="762"/>
      <c r="AB468" s="762"/>
      <c r="AC468" s="762"/>
      <c r="AD468" s="762"/>
      <c r="AE468" s="762"/>
      <c r="AF468" s="762"/>
      <c r="AG468" s="925"/>
      <c r="AH468" s="762"/>
      <c r="AI468" s="762"/>
      <c r="AJ468" s="762"/>
      <c r="AK468" s="762"/>
      <c r="AL468" s="762"/>
      <c r="AM468" s="762"/>
      <c r="AN468" s="762"/>
      <c r="AO468" s="925"/>
      <c r="AP468" s="762"/>
      <c r="AQ468" s="762"/>
      <c r="AR468" s="762"/>
      <c r="AS468" s="762"/>
      <c r="AT468" s="762"/>
      <c r="AU468" s="762"/>
      <c r="AV468" s="762"/>
      <c r="AW468" s="762"/>
      <c r="AX468" s="762"/>
      <c r="AY468" s="762"/>
      <c r="AZ468" s="762"/>
      <c r="BA468" s="762"/>
      <c r="BB468" s="762"/>
      <c r="BC468" s="762"/>
      <c r="BD468" s="762"/>
      <c r="BE468" s="762"/>
      <c r="BF468" s="762"/>
      <c r="BG468" s="762"/>
      <c r="BH468" s="762"/>
    </row>
    <row r="469" spans="3:60" s="49" customFormat="1">
      <c r="C469" s="762"/>
      <c r="D469" s="762"/>
      <c r="E469" s="762"/>
      <c r="F469" s="762"/>
      <c r="G469" s="762"/>
      <c r="H469" s="762"/>
      <c r="I469" s="925"/>
      <c r="J469" s="762"/>
      <c r="K469" s="762"/>
      <c r="L469" s="762"/>
      <c r="M469" s="762"/>
      <c r="N469" s="762"/>
      <c r="O469" s="762"/>
      <c r="P469" s="762"/>
      <c r="Q469" s="925"/>
      <c r="R469" s="762"/>
      <c r="S469" s="762"/>
      <c r="T469" s="762"/>
      <c r="U469" s="762"/>
      <c r="V469" s="762"/>
      <c r="W469" s="762"/>
      <c r="X469" s="762"/>
      <c r="Y469" s="925"/>
      <c r="Z469" s="762"/>
      <c r="AA469" s="762"/>
      <c r="AB469" s="762"/>
      <c r="AC469" s="762"/>
      <c r="AD469" s="762"/>
      <c r="AE469" s="762"/>
      <c r="AF469" s="762"/>
      <c r="AG469" s="925"/>
      <c r="AH469" s="762"/>
      <c r="AI469" s="762"/>
      <c r="AJ469" s="762"/>
      <c r="AK469" s="762"/>
      <c r="AL469" s="762"/>
      <c r="AM469" s="762"/>
      <c r="AN469" s="762"/>
      <c r="AO469" s="925"/>
      <c r="AP469" s="762"/>
      <c r="AQ469" s="762"/>
      <c r="AR469" s="762"/>
      <c r="AS469" s="762"/>
      <c r="AT469" s="762"/>
      <c r="AU469" s="762"/>
      <c r="AV469" s="762"/>
      <c r="AW469" s="762"/>
      <c r="AX469" s="762"/>
      <c r="AY469" s="762"/>
      <c r="AZ469" s="762"/>
      <c r="BA469" s="762"/>
      <c r="BB469" s="762"/>
      <c r="BC469" s="762"/>
      <c r="BD469" s="762"/>
      <c r="BE469" s="762"/>
      <c r="BF469" s="762"/>
      <c r="BG469" s="762"/>
      <c r="BH469" s="762"/>
    </row>
    <row r="470" spans="3:60" s="49" customFormat="1">
      <c r="C470" s="762"/>
      <c r="D470" s="762"/>
      <c r="E470" s="762"/>
      <c r="F470" s="762"/>
      <c r="G470" s="762"/>
      <c r="H470" s="762"/>
      <c r="I470" s="925"/>
      <c r="J470" s="762"/>
      <c r="K470" s="762"/>
      <c r="L470" s="762"/>
      <c r="M470" s="762"/>
      <c r="N470" s="762"/>
      <c r="O470" s="762"/>
      <c r="P470" s="762"/>
      <c r="Q470" s="925"/>
      <c r="R470" s="762"/>
      <c r="S470" s="762"/>
      <c r="T470" s="762"/>
      <c r="U470" s="762"/>
      <c r="V470" s="762"/>
      <c r="W470" s="762"/>
      <c r="X470" s="762"/>
      <c r="Y470" s="925"/>
      <c r="Z470" s="762"/>
      <c r="AA470" s="762"/>
      <c r="AB470" s="762"/>
      <c r="AC470" s="762"/>
      <c r="AD470" s="762"/>
      <c r="AE470" s="762"/>
      <c r="AF470" s="762"/>
      <c r="AG470" s="925"/>
      <c r="AH470" s="762"/>
      <c r="AI470" s="762"/>
      <c r="AJ470" s="762"/>
      <c r="AK470" s="762"/>
      <c r="AL470" s="762"/>
      <c r="AM470" s="762"/>
      <c r="AN470" s="762"/>
      <c r="AO470" s="925"/>
      <c r="AP470" s="762"/>
      <c r="AQ470" s="762"/>
      <c r="AR470" s="762"/>
      <c r="AS470" s="762"/>
      <c r="AT470" s="762"/>
      <c r="AU470" s="762"/>
      <c r="AV470" s="762"/>
      <c r="AW470" s="762"/>
      <c r="AX470" s="762"/>
      <c r="AY470" s="762"/>
      <c r="AZ470" s="762"/>
      <c r="BA470" s="762"/>
      <c r="BB470" s="762"/>
      <c r="BC470" s="762"/>
      <c r="BD470" s="762"/>
      <c r="BE470" s="762"/>
      <c r="BF470" s="762"/>
      <c r="BG470" s="762"/>
      <c r="BH470" s="762"/>
    </row>
    <row r="471" spans="3:60" s="49" customFormat="1">
      <c r="C471" s="762"/>
      <c r="D471" s="762"/>
      <c r="E471" s="762"/>
      <c r="F471" s="762"/>
      <c r="G471" s="762"/>
      <c r="H471" s="762"/>
      <c r="I471" s="925"/>
      <c r="J471" s="762"/>
      <c r="K471" s="762"/>
      <c r="L471" s="762"/>
      <c r="M471" s="762"/>
      <c r="N471" s="762"/>
      <c r="O471" s="762"/>
      <c r="P471" s="762"/>
      <c r="Q471" s="925"/>
      <c r="R471" s="762"/>
      <c r="S471" s="762"/>
      <c r="T471" s="762"/>
      <c r="U471" s="762"/>
      <c r="V471" s="762"/>
      <c r="W471" s="762"/>
      <c r="X471" s="762"/>
      <c r="Y471" s="925"/>
      <c r="Z471" s="762"/>
      <c r="AA471" s="762"/>
      <c r="AB471" s="762"/>
      <c r="AC471" s="762"/>
      <c r="AD471" s="762"/>
      <c r="AE471" s="762"/>
      <c r="AF471" s="762"/>
      <c r="AG471" s="925"/>
      <c r="AH471" s="762"/>
      <c r="AI471" s="762"/>
      <c r="AJ471" s="762"/>
      <c r="AK471" s="762"/>
      <c r="AL471" s="762"/>
      <c r="AM471" s="762"/>
      <c r="AN471" s="762"/>
      <c r="AO471" s="925"/>
      <c r="AP471" s="762"/>
      <c r="AQ471" s="762"/>
      <c r="AR471" s="762"/>
      <c r="AS471" s="762"/>
      <c r="AT471" s="762"/>
      <c r="AU471" s="762"/>
      <c r="AV471" s="762"/>
      <c r="AW471" s="762"/>
      <c r="AX471" s="762"/>
      <c r="AY471" s="762"/>
      <c r="AZ471" s="762"/>
      <c r="BA471" s="762"/>
      <c r="BB471" s="762"/>
      <c r="BC471" s="762"/>
      <c r="BD471" s="762"/>
      <c r="BE471" s="762"/>
      <c r="BF471" s="762"/>
      <c r="BG471" s="762"/>
      <c r="BH471" s="762"/>
    </row>
    <row r="472" spans="3:60" s="49" customFormat="1">
      <c r="C472" s="762"/>
      <c r="D472" s="762"/>
      <c r="E472" s="762"/>
      <c r="F472" s="762"/>
      <c r="G472" s="762"/>
      <c r="H472" s="762"/>
      <c r="I472" s="925"/>
      <c r="J472" s="762"/>
      <c r="K472" s="762"/>
      <c r="L472" s="762"/>
      <c r="M472" s="762"/>
      <c r="N472" s="762"/>
      <c r="O472" s="762"/>
      <c r="P472" s="762"/>
      <c r="Q472" s="925"/>
      <c r="R472" s="762"/>
      <c r="S472" s="762"/>
      <c r="T472" s="762"/>
      <c r="U472" s="762"/>
      <c r="V472" s="762"/>
      <c r="W472" s="762"/>
      <c r="X472" s="762"/>
      <c r="Y472" s="925"/>
      <c r="Z472" s="762"/>
      <c r="AA472" s="762"/>
      <c r="AB472" s="762"/>
      <c r="AC472" s="762"/>
      <c r="AD472" s="762"/>
      <c r="AE472" s="762"/>
      <c r="AF472" s="762"/>
      <c r="AG472" s="925"/>
      <c r="AH472" s="762"/>
      <c r="AI472" s="762"/>
      <c r="AJ472" s="762"/>
      <c r="AK472" s="762"/>
      <c r="AL472" s="762"/>
      <c r="AM472" s="762"/>
      <c r="AN472" s="762"/>
      <c r="AO472" s="925"/>
      <c r="AP472" s="762"/>
      <c r="AQ472" s="762"/>
      <c r="AR472" s="762"/>
      <c r="AS472" s="762"/>
      <c r="AT472" s="762"/>
      <c r="AU472" s="762"/>
      <c r="AV472" s="762"/>
      <c r="AW472" s="762"/>
      <c r="AX472" s="762"/>
      <c r="AY472" s="762"/>
      <c r="AZ472" s="762"/>
      <c r="BA472" s="762"/>
      <c r="BB472" s="762"/>
      <c r="BC472" s="762"/>
      <c r="BD472" s="762"/>
      <c r="BE472" s="762"/>
      <c r="BF472" s="762"/>
      <c r="BG472" s="762"/>
      <c r="BH472" s="762"/>
    </row>
    <row r="473" spans="3:60" s="49" customFormat="1">
      <c r="C473" s="762"/>
      <c r="D473" s="762"/>
      <c r="E473" s="762"/>
      <c r="F473" s="762"/>
      <c r="G473" s="762"/>
      <c r="H473" s="762"/>
      <c r="I473" s="925"/>
      <c r="J473" s="762"/>
      <c r="K473" s="762"/>
      <c r="L473" s="762"/>
      <c r="M473" s="762"/>
      <c r="N473" s="762"/>
      <c r="O473" s="762"/>
      <c r="P473" s="762"/>
      <c r="Q473" s="925"/>
      <c r="R473" s="762"/>
      <c r="S473" s="762"/>
      <c r="T473" s="762"/>
      <c r="U473" s="762"/>
      <c r="V473" s="762"/>
      <c r="W473" s="762"/>
      <c r="X473" s="762"/>
      <c r="Y473" s="925"/>
      <c r="Z473" s="762"/>
      <c r="AA473" s="762"/>
      <c r="AB473" s="762"/>
      <c r="AC473" s="762"/>
      <c r="AD473" s="762"/>
      <c r="AE473" s="762"/>
      <c r="AF473" s="762"/>
      <c r="AG473" s="925"/>
      <c r="AH473" s="762"/>
      <c r="AI473" s="762"/>
      <c r="AJ473" s="762"/>
      <c r="AK473" s="762"/>
      <c r="AL473" s="762"/>
      <c r="AM473" s="762"/>
      <c r="AN473" s="762"/>
      <c r="AO473" s="925"/>
      <c r="AP473" s="762"/>
      <c r="AQ473" s="762"/>
      <c r="AR473" s="762"/>
      <c r="AS473" s="762"/>
      <c r="AT473" s="762"/>
      <c r="AU473" s="762"/>
      <c r="AV473" s="762"/>
      <c r="AW473" s="762"/>
      <c r="AX473" s="762"/>
      <c r="AY473" s="762"/>
      <c r="AZ473" s="762"/>
      <c r="BA473" s="762"/>
      <c r="BB473" s="762"/>
      <c r="BC473" s="762"/>
      <c r="BD473" s="762"/>
      <c r="BE473" s="762"/>
      <c r="BF473" s="762"/>
      <c r="BG473" s="762"/>
      <c r="BH473" s="762"/>
    </row>
    <row r="474" spans="3:60" s="49" customFormat="1">
      <c r="C474" s="762"/>
      <c r="D474" s="762"/>
      <c r="E474" s="762"/>
      <c r="F474" s="762"/>
      <c r="G474" s="762"/>
      <c r="H474" s="762"/>
      <c r="I474" s="925"/>
      <c r="J474" s="762"/>
      <c r="K474" s="762"/>
      <c r="L474" s="762"/>
      <c r="M474" s="762"/>
      <c r="N474" s="762"/>
      <c r="O474" s="762"/>
      <c r="P474" s="762"/>
      <c r="Q474" s="925"/>
      <c r="R474" s="762"/>
      <c r="S474" s="762"/>
      <c r="T474" s="762"/>
      <c r="U474" s="762"/>
      <c r="V474" s="762"/>
      <c r="W474" s="762"/>
      <c r="X474" s="762"/>
      <c r="Y474" s="925"/>
      <c r="Z474" s="762"/>
      <c r="AA474" s="762"/>
      <c r="AB474" s="762"/>
      <c r="AC474" s="762"/>
      <c r="AD474" s="762"/>
      <c r="AE474" s="762"/>
      <c r="AF474" s="762"/>
      <c r="AG474" s="925"/>
      <c r="AH474" s="762"/>
      <c r="AI474" s="762"/>
      <c r="AJ474" s="762"/>
      <c r="AK474" s="762"/>
      <c r="AL474" s="762"/>
      <c r="AM474" s="762"/>
      <c r="AN474" s="762"/>
      <c r="AO474" s="925"/>
      <c r="AP474" s="762"/>
      <c r="AQ474" s="762"/>
      <c r="AR474" s="762"/>
      <c r="AS474" s="762"/>
      <c r="AT474" s="762"/>
      <c r="AU474" s="762"/>
      <c r="AV474" s="762"/>
      <c r="AW474" s="762"/>
      <c r="AX474" s="762"/>
      <c r="AY474" s="762"/>
      <c r="AZ474" s="762"/>
      <c r="BA474" s="762"/>
      <c r="BB474" s="762"/>
      <c r="BC474" s="762"/>
      <c r="BD474" s="762"/>
      <c r="BE474" s="762"/>
      <c r="BF474" s="762"/>
      <c r="BG474" s="762"/>
      <c r="BH474" s="762"/>
    </row>
    <row r="475" spans="3:60" s="49" customFormat="1">
      <c r="C475" s="762"/>
      <c r="D475" s="762"/>
      <c r="E475" s="762"/>
      <c r="F475" s="762"/>
      <c r="G475" s="762"/>
      <c r="H475" s="762"/>
      <c r="I475" s="925"/>
      <c r="J475" s="762"/>
      <c r="K475" s="762"/>
      <c r="L475" s="762"/>
      <c r="M475" s="762"/>
      <c r="N475" s="762"/>
      <c r="O475" s="762"/>
      <c r="P475" s="762"/>
      <c r="Q475" s="925"/>
      <c r="R475" s="762"/>
      <c r="S475" s="762"/>
      <c r="T475" s="762"/>
      <c r="U475" s="762"/>
      <c r="V475" s="762"/>
      <c r="W475" s="762"/>
      <c r="X475" s="762"/>
      <c r="Y475" s="925"/>
      <c r="Z475" s="762"/>
      <c r="AA475" s="762"/>
      <c r="AB475" s="762"/>
      <c r="AC475" s="762"/>
      <c r="AD475" s="762"/>
      <c r="AE475" s="762"/>
      <c r="AF475" s="762"/>
      <c r="AG475" s="925"/>
      <c r="AH475" s="762"/>
      <c r="AI475" s="762"/>
      <c r="AJ475" s="762"/>
      <c r="AK475" s="762"/>
      <c r="AL475" s="762"/>
      <c r="AM475" s="762"/>
      <c r="AN475" s="762"/>
      <c r="AO475" s="925"/>
      <c r="AP475" s="762"/>
      <c r="AQ475" s="762"/>
      <c r="AR475" s="762"/>
      <c r="AS475" s="762"/>
      <c r="AT475" s="762"/>
      <c r="AU475" s="762"/>
      <c r="AV475" s="762"/>
      <c r="AW475" s="762"/>
      <c r="AX475" s="762"/>
      <c r="AY475" s="762"/>
      <c r="AZ475" s="762"/>
      <c r="BA475" s="762"/>
      <c r="BB475" s="762"/>
      <c r="BC475" s="762"/>
      <c r="BD475" s="762"/>
      <c r="BE475" s="762"/>
      <c r="BF475" s="762"/>
      <c r="BG475" s="762"/>
      <c r="BH475" s="762"/>
    </row>
    <row r="476" spans="3:60" s="49" customFormat="1">
      <c r="C476" s="762"/>
      <c r="D476" s="762"/>
      <c r="E476" s="762"/>
      <c r="F476" s="762"/>
      <c r="G476" s="762"/>
      <c r="H476" s="762"/>
      <c r="I476" s="925"/>
      <c r="J476" s="762"/>
      <c r="K476" s="762"/>
      <c r="L476" s="762"/>
      <c r="M476" s="762"/>
      <c r="N476" s="762"/>
      <c r="O476" s="762"/>
      <c r="P476" s="762"/>
      <c r="Q476" s="925"/>
      <c r="R476" s="762"/>
      <c r="S476" s="762"/>
      <c r="T476" s="762"/>
      <c r="U476" s="762"/>
      <c r="V476" s="762"/>
      <c r="W476" s="762"/>
      <c r="X476" s="762"/>
      <c r="Y476" s="925"/>
      <c r="Z476" s="762"/>
      <c r="AA476" s="762"/>
      <c r="AB476" s="762"/>
      <c r="AC476" s="762"/>
      <c r="AD476" s="762"/>
      <c r="AE476" s="762"/>
      <c r="AF476" s="762"/>
      <c r="AG476" s="925"/>
      <c r="AH476" s="762"/>
      <c r="AI476" s="762"/>
      <c r="AJ476" s="762"/>
      <c r="AK476" s="762"/>
      <c r="AL476" s="762"/>
      <c r="AM476" s="762"/>
      <c r="AN476" s="762"/>
      <c r="AO476" s="925"/>
      <c r="AP476" s="762"/>
      <c r="AQ476" s="762"/>
      <c r="AR476" s="762"/>
      <c r="AS476" s="762"/>
      <c r="AT476" s="762"/>
      <c r="AU476" s="762"/>
      <c r="AV476" s="762"/>
      <c r="AW476" s="762"/>
      <c r="AX476" s="762"/>
      <c r="AY476" s="762"/>
      <c r="AZ476" s="762"/>
      <c r="BA476" s="762"/>
      <c r="BB476" s="762"/>
      <c r="BC476" s="762"/>
      <c r="BD476" s="762"/>
      <c r="BE476" s="762"/>
      <c r="BF476" s="762"/>
      <c r="BG476" s="762"/>
      <c r="BH476" s="762"/>
    </row>
    <row r="477" spans="3:60" s="49" customFormat="1">
      <c r="C477" s="762"/>
      <c r="D477" s="762"/>
      <c r="E477" s="762"/>
      <c r="F477" s="762"/>
      <c r="G477" s="762"/>
      <c r="H477" s="762"/>
      <c r="I477" s="925"/>
      <c r="J477" s="762"/>
      <c r="K477" s="762"/>
      <c r="L477" s="762"/>
      <c r="M477" s="762"/>
      <c r="N477" s="762"/>
      <c r="O477" s="762"/>
      <c r="P477" s="762"/>
      <c r="Q477" s="925"/>
      <c r="R477" s="762"/>
      <c r="S477" s="762"/>
      <c r="T477" s="762"/>
      <c r="U477" s="762"/>
      <c r="V477" s="762"/>
      <c r="W477" s="762"/>
      <c r="X477" s="762"/>
      <c r="Y477" s="925"/>
      <c r="Z477" s="762"/>
      <c r="AA477" s="762"/>
      <c r="AB477" s="762"/>
      <c r="AC477" s="762"/>
      <c r="AD477" s="762"/>
      <c r="AE477" s="762"/>
      <c r="AF477" s="762"/>
      <c r="AG477" s="925"/>
      <c r="AH477" s="762"/>
      <c r="AI477" s="762"/>
      <c r="AJ477" s="762"/>
      <c r="AK477" s="762"/>
      <c r="AL477" s="762"/>
      <c r="AM477" s="762"/>
      <c r="AN477" s="762"/>
      <c r="AO477" s="925"/>
      <c r="AP477" s="762"/>
      <c r="AQ477" s="762"/>
      <c r="AR477" s="762"/>
      <c r="AS477" s="762"/>
      <c r="AT477" s="762"/>
      <c r="AU477" s="762"/>
      <c r="AV477" s="762"/>
      <c r="AW477" s="762"/>
      <c r="AX477" s="762"/>
      <c r="AY477" s="762"/>
      <c r="AZ477" s="762"/>
      <c r="BA477" s="762"/>
      <c r="BB477" s="762"/>
      <c r="BC477" s="762"/>
      <c r="BD477" s="762"/>
      <c r="BE477" s="762"/>
      <c r="BF477" s="762"/>
      <c r="BG477" s="762"/>
      <c r="BH477" s="762"/>
    </row>
    <row r="478" spans="3:60" s="49" customFormat="1">
      <c r="C478" s="762"/>
      <c r="D478" s="762"/>
      <c r="E478" s="762"/>
      <c r="F478" s="762"/>
      <c r="G478" s="762"/>
      <c r="H478" s="762"/>
      <c r="I478" s="925"/>
      <c r="J478" s="762"/>
      <c r="K478" s="762"/>
      <c r="L478" s="762"/>
      <c r="M478" s="762"/>
      <c r="N478" s="762"/>
      <c r="O478" s="762"/>
      <c r="P478" s="762"/>
      <c r="Q478" s="925"/>
      <c r="R478" s="762"/>
      <c r="S478" s="762"/>
      <c r="T478" s="762"/>
      <c r="U478" s="762"/>
      <c r="V478" s="762"/>
      <c r="W478" s="762"/>
      <c r="X478" s="762"/>
      <c r="Y478" s="925"/>
      <c r="Z478" s="762"/>
      <c r="AA478" s="762"/>
      <c r="AB478" s="762"/>
      <c r="AC478" s="762"/>
      <c r="AD478" s="762"/>
      <c r="AE478" s="762"/>
      <c r="AF478" s="762"/>
      <c r="AG478" s="925"/>
      <c r="AH478" s="762"/>
      <c r="AI478" s="762"/>
      <c r="AJ478" s="762"/>
      <c r="AK478" s="762"/>
      <c r="AL478" s="762"/>
      <c r="AM478" s="762"/>
      <c r="AN478" s="762"/>
      <c r="AO478" s="925"/>
      <c r="AP478" s="762"/>
      <c r="AQ478" s="762"/>
      <c r="AR478" s="762"/>
      <c r="AS478" s="762"/>
      <c r="AT478" s="762"/>
      <c r="AU478" s="762"/>
      <c r="AV478" s="762"/>
      <c r="AW478" s="762"/>
      <c r="AX478" s="762"/>
      <c r="AY478" s="762"/>
      <c r="AZ478" s="762"/>
      <c r="BA478" s="762"/>
      <c r="BB478" s="762"/>
      <c r="BC478" s="762"/>
      <c r="BD478" s="762"/>
      <c r="BE478" s="762"/>
      <c r="BF478" s="762"/>
      <c r="BG478" s="762"/>
      <c r="BH478" s="762"/>
    </row>
    <row r="479" spans="3:60" s="49" customFormat="1">
      <c r="C479" s="762"/>
      <c r="D479" s="762"/>
      <c r="E479" s="762"/>
      <c r="F479" s="762"/>
      <c r="G479" s="762"/>
      <c r="H479" s="762"/>
      <c r="I479" s="925"/>
      <c r="J479" s="762"/>
      <c r="K479" s="762"/>
      <c r="L479" s="762"/>
      <c r="M479" s="762"/>
      <c r="N479" s="762"/>
      <c r="O479" s="762"/>
      <c r="P479" s="762"/>
      <c r="Q479" s="925"/>
      <c r="R479" s="762"/>
      <c r="S479" s="762"/>
      <c r="T479" s="762"/>
      <c r="U479" s="762"/>
      <c r="V479" s="762"/>
      <c r="W479" s="762"/>
      <c r="X479" s="762"/>
      <c r="Y479" s="925"/>
      <c r="Z479" s="762"/>
      <c r="AA479" s="762"/>
      <c r="AB479" s="762"/>
      <c r="AC479" s="762"/>
      <c r="AD479" s="762"/>
      <c r="AE479" s="762"/>
      <c r="AF479" s="762"/>
      <c r="AG479" s="925"/>
      <c r="AH479" s="762"/>
      <c r="AI479" s="762"/>
      <c r="AJ479" s="762"/>
      <c r="AK479" s="762"/>
      <c r="AL479" s="762"/>
      <c r="AM479" s="762"/>
      <c r="AN479" s="762"/>
      <c r="AO479" s="925"/>
      <c r="AP479" s="762"/>
      <c r="AQ479" s="762"/>
      <c r="AR479" s="762"/>
      <c r="AS479" s="762"/>
      <c r="AT479" s="762"/>
      <c r="AU479" s="762"/>
      <c r="AV479" s="762"/>
      <c r="AW479" s="762"/>
      <c r="AX479" s="762"/>
      <c r="AY479" s="762"/>
      <c r="AZ479" s="762"/>
      <c r="BA479" s="762"/>
      <c r="BB479" s="762"/>
      <c r="BC479" s="762"/>
      <c r="BD479" s="762"/>
      <c r="BE479" s="762"/>
      <c r="BF479" s="762"/>
      <c r="BG479" s="762"/>
      <c r="BH479" s="762"/>
    </row>
    <row r="480" spans="3:60" s="49" customFormat="1">
      <c r="C480" s="762"/>
      <c r="D480" s="762"/>
      <c r="E480" s="762"/>
      <c r="F480" s="762"/>
      <c r="G480" s="762"/>
      <c r="H480" s="762"/>
      <c r="I480" s="925"/>
      <c r="J480" s="762"/>
      <c r="K480" s="762"/>
      <c r="L480" s="762"/>
      <c r="M480" s="762"/>
      <c r="N480" s="762"/>
      <c r="O480" s="762"/>
      <c r="P480" s="762"/>
      <c r="Q480" s="925"/>
      <c r="R480" s="762"/>
      <c r="S480" s="762"/>
      <c r="T480" s="762"/>
      <c r="U480" s="762"/>
      <c r="V480" s="762"/>
      <c r="W480" s="762"/>
      <c r="X480" s="762"/>
      <c r="Y480" s="925"/>
      <c r="Z480" s="762"/>
      <c r="AA480" s="762"/>
      <c r="AB480" s="762"/>
      <c r="AC480" s="762"/>
      <c r="AD480" s="762"/>
      <c r="AE480" s="762"/>
      <c r="AF480" s="762"/>
      <c r="AG480" s="925"/>
      <c r="AH480" s="762"/>
      <c r="AI480" s="762"/>
      <c r="AJ480" s="762"/>
      <c r="AK480" s="762"/>
      <c r="AL480" s="762"/>
      <c r="AM480" s="762"/>
      <c r="AN480" s="762"/>
      <c r="AO480" s="925"/>
      <c r="AP480" s="762"/>
      <c r="AQ480" s="762"/>
      <c r="AR480" s="762"/>
      <c r="AS480" s="762"/>
      <c r="AT480" s="762"/>
      <c r="AU480" s="762"/>
      <c r="AV480" s="762"/>
      <c r="AW480" s="50"/>
      <c r="AX480" s="50"/>
      <c r="AY480" s="50"/>
      <c r="AZ480" s="50"/>
      <c r="BA480" s="50"/>
      <c r="BB480" s="50"/>
      <c r="BC480" s="50"/>
      <c r="BD480" s="50"/>
      <c r="BE480" s="50"/>
      <c r="BF480" s="50"/>
      <c r="BG480" s="50"/>
      <c r="BH480" s="50"/>
    </row>
    <row r="481" spans="3:60" s="49" customFormat="1">
      <c r="C481" s="762"/>
      <c r="D481" s="762"/>
      <c r="E481" s="762"/>
      <c r="F481" s="762"/>
      <c r="G481" s="762"/>
      <c r="H481" s="762"/>
      <c r="I481" s="925"/>
      <c r="J481" s="762"/>
      <c r="K481" s="762"/>
      <c r="L481" s="762"/>
      <c r="M481" s="762"/>
      <c r="N481" s="762"/>
      <c r="O481" s="762"/>
      <c r="P481" s="762"/>
      <c r="Q481" s="925"/>
      <c r="R481" s="762"/>
      <c r="S481" s="762"/>
      <c r="T481" s="762"/>
      <c r="U481" s="762"/>
      <c r="V481" s="762"/>
      <c r="W481" s="762"/>
      <c r="X481" s="762"/>
      <c r="Y481" s="925"/>
      <c r="Z481" s="762"/>
      <c r="AA481" s="762"/>
      <c r="AB481" s="762"/>
      <c r="AC481" s="762"/>
      <c r="AD481" s="762"/>
      <c r="AE481" s="762"/>
      <c r="AF481" s="762"/>
      <c r="AG481" s="925"/>
      <c r="AH481" s="762"/>
      <c r="AI481" s="762"/>
      <c r="AJ481" s="762"/>
      <c r="AK481" s="762"/>
      <c r="AL481" s="762"/>
      <c r="AM481" s="762"/>
      <c r="AN481" s="762"/>
      <c r="AO481" s="925"/>
      <c r="AP481" s="762"/>
      <c r="AQ481" s="762"/>
      <c r="AR481" s="762"/>
      <c r="AS481" s="762"/>
      <c r="AT481" s="762"/>
      <c r="AU481" s="762"/>
      <c r="AV481" s="762"/>
      <c r="AW481" s="50"/>
      <c r="AX481" s="50"/>
      <c r="AY481" s="50"/>
      <c r="AZ481" s="50"/>
      <c r="BA481" s="50"/>
      <c r="BB481" s="50"/>
      <c r="BC481" s="50"/>
      <c r="BD481" s="50"/>
      <c r="BE481" s="50"/>
      <c r="BF481" s="50"/>
      <c r="BG481" s="50"/>
      <c r="BH481" s="50"/>
    </row>
    <row r="482" spans="3:60" s="49" customFormat="1">
      <c r="C482" s="762"/>
      <c r="D482" s="762"/>
      <c r="E482" s="762"/>
      <c r="F482" s="762"/>
      <c r="G482" s="762"/>
      <c r="H482" s="762"/>
      <c r="I482" s="925"/>
      <c r="J482" s="762"/>
      <c r="K482" s="762"/>
      <c r="L482" s="762"/>
      <c r="M482" s="762"/>
      <c r="N482" s="762"/>
      <c r="O482" s="762"/>
      <c r="P482" s="762"/>
      <c r="Q482" s="925"/>
      <c r="R482" s="762"/>
      <c r="S482" s="762"/>
      <c r="T482" s="762"/>
      <c r="U482" s="762"/>
      <c r="V482" s="762"/>
      <c r="W482" s="762"/>
      <c r="X482" s="762"/>
      <c r="Y482" s="925"/>
      <c r="Z482" s="762"/>
      <c r="AA482" s="762"/>
      <c r="AB482" s="762"/>
      <c r="AC482" s="762"/>
      <c r="AD482" s="762"/>
      <c r="AE482" s="762"/>
      <c r="AF482" s="762"/>
      <c r="AG482" s="925"/>
      <c r="AH482" s="762"/>
      <c r="AI482" s="762"/>
      <c r="AJ482" s="762"/>
      <c r="AK482" s="762"/>
      <c r="AL482" s="762"/>
      <c r="AM482" s="762"/>
      <c r="AN482" s="762"/>
      <c r="AO482" s="925"/>
      <c r="AP482" s="762"/>
      <c r="AQ482" s="762"/>
      <c r="AR482" s="762"/>
      <c r="AS482" s="762"/>
      <c r="AT482" s="762"/>
      <c r="AU482" s="762"/>
      <c r="AV482" s="762"/>
      <c r="AW482" s="50"/>
      <c r="AX482" s="50"/>
      <c r="AY482" s="50"/>
      <c r="AZ482" s="50"/>
      <c r="BA482" s="50"/>
      <c r="BB482" s="50"/>
      <c r="BC482" s="50"/>
      <c r="BD482" s="50"/>
      <c r="BE482" s="50"/>
      <c r="BF482" s="50"/>
      <c r="BG482" s="50"/>
      <c r="BH482" s="50"/>
    </row>
    <row r="483" spans="3:60" s="49" customFormat="1">
      <c r="C483" s="762"/>
      <c r="D483" s="762"/>
      <c r="E483" s="762"/>
      <c r="F483" s="762"/>
      <c r="G483" s="762"/>
      <c r="H483" s="762"/>
      <c r="I483" s="925"/>
      <c r="J483" s="762"/>
      <c r="K483" s="762"/>
      <c r="L483" s="762"/>
      <c r="M483" s="762"/>
      <c r="N483" s="762"/>
      <c r="O483" s="762"/>
      <c r="P483" s="762"/>
      <c r="Q483" s="925"/>
      <c r="R483" s="762"/>
      <c r="S483" s="762"/>
      <c r="T483" s="762"/>
      <c r="U483" s="762"/>
      <c r="V483" s="762"/>
      <c r="W483" s="762"/>
      <c r="X483" s="762"/>
      <c r="Y483" s="925"/>
      <c r="Z483" s="762"/>
      <c r="AA483" s="762"/>
      <c r="AB483" s="762"/>
      <c r="AC483" s="762"/>
      <c r="AD483" s="762"/>
      <c r="AE483" s="762"/>
      <c r="AF483" s="762"/>
      <c r="AG483" s="925"/>
      <c r="AH483" s="762"/>
      <c r="AI483" s="762"/>
      <c r="AJ483" s="762"/>
      <c r="AK483" s="762"/>
      <c r="AL483" s="762"/>
      <c r="AM483" s="762"/>
      <c r="AN483" s="762"/>
      <c r="AO483" s="925"/>
      <c r="AP483" s="762"/>
      <c r="AQ483" s="762"/>
      <c r="AR483" s="762"/>
      <c r="AS483" s="762"/>
      <c r="AT483" s="762"/>
      <c r="AU483" s="762"/>
      <c r="AV483" s="762"/>
      <c r="AW483" s="50"/>
      <c r="AX483" s="50"/>
      <c r="AY483" s="50"/>
      <c r="AZ483" s="50"/>
      <c r="BA483" s="50"/>
      <c r="BB483" s="50"/>
      <c r="BC483" s="50"/>
      <c r="BD483" s="50"/>
      <c r="BE483" s="50"/>
      <c r="BF483" s="50"/>
      <c r="BG483" s="50"/>
      <c r="BH483" s="50"/>
    </row>
    <row r="484" spans="3:60" s="49" customFormat="1">
      <c r="C484" s="762"/>
      <c r="D484" s="762"/>
      <c r="E484" s="762"/>
      <c r="F484" s="762"/>
      <c r="G484" s="762"/>
      <c r="H484" s="762"/>
      <c r="I484" s="925"/>
      <c r="J484" s="762"/>
      <c r="K484" s="762"/>
      <c r="L484" s="762"/>
      <c r="M484" s="762"/>
      <c r="N484" s="762"/>
      <c r="O484" s="762"/>
      <c r="P484" s="762"/>
      <c r="Q484" s="925"/>
      <c r="R484" s="762"/>
      <c r="S484" s="762"/>
      <c r="T484" s="762"/>
      <c r="U484" s="762"/>
      <c r="V484" s="762"/>
      <c r="W484" s="762"/>
      <c r="X484" s="762"/>
      <c r="Y484" s="925"/>
      <c r="Z484" s="762"/>
      <c r="AA484" s="762"/>
      <c r="AB484" s="762"/>
      <c r="AC484" s="762"/>
      <c r="AD484" s="762"/>
      <c r="AE484" s="762"/>
      <c r="AF484" s="762"/>
      <c r="AG484" s="925"/>
      <c r="AH484" s="762"/>
      <c r="AI484" s="762"/>
      <c r="AJ484" s="762"/>
      <c r="AK484" s="762"/>
      <c r="AL484" s="762"/>
      <c r="AM484" s="762"/>
      <c r="AN484" s="762"/>
      <c r="AO484" s="925"/>
      <c r="AP484" s="762"/>
      <c r="AQ484" s="762"/>
      <c r="AR484" s="762"/>
      <c r="AS484" s="762"/>
      <c r="AT484" s="762"/>
      <c r="AU484" s="762"/>
      <c r="AV484" s="762"/>
      <c r="AW484" s="50"/>
      <c r="AX484" s="50"/>
      <c r="AY484" s="50"/>
      <c r="AZ484" s="50"/>
      <c r="BA484" s="50"/>
      <c r="BB484" s="50"/>
      <c r="BC484" s="50"/>
      <c r="BD484" s="50"/>
      <c r="BE484" s="50"/>
      <c r="BF484" s="50"/>
      <c r="BG484" s="50"/>
      <c r="BH484" s="50"/>
    </row>
    <row r="485" spans="3:60" s="49" customFormat="1">
      <c r="C485" s="762"/>
      <c r="D485" s="762"/>
      <c r="E485" s="762"/>
      <c r="F485" s="762"/>
      <c r="G485" s="762"/>
      <c r="H485" s="762"/>
      <c r="I485" s="925"/>
      <c r="J485" s="762"/>
      <c r="K485" s="762"/>
      <c r="L485" s="762"/>
      <c r="M485" s="762"/>
      <c r="N485" s="762"/>
      <c r="O485" s="762"/>
      <c r="P485" s="762"/>
      <c r="Q485" s="925"/>
      <c r="R485" s="762"/>
      <c r="S485" s="762"/>
      <c r="T485" s="762"/>
      <c r="U485" s="762"/>
      <c r="V485" s="762"/>
      <c r="W485" s="762"/>
      <c r="X485" s="762"/>
      <c r="Y485" s="925"/>
      <c r="Z485" s="762"/>
      <c r="AA485" s="762"/>
      <c r="AB485" s="762"/>
      <c r="AC485" s="762"/>
      <c r="AD485" s="762"/>
      <c r="AE485" s="762"/>
      <c r="AF485" s="762"/>
      <c r="AG485" s="925"/>
      <c r="AH485" s="762"/>
      <c r="AI485" s="762"/>
      <c r="AJ485" s="762"/>
      <c r="AK485" s="762"/>
      <c r="AL485" s="762"/>
      <c r="AM485" s="762"/>
      <c r="AN485" s="762"/>
      <c r="AO485" s="925"/>
      <c r="AP485" s="762"/>
      <c r="AQ485" s="762"/>
      <c r="AR485" s="762"/>
      <c r="AS485" s="762"/>
      <c r="AT485" s="762"/>
      <c r="AU485" s="762"/>
      <c r="AV485" s="762"/>
      <c r="AW485" s="50"/>
      <c r="AX485" s="50"/>
      <c r="AY485" s="50"/>
      <c r="AZ485" s="50"/>
      <c r="BA485" s="50"/>
      <c r="BB485" s="50"/>
      <c r="BC485" s="50"/>
      <c r="BD485" s="50"/>
      <c r="BE485" s="50"/>
      <c r="BF485" s="50"/>
      <c r="BG485" s="50"/>
      <c r="BH485" s="50"/>
    </row>
    <row r="486" spans="3:60" s="49" customFormat="1">
      <c r="C486" s="762"/>
      <c r="D486" s="762"/>
      <c r="E486" s="762"/>
      <c r="F486" s="762"/>
      <c r="G486" s="762"/>
      <c r="H486" s="762"/>
      <c r="I486" s="925"/>
      <c r="J486" s="762"/>
      <c r="K486" s="762"/>
      <c r="L486" s="762"/>
      <c r="M486" s="762"/>
      <c r="N486" s="762"/>
      <c r="O486" s="762"/>
      <c r="P486" s="762"/>
      <c r="Q486" s="925"/>
      <c r="R486" s="762"/>
      <c r="S486" s="762"/>
      <c r="T486" s="762"/>
      <c r="U486" s="762"/>
      <c r="V486" s="762"/>
      <c r="W486" s="762"/>
      <c r="X486" s="762"/>
      <c r="Y486" s="925"/>
      <c r="Z486" s="762"/>
      <c r="AA486" s="762"/>
      <c r="AB486" s="762"/>
      <c r="AC486" s="762"/>
      <c r="AD486" s="762"/>
      <c r="AE486" s="762"/>
      <c r="AF486" s="762"/>
      <c r="AG486" s="925"/>
      <c r="AH486" s="762"/>
      <c r="AI486" s="762"/>
      <c r="AJ486" s="762"/>
      <c r="AK486" s="762"/>
      <c r="AL486" s="762"/>
      <c r="AM486" s="762"/>
      <c r="AN486" s="762"/>
      <c r="AO486" s="925"/>
      <c r="AP486" s="762"/>
      <c r="AQ486" s="762"/>
      <c r="AR486" s="762"/>
      <c r="AS486" s="762"/>
      <c r="AT486" s="762"/>
      <c r="AU486" s="762"/>
      <c r="AV486" s="762"/>
      <c r="AW486" s="50"/>
      <c r="AX486" s="50"/>
      <c r="AY486" s="50"/>
      <c r="AZ486" s="50"/>
      <c r="BA486" s="50"/>
      <c r="BB486" s="50"/>
      <c r="BC486" s="50"/>
      <c r="BD486" s="50"/>
      <c r="BE486" s="50"/>
      <c r="BF486" s="50"/>
      <c r="BG486" s="50"/>
      <c r="BH486" s="50"/>
    </row>
    <row r="487" spans="3:60" s="49" customFormat="1">
      <c r="C487" s="762"/>
      <c r="D487" s="762"/>
      <c r="E487" s="762"/>
      <c r="F487" s="762"/>
      <c r="G487" s="762"/>
      <c r="H487" s="762"/>
      <c r="I487" s="925"/>
      <c r="J487" s="762"/>
      <c r="K487" s="762"/>
      <c r="L487" s="762"/>
      <c r="M487" s="762"/>
      <c r="N487" s="762"/>
      <c r="O487" s="762"/>
      <c r="P487" s="762"/>
      <c r="Q487" s="925"/>
      <c r="R487" s="762"/>
      <c r="S487" s="762"/>
      <c r="T487" s="762"/>
      <c r="U487" s="762"/>
      <c r="V487" s="762"/>
      <c r="W487" s="762"/>
      <c r="X487" s="762"/>
      <c r="Y487" s="925"/>
      <c r="Z487" s="762"/>
      <c r="AA487" s="762"/>
      <c r="AB487" s="762"/>
      <c r="AC487" s="762"/>
      <c r="AD487" s="762"/>
      <c r="AE487" s="762"/>
      <c r="AF487" s="762"/>
      <c r="AG487" s="925"/>
      <c r="AH487" s="762"/>
      <c r="AI487" s="762"/>
      <c r="AJ487" s="762"/>
      <c r="AK487" s="762"/>
      <c r="AL487" s="762"/>
      <c r="AM487" s="762"/>
      <c r="AN487" s="762"/>
      <c r="AO487" s="925"/>
      <c r="AP487" s="762"/>
      <c r="AQ487" s="762"/>
      <c r="AR487" s="762"/>
      <c r="AS487" s="762"/>
      <c r="AT487" s="762"/>
      <c r="AU487" s="762"/>
      <c r="AV487" s="762"/>
      <c r="AW487" s="50"/>
      <c r="AX487" s="50"/>
      <c r="AY487" s="50"/>
      <c r="AZ487" s="50"/>
      <c r="BA487" s="50"/>
      <c r="BB487" s="50"/>
      <c r="BC487" s="50"/>
      <c r="BD487" s="50"/>
      <c r="BE487" s="50"/>
      <c r="BF487" s="50"/>
      <c r="BG487" s="50"/>
      <c r="BH487" s="50"/>
    </row>
    <row r="488" spans="3:60" s="49" customFormat="1">
      <c r="C488" s="762"/>
      <c r="D488" s="762"/>
      <c r="E488" s="762"/>
      <c r="F488" s="762"/>
      <c r="G488" s="762"/>
      <c r="H488" s="762"/>
      <c r="I488" s="925"/>
      <c r="J488" s="762"/>
      <c r="K488" s="762"/>
      <c r="L488" s="762"/>
      <c r="M488" s="762"/>
      <c r="N488" s="762"/>
      <c r="O488" s="762"/>
      <c r="P488" s="762"/>
      <c r="Q488" s="925"/>
      <c r="R488" s="762"/>
      <c r="S488" s="762"/>
      <c r="T488" s="762"/>
      <c r="U488" s="762"/>
      <c r="V488" s="762"/>
      <c r="W488" s="762"/>
      <c r="X488" s="762"/>
      <c r="Y488" s="925"/>
      <c r="Z488" s="762"/>
      <c r="AA488" s="762"/>
      <c r="AB488" s="762"/>
      <c r="AC488" s="762"/>
      <c r="AD488" s="762"/>
      <c r="AE488" s="762"/>
      <c r="AF488" s="762"/>
      <c r="AG488" s="925"/>
      <c r="AH488" s="762"/>
      <c r="AI488" s="762"/>
      <c r="AJ488" s="762"/>
      <c r="AK488" s="762"/>
      <c r="AL488" s="762"/>
      <c r="AM488" s="762"/>
      <c r="AN488" s="762"/>
      <c r="AO488" s="925"/>
      <c r="AP488" s="762"/>
      <c r="AQ488" s="762"/>
      <c r="AR488" s="762"/>
      <c r="AS488" s="762"/>
      <c r="AT488" s="762"/>
      <c r="AU488" s="762"/>
      <c r="AV488" s="762"/>
      <c r="AW488" s="50"/>
      <c r="AX488" s="50"/>
      <c r="AY488" s="50"/>
      <c r="AZ488" s="50"/>
      <c r="BA488" s="50"/>
      <c r="BB488" s="50"/>
      <c r="BC488" s="50"/>
      <c r="BD488" s="50"/>
      <c r="BE488" s="50"/>
      <c r="BF488" s="50"/>
      <c r="BG488" s="50"/>
      <c r="BH488" s="50"/>
    </row>
    <row r="489" spans="3:60" s="49" customFormat="1">
      <c r="C489" s="762"/>
      <c r="D489" s="762"/>
      <c r="E489" s="762"/>
      <c r="F489" s="762"/>
      <c r="G489" s="762"/>
      <c r="H489" s="762"/>
      <c r="I489" s="925"/>
      <c r="J489" s="762"/>
      <c r="K489" s="762"/>
      <c r="L489" s="762"/>
      <c r="M489" s="762"/>
      <c r="N489" s="762"/>
      <c r="O489" s="762"/>
      <c r="P489" s="762"/>
      <c r="Q489" s="925"/>
      <c r="R489" s="762"/>
      <c r="S489" s="762"/>
      <c r="T489" s="762"/>
      <c r="U489" s="762"/>
      <c r="V489" s="762"/>
      <c r="W489" s="762"/>
      <c r="X489" s="762"/>
      <c r="Y489" s="925"/>
      <c r="Z489" s="762"/>
      <c r="AA489" s="762"/>
      <c r="AB489" s="762"/>
      <c r="AC489" s="762"/>
      <c r="AD489" s="762"/>
      <c r="AE489" s="762"/>
      <c r="AF489" s="762"/>
      <c r="AG489" s="925"/>
      <c r="AH489" s="762"/>
      <c r="AI489" s="762"/>
      <c r="AJ489" s="762"/>
      <c r="AK489" s="762"/>
      <c r="AL489" s="762"/>
      <c r="AM489" s="762"/>
      <c r="AN489" s="762"/>
      <c r="AO489" s="925"/>
      <c r="AP489" s="762"/>
      <c r="AQ489" s="762"/>
      <c r="AR489" s="762"/>
      <c r="AS489" s="762"/>
      <c r="AT489" s="762"/>
      <c r="AU489" s="762"/>
      <c r="AV489" s="762"/>
      <c r="AW489" s="50"/>
      <c r="AX489" s="50"/>
      <c r="AY489" s="50"/>
      <c r="AZ489" s="50"/>
      <c r="BA489" s="50"/>
      <c r="BB489" s="50"/>
      <c r="BC489" s="50"/>
      <c r="BD489" s="50"/>
      <c r="BE489" s="50"/>
      <c r="BF489" s="50"/>
      <c r="BG489" s="50"/>
      <c r="BH489" s="50"/>
    </row>
    <row r="490" spans="3:60" s="49" customFormat="1">
      <c r="C490" s="762"/>
      <c r="D490" s="762"/>
      <c r="E490" s="762"/>
      <c r="F490" s="762"/>
      <c r="G490" s="762"/>
      <c r="H490" s="762"/>
      <c r="I490" s="925"/>
      <c r="J490" s="762"/>
      <c r="K490" s="762"/>
      <c r="L490" s="762"/>
      <c r="M490" s="762"/>
      <c r="N490" s="762"/>
      <c r="O490" s="762"/>
      <c r="P490" s="762"/>
      <c r="Q490" s="925"/>
      <c r="R490" s="762"/>
      <c r="S490" s="762"/>
      <c r="T490" s="762"/>
      <c r="U490" s="762"/>
      <c r="V490" s="762"/>
      <c r="W490" s="762"/>
      <c r="X490" s="762"/>
      <c r="Y490" s="925"/>
      <c r="Z490" s="762"/>
      <c r="AA490" s="762"/>
      <c r="AB490" s="762"/>
      <c r="AC490" s="762"/>
      <c r="AD490" s="762"/>
      <c r="AE490" s="762"/>
      <c r="AF490" s="762"/>
      <c r="AG490" s="925"/>
      <c r="AH490" s="762"/>
      <c r="AI490" s="762"/>
      <c r="AJ490" s="762"/>
      <c r="AK490" s="762"/>
      <c r="AL490" s="762"/>
      <c r="AM490" s="762"/>
      <c r="AN490" s="762"/>
      <c r="AO490" s="925"/>
      <c r="AP490" s="762"/>
      <c r="AQ490" s="762"/>
      <c r="AR490" s="762"/>
      <c r="AS490" s="762"/>
      <c r="AT490" s="762"/>
      <c r="AU490" s="762"/>
      <c r="AV490" s="762"/>
      <c r="AW490" s="50"/>
      <c r="AX490" s="50"/>
      <c r="AY490" s="50"/>
      <c r="AZ490" s="50"/>
      <c r="BA490" s="50"/>
      <c r="BB490" s="50"/>
      <c r="BC490" s="50"/>
      <c r="BD490" s="50"/>
      <c r="BE490" s="50"/>
      <c r="BF490" s="50"/>
      <c r="BG490" s="50"/>
      <c r="BH490" s="50"/>
    </row>
    <row r="491" spans="3:60" s="49" customFormat="1">
      <c r="C491" s="762"/>
      <c r="D491" s="762"/>
      <c r="E491" s="762"/>
      <c r="F491" s="762"/>
      <c r="G491" s="762"/>
      <c r="H491" s="762"/>
      <c r="I491" s="925"/>
      <c r="J491" s="762"/>
      <c r="K491" s="762"/>
      <c r="L491" s="762"/>
      <c r="M491" s="762"/>
      <c r="N491" s="762"/>
      <c r="O491" s="762"/>
      <c r="P491" s="762"/>
      <c r="Q491" s="925"/>
      <c r="R491" s="762"/>
      <c r="S491" s="762"/>
      <c r="T491" s="762"/>
      <c r="U491" s="762"/>
      <c r="V491" s="762"/>
      <c r="W491" s="762"/>
      <c r="X491" s="762"/>
      <c r="Y491" s="925"/>
      <c r="Z491" s="762"/>
      <c r="AA491" s="762"/>
      <c r="AB491" s="762"/>
      <c r="AC491" s="762"/>
      <c r="AD491" s="762"/>
      <c r="AE491" s="762"/>
      <c r="AF491" s="762"/>
      <c r="AG491" s="925"/>
      <c r="AH491" s="762"/>
      <c r="AI491" s="762"/>
      <c r="AJ491" s="762"/>
      <c r="AK491" s="762"/>
      <c r="AL491" s="762"/>
      <c r="AM491" s="762"/>
      <c r="AN491" s="762"/>
      <c r="AO491" s="925"/>
      <c r="AP491" s="762"/>
      <c r="AQ491" s="762"/>
      <c r="AR491" s="762"/>
      <c r="AS491" s="762"/>
      <c r="AT491" s="762"/>
      <c r="AU491" s="762"/>
      <c r="AV491" s="762"/>
      <c r="AW491" s="50"/>
      <c r="AX491" s="50"/>
      <c r="AY491" s="50"/>
      <c r="AZ491" s="50"/>
      <c r="BA491" s="50"/>
      <c r="BB491" s="50"/>
      <c r="BC491" s="50"/>
      <c r="BD491" s="50"/>
      <c r="BE491" s="50"/>
      <c r="BF491" s="50"/>
      <c r="BG491" s="50"/>
      <c r="BH491" s="50"/>
    </row>
    <row r="492" spans="3:60" s="49" customFormat="1">
      <c r="C492" s="762"/>
      <c r="D492" s="762"/>
      <c r="E492" s="762"/>
      <c r="F492" s="762"/>
      <c r="G492" s="762"/>
      <c r="H492" s="762"/>
      <c r="I492" s="925"/>
      <c r="J492" s="762"/>
      <c r="K492" s="762"/>
      <c r="L492" s="762"/>
      <c r="M492" s="762"/>
      <c r="N492" s="762"/>
      <c r="O492" s="762"/>
      <c r="P492" s="762"/>
      <c r="Q492" s="925"/>
      <c r="R492" s="762"/>
      <c r="S492" s="762"/>
      <c r="T492" s="762"/>
      <c r="U492" s="762"/>
      <c r="V492" s="762"/>
      <c r="W492" s="762"/>
      <c r="X492" s="762"/>
      <c r="Y492" s="925"/>
      <c r="Z492" s="762"/>
      <c r="AA492" s="762"/>
      <c r="AB492" s="762"/>
      <c r="AC492" s="762"/>
      <c r="AD492" s="762"/>
      <c r="AE492" s="762"/>
      <c r="AF492" s="762"/>
      <c r="AG492" s="925"/>
      <c r="AH492" s="762"/>
      <c r="AI492" s="762"/>
      <c r="AJ492" s="762"/>
      <c r="AK492" s="762"/>
      <c r="AL492" s="762"/>
      <c r="AM492" s="762"/>
      <c r="AN492" s="762"/>
      <c r="AO492" s="925"/>
      <c r="AP492" s="762"/>
      <c r="AQ492" s="762"/>
      <c r="AR492" s="762"/>
      <c r="AS492" s="762"/>
      <c r="AT492" s="762"/>
      <c r="AU492" s="762"/>
      <c r="AV492" s="762"/>
      <c r="AW492" s="50"/>
      <c r="AX492" s="50"/>
      <c r="AY492" s="50"/>
      <c r="AZ492" s="50"/>
      <c r="BA492" s="50"/>
      <c r="BB492" s="50"/>
      <c r="BC492" s="50"/>
      <c r="BD492" s="50"/>
      <c r="BE492" s="50"/>
      <c r="BF492" s="50"/>
      <c r="BG492" s="50"/>
      <c r="BH492" s="50"/>
    </row>
    <row r="493" spans="3:60" s="49" customFormat="1">
      <c r="C493" s="762"/>
      <c r="D493" s="762"/>
      <c r="E493" s="762"/>
      <c r="F493" s="762"/>
      <c r="G493" s="762"/>
      <c r="H493" s="762"/>
      <c r="I493" s="925"/>
      <c r="J493" s="762"/>
      <c r="K493" s="762"/>
      <c r="L493" s="762"/>
      <c r="M493" s="762"/>
      <c r="N493" s="762"/>
      <c r="O493" s="762"/>
      <c r="P493" s="762"/>
      <c r="Q493" s="925"/>
      <c r="R493" s="762"/>
      <c r="S493" s="762"/>
      <c r="T493" s="762"/>
      <c r="U493" s="762"/>
      <c r="V493" s="762"/>
      <c r="W493" s="762"/>
      <c r="X493" s="762"/>
      <c r="Y493" s="925"/>
      <c r="Z493" s="762"/>
      <c r="AA493" s="762"/>
      <c r="AB493" s="762"/>
      <c r="AC493" s="762"/>
      <c r="AD493" s="762"/>
      <c r="AE493" s="762"/>
      <c r="AF493" s="762"/>
      <c r="AG493" s="925"/>
      <c r="AH493" s="762"/>
      <c r="AI493" s="762"/>
      <c r="AJ493" s="762"/>
      <c r="AK493" s="762"/>
      <c r="AL493" s="762"/>
      <c r="AM493" s="762"/>
      <c r="AN493" s="762"/>
      <c r="AO493" s="925"/>
      <c r="AP493" s="762"/>
      <c r="AQ493" s="762"/>
      <c r="AR493" s="762"/>
      <c r="AS493" s="762"/>
      <c r="AT493" s="762"/>
      <c r="AU493" s="762"/>
      <c r="AV493" s="762"/>
      <c r="AW493" s="50"/>
      <c r="AX493" s="50"/>
      <c r="AY493" s="50"/>
      <c r="AZ493" s="50"/>
      <c r="BA493" s="50"/>
      <c r="BB493" s="50"/>
      <c r="BC493" s="50"/>
      <c r="BD493" s="50"/>
      <c r="BE493" s="50"/>
      <c r="BF493" s="50"/>
      <c r="BG493" s="50"/>
      <c r="BH493" s="50"/>
    </row>
    <row r="494" spans="3:60" s="49" customFormat="1">
      <c r="C494" s="762"/>
      <c r="D494" s="762"/>
      <c r="E494" s="762"/>
      <c r="F494" s="762"/>
      <c r="G494" s="762"/>
      <c r="H494" s="762"/>
      <c r="I494" s="925"/>
      <c r="J494" s="762"/>
      <c r="K494" s="762"/>
      <c r="L494" s="762"/>
      <c r="M494" s="762"/>
      <c r="N494" s="762"/>
      <c r="O494" s="762"/>
      <c r="P494" s="762"/>
      <c r="Q494" s="925"/>
      <c r="R494" s="762"/>
      <c r="S494" s="762"/>
      <c r="T494" s="762"/>
      <c r="U494" s="762"/>
      <c r="V494" s="762"/>
      <c r="W494" s="762"/>
      <c r="X494" s="762"/>
      <c r="Y494" s="925"/>
      <c r="Z494" s="762"/>
      <c r="AA494" s="762"/>
      <c r="AB494" s="762"/>
      <c r="AC494" s="762"/>
      <c r="AD494" s="762"/>
      <c r="AE494" s="762"/>
      <c r="AF494" s="762"/>
      <c r="AG494" s="925"/>
      <c r="AH494" s="762"/>
      <c r="AI494" s="762"/>
      <c r="AJ494" s="762"/>
      <c r="AK494" s="762"/>
      <c r="AL494" s="762"/>
      <c r="AM494" s="762"/>
      <c r="AN494" s="762"/>
      <c r="AO494" s="925"/>
      <c r="AP494" s="762"/>
      <c r="AQ494" s="762"/>
      <c r="AR494" s="762"/>
      <c r="AS494" s="762"/>
      <c r="AT494" s="762"/>
      <c r="AU494" s="762"/>
      <c r="AV494" s="762"/>
      <c r="AW494" s="50"/>
      <c r="AX494" s="50"/>
      <c r="AY494" s="50"/>
      <c r="AZ494" s="50"/>
      <c r="BA494" s="50"/>
      <c r="BB494" s="50"/>
      <c r="BC494" s="50"/>
      <c r="BD494" s="50"/>
      <c r="BE494" s="50"/>
      <c r="BF494" s="50"/>
      <c r="BG494" s="50"/>
      <c r="BH494" s="50"/>
    </row>
    <row r="495" spans="3:60" s="49" customFormat="1">
      <c r="C495" s="762"/>
      <c r="D495" s="762"/>
      <c r="E495" s="762"/>
      <c r="F495" s="762"/>
      <c r="G495" s="762"/>
      <c r="H495" s="762"/>
      <c r="I495" s="925"/>
      <c r="J495" s="762"/>
      <c r="K495" s="762"/>
      <c r="L495" s="762"/>
      <c r="M495" s="762"/>
      <c r="N495" s="762"/>
      <c r="O495" s="762"/>
      <c r="P495" s="762"/>
      <c r="Q495" s="925"/>
      <c r="R495" s="762"/>
      <c r="S495" s="762"/>
      <c r="T495" s="762"/>
      <c r="U495" s="762"/>
      <c r="V495" s="762"/>
      <c r="W495" s="762"/>
      <c r="X495" s="762"/>
      <c r="Y495" s="925"/>
      <c r="Z495" s="762"/>
      <c r="AA495" s="762"/>
      <c r="AB495" s="762"/>
      <c r="AC495" s="762"/>
      <c r="AD495" s="762"/>
      <c r="AE495" s="762"/>
      <c r="AF495" s="762"/>
      <c r="AG495" s="925"/>
      <c r="AH495" s="762"/>
      <c r="AI495" s="762"/>
      <c r="AJ495" s="762"/>
      <c r="AK495" s="762"/>
      <c r="AL495" s="762"/>
      <c r="AM495" s="762"/>
      <c r="AN495" s="762"/>
      <c r="AO495" s="925"/>
      <c r="AP495" s="762"/>
      <c r="AQ495" s="762"/>
      <c r="AR495" s="762"/>
      <c r="AS495" s="762"/>
      <c r="AT495" s="762"/>
      <c r="AU495" s="762"/>
      <c r="AV495" s="762"/>
      <c r="AW495" s="50"/>
      <c r="AX495" s="50"/>
      <c r="AY495" s="50"/>
      <c r="AZ495" s="50"/>
      <c r="BA495" s="50"/>
      <c r="BB495" s="50"/>
      <c r="BC495" s="50"/>
      <c r="BD495" s="50"/>
      <c r="BE495" s="50"/>
      <c r="BF495" s="50"/>
      <c r="BG495" s="50"/>
      <c r="BH495" s="50"/>
    </row>
    <row r="496" spans="3:60" s="49" customFormat="1">
      <c r="C496" s="762"/>
      <c r="D496" s="762"/>
      <c r="E496" s="762"/>
      <c r="F496" s="762"/>
      <c r="G496" s="762"/>
      <c r="H496" s="762"/>
      <c r="I496" s="925"/>
      <c r="J496" s="762"/>
      <c r="K496" s="762"/>
      <c r="L496" s="762"/>
      <c r="M496" s="762"/>
      <c r="N496" s="762"/>
      <c r="O496" s="762"/>
      <c r="P496" s="762"/>
      <c r="Q496" s="925"/>
      <c r="R496" s="762"/>
      <c r="S496" s="762"/>
      <c r="T496" s="762"/>
      <c r="U496" s="762"/>
      <c r="V496" s="762"/>
      <c r="W496" s="762"/>
      <c r="X496" s="762"/>
      <c r="Y496" s="925"/>
      <c r="Z496" s="762"/>
      <c r="AA496" s="762"/>
      <c r="AB496" s="762"/>
      <c r="AC496" s="762"/>
      <c r="AD496" s="762"/>
      <c r="AE496" s="762"/>
      <c r="AF496" s="762"/>
      <c r="AG496" s="925"/>
      <c r="AH496" s="762"/>
      <c r="AI496" s="762"/>
      <c r="AJ496" s="762"/>
      <c r="AK496" s="762"/>
      <c r="AL496" s="762"/>
      <c r="AM496" s="762"/>
      <c r="AN496" s="762"/>
      <c r="AO496" s="925"/>
      <c r="AP496" s="762"/>
      <c r="AQ496" s="762"/>
      <c r="AR496" s="762"/>
      <c r="AS496" s="762"/>
      <c r="AT496" s="762"/>
      <c r="AU496" s="762"/>
      <c r="AV496" s="762"/>
      <c r="AW496" s="50"/>
      <c r="AX496" s="50"/>
      <c r="AY496" s="50"/>
      <c r="AZ496" s="50"/>
      <c r="BA496" s="50"/>
      <c r="BB496" s="50"/>
      <c r="BC496" s="50"/>
      <c r="BD496" s="50"/>
      <c r="BE496" s="50"/>
      <c r="BF496" s="50"/>
      <c r="BG496" s="50"/>
      <c r="BH496" s="50"/>
    </row>
    <row r="497" spans="3:60" s="49" customFormat="1">
      <c r="C497" s="762"/>
      <c r="D497" s="762"/>
      <c r="E497" s="762"/>
      <c r="F497" s="762"/>
      <c r="G497" s="762"/>
      <c r="H497" s="762"/>
      <c r="I497" s="925"/>
      <c r="J497" s="762"/>
      <c r="K497" s="762"/>
      <c r="L497" s="762"/>
      <c r="M497" s="762"/>
      <c r="N497" s="762"/>
      <c r="O497" s="762"/>
      <c r="P497" s="762"/>
      <c r="Q497" s="925"/>
      <c r="R497" s="762"/>
      <c r="S497" s="762"/>
      <c r="T497" s="762"/>
      <c r="U497" s="762"/>
      <c r="V497" s="762"/>
      <c r="W497" s="762"/>
      <c r="X497" s="762"/>
      <c r="Y497" s="925"/>
      <c r="Z497" s="762"/>
      <c r="AA497" s="762"/>
      <c r="AB497" s="762"/>
      <c r="AC497" s="762"/>
      <c r="AD497" s="762"/>
      <c r="AE497" s="762"/>
      <c r="AF497" s="762"/>
      <c r="AG497" s="925"/>
      <c r="AH497" s="762"/>
      <c r="AI497" s="762"/>
      <c r="AJ497" s="762"/>
      <c r="AK497" s="762"/>
      <c r="AL497" s="762"/>
      <c r="AM497" s="762"/>
      <c r="AN497" s="762"/>
      <c r="AO497" s="925"/>
      <c r="AP497" s="762"/>
      <c r="AQ497" s="762"/>
      <c r="AR497" s="762"/>
      <c r="AS497" s="762"/>
      <c r="AT497" s="762"/>
      <c r="AU497" s="762"/>
      <c r="AV497" s="762"/>
      <c r="AW497" s="50"/>
      <c r="AX497" s="50"/>
      <c r="AY497" s="50"/>
      <c r="AZ497" s="50"/>
      <c r="BA497" s="50"/>
      <c r="BB497" s="50"/>
      <c r="BC497" s="50"/>
      <c r="BD497" s="50"/>
      <c r="BE497" s="50"/>
      <c r="BF497" s="50"/>
      <c r="BG497" s="50"/>
      <c r="BH497" s="50"/>
    </row>
    <row r="498" spans="3:60" s="49" customFormat="1">
      <c r="C498" s="762"/>
      <c r="D498" s="762"/>
      <c r="E498" s="762"/>
      <c r="F498" s="762"/>
      <c r="G498" s="762"/>
      <c r="H498" s="762"/>
      <c r="I498" s="925"/>
      <c r="J498" s="762"/>
      <c r="K498" s="762"/>
      <c r="L498" s="762"/>
      <c r="M498" s="762"/>
      <c r="N498" s="762"/>
      <c r="O498" s="762"/>
      <c r="P498" s="762"/>
      <c r="Q498" s="925"/>
      <c r="R498" s="762"/>
      <c r="S498" s="762"/>
      <c r="T498" s="762"/>
      <c r="U498" s="762"/>
      <c r="V498" s="762"/>
      <c r="W498" s="762"/>
      <c r="X498" s="762"/>
      <c r="Y498" s="925"/>
      <c r="Z498" s="762"/>
      <c r="AA498" s="762"/>
      <c r="AB498" s="762"/>
      <c r="AC498" s="762"/>
      <c r="AD498" s="762"/>
      <c r="AE498" s="762"/>
      <c r="AF498" s="762"/>
      <c r="AG498" s="925"/>
      <c r="AH498" s="762"/>
      <c r="AI498" s="762"/>
      <c r="AJ498" s="762"/>
      <c r="AK498" s="762"/>
      <c r="AL498" s="762"/>
      <c r="AM498" s="762"/>
      <c r="AN498" s="762"/>
      <c r="AO498" s="925"/>
      <c r="AP498" s="762"/>
      <c r="AQ498" s="762"/>
      <c r="AR498" s="762"/>
      <c r="AS498" s="762"/>
      <c r="AT498" s="762"/>
      <c r="AU498" s="762"/>
      <c r="AV498" s="762"/>
      <c r="AW498" s="50"/>
      <c r="AX498" s="50"/>
      <c r="AY498" s="50"/>
      <c r="AZ498" s="50"/>
      <c r="BA498" s="50"/>
      <c r="BB498" s="50"/>
      <c r="BC498" s="50"/>
      <c r="BD498" s="50"/>
      <c r="BE498" s="50"/>
      <c r="BF498" s="50"/>
      <c r="BG498" s="50"/>
      <c r="BH498" s="50"/>
    </row>
    <row r="499" spans="3:60" s="49" customFormat="1">
      <c r="C499" s="762"/>
      <c r="D499" s="762"/>
      <c r="E499" s="762"/>
      <c r="F499" s="762"/>
      <c r="G499" s="762"/>
      <c r="H499" s="762"/>
      <c r="I499" s="925"/>
      <c r="J499" s="762"/>
      <c r="K499" s="762"/>
      <c r="L499" s="762"/>
      <c r="M499" s="762"/>
      <c r="N499" s="762"/>
      <c r="O499" s="762"/>
      <c r="P499" s="762"/>
      <c r="Q499" s="925"/>
      <c r="R499" s="762"/>
      <c r="S499" s="762"/>
      <c r="T499" s="762"/>
      <c r="U499" s="762"/>
      <c r="V499" s="762"/>
      <c r="W499" s="762"/>
      <c r="X499" s="762"/>
      <c r="Y499" s="925"/>
      <c r="Z499" s="762"/>
      <c r="AA499" s="762"/>
      <c r="AB499" s="762"/>
      <c r="AC499" s="762"/>
      <c r="AD499" s="762"/>
      <c r="AE499" s="762"/>
      <c r="AF499" s="762"/>
      <c r="AG499" s="925"/>
      <c r="AH499" s="762"/>
      <c r="AI499" s="762"/>
      <c r="AJ499" s="762"/>
      <c r="AK499" s="762"/>
      <c r="AL499" s="762"/>
      <c r="AM499" s="762"/>
      <c r="AN499" s="762"/>
      <c r="AO499" s="925"/>
      <c r="AP499" s="762"/>
      <c r="AQ499" s="762"/>
      <c r="AR499" s="762"/>
      <c r="AS499" s="762"/>
      <c r="AT499" s="762"/>
      <c r="AU499" s="762"/>
      <c r="AV499" s="762"/>
      <c r="AW499" s="50"/>
      <c r="AX499" s="50"/>
      <c r="AY499" s="50"/>
      <c r="AZ499" s="50"/>
      <c r="BA499" s="50"/>
      <c r="BB499" s="50"/>
      <c r="BC499" s="50"/>
      <c r="BD499" s="50"/>
      <c r="BE499" s="50"/>
      <c r="BF499" s="50"/>
      <c r="BG499" s="50"/>
      <c r="BH499" s="50"/>
    </row>
    <row r="500" spans="3:60" s="49" customFormat="1">
      <c r="C500" s="762"/>
      <c r="D500" s="762"/>
      <c r="E500" s="762"/>
      <c r="F500" s="762"/>
      <c r="G500" s="762"/>
      <c r="H500" s="762"/>
      <c r="I500" s="925"/>
      <c r="J500" s="762"/>
      <c r="K500" s="762"/>
      <c r="L500" s="762"/>
      <c r="M500" s="762"/>
      <c r="N500" s="762"/>
      <c r="O500" s="762"/>
      <c r="P500" s="762"/>
      <c r="Q500" s="925"/>
      <c r="R500" s="762"/>
      <c r="S500" s="762"/>
      <c r="T500" s="762"/>
      <c r="U500" s="762"/>
      <c r="V500" s="762"/>
      <c r="W500" s="762"/>
      <c r="X500" s="762"/>
      <c r="Y500" s="925"/>
      <c r="Z500" s="762"/>
      <c r="AA500" s="762"/>
      <c r="AB500" s="762"/>
      <c r="AC500" s="762"/>
      <c r="AD500" s="762"/>
      <c r="AE500" s="762"/>
      <c r="AF500" s="762"/>
      <c r="AG500" s="925"/>
      <c r="AH500" s="762"/>
      <c r="AI500" s="762"/>
      <c r="AJ500" s="762"/>
      <c r="AK500" s="762"/>
      <c r="AL500" s="762"/>
      <c r="AM500" s="762"/>
      <c r="AN500" s="762"/>
      <c r="AO500" s="925"/>
      <c r="AP500" s="762"/>
      <c r="AQ500" s="762"/>
      <c r="AR500" s="762"/>
      <c r="AS500" s="762"/>
      <c r="AT500" s="762"/>
      <c r="AU500" s="762"/>
      <c r="AV500" s="762"/>
      <c r="AW500" s="50"/>
      <c r="AX500" s="50"/>
      <c r="AY500" s="50"/>
      <c r="AZ500" s="50"/>
      <c r="BA500" s="50"/>
      <c r="BB500" s="50"/>
      <c r="BC500" s="50"/>
      <c r="BD500" s="50"/>
      <c r="BE500" s="50"/>
      <c r="BF500" s="50"/>
      <c r="BG500" s="50"/>
      <c r="BH500" s="50"/>
    </row>
    <row r="501" spans="3:60" s="49" customFormat="1">
      <c r="C501" s="762"/>
      <c r="D501" s="762"/>
      <c r="E501" s="762"/>
      <c r="F501" s="762"/>
      <c r="G501" s="762"/>
      <c r="H501" s="762"/>
      <c r="I501" s="925"/>
      <c r="J501" s="762"/>
      <c r="K501" s="762"/>
      <c r="L501" s="762"/>
      <c r="M501" s="762"/>
      <c r="N501" s="762"/>
      <c r="O501" s="762"/>
      <c r="P501" s="762"/>
      <c r="Q501" s="925"/>
      <c r="R501" s="762"/>
      <c r="S501" s="762"/>
      <c r="T501" s="762"/>
      <c r="U501" s="762"/>
      <c r="V501" s="762"/>
      <c r="W501" s="762"/>
      <c r="X501" s="762"/>
      <c r="Y501" s="925"/>
      <c r="Z501" s="762"/>
      <c r="AA501" s="762"/>
      <c r="AB501" s="762"/>
      <c r="AC501" s="762"/>
      <c r="AD501" s="762"/>
      <c r="AE501" s="762"/>
      <c r="AF501" s="762"/>
      <c r="AG501" s="925"/>
      <c r="AH501" s="762"/>
      <c r="AI501" s="762"/>
      <c r="AJ501" s="762"/>
      <c r="AK501" s="762"/>
      <c r="AL501" s="762"/>
      <c r="AM501" s="762"/>
      <c r="AN501" s="762"/>
      <c r="AO501" s="925"/>
      <c r="AP501" s="762"/>
      <c r="AQ501" s="762"/>
      <c r="AR501" s="762"/>
      <c r="AS501" s="762"/>
      <c r="AT501" s="762"/>
      <c r="AU501" s="762"/>
      <c r="AV501" s="762"/>
      <c r="AW501" s="50"/>
      <c r="AX501" s="50"/>
      <c r="AY501" s="50"/>
      <c r="AZ501" s="50"/>
      <c r="BA501" s="50"/>
      <c r="BB501" s="50"/>
      <c r="BC501" s="50"/>
      <c r="BD501" s="50"/>
      <c r="BE501" s="50"/>
      <c r="BF501" s="50"/>
      <c r="BG501" s="50"/>
      <c r="BH501" s="50"/>
    </row>
  </sheetData>
  <sheetProtection password="EB75" sheet="1" objects="1" scenarios="1" formatCells="0" formatColumns="0" formatRows="0"/>
  <mergeCells count="21">
    <mergeCell ref="B8:B10"/>
    <mergeCell ref="A3:Z3"/>
    <mergeCell ref="A2:Z2"/>
    <mergeCell ref="A4:Z4"/>
    <mergeCell ref="A5:Z5"/>
    <mergeCell ref="AW8:BB9"/>
    <mergeCell ref="BC8:BH9"/>
    <mergeCell ref="B127:B128"/>
    <mergeCell ref="A88:B88"/>
    <mergeCell ref="C97:H97"/>
    <mergeCell ref="K97:P97"/>
    <mergeCell ref="S97:X97"/>
    <mergeCell ref="B97:B98"/>
    <mergeCell ref="AQ8:AV9"/>
    <mergeCell ref="C8:AP8"/>
    <mergeCell ref="C9:J9"/>
    <mergeCell ref="K9:R9"/>
    <mergeCell ref="S9:Z9"/>
    <mergeCell ref="AA9:AH9"/>
    <mergeCell ref="AI9:AP9"/>
    <mergeCell ref="A8:A10"/>
  </mergeCells>
  <conditionalFormatting sqref="AH73:AH92 AH95 AH11:AH71">
    <cfRule type="cellIs" dxfId="32" priority="33" operator="lessThan">
      <formula>0</formula>
    </cfRule>
    <cfRule type="cellIs" dxfId="31" priority="34" operator="greaterThan">
      <formula>0.1</formula>
    </cfRule>
  </conditionalFormatting>
  <conditionalFormatting sqref="AP73:AP92 AP95 AP11:AP71">
    <cfRule type="cellIs" dxfId="30" priority="31" operator="lessThan">
      <formula>0</formula>
    </cfRule>
    <cfRule type="cellIs" dxfId="29" priority="32" operator="greaterThan">
      <formula>0.1</formula>
    </cfRule>
  </conditionalFormatting>
  <conditionalFormatting sqref="J11:J95">
    <cfRule type="cellIs" dxfId="28" priority="39" operator="lessThan">
      <formula>0</formula>
    </cfRule>
    <cfRule type="cellIs" dxfId="27" priority="40" operator="greaterThan">
      <formula>0.1</formula>
    </cfRule>
  </conditionalFormatting>
  <conditionalFormatting sqref="R11:R30 R32:R95">
    <cfRule type="cellIs" dxfId="26" priority="37" operator="lessThan">
      <formula>0</formula>
    </cfRule>
    <cfRule type="cellIs" dxfId="25" priority="38" operator="greaterThan">
      <formula>0.1</formula>
    </cfRule>
  </conditionalFormatting>
  <conditionalFormatting sqref="Z11:Z30 Z32:Z95">
    <cfRule type="cellIs" dxfId="24" priority="35" operator="lessThan">
      <formula>0</formula>
    </cfRule>
    <cfRule type="cellIs" dxfId="23" priority="36" operator="greaterThan">
      <formula>0.1</formula>
    </cfRule>
  </conditionalFormatting>
  <conditionalFormatting sqref="AH93:AH94">
    <cfRule type="cellIs" dxfId="22" priority="29" operator="lessThan">
      <formula>0</formula>
    </cfRule>
    <cfRule type="cellIs" dxfId="21" priority="30" operator="greaterThan">
      <formula>0.1</formula>
    </cfRule>
  </conditionalFormatting>
  <conditionalFormatting sqref="AP93:AP94">
    <cfRule type="cellIs" dxfId="20" priority="27" operator="lessThan">
      <formula>0</formula>
    </cfRule>
    <cfRule type="cellIs" dxfId="19" priority="28" operator="greaterThan">
      <formula>0.1</formula>
    </cfRule>
  </conditionalFormatting>
  <conditionalFormatting sqref="AG49:AG50">
    <cfRule type="cellIs" dxfId="18" priority="25" operator="lessThan">
      <formula>0</formula>
    </cfRule>
    <cfRule type="cellIs" dxfId="17" priority="26" operator="greaterThan">
      <formula>0.1</formula>
    </cfRule>
  </conditionalFormatting>
  <conditionalFormatting sqref="AO49:AO50">
    <cfRule type="cellIs" dxfId="16" priority="23" operator="lessThan">
      <formula>0</formula>
    </cfRule>
    <cfRule type="cellIs" dxfId="15" priority="24" operator="greaterThan">
      <formula>0.1</formula>
    </cfRule>
  </conditionalFormatting>
  <conditionalFormatting sqref="Q49:Q50">
    <cfRule type="cellIs" dxfId="14" priority="21" operator="lessThan">
      <formula>0</formula>
    </cfRule>
    <cfRule type="cellIs" dxfId="13" priority="22" operator="greaterThan">
      <formula>0.1</formula>
    </cfRule>
  </conditionalFormatting>
  <dataValidations disablePrompts="1" count="1">
    <dataValidation type="custom" allowBlank="1" showInputMessage="1" showErrorMessage="1" sqref="C127">
      <formula1>"80%, 20%"</formula1>
    </dataValidation>
  </dataValidations>
  <printOptions horizontalCentered="1"/>
  <pageMargins left="0" right="0" top="0.55118110236220474" bottom="0.19685039370078741" header="0.31496062992125984" footer="0.11811023622047245"/>
  <pageSetup paperSize="9" scale="66" orientation="landscape" r:id="rId1"/>
  <headerFooter alignWithMargins="0">
    <oddFooter>&amp;C&amp;A&amp;RСтр. &amp;P от &amp;N</oddFooter>
  </headerFooter>
  <rowBreaks count="1" manualBreakCount="1">
    <brk id="54" max="16383" man="1"/>
  </rowBreaks>
  <colBreaks count="2" manualBreakCount="2">
    <brk id="26" max="92" man="1"/>
    <brk id="48" max="1048575" man="1"/>
  </colBreaks>
  <ignoredErrors>
    <ignoredError sqref="AQ88 AQ83 AQ76 AQ70 AQ55 AQ59 AQ51 AR25:AV25 AQ38 D56:H57 L56:P57 T56:X57 S38 S25 S51 S59 S55 S70 S76 S83 S88 K88 K83 K76 K70 K55 K59 K51 K25 K38 D38:H38 D25:H25 D51:H51 D59:H59 C55 D70:H70 D76:H76 D83:H83 D88:H88 D55:H55 L88:P88 L83:P83 L76:P76 L70:P70 L55:P55 L59:P59 L51:P51 L25:P25 L38:P38 T38:X38 T25:X25 T51:X51 T59:X59 T55:X55 T70:X70 T76:X76 T83:X83 T88:X88 AR88:AV88 AR83:AV83 AR76:AV76 AR70:AV70 AR55:AV55 AR59:AV59 AR51:AV51 AR38:AV38" unlockedFormula="1"/>
    <ignoredError sqref="C38 C12 K12 S12 AR12:AV12" formulaRange="1"/>
    <ignoredError sqref="A11 A77:B83 A29 A70:A76 A55:A56 A59:A65" numberStoredAsText="1"/>
    <ignoredError sqref="A84:A87" twoDigitTextYear="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P475"/>
  <sheetViews>
    <sheetView view="pageBreakPreview" zoomScale="106" zoomScaleNormal="80" zoomScaleSheetLayoutView="106" workbookViewId="0">
      <pane xSplit="2" ySplit="10" topLeftCell="C26" activePane="bottomRight" state="frozen"/>
      <selection pane="topRight" activeCell="C1" sqref="C1"/>
      <selection pane="bottomLeft" activeCell="A11" sqref="A11"/>
      <selection pane="bottomRight" activeCell="M24" sqref="M24"/>
    </sheetView>
  </sheetViews>
  <sheetFormatPr defaultColWidth="9.140625" defaultRowHeight="15"/>
  <cols>
    <col min="1" max="1" width="7.42578125" style="49" customWidth="1"/>
    <col min="2" max="2" width="40.85546875" style="49" customWidth="1"/>
    <col min="3" max="3" width="7.7109375" style="49" customWidth="1"/>
    <col min="4" max="4" width="7.7109375" style="922" customWidth="1"/>
    <col min="5" max="5" width="7.7109375" style="50" customWidth="1"/>
    <col min="6" max="6" width="7.7109375" style="922" customWidth="1"/>
    <col min="7" max="7" width="7.7109375" style="50" customWidth="1"/>
    <col min="8" max="8" width="7.7109375" style="922" customWidth="1"/>
    <col min="9" max="9" width="7.7109375" style="50" customWidth="1"/>
    <col min="10" max="10" width="7.7109375" style="922" customWidth="1"/>
    <col min="11" max="11" width="7.7109375" style="50" customWidth="1"/>
    <col min="12" max="12" width="7.7109375" style="922" customWidth="1"/>
    <col min="13" max="14" width="7.7109375" style="50" customWidth="1"/>
    <col min="15" max="15" width="7.7109375" style="922" customWidth="1"/>
    <col min="16" max="16" width="7.7109375" style="50" customWidth="1"/>
    <col min="17" max="17" width="7.7109375" style="922" customWidth="1"/>
    <col min="18" max="18" width="7.7109375" style="50" customWidth="1"/>
    <col min="19" max="19" width="7.7109375" style="922" customWidth="1"/>
    <col min="20" max="20" width="7.7109375" style="50" customWidth="1"/>
    <col min="21" max="21" width="7.7109375" style="922" customWidth="1"/>
    <col min="22" max="22" width="7.7109375" style="50" customWidth="1"/>
    <col min="23" max="23" width="7.7109375" style="922" customWidth="1"/>
    <col min="24" max="25" width="7.7109375" style="50" customWidth="1"/>
    <col min="26" max="26" width="7.7109375" style="785" customWidth="1"/>
    <col min="27" max="27" width="7.7109375" style="50" customWidth="1"/>
    <col min="28" max="28" width="7.7109375" style="785" customWidth="1"/>
    <col min="29" max="29" width="7.7109375" style="50" customWidth="1"/>
    <col min="30" max="30" width="7.7109375" style="785" customWidth="1"/>
    <col min="31" max="31" width="7.7109375" style="50" customWidth="1"/>
    <col min="32" max="32" width="7.7109375" style="785" customWidth="1"/>
    <col min="33" max="33" width="7.7109375" style="50" customWidth="1"/>
    <col min="34" max="34" width="7.7109375" style="785" customWidth="1"/>
    <col min="35" max="36" width="7.7109375" style="50" customWidth="1"/>
    <col min="37" max="37" width="7.7109375" style="785" customWidth="1"/>
    <col min="38" max="38" width="7.7109375" style="50" customWidth="1"/>
    <col min="39" max="39" width="7.7109375" style="785" customWidth="1"/>
    <col min="40" max="40" width="7.7109375" style="50" customWidth="1"/>
    <col min="41" max="41" width="7.7109375" style="785" customWidth="1"/>
    <col min="42" max="42" width="7.7109375" style="50" customWidth="1"/>
    <col min="43" max="43" width="7.7109375" style="785" customWidth="1"/>
    <col min="44" max="44" width="7.7109375" style="50" customWidth="1"/>
    <col min="45" max="45" width="7.7109375" style="785" customWidth="1"/>
    <col min="46" max="47" width="7.7109375" style="50" customWidth="1"/>
    <col min="48" max="48" width="7.7109375" style="785" customWidth="1"/>
    <col min="49" max="49" width="7.7109375" style="50" customWidth="1"/>
    <col min="50" max="50" width="7.7109375" style="785" customWidth="1"/>
    <col min="51" max="51" width="7.7109375" style="50" customWidth="1"/>
    <col min="52" max="52" width="7.7109375" style="785" customWidth="1"/>
    <col min="53" max="53" width="7.7109375" style="50" customWidth="1"/>
    <col min="54" max="54" width="7.7109375" style="785" customWidth="1"/>
    <col min="55" max="55" width="7.7109375" style="50" customWidth="1"/>
    <col min="56" max="56" width="7.7109375" style="785" customWidth="1"/>
    <col min="57" max="57" width="7.7109375" style="50" customWidth="1"/>
    <col min="58" max="66" width="9.140625" style="49"/>
    <col min="67" max="16384" width="9.140625" style="721"/>
  </cols>
  <sheetData>
    <row r="1" spans="1:68">
      <c r="A1" s="772"/>
      <c r="B1" s="772"/>
      <c r="C1" s="772"/>
      <c r="D1" s="3392"/>
      <c r="E1" s="3391"/>
      <c r="F1" s="3392"/>
      <c r="G1" s="3391"/>
      <c r="H1" s="3392"/>
      <c r="I1" s="3391"/>
      <c r="J1" s="3392"/>
      <c r="K1" s="3391"/>
      <c r="L1" s="3392"/>
      <c r="M1" s="3391"/>
      <c r="N1" s="3391"/>
      <c r="O1" s="3392"/>
      <c r="P1" s="3391"/>
      <c r="Q1" s="3392"/>
      <c r="R1" s="3391"/>
      <c r="S1" s="3392"/>
      <c r="T1" s="3391"/>
      <c r="U1" s="3392"/>
      <c r="V1" s="3487"/>
      <c r="W1" s="3487"/>
      <c r="X1" s="3488" t="s">
        <v>193</v>
      </c>
      <c r="Y1" s="3487"/>
      <c r="Z1" s="3487"/>
      <c r="AA1" s="3487"/>
      <c r="AB1" s="3487"/>
      <c r="AC1" s="3487"/>
      <c r="AD1" s="3487"/>
      <c r="AE1" s="3487"/>
      <c r="AF1" s="3487"/>
      <c r="AH1" s="3489"/>
      <c r="AI1" s="3391"/>
      <c r="AJ1" s="3391"/>
      <c r="AK1" s="3489"/>
      <c r="AL1" s="3391"/>
      <c r="AM1" s="3489"/>
      <c r="AN1" s="3391"/>
      <c r="AO1" s="3489"/>
      <c r="AP1" s="3391"/>
      <c r="AQ1" s="3489"/>
      <c r="AR1" s="3391"/>
      <c r="AS1" s="3489"/>
      <c r="AT1" s="3391"/>
      <c r="AU1" s="3391"/>
      <c r="AV1" s="3489"/>
      <c r="AW1" s="3391"/>
      <c r="AX1" s="3489"/>
      <c r="AY1" s="3391"/>
      <c r="AZ1" s="3489"/>
      <c r="BA1" s="3391"/>
      <c r="BB1" s="3489"/>
      <c r="BC1" s="3391"/>
      <c r="BD1" s="3489"/>
      <c r="BE1" s="3391"/>
      <c r="BG1" s="720"/>
      <c r="BH1" s="720"/>
      <c r="BI1" s="720"/>
    </row>
    <row r="2" spans="1:68" ht="18.75" customHeight="1">
      <c r="A2" s="5411" t="s">
        <v>1541</v>
      </c>
      <c r="B2" s="5411"/>
      <c r="C2" s="5411"/>
      <c r="D2" s="5411"/>
      <c r="E2" s="5411"/>
      <c r="F2" s="5411"/>
      <c r="G2" s="5411"/>
      <c r="H2" s="5411"/>
      <c r="I2" s="5411"/>
      <c r="J2" s="5411"/>
      <c r="K2" s="5411"/>
      <c r="L2" s="5411"/>
      <c r="M2" s="5411"/>
      <c r="N2" s="5411"/>
      <c r="O2" s="5411"/>
      <c r="P2" s="5411"/>
      <c r="Q2" s="5411"/>
      <c r="R2" s="5411"/>
      <c r="S2" s="5411"/>
      <c r="T2" s="5411"/>
      <c r="U2" s="5411"/>
      <c r="V2" s="5411"/>
      <c r="W2" s="5411"/>
      <c r="X2" s="5411"/>
      <c r="Y2" s="722"/>
      <c r="Z2" s="722"/>
      <c r="AA2" s="722"/>
      <c r="AB2" s="722"/>
      <c r="AC2" s="722"/>
      <c r="AD2" s="722"/>
      <c r="AE2" s="722"/>
      <c r="AF2" s="722"/>
      <c r="AG2" s="722"/>
      <c r="AH2" s="722"/>
      <c r="AI2" s="722"/>
      <c r="AJ2" s="722"/>
      <c r="AK2" s="789"/>
      <c r="AL2" s="722"/>
      <c r="AM2" s="789"/>
      <c r="AN2" s="722"/>
      <c r="AO2" s="789"/>
      <c r="AP2" s="722"/>
      <c r="AQ2" s="789"/>
      <c r="AR2" s="722"/>
      <c r="AS2" s="789"/>
      <c r="AT2" s="722"/>
      <c r="AU2" s="722"/>
      <c r="AV2" s="789"/>
      <c r="AW2" s="722"/>
      <c r="AX2" s="789"/>
      <c r="AY2" s="722"/>
      <c r="AZ2" s="789"/>
      <c r="BA2" s="722"/>
      <c r="BB2" s="789"/>
      <c r="BC2" s="722"/>
      <c r="BD2" s="789"/>
      <c r="BE2" s="722"/>
      <c r="BF2" s="723"/>
      <c r="BG2" s="724"/>
      <c r="BH2" s="720"/>
      <c r="BI2" s="720"/>
      <c r="BJ2" s="723"/>
      <c r="BK2" s="723"/>
      <c r="BL2" s="723"/>
      <c r="BM2" s="723"/>
      <c r="BN2" s="723"/>
    </row>
    <row r="3" spans="1:68" ht="18.75" customHeight="1">
      <c r="A3" s="5411" t="s">
        <v>1841</v>
      </c>
      <c r="B3" s="5411"/>
      <c r="C3" s="5411"/>
      <c r="D3" s="5411"/>
      <c r="E3" s="5411"/>
      <c r="F3" s="5411"/>
      <c r="G3" s="5411"/>
      <c r="H3" s="5411"/>
      <c r="I3" s="5411"/>
      <c r="J3" s="5411"/>
      <c r="K3" s="5411"/>
      <c r="L3" s="5411"/>
      <c r="M3" s="5411"/>
      <c r="N3" s="5411"/>
      <c r="O3" s="5411"/>
      <c r="P3" s="5411"/>
      <c r="Q3" s="5411"/>
      <c r="R3" s="5411"/>
      <c r="S3" s="5411"/>
      <c r="T3" s="5411"/>
      <c r="U3" s="5411"/>
      <c r="V3" s="5411"/>
      <c r="W3" s="5411"/>
      <c r="X3" s="5411"/>
      <c r="Y3" s="722"/>
      <c r="Z3" s="722"/>
      <c r="AA3" s="722"/>
      <c r="AB3" s="722"/>
      <c r="AC3" s="722"/>
      <c r="AD3" s="722"/>
      <c r="AE3" s="722"/>
      <c r="AF3" s="722"/>
      <c r="AG3" s="722"/>
      <c r="AH3" s="722"/>
      <c r="AI3" s="722"/>
      <c r="AJ3" s="3395"/>
      <c r="AK3" s="3490"/>
      <c r="AL3" s="3395"/>
      <c r="AM3" s="3490"/>
      <c r="AN3" s="3395"/>
      <c r="AO3" s="3490"/>
      <c r="AP3" s="3395"/>
      <c r="AQ3" s="3490"/>
      <c r="AR3" s="3395"/>
      <c r="AS3" s="3490"/>
      <c r="AT3" s="3395"/>
      <c r="AU3" s="3395"/>
      <c r="AV3" s="3490"/>
      <c r="AW3" s="3395"/>
      <c r="AX3" s="3490"/>
      <c r="AY3" s="3395"/>
      <c r="AZ3" s="3490"/>
      <c r="BA3" s="3395"/>
      <c r="BB3" s="3490"/>
      <c r="BC3" s="3395"/>
      <c r="BD3" s="3490"/>
      <c r="BE3" s="3395"/>
      <c r="BG3" s="724"/>
      <c r="BH3" s="720"/>
      <c r="BI3" s="720"/>
    </row>
    <row r="4" spans="1:68" ht="15.75">
      <c r="A4" s="5435" t="str">
        <f>'1. Обща информация'!A4:D4</f>
        <v>на "Водоснабдяване и канализаиця"ООД, гр. Перник</v>
      </c>
      <c r="B4" s="5435"/>
      <c r="C4" s="5435"/>
      <c r="D4" s="5435"/>
      <c r="E4" s="5435"/>
      <c r="F4" s="5435"/>
      <c r="G4" s="5435"/>
      <c r="H4" s="5435"/>
      <c r="I4" s="5435"/>
      <c r="J4" s="5435"/>
      <c r="K4" s="5435"/>
      <c r="L4" s="5435"/>
      <c r="M4" s="5435"/>
      <c r="N4" s="5435"/>
      <c r="O4" s="5435"/>
      <c r="P4" s="5435"/>
      <c r="Q4" s="5435"/>
      <c r="R4" s="5435"/>
      <c r="S4" s="5435"/>
      <c r="T4" s="5435"/>
      <c r="U4" s="5435"/>
      <c r="V4" s="5435"/>
      <c r="W4" s="5435"/>
      <c r="X4" s="5435"/>
      <c r="Y4" s="3395"/>
      <c r="Z4" s="3395"/>
      <c r="AA4" s="3395"/>
      <c r="AB4" s="3395"/>
      <c r="AC4" s="3395"/>
      <c r="AD4" s="3395"/>
      <c r="AE4" s="3395"/>
      <c r="AF4" s="3395"/>
      <c r="AG4" s="3395"/>
      <c r="AH4" s="3395"/>
      <c r="AI4" s="3395"/>
      <c r="AJ4" s="3395"/>
      <c r="AK4" s="3490"/>
      <c r="AL4" s="3395"/>
      <c r="AM4" s="3490"/>
      <c r="AN4" s="3395"/>
      <c r="AO4" s="3490"/>
      <c r="AP4" s="3395"/>
      <c r="AQ4" s="3490"/>
      <c r="AR4" s="3395"/>
      <c r="AS4" s="3490"/>
      <c r="AT4" s="3395"/>
      <c r="AU4" s="3395"/>
      <c r="AV4" s="3491"/>
      <c r="AW4" s="3397"/>
      <c r="AX4" s="3491"/>
      <c r="AY4" s="3397"/>
      <c r="AZ4" s="3491"/>
      <c r="BA4" s="3397"/>
      <c r="BB4" s="3491"/>
      <c r="BC4" s="3397"/>
      <c r="BD4" s="3491"/>
      <c r="BE4" s="3397"/>
      <c r="BG4" s="724"/>
      <c r="BH4" s="720"/>
      <c r="BI4" s="720"/>
    </row>
    <row r="5" spans="1:68" ht="15.75">
      <c r="A5" s="5435" t="str">
        <f>'1. Обща информация'!A5:D5</f>
        <v>ЕИК по БУЛСТАТ: 823073638</v>
      </c>
      <c r="B5" s="5435"/>
      <c r="C5" s="5435"/>
      <c r="D5" s="5435"/>
      <c r="E5" s="5435"/>
      <c r="F5" s="5435"/>
      <c r="G5" s="5435"/>
      <c r="H5" s="5435"/>
      <c r="I5" s="5435"/>
      <c r="J5" s="5435"/>
      <c r="K5" s="5435"/>
      <c r="L5" s="5435"/>
      <c r="M5" s="5435"/>
      <c r="N5" s="5435"/>
      <c r="O5" s="5435"/>
      <c r="P5" s="5435"/>
      <c r="Q5" s="5435"/>
      <c r="R5" s="5435"/>
      <c r="S5" s="5435"/>
      <c r="T5" s="5435"/>
      <c r="U5" s="5435"/>
      <c r="V5" s="5435"/>
      <c r="W5" s="5435"/>
      <c r="X5" s="5435"/>
      <c r="Y5" s="3395"/>
      <c r="Z5" s="3395"/>
      <c r="AA5" s="3395"/>
      <c r="AB5" s="3395"/>
      <c r="AC5" s="3395"/>
      <c r="AD5" s="3395"/>
      <c r="AE5" s="3395"/>
      <c r="AF5" s="3395"/>
      <c r="AG5" s="3395"/>
      <c r="AH5" s="3395"/>
      <c r="AI5" s="3395"/>
      <c r="AJ5" s="3186"/>
      <c r="AK5" s="3492"/>
      <c r="AL5" s="3186"/>
      <c r="AM5" s="3492"/>
      <c r="AN5" s="3186"/>
      <c r="AO5" s="3492"/>
      <c r="AP5" s="3186"/>
      <c r="AQ5" s="3492"/>
      <c r="AR5" s="3186"/>
      <c r="AS5" s="3492"/>
      <c r="AT5" s="3186"/>
      <c r="AU5" s="3186"/>
      <c r="AV5" s="3493"/>
      <c r="AW5" s="3399"/>
      <c r="AX5" s="3493"/>
      <c r="AY5" s="3399"/>
      <c r="AZ5" s="3493"/>
      <c r="BA5" s="3399"/>
      <c r="BB5" s="3493"/>
      <c r="BC5" s="3399"/>
      <c r="BD5" s="3493"/>
      <c r="BE5" s="3399"/>
      <c r="BF5" s="700"/>
      <c r="BG5" s="700"/>
      <c r="BI5" s="724"/>
      <c r="BJ5" s="720"/>
      <c r="BK5" s="720"/>
      <c r="BO5" s="49"/>
      <c r="BP5" s="49"/>
    </row>
    <row r="6" spans="1:68" ht="15.75" thickBot="1">
      <c r="A6" s="726"/>
      <c r="B6" s="726"/>
      <c r="C6" s="726"/>
      <c r="D6" s="924"/>
      <c r="E6" s="728"/>
      <c r="F6" s="926"/>
      <c r="G6" s="728"/>
      <c r="H6" s="923"/>
      <c r="I6" s="729"/>
      <c r="J6" s="923"/>
      <c r="K6" s="725"/>
      <c r="L6" s="923"/>
      <c r="M6" s="725"/>
      <c r="N6" s="725"/>
      <c r="O6" s="923"/>
      <c r="P6" s="728"/>
      <c r="Q6" s="926"/>
      <c r="R6" s="728"/>
      <c r="S6" s="926"/>
      <c r="T6" s="728"/>
      <c r="U6" s="926"/>
      <c r="V6" s="728"/>
      <c r="W6" s="3392"/>
      <c r="X6" s="3391"/>
      <c r="Y6" s="3391"/>
      <c r="Z6" s="3489"/>
      <c r="AA6" s="3391"/>
      <c r="AB6" s="3489"/>
      <c r="AC6" s="3391"/>
      <c r="AD6" s="3489"/>
      <c r="AE6" s="3391"/>
      <c r="AF6" s="3489"/>
      <c r="AG6" s="728"/>
      <c r="AH6" s="3403"/>
      <c r="AI6" s="728"/>
      <c r="AJ6" s="728"/>
      <c r="AK6" s="3489"/>
      <c r="AL6" s="3391"/>
      <c r="AM6" s="3489"/>
      <c r="AN6" s="3391"/>
      <c r="AO6" s="3489"/>
      <c r="AP6" s="3391"/>
      <c r="AQ6" s="3489"/>
      <c r="AR6" s="3391"/>
      <c r="AS6" s="787"/>
      <c r="AT6" s="728"/>
      <c r="AU6" s="728"/>
      <c r="AV6" s="3494"/>
      <c r="AW6" s="3404"/>
      <c r="AX6" s="3494"/>
      <c r="AY6" s="3404"/>
      <c r="AZ6" s="3494"/>
      <c r="BA6" s="3404"/>
      <c r="BB6" s="3494"/>
      <c r="BC6" s="3404"/>
      <c r="BD6" s="790"/>
      <c r="BE6" s="3391"/>
      <c r="BG6" s="724"/>
      <c r="BH6" s="720"/>
      <c r="BI6" s="720"/>
    </row>
    <row r="7" spans="1:68" ht="15.75" customHeight="1" thickBot="1">
      <c r="A7" s="5474" t="s">
        <v>1</v>
      </c>
      <c r="B7" s="5477" t="s">
        <v>228</v>
      </c>
      <c r="C7" s="5376"/>
      <c r="D7" s="5377"/>
      <c r="E7" s="5377"/>
      <c r="F7" s="5377"/>
      <c r="G7" s="5377"/>
      <c r="H7" s="5377"/>
      <c r="I7" s="5377"/>
      <c r="J7" s="5377"/>
      <c r="K7" s="5377"/>
      <c r="L7" s="5377"/>
      <c r="M7" s="5377"/>
      <c r="N7" s="5377"/>
      <c r="O7" s="5377"/>
      <c r="P7" s="5377"/>
      <c r="Q7" s="5377"/>
      <c r="R7" s="5377"/>
      <c r="S7" s="5377"/>
      <c r="T7" s="5377"/>
      <c r="U7" s="5377"/>
      <c r="V7" s="5377"/>
      <c r="W7" s="5377"/>
      <c r="X7" s="5377"/>
      <c r="Y7" s="5377"/>
      <c r="Z7" s="5377"/>
      <c r="AA7" s="5377"/>
      <c r="AB7" s="5377"/>
      <c r="AC7" s="5377"/>
      <c r="AD7" s="5377"/>
      <c r="AE7" s="5377"/>
      <c r="AF7" s="5377"/>
      <c r="AG7" s="5377"/>
      <c r="AH7" s="5377"/>
      <c r="AI7" s="5377"/>
      <c r="AJ7" s="5377"/>
      <c r="AK7" s="5377"/>
      <c r="AL7" s="5377"/>
      <c r="AM7" s="5377"/>
      <c r="AN7" s="5377"/>
      <c r="AO7" s="5377"/>
      <c r="AP7" s="5377"/>
      <c r="AQ7" s="5377"/>
      <c r="AR7" s="5377"/>
      <c r="AS7" s="5377"/>
      <c r="AT7" s="5377"/>
      <c r="AU7" s="5377"/>
      <c r="AV7" s="5377"/>
      <c r="AW7" s="5377"/>
      <c r="AX7" s="5377"/>
      <c r="AY7" s="5377"/>
      <c r="AZ7" s="5377"/>
      <c r="BA7" s="5377"/>
      <c r="BB7" s="5377"/>
      <c r="BC7" s="5377"/>
      <c r="BD7" s="5377"/>
      <c r="BE7" s="1735"/>
      <c r="BG7" s="724"/>
      <c r="BH7" s="720"/>
      <c r="BI7" s="720"/>
    </row>
    <row r="8" spans="1:68" ht="15.75" customHeight="1" thickBot="1">
      <c r="A8" s="5475"/>
      <c r="B8" s="5478"/>
      <c r="C8" s="5453" t="s">
        <v>212</v>
      </c>
      <c r="D8" s="5454"/>
      <c r="E8" s="5454"/>
      <c r="F8" s="5454"/>
      <c r="G8" s="5454"/>
      <c r="H8" s="5454"/>
      <c r="I8" s="5454"/>
      <c r="J8" s="5454"/>
      <c r="K8" s="5454"/>
      <c r="L8" s="5454"/>
      <c r="M8" s="5454"/>
      <c r="N8" s="5466" t="s">
        <v>213</v>
      </c>
      <c r="O8" s="5469"/>
      <c r="P8" s="5469"/>
      <c r="Q8" s="5469"/>
      <c r="R8" s="5469"/>
      <c r="S8" s="5469"/>
      <c r="T8" s="5469"/>
      <c r="U8" s="5469"/>
      <c r="V8" s="5469"/>
      <c r="W8" s="5469"/>
      <c r="X8" s="5470"/>
      <c r="Y8" s="5453" t="s">
        <v>214</v>
      </c>
      <c r="Z8" s="5454"/>
      <c r="AA8" s="5454"/>
      <c r="AB8" s="5454"/>
      <c r="AC8" s="5454"/>
      <c r="AD8" s="5454"/>
      <c r="AE8" s="5454"/>
      <c r="AF8" s="5454"/>
      <c r="AG8" s="5454"/>
      <c r="AH8" s="5454"/>
      <c r="AI8" s="5455"/>
      <c r="AJ8" s="5453" t="s">
        <v>1236</v>
      </c>
      <c r="AK8" s="5454"/>
      <c r="AL8" s="5454"/>
      <c r="AM8" s="5454"/>
      <c r="AN8" s="5454"/>
      <c r="AO8" s="5454"/>
      <c r="AP8" s="5454"/>
      <c r="AQ8" s="5454"/>
      <c r="AR8" s="5454"/>
      <c r="AS8" s="5454"/>
      <c r="AT8" s="5455"/>
      <c r="AU8" s="5453" t="s">
        <v>1237</v>
      </c>
      <c r="AV8" s="5454"/>
      <c r="AW8" s="5454"/>
      <c r="AX8" s="5454"/>
      <c r="AY8" s="5454"/>
      <c r="AZ8" s="5454"/>
      <c r="BA8" s="5454"/>
      <c r="BB8" s="5454"/>
      <c r="BC8" s="5454"/>
      <c r="BD8" s="5454"/>
      <c r="BE8" s="5455"/>
      <c r="BG8" s="724"/>
      <c r="BH8" s="720"/>
      <c r="BI8" s="720"/>
    </row>
    <row r="9" spans="1:68" ht="24.75" customHeight="1" thickBot="1">
      <c r="A9" s="5475"/>
      <c r="B9" s="5478"/>
      <c r="C9" s="992" t="str">
        <f>'Приложение '!$C12:$D12</f>
        <v>2020 г.</v>
      </c>
      <c r="D9" s="5481" t="str">
        <f>'Приложение '!C14</f>
        <v>2022 г.</v>
      </c>
      <c r="E9" s="5472"/>
      <c r="F9" s="5471" t="str">
        <f>'Приложение '!C15</f>
        <v>2023 г.</v>
      </c>
      <c r="G9" s="5472"/>
      <c r="H9" s="5471" t="str">
        <f>'Приложение '!C16</f>
        <v>2024 г.</v>
      </c>
      <c r="I9" s="5472"/>
      <c r="J9" s="5480" t="str">
        <f>'Приложение '!C17</f>
        <v>2025 г.</v>
      </c>
      <c r="K9" s="5472"/>
      <c r="L9" s="5480" t="str">
        <f>'Приложение '!C18</f>
        <v>2026 г.</v>
      </c>
      <c r="M9" s="5473"/>
      <c r="N9" s="992" t="str">
        <f>'Приложение '!$C12</f>
        <v>2020 г.</v>
      </c>
      <c r="O9" s="5466" t="str">
        <f>'Приложение '!$C14</f>
        <v>2022 г.</v>
      </c>
      <c r="P9" s="5472"/>
      <c r="Q9" s="5480" t="str">
        <f>'Приложение '!$C15</f>
        <v>2023 г.</v>
      </c>
      <c r="R9" s="5472"/>
      <c r="S9" s="5480" t="str">
        <f>'Приложение '!$C16</f>
        <v>2024 г.</v>
      </c>
      <c r="T9" s="5472"/>
      <c r="U9" s="5480" t="str">
        <f>'Приложение '!$C17</f>
        <v>2025 г.</v>
      </c>
      <c r="V9" s="5472"/>
      <c r="W9" s="5480" t="str">
        <f>'Приложение '!$C18</f>
        <v>2026 г.</v>
      </c>
      <c r="X9" s="5473"/>
      <c r="Y9" s="992" t="str">
        <f>'Приложение '!$C12</f>
        <v>2020 г.</v>
      </c>
      <c r="Z9" s="5489" t="str">
        <f>'Приложение '!$C14</f>
        <v>2022 г.</v>
      </c>
      <c r="AA9" s="5472"/>
      <c r="AB9" s="5471" t="str">
        <f>'Приложение '!$C15</f>
        <v>2023 г.</v>
      </c>
      <c r="AC9" s="5472"/>
      <c r="AD9" s="5471" t="str">
        <f>'Приложение '!$C16</f>
        <v>2024 г.</v>
      </c>
      <c r="AE9" s="5472"/>
      <c r="AF9" s="5471" t="str">
        <f>'Приложение '!$C17</f>
        <v>2025 г.</v>
      </c>
      <c r="AG9" s="5472" t="str">
        <f>'Приложение '!$C18</f>
        <v>2026 г.</v>
      </c>
      <c r="AH9" s="5471" t="str">
        <f>'Приложение '!$C18</f>
        <v>2026 г.</v>
      </c>
      <c r="AI9" s="5473"/>
      <c r="AJ9" s="992" t="str">
        <f>'Приложение '!$C12</f>
        <v>2020 г.</v>
      </c>
      <c r="AK9" s="5481" t="str">
        <f>'Приложение '!$C14</f>
        <v>2022 г.</v>
      </c>
      <c r="AL9" s="5472"/>
      <c r="AM9" s="5471" t="str">
        <f>'Приложение '!$C15</f>
        <v>2023 г.</v>
      </c>
      <c r="AN9" s="5472"/>
      <c r="AO9" s="5471" t="str">
        <f>'Приложение '!$C16</f>
        <v>2024 г.</v>
      </c>
      <c r="AP9" s="5472"/>
      <c r="AQ9" s="5471" t="str">
        <f>'Приложение '!$C17</f>
        <v>2025 г.</v>
      </c>
      <c r="AR9" s="5472"/>
      <c r="AS9" s="5471" t="str">
        <f>'Приложение '!$C18</f>
        <v>2026 г.</v>
      </c>
      <c r="AT9" s="5473"/>
      <c r="AU9" s="992" t="str">
        <f>'Приложение '!$C12</f>
        <v>2020 г.</v>
      </c>
      <c r="AV9" s="5489" t="str">
        <f>'Приложение '!$C14</f>
        <v>2022 г.</v>
      </c>
      <c r="AW9" s="5472"/>
      <c r="AX9" s="5471" t="str">
        <f>'Приложение '!$C15</f>
        <v>2023 г.</v>
      </c>
      <c r="AY9" s="5472"/>
      <c r="AZ9" s="5471" t="str">
        <f>'Приложение '!$C16</f>
        <v>2024 г.</v>
      </c>
      <c r="BA9" s="5472"/>
      <c r="BB9" s="5471" t="str">
        <f>'Приложение '!$C17</f>
        <v>2025 г.</v>
      </c>
      <c r="BC9" s="5472"/>
      <c r="BD9" s="5471" t="str">
        <f>'Приложение '!$C18</f>
        <v>2026 г.</v>
      </c>
      <c r="BE9" s="5473"/>
      <c r="BG9" s="724"/>
      <c r="BH9" s="720"/>
      <c r="BI9" s="720"/>
    </row>
    <row r="10" spans="1:68" ht="51.75" customHeight="1" thickBot="1">
      <c r="A10" s="5476"/>
      <c r="B10" s="5479"/>
      <c r="C10" s="1199" t="s">
        <v>1845</v>
      </c>
      <c r="D10" s="782" t="s">
        <v>1274</v>
      </c>
      <c r="E10" s="781" t="s">
        <v>1275</v>
      </c>
      <c r="F10" s="781" t="s">
        <v>1274</v>
      </c>
      <c r="G10" s="781" t="s">
        <v>1275</v>
      </c>
      <c r="H10" s="781" t="s">
        <v>1274</v>
      </c>
      <c r="I10" s="781" t="s">
        <v>1275</v>
      </c>
      <c r="J10" s="781" t="s">
        <v>1274</v>
      </c>
      <c r="K10" s="782" t="s">
        <v>1275</v>
      </c>
      <c r="L10" s="781" t="s">
        <v>1274</v>
      </c>
      <c r="M10" s="782" t="s">
        <v>1275</v>
      </c>
      <c r="N10" s="1199" t="str">
        <f>C10</f>
        <v>Базова година</v>
      </c>
      <c r="O10" s="782" t="s">
        <v>1274</v>
      </c>
      <c r="P10" s="781" t="s">
        <v>1275</v>
      </c>
      <c r="Q10" s="781" t="s">
        <v>1274</v>
      </c>
      <c r="R10" s="781" t="s">
        <v>1275</v>
      </c>
      <c r="S10" s="781" t="s">
        <v>1274</v>
      </c>
      <c r="T10" s="781" t="s">
        <v>1275</v>
      </c>
      <c r="U10" s="781" t="s">
        <v>1274</v>
      </c>
      <c r="V10" s="782" t="s">
        <v>1275</v>
      </c>
      <c r="W10" s="781" t="s">
        <v>1274</v>
      </c>
      <c r="X10" s="783" t="s">
        <v>1275</v>
      </c>
      <c r="Y10" s="1199" t="str">
        <f>C10</f>
        <v>Базова година</v>
      </c>
      <c r="Z10" s="991" t="s">
        <v>1274</v>
      </c>
      <c r="AA10" s="781" t="s">
        <v>1275</v>
      </c>
      <c r="AB10" s="788" t="s">
        <v>1274</v>
      </c>
      <c r="AC10" s="781" t="s">
        <v>1275</v>
      </c>
      <c r="AD10" s="788" t="s">
        <v>1274</v>
      </c>
      <c r="AE10" s="781" t="s">
        <v>1275</v>
      </c>
      <c r="AF10" s="788" t="s">
        <v>1274</v>
      </c>
      <c r="AG10" s="782" t="s">
        <v>1275</v>
      </c>
      <c r="AH10" s="788" t="s">
        <v>1274</v>
      </c>
      <c r="AI10" s="783" t="s">
        <v>1275</v>
      </c>
      <c r="AJ10" s="1199" t="str">
        <f>C10</f>
        <v>Базова година</v>
      </c>
      <c r="AK10" s="991" t="s">
        <v>1274</v>
      </c>
      <c r="AL10" s="781" t="s">
        <v>1275</v>
      </c>
      <c r="AM10" s="788" t="s">
        <v>1274</v>
      </c>
      <c r="AN10" s="781" t="s">
        <v>1275</v>
      </c>
      <c r="AO10" s="788" t="s">
        <v>1274</v>
      </c>
      <c r="AP10" s="781" t="s">
        <v>1275</v>
      </c>
      <c r="AQ10" s="788" t="s">
        <v>1274</v>
      </c>
      <c r="AR10" s="782" t="s">
        <v>1275</v>
      </c>
      <c r="AS10" s="788" t="s">
        <v>1274</v>
      </c>
      <c r="AT10" s="783" t="s">
        <v>1275</v>
      </c>
      <c r="AU10" s="1199" t="str">
        <f>AJ10</f>
        <v>Базова година</v>
      </c>
      <c r="AV10" s="991" t="s">
        <v>1274</v>
      </c>
      <c r="AW10" s="781" t="s">
        <v>1275</v>
      </c>
      <c r="AX10" s="788" t="s">
        <v>1274</v>
      </c>
      <c r="AY10" s="781" t="s">
        <v>1275</v>
      </c>
      <c r="AZ10" s="788" t="s">
        <v>1274</v>
      </c>
      <c r="BA10" s="781" t="s">
        <v>1275</v>
      </c>
      <c r="BB10" s="788" t="s">
        <v>1274</v>
      </c>
      <c r="BC10" s="782" t="s">
        <v>1275</v>
      </c>
      <c r="BD10" s="788" t="s">
        <v>1274</v>
      </c>
      <c r="BE10" s="783" t="s">
        <v>1275</v>
      </c>
      <c r="BG10" s="724"/>
      <c r="BH10" s="720"/>
      <c r="BI10" s="720"/>
    </row>
    <row r="11" spans="1:68" s="1250" customFormat="1" ht="15.95" customHeight="1" thickBot="1">
      <c r="A11" s="119" t="s">
        <v>145</v>
      </c>
      <c r="B11" s="981" t="s">
        <v>231</v>
      </c>
      <c r="C11" s="1200">
        <f>'12. Разходи'!C11</f>
        <v>3781.6379999999999</v>
      </c>
      <c r="D11" s="993">
        <f>'12. Разходи'!D11-'12. Разходи'!$C11</f>
        <v>-421.95866416836725</v>
      </c>
      <c r="E11" s="962">
        <f>IFERROR(('12. Разходи'!D11-'12. Разходи'!$C11)/'12. Разходи'!$C11,0)</f>
        <v>-0.11158092450106732</v>
      </c>
      <c r="F11" s="1237">
        <f>'12. Разходи'!E11-'12. Разходи'!$C11</f>
        <v>-1150.3239061713311</v>
      </c>
      <c r="G11" s="962">
        <f>IFERROR(('12. Разходи'!E11-'12. Разходи'!$C11)/'12. Разходи'!$C11,0)</f>
        <v>-0.30418667946834976</v>
      </c>
      <c r="H11" s="1237">
        <f>'12. Разходи'!F11-'12. Разходи'!$C11</f>
        <v>-1449.368544527164</v>
      </c>
      <c r="I11" s="962">
        <f>IFERROR(('12. Разходи'!F11-'12. Разходи'!$C11)/'12. Разходи'!$C11,0)</f>
        <v>-0.38326475049361258</v>
      </c>
      <c r="J11" s="1237">
        <f>'12. Разходи'!G11-'12. Разходи'!$C11</f>
        <v>-1628.3936915571853</v>
      </c>
      <c r="K11" s="962">
        <f>IFERROR(('12. Разходи'!G11-'12. Разходи'!$C11)/'12. Разходи'!$C11,0)</f>
        <v>-0.43060538622607064</v>
      </c>
      <c r="L11" s="1237">
        <f>'12. Разходи'!H11-'12. Разходи'!$C11</f>
        <v>-1744.589306327096</v>
      </c>
      <c r="M11" s="971">
        <f>IFERROR(('12. Разходи'!H11-'12. Разходи'!$C11)/'12. Разходи'!$C11,0)</f>
        <v>-0.46133165213780275</v>
      </c>
      <c r="N11" s="1254">
        <f>'12. Разходи'!K11</f>
        <v>48.750000000000014</v>
      </c>
      <c r="O11" s="993">
        <f>'12. Разходи'!L11-'12. Разходи'!$K11</f>
        <v>59.249999999999972</v>
      </c>
      <c r="P11" s="962">
        <f>IFERROR(('12. Разходи'!L11-'12. Разходи'!$K11)/'12. Разходи'!$K11,0)</f>
        <v>1.2153846153846144</v>
      </c>
      <c r="Q11" s="1237">
        <f>'12. Разходи'!M11-'12. Разходи'!$K11</f>
        <v>59.249999999999972</v>
      </c>
      <c r="R11" s="962">
        <f>IFERROR(('12. Разходи'!M11-'12. Разходи'!$K11)/'12. Разходи'!$K11,0)</f>
        <v>1.2153846153846144</v>
      </c>
      <c r="S11" s="1237">
        <f>'12. Разходи'!N11-'12. Разходи'!$K11</f>
        <v>285.556740558</v>
      </c>
      <c r="T11" s="962">
        <f>IFERROR(('12. Разходи'!N11-'12. Разходи'!$K11)/'12. Разходи'!$K11,0)</f>
        <v>5.8575741652923057</v>
      </c>
      <c r="U11" s="1237">
        <f>'12. Разходи'!O11-'12. Разходи'!$K11</f>
        <v>285.556740558</v>
      </c>
      <c r="V11" s="962">
        <f>IFERROR(('12. Разходи'!O11-'12. Разходи'!$K11)/'12. Разходи'!$K11,0)</f>
        <v>5.8575741652923057</v>
      </c>
      <c r="W11" s="1237">
        <f>'12. Разходи'!P11-'12. Разходи'!$K11</f>
        <v>285.556740558</v>
      </c>
      <c r="X11" s="898">
        <f>IFERROR(('12. Разходи'!P11-'12. Разходи'!$K11)/'12. Разходи'!$K11,0)</f>
        <v>5.8575741652923057</v>
      </c>
      <c r="Y11" s="1254">
        <f>'12. Разходи'!S11</f>
        <v>423.86599999999993</v>
      </c>
      <c r="Z11" s="993">
        <f>'12. Разходи'!T11-'12. Разходи'!$S11</f>
        <v>-35.796794739113579</v>
      </c>
      <c r="AA11" s="962">
        <f>IFERROR(('12. Разходи'!T11-'12. Разходи'!$S11)/'12. Разходи'!$S11,0)</f>
        <v>-8.4453093050901901E-2</v>
      </c>
      <c r="AB11" s="1237">
        <f>'12. Разходи'!U11-'12. Разходи'!$S11</f>
        <v>-47.962230078231869</v>
      </c>
      <c r="AC11" s="962">
        <f>IFERROR(('12. Разходи'!U11-'12. Разходи'!$S11)/'12. Разходи'!$S11,0)</f>
        <v>-0.11315422817171436</v>
      </c>
      <c r="AD11" s="1237">
        <f>'12. Разходи'!V11-'12. Разходи'!$S11</f>
        <v>486.07466971671516</v>
      </c>
      <c r="AE11" s="962">
        <f>IFERROR(('12. Разходи'!V11-'12. Разходи'!$S11)/'12. Разходи'!$S11,0)</f>
        <v>1.1467649439132066</v>
      </c>
      <c r="AF11" s="1237">
        <f>'12. Разходи'!W11-'12. Разходи'!$S11</f>
        <v>421.13912089168394</v>
      </c>
      <c r="AG11" s="962">
        <f>IFERROR(('12. Разходи'!W11-'12. Разходи'!$S11)/'12. Разходи'!$S11,0)</f>
        <v>0.99356664816636397</v>
      </c>
      <c r="AH11" s="1237">
        <f>'12. Разходи'!X11-'12. Разходи'!$S11</f>
        <v>392.46410695074093</v>
      </c>
      <c r="AI11" s="898">
        <f>IFERROR(('12. Разходи'!X11-'12. Разходи'!$S11)/'12. Разходи'!$S11,0)</f>
        <v>0.92591551799564242</v>
      </c>
      <c r="AJ11" s="1254">
        <f>'12. Разходи'!AA11</f>
        <v>0.77600000000000002</v>
      </c>
      <c r="AK11" s="1238">
        <f>'12. Разходи'!AB11-'12. Разходи'!$AA11</f>
        <v>119.54975261600002</v>
      </c>
      <c r="AL11" s="962">
        <f>IFERROR(('12. Разходи'!AB11-'12. Разходи'!$AA11)/'12. Разходи'!$AA11,0)</f>
        <v>154.05895955670104</v>
      </c>
      <c r="AM11" s="1237">
        <f>'12. Разходи'!AC11-'12. Разходи'!$AA11</f>
        <v>112.92816233600001</v>
      </c>
      <c r="AN11" s="962">
        <f>IFERROR(('12. Разходи'!AC11-'12. Разходи'!$AA11)/'12. Разходи'!$AA11,0)</f>
        <v>145.52598239175259</v>
      </c>
      <c r="AO11" s="1237">
        <f>'12. Разходи'!AD11-'12. Разходи'!$AA11</f>
        <v>98.427545177999988</v>
      </c>
      <c r="AP11" s="962">
        <f>IFERROR(('12. Разходи'!AD11-'12. Разходи'!$AA11)/'12. Разходи'!$AA11,0)</f>
        <v>126.83962007474224</v>
      </c>
      <c r="AQ11" s="1237">
        <f>'12. Разходи'!AE11-'12. Разходи'!$AA11</f>
        <v>101.012307796</v>
      </c>
      <c r="AR11" s="971">
        <f>IFERROR(('12. Разходи'!AE11-'12. Разходи'!$AA11)/'12. Разходи'!$AA11,0)</f>
        <v>130.1704997371134</v>
      </c>
      <c r="AS11" s="1237">
        <f>'12. Разходи'!AF11-'12. Разходи'!$AA11</f>
        <v>95.164926466000011</v>
      </c>
      <c r="AT11" s="898">
        <f>IFERROR(('12. Разходи'!AF11-'12. Разходи'!$AA11)/'12. Разходи'!$AA11,0)</f>
        <v>122.63521451804125</v>
      </c>
      <c r="AU11" s="1254">
        <f>'12. Разходи'!AI11</f>
        <v>0</v>
      </c>
      <c r="AV11" s="1238">
        <f>'12. Разходи'!AJ11-'12. Разходи'!$AI11</f>
        <v>0</v>
      </c>
      <c r="AW11" s="962">
        <f>IFERROR(('12. Разходи'!AJ11-'12. Разходи'!$AI11)/'12. Разходи'!$AI11,0)</f>
        <v>0</v>
      </c>
      <c r="AX11" s="1237">
        <f>'12. Разходи'!AK11-'12. Разходи'!$AI11</f>
        <v>0</v>
      </c>
      <c r="AY11" s="962">
        <f>IFERROR(('12. Разходи'!AK11-'12. Разходи'!$AI11)/'12. Разходи'!$AI11,0)</f>
        <v>0</v>
      </c>
      <c r="AZ11" s="1237">
        <f>'12. Разходи'!AL11-'12. Разходи'!$AI11</f>
        <v>0</v>
      </c>
      <c r="BA11" s="962">
        <f>IFERROR(('12. Разходи'!AL11-'12. Разходи'!$AI11)/'12. Разходи'!$AI11,0)</f>
        <v>0</v>
      </c>
      <c r="BB11" s="1237">
        <f>'12. Разходи'!AM11-'12. Разходи'!$AI11</f>
        <v>0</v>
      </c>
      <c r="BC11" s="971">
        <f>IFERROR(('12. Разходи'!AM11-'12. Разходи'!$AI11)/'12. Разходи'!$AI11,0)</f>
        <v>0</v>
      </c>
      <c r="BD11" s="1237">
        <f>'12. Разходи'!AN11-'12. Разходи'!$AI11</f>
        <v>0</v>
      </c>
      <c r="BE11" s="898">
        <f>IFERROR(('12. Разходи'!AN11-'12. Разходи'!$AI11)/'12. Разходи'!$AI11,0)</f>
        <v>0</v>
      </c>
      <c r="BF11" s="760"/>
      <c r="BG11" s="1252"/>
      <c r="BH11" s="1253"/>
      <c r="BI11" s="1253"/>
      <c r="BJ11" s="760"/>
      <c r="BK11" s="760"/>
      <c r="BL11" s="760"/>
      <c r="BM11" s="760"/>
      <c r="BN11" s="760"/>
    </row>
    <row r="12" spans="1:68" ht="15.95" customHeight="1">
      <c r="A12" s="118" t="s">
        <v>93</v>
      </c>
      <c r="B12" s="982" t="s">
        <v>232</v>
      </c>
      <c r="C12" s="1279">
        <f>'12. Разходи'!C12</f>
        <v>84</v>
      </c>
      <c r="D12" s="1220">
        <f>'12. Разходи'!D12-'12. Разходи'!$C12</f>
        <v>-21.436999999999998</v>
      </c>
      <c r="E12" s="963">
        <f>IFERROR(('12. Разходи'!D12-'12. Разходи'!$C12)/'12. Разходи'!$C12,0)</f>
        <v>-0.2552023809523809</v>
      </c>
      <c r="F12" s="1221">
        <f>'12. Разходи'!E12-'12. Разходи'!$C12</f>
        <v>-21</v>
      </c>
      <c r="G12" s="963">
        <f>IFERROR(('12. Разходи'!E12-'12. Разходи'!$C12)/'12. Разходи'!$C12,0)</f>
        <v>-0.25</v>
      </c>
      <c r="H12" s="1221">
        <f>'12. Разходи'!F12-'12. Разходи'!$C12</f>
        <v>-21</v>
      </c>
      <c r="I12" s="963">
        <f>IFERROR(('12. Разходи'!F12-'12. Разходи'!$C12)/'12. Разходи'!$C12,0)</f>
        <v>-0.25</v>
      </c>
      <c r="J12" s="1221">
        <f>'12. Разходи'!G12-'12. Разходи'!$C12</f>
        <v>-21</v>
      </c>
      <c r="K12" s="963">
        <f>IFERROR(('12. Разходи'!G12-'12. Разходи'!$C12)/'12. Разходи'!$C12,0)</f>
        <v>-0.25</v>
      </c>
      <c r="L12" s="1221">
        <f>'12. Разходи'!H12-'12. Разходи'!$C12</f>
        <v>-21</v>
      </c>
      <c r="M12" s="974">
        <f>IFERROR(('12. Разходи'!H12-'12. Разходи'!$C12)/'12. Разходи'!$C12,0)</f>
        <v>-0.25</v>
      </c>
      <c r="N12" s="1255">
        <f>'12. Разходи'!K12</f>
        <v>0</v>
      </c>
      <c r="O12" s="1220">
        <f>'12. Разходи'!L12-'12. Разходи'!$K12</f>
        <v>0</v>
      </c>
      <c r="P12" s="963">
        <f>IFERROR(('12. Разходи'!L12-'12. Разходи'!$K12)/'12. Разходи'!$K12,0)</f>
        <v>0</v>
      </c>
      <c r="Q12" s="1221">
        <f>'12. Разходи'!M12-'12. Разходи'!$K12</f>
        <v>0</v>
      </c>
      <c r="R12" s="963">
        <f>IFERROR(('12. Разходи'!M12-'12. Разходи'!$K12)/'12. Разходи'!$K12,0)</f>
        <v>0</v>
      </c>
      <c r="S12" s="1221">
        <f>'12. Разходи'!N12-'12. Разходи'!$K12</f>
        <v>0</v>
      </c>
      <c r="T12" s="963">
        <f>IFERROR(('12. Разходи'!N12-'12. Разходи'!$K12)/'12. Разходи'!$K12,0)</f>
        <v>0</v>
      </c>
      <c r="U12" s="1221">
        <f>'12. Разходи'!O12-'12. Разходи'!$K12</f>
        <v>0</v>
      </c>
      <c r="V12" s="963">
        <f>IFERROR(('12. Разходи'!O12-'12. Разходи'!$K12)/'12. Разходи'!$K12,0)</f>
        <v>0</v>
      </c>
      <c r="W12" s="1221">
        <f>'12. Разходи'!P12-'12. Разходи'!$K12</f>
        <v>0</v>
      </c>
      <c r="X12" s="899">
        <f>IFERROR(('12. Разходи'!P12-'12. Разходи'!$K12)/'12. Разходи'!$K12,0)</f>
        <v>0</v>
      </c>
      <c r="Y12" s="1255">
        <f>'12. Разходи'!S12</f>
        <v>2</v>
      </c>
      <c r="Z12" s="1220">
        <f>'12. Разходи'!T12-'12. Разходи'!$S12</f>
        <v>0.20000000000000018</v>
      </c>
      <c r="AA12" s="963">
        <f>IFERROR(('12. Разходи'!T12-'12. Разходи'!$S12)/'12. Разходи'!$S12,0)</f>
        <v>0.10000000000000009</v>
      </c>
      <c r="AB12" s="1221">
        <f>'12. Разходи'!U12-'12. Разходи'!$S12</f>
        <v>0.20000000000000018</v>
      </c>
      <c r="AC12" s="963">
        <f>IFERROR(('12. Разходи'!U12-'12. Разходи'!$S12)/'12. Разходи'!$S12,0)</f>
        <v>0.10000000000000009</v>
      </c>
      <c r="AD12" s="1221">
        <f>'12. Разходи'!V12-'12. Разходи'!$S12</f>
        <v>13.34</v>
      </c>
      <c r="AE12" s="963">
        <f>IFERROR(('12. Разходи'!V12-'12. Разходи'!$S12)/'12. Разходи'!$S12,0)</f>
        <v>6.67</v>
      </c>
      <c r="AF12" s="1221">
        <f>'12. Разходи'!W12-'12. Разходи'!$S12</f>
        <v>13.34</v>
      </c>
      <c r="AG12" s="963">
        <f>IFERROR(('12. Разходи'!W12-'12. Разходи'!$S12)/'12. Разходи'!$S12,0)</f>
        <v>6.67</v>
      </c>
      <c r="AH12" s="1221">
        <f>'12. Разходи'!X12-'12. Разходи'!$S12</f>
        <v>13.34</v>
      </c>
      <c r="AI12" s="899">
        <f>IFERROR(('12. Разходи'!X12-'12. Разходи'!$S12)/'12. Разходи'!$S12,0)</f>
        <v>6.67</v>
      </c>
      <c r="AJ12" s="1255">
        <f>'12. Разходи'!AA12</f>
        <v>0</v>
      </c>
      <c r="AK12" s="1234">
        <f>'12. Разходи'!AB12-'12. Разходи'!$AA12</f>
        <v>0</v>
      </c>
      <c r="AL12" s="963">
        <f>IFERROR(('12. Разходи'!AB12-'12. Разходи'!$AA12)/'12. Разходи'!$AA12,0)</f>
        <v>0</v>
      </c>
      <c r="AM12" s="1221">
        <f>'12. Разходи'!AC12-'12. Разходи'!$AA12</f>
        <v>0</v>
      </c>
      <c r="AN12" s="963">
        <f>IFERROR(('12. Разходи'!AC12-'12. Разходи'!$AA12)/'12. Разходи'!$AA12,0)</f>
        <v>0</v>
      </c>
      <c r="AO12" s="1221">
        <f>'12. Разходи'!AD12-'12. Разходи'!$AA12</f>
        <v>0</v>
      </c>
      <c r="AP12" s="963">
        <f>IFERROR(('12. Разходи'!AD12-'12. Разходи'!$AA12)/'12. Разходи'!$AA12,0)</f>
        <v>0</v>
      </c>
      <c r="AQ12" s="1221">
        <f>'12. Разходи'!AE12-'12. Разходи'!$AA12</f>
        <v>0</v>
      </c>
      <c r="AR12" s="979">
        <f>IFERROR(('12. Разходи'!AE12-'12. Разходи'!$AA12)/'12. Разходи'!$AA12,0)</f>
        <v>0</v>
      </c>
      <c r="AS12" s="1221">
        <f>'12. Разходи'!AF12-'12. Разходи'!$AA12</f>
        <v>0</v>
      </c>
      <c r="AT12" s="980">
        <f>IFERROR(('12. Разходи'!AF12-'12. Разходи'!$AA12)/'12. Разходи'!$AA12,0)</f>
        <v>0</v>
      </c>
      <c r="AU12" s="1255">
        <f>'12. Разходи'!AI12</f>
        <v>0</v>
      </c>
      <c r="AV12" s="1234">
        <f>'12. Разходи'!AJ12-'12. Разходи'!$AI12</f>
        <v>0</v>
      </c>
      <c r="AW12" s="963">
        <f>IFERROR(('12. Разходи'!AJ12-'12. Разходи'!$AI12)/'12. Разходи'!$AI12,0)</f>
        <v>0</v>
      </c>
      <c r="AX12" s="1221">
        <f>'12. Разходи'!AK12-'12. Разходи'!$AI12</f>
        <v>0</v>
      </c>
      <c r="AY12" s="963">
        <f>IFERROR(('12. Разходи'!AK12-'12. Разходи'!$AI12)/'12. Разходи'!$AI12,0)</f>
        <v>0</v>
      </c>
      <c r="AZ12" s="1221">
        <f>'12. Разходи'!AL12-'12. Разходи'!$AI12</f>
        <v>0</v>
      </c>
      <c r="BA12" s="963">
        <f>IFERROR(('12. Разходи'!AL12-'12. Разходи'!$AI12)/'12. Разходи'!$AI12,0)</f>
        <v>0</v>
      </c>
      <c r="BB12" s="1221">
        <f>'12. Разходи'!AM12-'12. Разходи'!$AI12</f>
        <v>0</v>
      </c>
      <c r="BC12" s="979">
        <f>IFERROR(('12. Разходи'!AM12-'12. Разходи'!$AI12)/'12. Разходи'!$AI12,0)</f>
        <v>0</v>
      </c>
      <c r="BD12" s="1221">
        <f>'12. Разходи'!AN12-'12. Разходи'!$AI12</f>
        <v>0</v>
      </c>
      <c r="BE12" s="980">
        <f>IFERROR(('12. Разходи'!AN12-'12. Разходи'!$AI12)/'12. Разходи'!$AI12,0)</f>
        <v>0</v>
      </c>
      <c r="BG12" s="724"/>
      <c r="BH12" s="720"/>
      <c r="BI12" s="720"/>
    </row>
    <row r="13" spans="1:68" s="1293" customFormat="1" ht="15.95" customHeight="1">
      <c r="A13" s="1281" t="s">
        <v>340</v>
      </c>
      <c r="B13" s="1282" t="s">
        <v>233</v>
      </c>
      <c r="C13" s="1283">
        <f>'12. Разходи'!C13</f>
        <v>32</v>
      </c>
      <c r="D13" s="1284">
        <f>'12. Разходи'!D13-'12. Разходи'!$C13</f>
        <v>3</v>
      </c>
      <c r="E13" s="1285">
        <f>IFERROR(('12. Разходи'!D13-'12. Разходи'!$C13)/'12. Разходи'!$C13,0)</f>
        <v>9.375E-2</v>
      </c>
      <c r="F13" s="1286">
        <f>'12. Разходи'!E13-'12. Разходи'!$C13</f>
        <v>3</v>
      </c>
      <c r="G13" s="1285">
        <f>IFERROR(('12. Разходи'!E13-'12. Разходи'!$C13)/'12. Разходи'!$C13,0)</f>
        <v>9.375E-2</v>
      </c>
      <c r="H13" s="1286">
        <f>'12. Разходи'!F13-'12. Разходи'!$C13</f>
        <v>3</v>
      </c>
      <c r="I13" s="1285">
        <f>IFERROR(('12. Разходи'!F13-'12. Разходи'!$C13)/'12. Разходи'!$C13,0)</f>
        <v>9.375E-2</v>
      </c>
      <c r="J13" s="1286">
        <f>'12. Разходи'!G13-'12. Разходи'!$C13</f>
        <v>3</v>
      </c>
      <c r="K13" s="1285">
        <f>IFERROR(('12. Разходи'!G13-'12. Разходи'!$C13)/'12. Разходи'!$C13,0)</f>
        <v>9.375E-2</v>
      </c>
      <c r="L13" s="1286">
        <f>'12. Разходи'!H13-'12. Разходи'!$C13</f>
        <v>3</v>
      </c>
      <c r="M13" s="1287">
        <f>IFERROR(('12. Разходи'!H13-'12. Разходи'!$C13)/'12. Разходи'!$C13,0)</f>
        <v>9.375E-2</v>
      </c>
      <c r="N13" s="1288">
        <f>'12. Разходи'!K13</f>
        <v>0</v>
      </c>
      <c r="O13" s="1284">
        <f>'12. Разходи'!L13-'12. Разходи'!$K13</f>
        <v>0</v>
      </c>
      <c r="P13" s="1285">
        <f>IFERROR(('12. Разходи'!L13-'12. Разходи'!$K13)/'12. Разходи'!$K13,0)</f>
        <v>0</v>
      </c>
      <c r="Q13" s="1286">
        <f>'12. Разходи'!M13-'12. Разходи'!$K13</f>
        <v>0</v>
      </c>
      <c r="R13" s="1285">
        <f>IFERROR(('12. Разходи'!M13-'12. Разходи'!$K13)/'12. Разходи'!$K13,0)</f>
        <v>0</v>
      </c>
      <c r="S13" s="1286">
        <f>'12. Разходи'!N13-'12. Разходи'!$K13</f>
        <v>0</v>
      </c>
      <c r="T13" s="1285">
        <f>IFERROR(('12. Разходи'!N13-'12. Разходи'!$K13)/'12. Разходи'!$K13,0)</f>
        <v>0</v>
      </c>
      <c r="U13" s="1286">
        <f>'12. Разходи'!O13-'12. Разходи'!$K13</f>
        <v>0</v>
      </c>
      <c r="V13" s="1285">
        <f>IFERROR(('12. Разходи'!O13-'12. Разходи'!$K13)/'12. Разходи'!$K13,0)</f>
        <v>0</v>
      </c>
      <c r="W13" s="1286">
        <f>'12. Разходи'!P13-'12. Разходи'!$K13</f>
        <v>0</v>
      </c>
      <c r="X13" s="1289">
        <f>IFERROR(('12. Разходи'!P13-'12. Разходи'!$K13)/'12. Разходи'!$K13,0)</f>
        <v>0</v>
      </c>
      <c r="Y13" s="1288">
        <f>'12. Разходи'!S13</f>
        <v>0</v>
      </c>
      <c r="Z13" s="1284">
        <f>'12. Разходи'!T13-'12. Разходи'!$S13</f>
        <v>0</v>
      </c>
      <c r="AA13" s="1285">
        <f>IFERROR(('12. Разходи'!T13-'12. Разходи'!$S13)/'12. Разходи'!$S13,0)</f>
        <v>0</v>
      </c>
      <c r="AB13" s="1286">
        <f>'12. Разходи'!U13-'12. Разходи'!$S13</f>
        <v>0</v>
      </c>
      <c r="AC13" s="1285">
        <f>IFERROR(('12. Разходи'!U13-'12. Разходи'!$S13)/'12. Разходи'!$S13,0)</f>
        <v>0</v>
      </c>
      <c r="AD13" s="1286">
        <f>'12. Разходи'!V13-'12. Разходи'!$S13</f>
        <v>0</v>
      </c>
      <c r="AE13" s="1285">
        <f>IFERROR(('12. Разходи'!V13-'12. Разходи'!$S13)/'12. Разходи'!$S13,0)</f>
        <v>0</v>
      </c>
      <c r="AF13" s="1286">
        <f>'12. Разходи'!W13-'12. Разходи'!$S13</f>
        <v>0</v>
      </c>
      <c r="AG13" s="1285">
        <f>IFERROR(('12. Разходи'!W13-'12. Разходи'!$S13)/'12. Разходи'!$S13,0)</f>
        <v>0</v>
      </c>
      <c r="AH13" s="1286">
        <f>'12. Разходи'!X13-'12. Разходи'!$S13</f>
        <v>0</v>
      </c>
      <c r="AI13" s="1289">
        <f>IFERROR(('12. Разходи'!X13-'12. Разходи'!$S13)/'12. Разходи'!$S13,0)</f>
        <v>0</v>
      </c>
      <c r="AJ13" s="1288">
        <f>'12. Разходи'!AA13</f>
        <v>0</v>
      </c>
      <c r="AK13" s="1290">
        <f>'12. Разходи'!AB13-'12. Разходи'!$AA13</f>
        <v>0</v>
      </c>
      <c r="AL13" s="1285">
        <f>IFERROR(('12. Разходи'!AB13-'12. Разходи'!$AA13)/'12. Разходи'!$AA13,0)</f>
        <v>0</v>
      </c>
      <c r="AM13" s="1286">
        <f>'12. Разходи'!AC13-'12. Разходи'!$AA13</f>
        <v>0</v>
      </c>
      <c r="AN13" s="1285">
        <f>IFERROR(('12. Разходи'!AC13-'12. Разходи'!$AA13)/'12. Разходи'!$AA13,0)</f>
        <v>0</v>
      </c>
      <c r="AO13" s="1286">
        <f>'12. Разходи'!AD13-'12. Разходи'!$AA13</f>
        <v>0</v>
      </c>
      <c r="AP13" s="1285">
        <f>IFERROR(('12. Разходи'!AD13-'12. Разходи'!$AA13)/'12. Разходи'!$AA13,0)</f>
        <v>0</v>
      </c>
      <c r="AQ13" s="1286">
        <f>'12. Разходи'!AE13-'12. Разходи'!$AA13</f>
        <v>0</v>
      </c>
      <c r="AR13" s="1287">
        <f>IFERROR(('12. Разходи'!AE13-'12. Разходи'!$AA13)/'12. Разходи'!$AA13,0)</f>
        <v>0</v>
      </c>
      <c r="AS13" s="1286">
        <f>'12. Разходи'!AF13-'12. Разходи'!$AA13</f>
        <v>0</v>
      </c>
      <c r="AT13" s="1289">
        <f>IFERROR(('12. Разходи'!AF13-'12. Разходи'!$AA13)/'12. Разходи'!$AA13,0)</f>
        <v>0</v>
      </c>
      <c r="AU13" s="1288">
        <f>'12. Разходи'!AI13</f>
        <v>0</v>
      </c>
      <c r="AV13" s="1290">
        <f>'12. Разходи'!AJ13-'12. Разходи'!$AI13</f>
        <v>0</v>
      </c>
      <c r="AW13" s="1285">
        <f>IFERROR(('12. Разходи'!AJ13-'12. Разходи'!$AI13)/'12. Разходи'!$AI13,0)</f>
        <v>0</v>
      </c>
      <c r="AX13" s="1286">
        <f>'12. Разходи'!AK13-'12. Разходи'!$AI13</f>
        <v>0</v>
      </c>
      <c r="AY13" s="1285">
        <f>IFERROR(('12. Разходи'!AK13-'12. Разходи'!$AI13)/'12. Разходи'!$AI13,0)</f>
        <v>0</v>
      </c>
      <c r="AZ13" s="1286">
        <f>'12. Разходи'!AL13-'12. Разходи'!$AI13</f>
        <v>0</v>
      </c>
      <c r="BA13" s="1285">
        <f>IFERROR(('12. Разходи'!AL13-'12. Разходи'!$AI13)/'12. Разходи'!$AI13,0)</f>
        <v>0</v>
      </c>
      <c r="BB13" s="1286">
        <f>'12. Разходи'!AM13-'12. Разходи'!$AI13</f>
        <v>0</v>
      </c>
      <c r="BC13" s="1287">
        <f>IFERROR(('12. Разходи'!AM13-'12. Разходи'!$AI13)/'12. Разходи'!$AI13,0)</f>
        <v>0</v>
      </c>
      <c r="BD13" s="1286">
        <f>'12. Разходи'!AN13-'12. Разходи'!$AI13</f>
        <v>0</v>
      </c>
      <c r="BE13" s="1289">
        <f>IFERROR(('12. Разходи'!AN13-'12. Разходи'!$AI13)/'12. Разходи'!$AI13,0)</f>
        <v>0</v>
      </c>
      <c r="BF13" s="1291"/>
      <c r="BG13" s="1292"/>
      <c r="BJ13" s="1291"/>
      <c r="BK13" s="1291"/>
      <c r="BL13" s="1291"/>
      <c r="BM13" s="1291"/>
      <c r="BN13" s="1291"/>
    </row>
    <row r="14" spans="1:68" s="1293" customFormat="1" ht="15.95" customHeight="1">
      <c r="A14" s="1281" t="s">
        <v>341</v>
      </c>
      <c r="B14" s="1282" t="s">
        <v>234</v>
      </c>
      <c r="C14" s="1283">
        <f>'12. Разходи'!C14</f>
        <v>17</v>
      </c>
      <c r="D14" s="1284">
        <f>'12. Разходи'!D14-'12. Разходи'!$C14</f>
        <v>0</v>
      </c>
      <c r="E14" s="1285">
        <f>IFERROR(('12. Разходи'!D14-'12. Разходи'!$C14)/'12. Разходи'!$C14,0)</f>
        <v>0</v>
      </c>
      <c r="F14" s="1286">
        <f>'12. Разходи'!E14-'12. Разходи'!$C14</f>
        <v>0</v>
      </c>
      <c r="G14" s="1285">
        <f>IFERROR(('12. Разходи'!E14-'12. Разходи'!$C14)/'12. Разходи'!$C14,0)</f>
        <v>0</v>
      </c>
      <c r="H14" s="1286">
        <f>'12. Разходи'!F14-'12. Разходи'!$C14</f>
        <v>0</v>
      </c>
      <c r="I14" s="1285">
        <f>IFERROR(('12. Разходи'!F14-'12. Разходи'!$C14)/'12. Разходи'!$C14,0)</f>
        <v>0</v>
      </c>
      <c r="J14" s="1286">
        <f>'12. Разходи'!G14-'12. Разходи'!$C14</f>
        <v>0</v>
      </c>
      <c r="K14" s="1285">
        <f>IFERROR(('12. Разходи'!G14-'12. Разходи'!$C14)/'12. Разходи'!$C14,0)</f>
        <v>0</v>
      </c>
      <c r="L14" s="1286">
        <f>'12. Разходи'!H14-'12. Разходи'!$C14</f>
        <v>0</v>
      </c>
      <c r="M14" s="1287">
        <f>IFERROR(('12. Разходи'!H14-'12. Разходи'!$C14)/'12. Разходи'!$C14,0)</f>
        <v>0</v>
      </c>
      <c r="N14" s="1288">
        <f>'12. Разходи'!K14</f>
        <v>0</v>
      </c>
      <c r="O14" s="1284">
        <f>'12. Разходи'!L14-'12. Разходи'!$K14</f>
        <v>0</v>
      </c>
      <c r="P14" s="1285">
        <f>IFERROR(('12. Разходи'!L14-'12. Разходи'!$K14)/'12. Разходи'!$K14,0)</f>
        <v>0</v>
      </c>
      <c r="Q14" s="1286">
        <f>'12. Разходи'!M14-'12. Разходи'!$K14</f>
        <v>0</v>
      </c>
      <c r="R14" s="1285">
        <f>IFERROR(('12. Разходи'!M14-'12. Разходи'!$K14)/'12. Разходи'!$K14,0)</f>
        <v>0</v>
      </c>
      <c r="S14" s="1286">
        <f>'12. Разходи'!N14-'12. Разходи'!$K14</f>
        <v>0</v>
      </c>
      <c r="T14" s="1285">
        <f>IFERROR(('12. Разходи'!N14-'12. Разходи'!$K14)/'12. Разходи'!$K14,0)</f>
        <v>0</v>
      </c>
      <c r="U14" s="1286">
        <f>'12. Разходи'!O14-'12. Разходи'!$K14</f>
        <v>0</v>
      </c>
      <c r="V14" s="1285">
        <f>IFERROR(('12. Разходи'!O14-'12. Разходи'!$K14)/'12. Разходи'!$K14,0)</f>
        <v>0</v>
      </c>
      <c r="W14" s="1286">
        <f>'12. Разходи'!P14-'12. Разходи'!$K14</f>
        <v>0</v>
      </c>
      <c r="X14" s="1289">
        <f>IFERROR(('12. Разходи'!P14-'12. Разходи'!$K14)/'12. Разходи'!$K14,0)</f>
        <v>0</v>
      </c>
      <c r="Y14" s="1288">
        <f>'12. Разходи'!S14</f>
        <v>0</v>
      </c>
      <c r="Z14" s="1284">
        <f>'12. Разходи'!T14-'12. Разходи'!$S14</f>
        <v>0</v>
      </c>
      <c r="AA14" s="1285">
        <f>IFERROR(('12. Разходи'!T14-'12. Разходи'!$S14)/'12. Разходи'!$S14,0)</f>
        <v>0</v>
      </c>
      <c r="AB14" s="1286">
        <f>'12. Разходи'!U14-'12. Разходи'!$S14</f>
        <v>0</v>
      </c>
      <c r="AC14" s="1285">
        <f>IFERROR(('12. Разходи'!U14-'12. Разходи'!$S14)/'12. Разходи'!$S14,0)</f>
        <v>0</v>
      </c>
      <c r="AD14" s="1286">
        <f>'12. Разходи'!V14-'12. Разходи'!$S14</f>
        <v>0</v>
      </c>
      <c r="AE14" s="1285">
        <f>IFERROR(('12. Разходи'!V14-'12. Разходи'!$S14)/'12. Разходи'!$S14,0)</f>
        <v>0</v>
      </c>
      <c r="AF14" s="1286">
        <f>'12. Разходи'!W14-'12. Разходи'!$S14</f>
        <v>0</v>
      </c>
      <c r="AG14" s="1285">
        <f>IFERROR(('12. Разходи'!W14-'12. Разходи'!$S14)/'12. Разходи'!$S14,0)</f>
        <v>0</v>
      </c>
      <c r="AH14" s="1286">
        <f>'12. Разходи'!X14-'12. Разходи'!$S14</f>
        <v>0</v>
      </c>
      <c r="AI14" s="1289">
        <f>IFERROR(('12. Разходи'!X14-'12. Разходи'!$S14)/'12. Разходи'!$S14,0)</f>
        <v>0</v>
      </c>
      <c r="AJ14" s="1288">
        <f>'12. Разходи'!AA14</f>
        <v>0</v>
      </c>
      <c r="AK14" s="1290">
        <f>'12. Разходи'!AB14-'12. Разходи'!$AA14</f>
        <v>0</v>
      </c>
      <c r="AL14" s="1285">
        <f>IFERROR(('12. Разходи'!AB14-'12. Разходи'!$AA14)/'12. Разходи'!$AA14,0)</f>
        <v>0</v>
      </c>
      <c r="AM14" s="1286">
        <f>'12. Разходи'!AC14-'12. Разходи'!$AA14</f>
        <v>0</v>
      </c>
      <c r="AN14" s="1285">
        <f>IFERROR(('12. Разходи'!AC14-'12. Разходи'!$AA14)/'12. Разходи'!$AA14,0)</f>
        <v>0</v>
      </c>
      <c r="AO14" s="1286">
        <f>'12. Разходи'!AD14-'12. Разходи'!$AA14</f>
        <v>0</v>
      </c>
      <c r="AP14" s="1285">
        <f>IFERROR(('12. Разходи'!AD14-'12. Разходи'!$AA14)/'12. Разходи'!$AA14,0)</f>
        <v>0</v>
      </c>
      <c r="AQ14" s="1286">
        <f>'12. Разходи'!AE14-'12. Разходи'!$AA14</f>
        <v>0</v>
      </c>
      <c r="AR14" s="1287">
        <f>IFERROR(('12. Разходи'!AE14-'12. Разходи'!$AA14)/'12. Разходи'!$AA14,0)</f>
        <v>0</v>
      </c>
      <c r="AS14" s="1286">
        <f>'12. Разходи'!AF14-'12. Разходи'!$AA14</f>
        <v>0</v>
      </c>
      <c r="AT14" s="1289">
        <f>IFERROR(('12. Разходи'!AF14-'12. Разходи'!$AA14)/'12. Разходи'!$AA14,0)</f>
        <v>0</v>
      </c>
      <c r="AU14" s="1288">
        <f>'12. Разходи'!AI14</f>
        <v>0</v>
      </c>
      <c r="AV14" s="1290">
        <f>'12. Разходи'!AJ14-'12. Разходи'!$AI14</f>
        <v>0</v>
      </c>
      <c r="AW14" s="1285">
        <f>IFERROR(('12. Разходи'!AJ14-'12. Разходи'!$AI14)/'12. Разходи'!$AI14,0)</f>
        <v>0</v>
      </c>
      <c r="AX14" s="1286">
        <f>'12. Разходи'!AK14-'12. Разходи'!$AI14</f>
        <v>0</v>
      </c>
      <c r="AY14" s="1285">
        <f>IFERROR(('12. Разходи'!AK14-'12. Разходи'!$AI14)/'12. Разходи'!$AI14,0)</f>
        <v>0</v>
      </c>
      <c r="AZ14" s="1286">
        <f>'12. Разходи'!AL14-'12. Разходи'!$AI14</f>
        <v>0</v>
      </c>
      <c r="BA14" s="1285">
        <f>IFERROR(('12. Разходи'!AL14-'12. Разходи'!$AI14)/'12. Разходи'!$AI14,0)</f>
        <v>0</v>
      </c>
      <c r="BB14" s="1286">
        <f>'12. Разходи'!AM14-'12. Разходи'!$AI14</f>
        <v>0</v>
      </c>
      <c r="BC14" s="1287">
        <f>IFERROR(('12. Разходи'!AM14-'12. Разходи'!$AI14)/'12. Разходи'!$AI14,0)</f>
        <v>0</v>
      </c>
      <c r="BD14" s="1286">
        <f>'12. Разходи'!AN14-'12. Разходи'!$AI14</f>
        <v>0</v>
      </c>
      <c r="BE14" s="1289">
        <f>IFERROR(('12. Разходи'!AN14-'12. Разходи'!$AI14)/'12. Разходи'!$AI14,0)</f>
        <v>0</v>
      </c>
      <c r="BF14" s="1291"/>
      <c r="BG14" s="1292"/>
      <c r="BJ14" s="1291"/>
      <c r="BK14" s="1291"/>
      <c r="BL14" s="1291"/>
      <c r="BM14" s="1291"/>
      <c r="BN14" s="1291"/>
    </row>
    <row r="15" spans="1:68" s="1293" customFormat="1" ht="15.95" customHeight="1">
      <c r="A15" s="1281" t="s">
        <v>342</v>
      </c>
      <c r="B15" s="1294" t="s">
        <v>235</v>
      </c>
      <c r="C15" s="1295">
        <f>'12. Разходи'!C15</f>
        <v>1</v>
      </c>
      <c r="D15" s="1284">
        <f>'12. Разходи'!D15-'12. Разходи'!$C15</f>
        <v>-0.43700000000000006</v>
      </c>
      <c r="E15" s="1285">
        <f>IFERROR(('12. Разходи'!D15-'12. Разходи'!$C15)/'12. Разходи'!$C15,0)</f>
        <v>-0.43700000000000006</v>
      </c>
      <c r="F15" s="1286">
        <f>'12. Разходи'!E15-'12. Разходи'!$C15</f>
        <v>0</v>
      </c>
      <c r="G15" s="1285">
        <f>IFERROR(('12. Разходи'!E15-'12. Разходи'!$C15)/'12. Разходи'!$C15,0)</f>
        <v>0</v>
      </c>
      <c r="H15" s="1286">
        <f>'12. Разходи'!F15-'12. Разходи'!$C15</f>
        <v>0</v>
      </c>
      <c r="I15" s="1285">
        <f>IFERROR(('12. Разходи'!F15-'12. Разходи'!$C15)/'12. Разходи'!$C15,0)</f>
        <v>0</v>
      </c>
      <c r="J15" s="1286">
        <f>'12. Разходи'!G15-'12. Разходи'!$C15</f>
        <v>0</v>
      </c>
      <c r="K15" s="1285">
        <f>IFERROR(('12. Разходи'!G15-'12. Разходи'!$C15)/'12. Разходи'!$C15,0)</f>
        <v>0</v>
      </c>
      <c r="L15" s="1286">
        <f>'12. Разходи'!H15-'12. Разходи'!$C15</f>
        <v>0</v>
      </c>
      <c r="M15" s="1287">
        <f>IFERROR(('12. Разходи'!H15-'12. Разходи'!$C15)/'12. Разходи'!$C15,0)</f>
        <v>0</v>
      </c>
      <c r="N15" s="1288">
        <f>'12. Разходи'!K15</f>
        <v>0</v>
      </c>
      <c r="O15" s="1284">
        <f>'12. Разходи'!L15-'12. Разходи'!$K15</f>
        <v>0</v>
      </c>
      <c r="P15" s="1285">
        <f>IFERROR(('12. Разходи'!L15-'12. Разходи'!$K15)/'12. Разходи'!$K15,0)</f>
        <v>0</v>
      </c>
      <c r="Q15" s="1286">
        <f>'12. Разходи'!M15-'12. Разходи'!$K15</f>
        <v>0</v>
      </c>
      <c r="R15" s="1285">
        <f>IFERROR(('12. Разходи'!M15-'12. Разходи'!$K15)/'12. Разходи'!$K15,0)</f>
        <v>0</v>
      </c>
      <c r="S15" s="1286">
        <f>'12. Разходи'!N15-'12. Разходи'!$K15</f>
        <v>0</v>
      </c>
      <c r="T15" s="1285">
        <f>IFERROR(('12. Разходи'!N15-'12. Разходи'!$K15)/'12. Разходи'!$K15,0)</f>
        <v>0</v>
      </c>
      <c r="U15" s="1286">
        <f>'12. Разходи'!O15-'12. Разходи'!$K15</f>
        <v>0</v>
      </c>
      <c r="V15" s="1285">
        <f>IFERROR(('12. Разходи'!O15-'12. Разходи'!$K15)/'12. Разходи'!$K15,0)</f>
        <v>0</v>
      </c>
      <c r="W15" s="1286">
        <f>'12. Разходи'!P15-'12. Разходи'!$K15</f>
        <v>0</v>
      </c>
      <c r="X15" s="1289">
        <f>IFERROR(('12. Разходи'!P15-'12. Разходи'!$K15)/'12. Разходи'!$K15,0)</f>
        <v>0</v>
      </c>
      <c r="Y15" s="1288">
        <f>'12. Разходи'!S15</f>
        <v>0</v>
      </c>
      <c r="Z15" s="1284">
        <f>'12. Разходи'!T15-'12. Разходи'!$S15</f>
        <v>0</v>
      </c>
      <c r="AA15" s="1285">
        <f>IFERROR(('12. Разходи'!T15-'12. Разходи'!$S15)/'12. Разходи'!$S15,0)</f>
        <v>0</v>
      </c>
      <c r="AB15" s="1286">
        <f>'12. Разходи'!U15-'12. Разходи'!$S15</f>
        <v>0</v>
      </c>
      <c r="AC15" s="1285">
        <f>IFERROR(('12. Разходи'!U15-'12. Разходи'!$S15)/'12. Разходи'!$S15,0)</f>
        <v>0</v>
      </c>
      <c r="AD15" s="1286">
        <f>'12. Разходи'!V15-'12. Разходи'!$S15</f>
        <v>13.14</v>
      </c>
      <c r="AE15" s="1285">
        <f>IFERROR(('12. Разходи'!V15-'12. Разходи'!$S15)/'12. Разходи'!$S15,0)</f>
        <v>0</v>
      </c>
      <c r="AF15" s="1286">
        <f>'12. Разходи'!W15-'12. Разходи'!$S15</f>
        <v>13.14</v>
      </c>
      <c r="AG15" s="1285">
        <f>IFERROR(('12. Разходи'!W15-'12. Разходи'!$S15)/'12. Разходи'!$S15,0)</f>
        <v>0</v>
      </c>
      <c r="AH15" s="1286">
        <f>'12. Разходи'!X15-'12. Разходи'!$S15</f>
        <v>13.14</v>
      </c>
      <c r="AI15" s="1289">
        <f>IFERROR(('12. Разходи'!X15-'12. Разходи'!$S15)/'12. Разходи'!$S15,0)</f>
        <v>0</v>
      </c>
      <c r="AJ15" s="1288">
        <f>'12. Разходи'!AA15</f>
        <v>0</v>
      </c>
      <c r="AK15" s="1290">
        <f>'12. Разходи'!AB15-'12. Разходи'!$AA15</f>
        <v>0</v>
      </c>
      <c r="AL15" s="1285">
        <f>IFERROR(('12. Разходи'!AB15-'12. Разходи'!$AA15)/'12. Разходи'!$AA15,0)</f>
        <v>0</v>
      </c>
      <c r="AM15" s="1286">
        <f>'12. Разходи'!AC15-'12. Разходи'!$AA15</f>
        <v>0</v>
      </c>
      <c r="AN15" s="1285">
        <f>IFERROR(('12. Разходи'!AC15-'12. Разходи'!$AA15)/'12. Разходи'!$AA15,0)</f>
        <v>0</v>
      </c>
      <c r="AO15" s="1286">
        <f>'12. Разходи'!AD15-'12. Разходи'!$AA15</f>
        <v>0</v>
      </c>
      <c r="AP15" s="1285">
        <f>IFERROR(('12. Разходи'!AD15-'12. Разходи'!$AA15)/'12. Разходи'!$AA15,0)</f>
        <v>0</v>
      </c>
      <c r="AQ15" s="1286">
        <f>'12. Разходи'!AE15-'12. Разходи'!$AA15</f>
        <v>0</v>
      </c>
      <c r="AR15" s="1287">
        <f>IFERROR(('12. Разходи'!AE15-'12. Разходи'!$AA15)/'12. Разходи'!$AA15,0)</f>
        <v>0</v>
      </c>
      <c r="AS15" s="1286">
        <f>'12. Разходи'!AF15-'12. Разходи'!$AA15</f>
        <v>0</v>
      </c>
      <c r="AT15" s="1289">
        <f>IFERROR(('12. Разходи'!AF15-'12. Разходи'!$AA15)/'12. Разходи'!$AA15,0)</f>
        <v>0</v>
      </c>
      <c r="AU15" s="1288">
        <f>'12. Разходи'!AI15</f>
        <v>0</v>
      </c>
      <c r="AV15" s="1290">
        <f>'12. Разходи'!AJ15-'12. Разходи'!$AI15</f>
        <v>0</v>
      </c>
      <c r="AW15" s="1285">
        <f>IFERROR(('12. Разходи'!AJ15-'12. Разходи'!$AI15)/'12. Разходи'!$AI15,0)</f>
        <v>0</v>
      </c>
      <c r="AX15" s="1286">
        <f>'12. Разходи'!AK15-'12. Разходи'!$AI15</f>
        <v>0</v>
      </c>
      <c r="AY15" s="1285">
        <f>IFERROR(('12. Разходи'!AK15-'12. Разходи'!$AI15)/'12. Разходи'!$AI15,0)</f>
        <v>0</v>
      </c>
      <c r="AZ15" s="1286">
        <f>'12. Разходи'!AL15-'12. Разходи'!$AI15</f>
        <v>0</v>
      </c>
      <c r="BA15" s="1285">
        <f>IFERROR(('12. Разходи'!AL15-'12. Разходи'!$AI15)/'12. Разходи'!$AI15,0)</f>
        <v>0</v>
      </c>
      <c r="BB15" s="1286">
        <f>'12. Разходи'!AM15-'12. Разходи'!$AI15</f>
        <v>0</v>
      </c>
      <c r="BC15" s="1287">
        <f>IFERROR(('12. Разходи'!AM15-'12. Разходи'!$AI15)/'12. Разходи'!$AI15,0)</f>
        <v>0</v>
      </c>
      <c r="BD15" s="1286">
        <f>'12. Разходи'!AN15-'12. Разходи'!$AI15</f>
        <v>0</v>
      </c>
      <c r="BE15" s="1289">
        <f>IFERROR(('12. Разходи'!AN15-'12. Разходи'!$AI15)/'12. Разходи'!$AI15,0)</f>
        <v>0</v>
      </c>
      <c r="BF15" s="1291"/>
      <c r="BG15" s="1292"/>
      <c r="BJ15" s="1291"/>
      <c r="BK15" s="1291"/>
      <c r="BL15" s="1291"/>
      <c r="BM15" s="1291"/>
      <c r="BN15" s="1291"/>
    </row>
    <row r="16" spans="1:68" s="1293" customFormat="1" ht="15.95" customHeight="1">
      <c r="A16" s="1281" t="s">
        <v>343</v>
      </c>
      <c r="B16" s="1294" t="s">
        <v>236</v>
      </c>
      <c r="C16" s="1295">
        <f>'12. Разходи'!C16</f>
        <v>34</v>
      </c>
      <c r="D16" s="1284">
        <f>'12. Разходи'!D16-'12. Разходи'!$C16</f>
        <v>-24</v>
      </c>
      <c r="E16" s="1285">
        <f>IFERROR(('12. Разходи'!D16-'12. Разходи'!$C16)/'12. Разходи'!$C16,0)</f>
        <v>-0.70588235294117652</v>
      </c>
      <c r="F16" s="1286">
        <f>'12. Разходи'!E16-'12. Разходи'!$C16</f>
        <v>-24</v>
      </c>
      <c r="G16" s="1285">
        <f>IFERROR(('12. Разходи'!E16-'12. Разходи'!$C16)/'12. Разходи'!$C16,0)</f>
        <v>-0.70588235294117652</v>
      </c>
      <c r="H16" s="1286">
        <f>'12. Разходи'!F16-'12. Разходи'!$C16</f>
        <v>-24</v>
      </c>
      <c r="I16" s="1285">
        <f>IFERROR(('12. Разходи'!F16-'12. Разходи'!$C16)/'12. Разходи'!$C16,0)</f>
        <v>-0.70588235294117652</v>
      </c>
      <c r="J16" s="1286">
        <f>'12. Разходи'!G16-'12. Разходи'!$C16</f>
        <v>-24</v>
      </c>
      <c r="K16" s="1285">
        <f>IFERROR(('12. Разходи'!G16-'12. Разходи'!$C16)/'12. Разходи'!$C16,0)</f>
        <v>-0.70588235294117652</v>
      </c>
      <c r="L16" s="1286">
        <f>'12. Разходи'!H16-'12. Разходи'!$C16</f>
        <v>-24</v>
      </c>
      <c r="M16" s="1287">
        <f>IFERROR(('12. Разходи'!H16-'12. Разходи'!$C16)/'12. Разходи'!$C16,0)</f>
        <v>-0.70588235294117652</v>
      </c>
      <c r="N16" s="1288">
        <f>'12. Разходи'!K16</f>
        <v>0</v>
      </c>
      <c r="O16" s="1284">
        <f>'12. Разходи'!L16-'12. Разходи'!$K16</f>
        <v>0</v>
      </c>
      <c r="P16" s="1285">
        <f>IFERROR(('12. Разходи'!L16-'12. Разходи'!$K16)/'12. Разходи'!$K16,0)</f>
        <v>0</v>
      </c>
      <c r="Q16" s="1286">
        <f>'12. Разходи'!M16-'12. Разходи'!$K16</f>
        <v>0</v>
      </c>
      <c r="R16" s="1285">
        <f>IFERROR(('12. Разходи'!M16-'12. Разходи'!$K16)/'12. Разходи'!$K16,0)</f>
        <v>0</v>
      </c>
      <c r="S16" s="1286">
        <f>'12. Разходи'!N16-'12. Разходи'!$K16</f>
        <v>0</v>
      </c>
      <c r="T16" s="1285">
        <f>IFERROR(('12. Разходи'!N16-'12. Разходи'!$K16)/'12. Разходи'!$K16,0)</f>
        <v>0</v>
      </c>
      <c r="U16" s="1286">
        <f>'12. Разходи'!O16-'12. Разходи'!$K16</f>
        <v>0</v>
      </c>
      <c r="V16" s="1285">
        <f>IFERROR(('12. Разходи'!O16-'12. Разходи'!$K16)/'12. Разходи'!$K16,0)</f>
        <v>0</v>
      </c>
      <c r="W16" s="1286">
        <f>'12. Разходи'!P16-'12. Разходи'!$K16</f>
        <v>0</v>
      </c>
      <c r="X16" s="1289">
        <f>IFERROR(('12. Разходи'!P16-'12. Разходи'!$K16)/'12. Разходи'!$K16,0)</f>
        <v>0</v>
      </c>
      <c r="Y16" s="1288">
        <f>'12. Разходи'!S16</f>
        <v>2</v>
      </c>
      <c r="Z16" s="1284">
        <f>'12. Разходи'!T16-'12. Разходи'!$S16</f>
        <v>0.20000000000000018</v>
      </c>
      <c r="AA16" s="1285">
        <f>IFERROR(('12. Разходи'!T16-'12. Разходи'!$S16)/'12. Разходи'!$S16,0)</f>
        <v>0.10000000000000009</v>
      </c>
      <c r="AB16" s="1286">
        <f>'12. Разходи'!U16-'12. Разходи'!$S16</f>
        <v>0.20000000000000018</v>
      </c>
      <c r="AC16" s="1285">
        <f>IFERROR(('12. Разходи'!U16-'12. Разходи'!$S16)/'12. Разходи'!$S16,0)</f>
        <v>0.10000000000000009</v>
      </c>
      <c r="AD16" s="1286">
        <f>'12. Разходи'!V16-'12. Разходи'!$S16</f>
        <v>0.20000000000000018</v>
      </c>
      <c r="AE16" s="1285">
        <f>IFERROR(('12. Разходи'!V16-'12. Разходи'!$S16)/'12. Разходи'!$S16,0)</f>
        <v>0.10000000000000009</v>
      </c>
      <c r="AF16" s="1286">
        <f>'12. Разходи'!W16-'12. Разходи'!$S16</f>
        <v>0.20000000000000018</v>
      </c>
      <c r="AG16" s="1285">
        <f>IFERROR(('12. Разходи'!W16-'12. Разходи'!$S16)/'12. Разходи'!$S16,0)</f>
        <v>0.10000000000000009</v>
      </c>
      <c r="AH16" s="1286">
        <f>'12. Разходи'!X16-'12. Разходи'!$S16</f>
        <v>0.20000000000000018</v>
      </c>
      <c r="AI16" s="1289">
        <f>IFERROR(('12. Разходи'!X16-'12. Разходи'!$S16)/'12. Разходи'!$S16,0)</f>
        <v>0.10000000000000009</v>
      </c>
      <c r="AJ16" s="1288">
        <f>'12. Разходи'!AA16</f>
        <v>0</v>
      </c>
      <c r="AK16" s="1290">
        <f>'12. Разходи'!AB16-'12. Разходи'!$AA16</f>
        <v>0</v>
      </c>
      <c r="AL16" s="1285">
        <f>IFERROR(('12. Разходи'!AB16-'12. Разходи'!$AA16)/'12. Разходи'!$AA16,0)</f>
        <v>0</v>
      </c>
      <c r="AM16" s="1286">
        <f>'12. Разходи'!AC16-'12. Разходи'!$AA16</f>
        <v>0</v>
      </c>
      <c r="AN16" s="1285">
        <f>IFERROR(('12. Разходи'!AC16-'12. Разходи'!$AA16)/'12. Разходи'!$AA16,0)</f>
        <v>0</v>
      </c>
      <c r="AO16" s="1286">
        <f>'12. Разходи'!AD16-'12. Разходи'!$AA16</f>
        <v>0</v>
      </c>
      <c r="AP16" s="1285">
        <f>IFERROR(('12. Разходи'!AD16-'12. Разходи'!$AA16)/'12. Разходи'!$AA16,0)</f>
        <v>0</v>
      </c>
      <c r="AQ16" s="1286">
        <f>'12. Разходи'!AE16-'12. Разходи'!$AA16</f>
        <v>0</v>
      </c>
      <c r="AR16" s="1287">
        <f>IFERROR(('12. Разходи'!AE16-'12. Разходи'!$AA16)/'12. Разходи'!$AA16,0)</f>
        <v>0</v>
      </c>
      <c r="AS16" s="1286">
        <f>'12. Разходи'!AF16-'12. Разходи'!$AA16</f>
        <v>0</v>
      </c>
      <c r="AT16" s="1289">
        <f>IFERROR(('12. Разходи'!AF16-'12. Разходи'!$AA16)/'12. Разходи'!$AA16,0)</f>
        <v>0</v>
      </c>
      <c r="AU16" s="1288">
        <f>'12. Разходи'!AI16</f>
        <v>0</v>
      </c>
      <c r="AV16" s="1290">
        <f>'12. Разходи'!AJ16-'12. Разходи'!$AI16</f>
        <v>0</v>
      </c>
      <c r="AW16" s="1285">
        <f>IFERROR(('12. Разходи'!AJ16-'12. Разходи'!$AI16)/'12. Разходи'!$AI16,0)</f>
        <v>0</v>
      </c>
      <c r="AX16" s="1286">
        <f>'12. Разходи'!AK16-'12. Разходи'!$AI16</f>
        <v>0</v>
      </c>
      <c r="AY16" s="1285">
        <f>IFERROR(('12. Разходи'!AK16-'12. Разходи'!$AI16)/'12. Разходи'!$AI16,0)</f>
        <v>0</v>
      </c>
      <c r="AZ16" s="1286">
        <f>'12. Разходи'!AL16-'12. Разходи'!$AI16</f>
        <v>0</v>
      </c>
      <c r="BA16" s="1285">
        <f>IFERROR(('12. Разходи'!AL16-'12. Разходи'!$AI16)/'12. Разходи'!$AI16,0)</f>
        <v>0</v>
      </c>
      <c r="BB16" s="1286">
        <f>'12. Разходи'!AM16-'12. Разходи'!$AI16</f>
        <v>0</v>
      </c>
      <c r="BC16" s="1287">
        <f>IFERROR(('12. Разходи'!AM16-'12. Разходи'!$AI16)/'12. Разходи'!$AI16,0)</f>
        <v>0</v>
      </c>
      <c r="BD16" s="1286">
        <f>'12. Разходи'!AN16-'12. Разходи'!$AI16</f>
        <v>0</v>
      </c>
      <c r="BE16" s="1289">
        <f>IFERROR(('12. Разходи'!AN16-'12. Разходи'!$AI16)/'12. Разходи'!$AI16,0)</f>
        <v>0</v>
      </c>
      <c r="BF16" s="1291"/>
      <c r="BG16" s="1292"/>
      <c r="BJ16" s="1291"/>
      <c r="BK16" s="1291"/>
      <c r="BL16" s="1291"/>
      <c r="BM16" s="1291"/>
      <c r="BN16" s="1291"/>
    </row>
    <row r="17" spans="1:66" s="738" customFormat="1" ht="15.95" customHeight="1">
      <c r="A17" s="118" t="s">
        <v>94</v>
      </c>
      <c r="B17" s="983" t="s">
        <v>237</v>
      </c>
      <c r="C17" s="1202">
        <f>'12. Разходи'!C17</f>
        <v>2908.6379999999999</v>
      </c>
      <c r="D17" s="1222">
        <f>'12. Разходи'!D17-'12. Разходи'!$C17</f>
        <v>-460.52166416836735</v>
      </c>
      <c r="E17" s="964">
        <f>IFERROR(('12. Разходи'!D17-'12. Разходи'!$C17)/'12. Разходи'!$C17,0)</f>
        <v>-0.15832897189968892</v>
      </c>
      <c r="F17" s="1223">
        <f>'12. Разходи'!E17-'12. Разходи'!$C17</f>
        <v>-1189.3239061713311</v>
      </c>
      <c r="G17" s="964">
        <f>IFERROR(('12. Разходи'!E17-'12. Разходи'!$C17)/'12. Разходи'!$C17,0)</f>
        <v>-0.40889375239247072</v>
      </c>
      <c r="H17" s="1223">
        <f>'12. Разходи'!F17-'12. Разходи'!$C17</f>
        <v>-1488.3685445271642</v>
      </c>
      <c r="I17" s="964">
        <f>IFERROR(('12. Разходи'!F17-'12. Разходи'!$C17)/'12. Разходи'!$C17,0)</f>
        <v>-0.51170635346411764</v>
      </c>
      <c r="J17" s="1223">
        <f>'12. Разходи'!G17-'12. Разходи'!$C17</f>
        <v>-1667.3936915571853</v>
      </c>
      <c r="K17" s="964">
        <f>IFERROR(('12. Разходи'!G17-'12. Разходи'!$C17)/'12. Разходи'!$C17,0)</f>
        <v>-0.57325583023985294</v>
      </c>
      <c r="L17" s="1223">
        <f>'12. Разходи'!H17-'12. Разходи'!$C17</f>
        <v>-1783.5893063270962</v>
      </c>
      <c r="M17" s="997">
        <f>IFERROR(('12. Разходи'!H17-'12. Разходи'!$C17)/'12. Разходи'!$C17,0)</f>
        <v>-0.61320429229319573</v>
      </c>
      <c r="N17" s="1256">
        <f>'12. Разходи'!K17</f>
        <v>0</v>
      </c>
      <c r="O17" s="1222">
        <f>'12. Разходи'!L17-'12. Разходи'!$K17</f>
        <v>0</v>
      </c>
      <c r="P17" s="964">
        <f>IFERROR(('12. Разходи'!L17-'12. Разходи'!$K17)/'12. Разходи'!$K17,0)</f>
        <v>0</v>
      </c>
      <c r="Q17" s="1223">
        <f>'12. Разходи'!M17-'12. Разходи'!$K17</f>
        <v>0</v>
      </c>
      <c r="R17" s="964">
        <f>IFERROR(('12. Разходи'!M17-'12. Разходи'!$K17)/'12. Разходи'!$K17,0)</f>
        <v>0</v>
      </c>
      <c r="S17" s="1223">
        <f>'12. Разходи'!N17-'12. Разходи'!$K17</f>
        <v>226.306740558</v>
      </c>
      <c r="T17" s="964">
        <f>IFERROR(('12. Разходи'!N17-'12. Разходи'!$K17)/'12. Разходи'!$K17,0)</f>
        <v>0</v>
      </c>
      <c r="U17" s="1223">
        <f>'12. Разходи'!O17-'12. Разходи'!$K17</f>
        <v>226.306740558</v>
      </c>
      <c r="V17" s="964">
        <f>IFERROR(('12. Разходи'!O17-'12. Разходи'!$K17)/'12. Разходи'!$K17,0)</f>
        <v>0</v>
      </c>
      <c r="W17" s="1223">
        <f>'12. Разходи'!P17-'12. Разходи'!$K17</f>
        <v>226.306740558</v>
      </c>
      <c r="X17" s="900">
        <f>IFERROR(('12. Разходи'!P17-'12. Разходи'!$K17)/'12. Разходи'!$K17,0)</f>
        <v>0</v>
      </c>
      <c r="Y17" s="1256">
        <f>'12. Разходи'!S17</f>
        <v>391.15</v>
      </c>
      <c r="Z17" s="1222">
        <f>'12. Разходи'!T17-'12. Разходи'!$S17</f>
        <v>-35.980794739113605</v>
      </c>
      <c r="AA17" s="964">
        <f>IFERROR(('12. Разходи'!T17-'12. Разходи'!$S17)/'12. Разходи'!$S17,0)</f>
        <v>-9.1987203730317282E-2</v>
      </c>
      <c r="AB17" s="1223">
        <f>'12. Разходи'!U17-'12. Разходи'!$S17</f>
        <v>-48.146230078231895</v>
      </c>
      <c r="AC17" s="964">
        <f>IFERROR(('12. Разходи'!U17-'12. Разходи'!$S17)/'12. Разходи'!$S17,0)</f>
        <v>-0.12308891749516017</v>
      </c>
      <c r="AD17" s="1223">
        <f>'12. Разходи'!V17-'12. Разходи'!$S17</f>
        <v>472.75066971671515</v>
      </c>
      <c r="AE17" s="964">
        <f>IFERROR(('12. Разходи'!V17-'12. Разходи'!$S17)/'12. Разходи'!$S17,0)</f>
        <v>1.2086173327795351</v>
      </c>
      <c r="AF17" s="1223">
        <f>'12. Разходи'!W17-'12. Разходи'!$S17</f>
        <v>407.81512089168393</v>
      </c>
      <c r="AG17" s="964">
        <f>IFERROR(('12. Разходи'!W17-'12. Разходи'!$S17)/'12. Разходи'!$S17,0)</f>
        <v>1.0426054477609203</v>
      </c>
      <c r="AH17" s="1223">
        <f>'12. Разходи'!X17-'12. Разходи'!$S17</f>
        <v>379.14010695074091</v>
      </c>
      <c r="AI17" s="900">
        <f>IFERROR(('12. Разходи'!X17-'12. Разходи'!$S17)/'12. Разходи'!$S17,0)</f>
        <v>0.96929594005046893</v>
      </c>
      <c r="AJ17" s="1256">
        <f>'12. Разходи'!AA17</f>
        <v>0</v>
      </c>
      <c r="AK17" s="1233">
        <f>'12. Разходи'!AB17-'12. Разходи'!$AA17</f>
        <v>117.50975261600001</v>
      </c>
      <c r="AL17" s="964">
        <f>IFERROR(('12. Разходи'!AB17-'12. Разходи'!$AA17)/'12. Разходи'!$AA17,0)</f>
        <v>0</v>
      </c>
      <c r="AM17" s="1223">
        <f>'12. Разходи'!AC17-'12. Разходи'!$AA17</f>
        <v>106.73816233600002</v>
      </c>
      <c r="AN17" s="964">
        <f>IFERROR(('12. Разходи'!AC17-'12. Разходи'!$AA17)/'12. Разходи'!$AA17,0)</f>
        <v>0</v>
      </c>
      <c r="AO17" s="1223">
        <f>'12. Разходи'!AD17-'12. Разходи'!$AA17</f>
        <v>92.637545177999996</v>
      </c>
      <c r="AP17" s="964">
        <f>IFERROR(('12. Разходи'!AD17-'12. Разходи'!$AA17)/'12. Разходи'!$AA17,0)</f>
        <v>0</v>
      </c>
      <c r="AQ17" s="1223">
        <f>'12. Разходи'!AE17-'12. Разходи'!$AA17</f>
        <v>84.122307796000001</v>
      </c>
      <c r="AR17" s="973">
        <f>IFERROR(('12. Разходи'!AE17-'12. Разходи'!$AA17)/'12. Разходи'!$AA17,0)</f>
        <v>0</v>
      </c>
      <c r="AS17" s="1223">
        <f>'12. Разходи'!AF17-'12. Разходи'!$AA17</f>
        <v>78.274926466000011</v>
      </c>
      <c r="AT17" s="978">
        <f>IFERROR(('12. Разходи'!AF17-'12. Разходи'!$AA17)/'12. Разходи'!$AA17,0)</f>
        <v>0</v>
      </c>
      <c r="AU17" s="1256">
        <f>'12. Разходи'!AI17</f>
        <v>0</v>
      </c>
      <c r="AV17" s="1233">
        <f>'12. Разходи'!AJ17-'12. Разходи'!$AI17</f>
        <v>0</v>
      </c>
      <c r="AW17" s="964">
        <f>IFERROR(('12. Разходи'!AJ17-'12. Разходи'!$AI17)/'12. Разходи'!$AI17,0)</f>
        <v>0</v>
      </c>
      <c r="AX17" s="1223">
        <f>'12. Разходи'!AK17-'12. Разходи'!$AI17</f>
        <v>0</v>
      </c>
      <c r="AY17" s="964">
        <f>IFERROR(('12. Разходи'!AK17-'12. Разходи'!$AI17)/'12. Разходи'!$AI17,0)</f>
        <v>0</v>
      </c>
      <c r="AZ17" s="1223">
        <f>'12. Разходи'!AL17-'12. Разходи'!$AI17</f>
        <v>0</v>
      </c>
      <c r="BA17" s="964">
        <f>IFERROR(('12. Разходи'!AL17-'12. Разходи'!$AI17)/'12. Разходи'!$AI17,0)</f>
        <v>0</v>
      </c>
      <c r="BB17" s="1223">
        <f>'12. Разходи'!AM17-'12. Разходи'!$AI17</f>
        <v>0</v>
      </c>
      <c r="BC17" s="973">
        <f>IFERROR(('12. Разходи'!AM17-'12. Разходи'!$AI17)/'12. Разходи'!$AI17,0)</f>
        <v>0</v>
      </c>
      <c r="BD17" s="1223">
        <f>'12. Разходи'!AN17-'12. Разходи'!$AI17</f>
        <v>0</v>
      </c>
      <c r="BE17" s="978">
        <f>IFERROR(('12. Разходи'!AN17-'12. Разходи'!$AI17)/'12. Разходи'!$AI17,0)</f>
        <v>0</v>
      </c>
      <c r="BF17" s="49"/>
      <c r="BG17" s="724"/>
      <c r="BH17" s="720"/>
      <c r="BI17" s="720"/>
      <c r="BJ17" s="49"/>
      <c r="BK17" s="49"/>
      <c r="BL17" s="49"/>
      <c r="BM17" s="49"/>
      <c r="BN17" s="49"/>
    </row>
    <row r="18" spans="1:66" ht="15.95" customHeight="1">
      <c r="A18" s="916" t="s">
        <v>96</v>
      </c>
      <c r="B18" s="983" t="s">
        <v>238</v>
      </c>
      <c r="C18" s="1278">
        <f>'12. Разходи'!C18</f>
        <v>223</v>
      </c>
      <c r="D18" s="1224">
        <f>'12. Разходи'!D18-'12. Разходи'!$C18</f>
        <v>35</v>
      </c>
      <c r="E18" s="965">
        <f>IFERROR(('12. Разходи'!D18-'12. Разходи'!$C18)/'12. Разходи'!$C18,0)</f>
        <v>0.15695067264573992</v>
      </c>
      <c r="F18" s="1225">
        <f>'12. Разходи'!E18-'12. Разходи'!$C18</f>
        <v>35</v>
      </c>
      <c r="G18" s="965">
        <f>IFERROR(('12. Разходи'!E18-'12. Разходи'!$C18)/'12. Разходи'!$C18,0)</f>
        <v>0.15695067264573992</v>
      </c>
      <c r="H18" s="1225">
        <f>'12. Разходи'!F18-'12. Разходи'!$C18</f>
        <v>35</v>
      </c>
      <c r="I18" s="965">
        <f>IFERROR(('12. Разходи'!F18-'12. Разходи'!$C18)/'12. Разходи'!$C18,0)</f>
        <v>0.15695067264573992</v>
      </c>
      <c r="J18" s="1225">
        <f>'12. Разходи'!G18-'12. Разходи'!$C18</f>
        <v>35</v>
      </c>
      <c r="K18" s="965">
        <f>IFERROR(('12. Разходи'!G18-'12. Разходи'!$C18)/'12. Разходи'!$C18,0)</f>
        <v>0.15695067264573992</v>
      </c>
      <c r="L18" s="1225">
        <f>'12. Разходи'!H18-'12. Разходи'!$C18</f>
        <v>35</v>
      </c>
      <c r="M18" s="972">
        <f>IFERROR(('12. Разходи'!H18-'12. Разходи'!$C18)/'12. Разходи'!$C18,0)</f>
        <v>0.15695067264573992</v>
      </c>
      <c r="N18" s="1257">
        <f>'12. Разходи'!K18</f>
        <v>30.9</v>
      </c>
      <c r="O18" s="1224">
        <f>'12. Разходи'!L18-'12. Разходи'!$K18</f>
        <v>41.4</v>
      </c>
      <c r="P18" s="965">
        <f>IFERROR(('12. Разходи'!L18-'12. Разходи'!$K18)/'12. Разходи'!$K18,0)</f>
        <v>1.3398058252427185</v>
      </c>
      <c r="Q18" s="1225">
        <f>'12. Разходи'!M18-'12. Разходи'!$K18</f>
        <v>41.4</v>
      </c>
      <c r="R18" s="965">
        <f>IFERROR(('12. Разходи'!M18-'12. Разходи'!$K18)/'12. Разходи'!$K18,0)</f>
        <v>1.3398058252427185</v>
      </c>
      <c r="S18" s="1225">
        <f>'12. Разходи'!N18-'12. Разходи'!$K18</f>
        <v>41.4</v>
      </c>
      <c r="T18" s="965">
        <f>IFERROR(('12. Разходи'!N18-'12. Разходи'!$K18)/'12. Разходи'!$K18,0)</f>
        <v>1.3398058252427185</v>
      </c>
      <c r="U18" s="1225">
        <f>'12. Разходи'!O18-'12. Разходи'!$K18</f>
        <v>41.4</v>
      </c>
      <c r="V18" s="965">
        <f>IFERROR(('12. Разходи'!O18-'12. Разходи'!$K18)/'12. Разходи'!$K18,0)</f>
        <v>1.3398058252427185</v>
      </c>
      <c r="W18" s="1225">
        <f>'12. Разходи'!P18-'12. Разходи'!$K18</f>
        <v>41.4</v>
      </c>
      <c r="X18" s="784">
        <f>IFERROR(('12. Разходи'!P18-'12. Разходи'!$K18)/'12. Разходи'!$K18,0)</f>
        <v>1.3398058252427185</v>
      </c>
      <c r="Y18" s="1257">
        <f>'12. Разходи'!S18</f>
        <v>15.28</v>
      </c>
      <c r="Z18" s="1224">
        <f>'12. Разходи'!T18-'12. Разходи'!$S18</f>
        <v>3.7200000000000006</v>
      </c>
      <c r="AA18" s="965">
        <f>IFERROR(('12. Разходи'!T18-'12. Разходи'!$S18)/'12. Разходи'!$S18,0)</f>
        <v>0.24345549738219902</v>
      </c>
      <c r="AB18" s="1225">
        <f>'12. Разходи'!U18-'12. Разходи'!$S18</f>
        <v>3.7200000000000006</v>
      </c>
      <c r="AC18" s="965">
        <f>IFERROR(('12. Разходи'!U18-'12. Разходи'!$S18)/'12. Разходи'!$S18,0)</f>
        <v>0.24345549738219902</v>
      </c>
      <c r="AD18" s="1225">
        <f>'12. Разходи'!V18-'12. Разходи'!$S18</f>
        <v>3.7200000000000006</v>
      </c>
      <c r="AE18" s="965">
        <f>IFERROR(('12. Разходи'!V18-'12. Разходи'!$S18)/'12. Разходи'!$S18,0)</f>
        <v>0.24345549738219902</v>
      </c>
      <c r="AF18" s="1225">
        <f>'12. Разходи'!W18-'12. Разходи'!$S18</f>
        <v>3.7200000000000006</v>
      </c>
      <c r="AG18" s="965">
        <f>IFERROR(('12. Разходи'!W18-'12. Разходи'!$S18)/'12. Разходи'!$S18,0)</f>
        <v>0.24345549738219902</v>
      </c>
      <c r="AH18" s="1225">
        <f>'12. Разходи'!X18-'12. Разходи'!$S18</f>
        <v>3.7200000000000006</v>
      </c>
      <c r="AI18" s="784">
        <f>IFERROR(('12. Разходи'!X18-'12. Разходи'!$S18)/'12. Разходи'!$S18,0)</f>
        <v>0.24345549738219902</v>
      </c>
      <c r="AJ18" s="1257">
        <f>'12. Разходи'!AA18</f>
        <v>0</v>
      </c>
      <c r="AK18" s="1232">
        <f>'12. Разходи'!AB18-'12. Разходи'!$AA18</f>
        <v>2</v>
      </c>
      <c r="AL18" s="965">
        <f>IFERROR(('12. Разходи'!AB18-'12. Разходи'!$AA18)/'12. Разходи'!$AA18,0)</f>
        <v>0</v>
      </c>
      <c r="AM18" s="1225">
        <f>'12. Разходи'!AC18-'12. Разходи'!$AA18</f>
        <v>4.3</v>
      </c>
      <c r="AN18" s="965">
        <f>IFERROR(('12. Разходи'!AC18-'12. Разходи'!$AA18)/'12. Разходи'!$AA18,0)</f>
        <v>0</v>
      </c>
      <c r="AO18" s="1225">
        <f>'12. Разходи'!AD18-'12. Разходи'!$AA18</f>
        <v>2.9000000000000004</v>
      </c>
      <c r="AP18" s="972">
        <f>IFERROR(('12. Разходи'!AD18-'12. Разходи'!$AA18)/'12. Разходи'!$AA18,0)</f>
        <v>0</v>
      </c>
      <c r="AQ18" s="1239">
        <f>'12. Разходи'!AE18-'12. Разходи'!$AA18</f>
        <v>7</v>
      </c>
      <c r="AR18" s="972">
        <f>IFERROR(('12. Разходи'!AE18-'12. Разходи'!$AA18)/'12. Разходи'!$AA18,0)</f>
        <v>0</v>
      </c>
      <c r="AS18" s="1225">
        <f>'12. Разходи'!AF18-'12. Разходи'!$AA18</f>
        <v>4</v>
      </c>
      <c r="AT18" s="784">
        <f>IFERROR(('12. Разходи'!AF18-'12. Разходи'!$AA18)/'12. Разходи'!$AA18,0)</f>
        <v>0</v>
      </c>
      <c r="AU18" s="1257">
        <f>'12. Разходи'!AI18</f>
        <v>0</v>
      </c>
      <c r="AV18" s="1232">
        <f>'12. Разходи'!AJ18-'12. Разходи'!$AI18</f>
        <v>0</v>
      </c>
      <c r="AW18" s="965">
        <f>IFERROR(('12. Разходи'!AJ18-'12. Разходи'!$AI18)/'12. Разходи'!$AI18,0)</f>
        <v>0</v>
      </c>
      <c r="AX18" s="1225">
        <f>'12. Разходи'!AK18-'12. Разходи'!$AI18</f>
        <v>0</v>
      </c>
      <c r="AY18" s="965">
        <f>IFERROR(('12. Разходи'!AK18-'12. Разходи'!$AI18)/'12. Разходи'!$AI18,0)</f>
        <v>0</v>
      </c>
      <c r="AZ18" s="1225">
        <f>'12. Разходи'!AL18-'12. Разходи'!$AI18</f>
        <v>0</v>
      </c>
      <c r="BA18" s="972">
        <f>IFERROR(('12. Разходи'!AL18-'12. Разходи'!$AI18)/'12. Разходи'!$AI18,0)</f>
        <v>0</v>
      </c>
      <c r="BB18" s="1239">
        <f>'12. Разходи'!AM18-'12. Разходи'!$AI18</f>
        <v>0</v>
      </c>
      <c r="BC18" s="972">
        <f>IFERROR(('12. Разходи'!AM18-'12. Разходи'!$AI18)/'12. Разходи'!$AI18,0)</f>
        <v>0</v>
      </c>
      <c r="BD18" s="1225">
        <f>'12. Разходи'!AN18-'12. Разходи'!$AI18</f>
        <v>0</v>
      </c>
      <c r="BE18" s="784">
        <f>IFERROR(('12. Разходи'!AN18-'12. Разходи'!$AI18)/'12. Разходи'!$AI18,0)</f>
        <v>0</v>
      </c>
      <c r="BG18" s="724"/>
      <c r="BH18" s="720"/>
      <c r="BI18" s="720"/>
    </row>
    <row r="19" spans="1:66" s="1293" customFormat="1" ht="15.95" customHeight="1">
      <c r="A19" s="1296" t="s">
        <v>239</v>
      </c>
      <c r="B19" s="1297" t="s">
        <v>1371</v>
      </c>
      <c r="C19" s="1298">
        <f>'12. Разходи'!C19</f>
        <v>0</v>
      </c>
      <c r="D19" s="1299">
        <f>'12. Разходи'!D19-'12. Разходи'!$C19</f>
        <v>2</v>
      </c>
      <c r="E19" s="1300">
        <f>IFERROR(('12. Разходи'!D19-'12. Разходи'!$C19)/'12. Разходи'!$C19,0)</f>
        <v>0</v>
      </c>
      <c r="F19" s="1301">
        <f>'12. Разходи'!E19-'12. Разходи'!$C19</f>
        <v>2</v>
      </c>
      <c r="G19" s="1300">
        <f>IFERROR(('12. Разходи'!E19-'12. Разходи'!$C19)/'12. Разходи'!$C19,0)</f>
        <v>0</v>
      </c>
      <c r="H19" s="1301">
        <f>'12. Разходи'!F19-'12. Разходи'!$C19</f>
        <v>2</v>
      </c>
      <c r="I19" s="1300">
        <f>IFERROR(('12. Разходи'!F19-'12. Разходи'!$C19)/'12. Разходи'!$C19,0)</f>
        <v>0</v>
      </c>
      <c r="J19" s="1301">
        <f>'12. Разходи'!G19-'12. Разходи'!$C19</f>
        <v>2</v>
      </c>
      <c r="K19" s="1300">
        <f>IFERROR(('12. Разходи'!G19-'12. Разходи'!$C19)/'12. Разходи'!$C19,0)</f>
        <v>0</v>
      </c>
      <c r="L19" s="1301">
        <f>'12. Разходи'!H19-'12. Разходи'!$C19</f>
        <v>2</v>
      </c>
      <c r="M19" s="1302">
        <f>IFERROR(('12. Разходи'!H19-'12. Разходи'!$C19)/'12. Разходи'!$C19,0)</f>
        <v>0</v>
      </c>
      <c r="N19" s="1303">
        <f>'12. Разходи'!K19</f>
        <v>0.3</v>
      </c>
      <c r="O19" s="1299">
        <f>'12. Разходи'!L19-'12. Разходи'!$K19</f>
        <v>0</v>
      </c>
      <c r="P19" s="1300">
        <f>IFERROR(('12. Разходи'!L19-'12. Разходи'!$K19)/'12. Разходи'!$K19,0)</f>
        <v>0</v>
      </c>
      <c r="Q19" s="1301">
        <f>'12. Разходи'!M19-'12. Разходи'!$K19</f>
        <v>0</v>
      </c>
      <c r="R19" s="1300">
        <f>IFERROR(('12. Разходи'!M19-'12. Разходи'!$K19)/'12. Разходи'!$K19,0)</f>
        <v>0</v>
      </c>
      <c r="S19" s="1301">
        <f>'12. Разходи'!N19-'12. Разходи'!$K19</f>
        <v>0</v>
      </c>
      <c r="T19" s="1300">
        <f>IFERROR(('12. Разходи'!N19-'12. Разходи'!$K19)/'12. Разходи'!$K19,0)</f>
        <v>0</v>
      </c>
      <c r="U19" s="1301">
        <f>'12. Разходи'!O19-'12. Разходи'!$K19</f>
        <v>0</v>
      </c>
      <c r="V19" s="1300">
        <f>IFERROR(('12. Разходи'!O19-'12. Разходи'!$K19)/'12. Разходи'!$K19,0)</f>
        <v>0</v>
      </c>
      <c r="W19" s="1301">
        <f>'12. Разходи'!P19-'12. Разходи'!$K19</f>
        <v>0</v>
      </c>
      <c r="X19" s="1304">
        <f>IFERROR(('12. Разходи'!P19-'12. Разходи'!$K19)/'12. Разходи'!$K19,0)</f>
        <v>0</v>
      </c>
      <c r="Y19" s="1303">
        <f>'12. Разходи'!S19</f>
        <v>0</v>
      </c>
      <c r="Z19" s="1299">
        <f>'12. Разходи'!T19-'12. Разходи'!$S19</f>
        <v>0</v>
      </c>
      <c r="AA19" s="1300">
        <f>IFERROR(('12. Разходи'!T19-'12. Разходи'!$S19)/'12. Разходи'!$S19,0)</f>
        <v>0</v>
      </c>
      <c r="AB19" s="1301">
        <f>'12. Разходи'!U19-'12. Разходи'!$S19</f>
        <v>0</v>
      </c>
      <c r="AC19" s="1300">
        <f>IFERROR(('12. Разходи'!U19-'12. Разходи'!$S19)/'12. Разходи'!$S19,0)</f>
        <v>0</v>
      </c>
      <c r="AD19" s="1301">
        <f>'12. Разходи'!V19-'12. Разходи'!$S19</f>
        <v>0</v>
      </c>
      <c r="AE19" s="1300">
        <f>IFERROR(('12. Разходи'!V19-'12. Разходи'!$S19)/'12. Разходи'!$S19,0)</f>
        <v>0</v>
      </c>
      <c r="AF19" s="1301">
        <f>'12. Разходи'!W19-'12. Разходи'!$S19</f>
        <v>0</v>
      </c>
      <c r="AG19" s="1300">
        <f>IFERROR(('12. Разходи'!W19-'12. Разходи'!$S19)/'12. Разходи'!$S19,0)</f>
        <v>0</v>
      </c>
      <c r="AH19" s="1301">
        <f>'12. Разходи'!X19-'12. Разходи'!$S19</f>
        <v>0</v>
      </c>
      <c r="AI19" s="1304">
        <f>IFERROR(('12. Разходи'!X19-'12. Разходи'!$S19)/'12. Разходи'!$S19,0)</f>
        <v>0</v>
      </c>
      <c r="AJ19" s="1303">
        <f>'12. Разходи'!AA19</f>
        <v>0</v>
      </c>
      <c r="AK19" s="1305">
        <f>'12. Разходи'!AB19-'12. Разходи'!$AA19</f>
        <v>0</v>
      </c>
      <c r="AL19" s="1300">
        <f>IFERROR(('12. Разходи'!AB19-'12. Разходи'!$AA19)/'12. Разходи'!$AA19,0)</f>
        <v>0</v>
      </c>
      <c r="AM19" s="1299">
        <f>'12. Разходи'!AC19-'12. Разходи'!$AA19</f>
        <v>0</v>
      </c>
      <c r="AN19" s="1306">
        <f>IFERROR(('12. Разходи'!AC19-'12. Разходи'!$AA19)/'12. Разходи'!$AA19,0)</f>
        <v>0</v>
      </c>
      <c r="AO19" s="1299">
        <f>'12. Разходи'!AD19-'12. Разходи'!$AA19</f>
        <v>0</v>
      </c>
      <c r="AP19" s="1306">
        <f>IFERROR(('12. Разходи'!AD19-'12. Разходи'!$AA19)/'12. Разходи'!$AA19,0)</f>
        <v>0</v>
      </c>
      <c r="AQ19" s="1299">
        <f>'12. Разходи'!AE19-'12. Разходи'!$AA19</f>
        <v>0</v>
      </c>
      <c r="AR19" s="1307">
        <f>IFERROR(('12. Разходи'!AE19-'12. Разходи'!$AA19)/'12. Разходи'!$AA19,0)</f>
        <v>0</v>
      </c>
      <c r="AS19" s="1301">
        <f>'12. Разходи'!AF19-'12. Разходи'!$AA19</f>
        <v>0</v>
      </c>
      <c r="AT19" s="1308">
        <f>IFERROR(('12. Разходи'!AF19-'12. Разходи'!$AA19)/'12. Разходи'!$AA19,0)</f>
        <v>0</v>
      </c>
      <c r="AU19" s="1303">
        <f>'12. Разходи'!AI19</f>
        <v>0</v>
      </c>
      <c r="AV19" s="1305">
        <f>'12. Разходи'!AJ19-'12. Разходи'!$AI19</f>
        <v>0</v>
      </c>
      <c r="AW19" s="1300">
        <f>IFERROR(('12. Разходи'!AJ19-'12. Разходи'!$AI19)/'12. Разходи'!$AI19,0)</f>
        <v>0</v>
      </c>
      <c r="AX19" s="1299">
        <f>'12. Разходи'!AK19-'12. Разходи'!$AI19</f>
        <v>0</v>
      </c>
      <c r="AY19" s="1306">
        <f>IFERROR(('12. Разходи'!AK19-'12. Разходи'!$AI19)/'12. Разходи'!$AI19,0)</f>
        <v>0</v>
      </c>
      <c r="AZ19" s="1299">
        <f>'12. Разходи'!AL19-'12. Разходи'!$AI19</f>
        <v>0</v>
      </c>
      <c r="BA19" s="1306">
        <f>IFERROR(('12. Разходи'!AL19-'12. Разходи'!$AI19)/'12. Разходи'!$AI19,0)</f>
        <v>0</v>
      </c>
      <c r="BB19" s="1299">
        <f>'12. Разходи'!AM19-'12. Разходи'!$AI19</f>
        <v>0</v>
      </c>
      <c r="BC19" s="1307">
        <f>IFERROR(('12. Разходи'!AM19-'12. Разходи'!$AI19)/'12. Разходи'!$AI19,0)</f>
        <v>0</v>
      </c>
      <c r="BD19" s="1301">
        <f>'12. Разходи'!AN19-'12. Разходи'!$AI19</f>
        <v>0</v>
      </c>
      <c r="BE19" s="1308">
        <f>IFERROR(('12. Разходи'!AN19-'12. Разходи'!$AI19)/'12. Разходи'!$AI19,0)</f>
        <v>0</v>
      </c>
      <c r="BF19" s="1291"/>
      <c r="BG19" s="1292"/>
      <c r="BJ19" s="1291"/>
      <c r="BK19" s="1291"/>
      <c r="BL19" s="1291"/>
      <c r="BM19" s="1291"/>
      <c r="BN19" s="1291"/>
    </row>
    <row r="20" spans="1:66" s="1293" customFormat="1" ht="15.95" customHeight="1">
      <c r="A20" s="1296" t="s">
        <v>441</v>
      </c>
      <c r="B20" s="1297" t="s">
        <v>1372</v>
      </c>
      <c r="C20" s="1298">
        <f>'12. Разходи'!C20</f>
        <v>51</v>
      </c>
      <c r="D20" s="1299">
        <f>'12. Разходи'!D20-'12. Разходи'!$C20</f>
        <v>13</v>
      </c>
      <c r="E20" s="1300">
        <f>IFERROR(('12. Разходи'!D20-'12. Разходи'!$C20)/'12. Разходи'!$C20,0)</f>
        <v>0.25490196078431371</v>
      </c>
      <c r="F20" s="1301">
        <f>'12. Разходи'!E20-'12. Разходи'!$C20</f>
        <v>13</v>
      </c>
      <c r="G20" s="1300">
        <f>IFERROR(('12. Разходи'!E20-'12. Разходи'!$C20)/'12. Разходи'!$C20,0)</f>
        <v>0.25490196078431371</v>
      </c>
      <c r="H20" s="1301">
        <f>'12. Разходи'!F20-'12. Разходи'!$C20</f>
        <v>13</v>
      </c>
      <c r="I20" s="1300">
        <f>IFERROR(('12. Разходи'!F20-'12. Разходи'!$C20)/'12. Разходи'!$C20,0)</f>
        <v>0.25490196078431371</v>
      </c>
      <c r="J20" s="1301">
        <f>'12. Разходи'!G20-'12. Разходи'!$C20</f>
        <v>13</v>
      </c>
      <c r="K20" s="1300">
        <f>IFERROR(('12. Разходи'!G20-'12. Разходи'!$C20)/'12. Разходи'!$C20,0)</f>
        <v>0.25490196078431371</v>
      </c>
      <c r="L20" s="1301">
        <f>'12. Разходи'!H20-'12. Разходи'!$C20</f>
        <v>13</v>
      </c>
      <c r="M20" s="1302">
        <f>IFERROR(('12. Разходи'!H20-'12. Разходи'!$C20)/'12. Разходи'!$C20,0)</f>
        <v>0.25490196078431371</v>
      </c>
      <c r="N20" s="1303">
        <f>'12. Разходи'!K20</f>
        <v>1.6</v>
      </c>
      <c r="O20" s="1299">
        <f>'12. Разходи'!L20-'12. Разходи'!$K20</f>
        <v>0.39999999999999991</v>
      </c>
      <c r="P20" s="1300">
        <f>IFERROR(('12. Разходи'!L20-'12. Разходи'!$K20)/'12. Разходи'!$K20,0)</f>
        <v>0.24999999999999994</v>
      </c>
      <c r="Q20" s="1301">
        <f>'12. Разходи'!M20-'12. Разходи'!$K20</f>
        <v>0.39999999999999991</v>
      </c>
      <c r="R20" s="1300">
        <f>IFERROR(('12. Разходи'!M20-'12. Разходи'!$K20)/'12. Разходи'!$K20,0)</f>
        <v>0.24999999999999994</v>
      </c>
      <c r="S20" s="1301">
        <f>'12. Разходи'!N20-'12. Разходи'!$K20</f>
        <v>0.39999999999999991</v>
      </c>
      <c r="T20" s="1300">
        <f>IFERROR(('12. Разходи'!N20-'12. Разходи'!$K20)/'12. Разходи'!$K20,0)</f>
        <v>0.24999999999999994</v>
      </c>
      <c r="U20" s="1301">
        <f>'12. Разходи'!O20-'12. Разходи'!$K20</f>
        <v>0.39999999999999991</v>
      </c>
      <c r="V20" s="1300">
        <f>IFERROR(('12. Разходи'!O20-'12. Разходи'!$K20)/'12. Разходи'!$K20,0)</f>
        <v>0.24999999999999994</v>
      </c>
      <c r="W20" s="1301">
        <f>'12. Разходи'!P20-'12. Разходи'!$K20</f>
        <v>0.39999999999999991</v>
      </c>
      <c r="X20" s="1304">
        <f>IFERROR(('12. Разходи'!P20-'12. Разходи'!$K20)/'12. Разходи'!$K20,0)</f>
        <v>0.24999999999999994</v>
      </c>
      <c r="Y20" s="1303">
        <f>'12. Разходи'!S20</f>
        <v>15.28</v>
      </c>
      <c r="Z20" s="1299">
        <f>'12. Разходи'!T20-'12. Разходи'!$S20</f>
        <v>2.7200000000000006</v>
      </c>
      <c r="AA20" s="1300">
        <f>IFERROR(('12. Разходи'!T20-'12. Разходи'!$S20)/'12. Разходи'!$S20,0)</f>
        <v>0.17801047120418853</v>
      </c>
      <c r="AB20" s="1301">
        <f>'12. Разходи'!U20-'12. Разходи'!$S20</f>
        <v>2.7200000000000006</v>
      </c>
      <c r="AC20" s="1300">
        <f>IFERROR(('12. Разходи'!U20-'12. Разходи'!$S20)/'12. Разходи'!$S20,0)</f>
        <v>0.17801047120418853</v>
      </c>
      <c r="AD20" s="1301">
        <f>'12. Разходи'!V20-'12. Разходи'!$S20</f>
        <v>2.7200000000000006</v>
      </c>
      <c r="AE20" s="1300">
        <f>IFERROR(('12. Разходи'!V20-'12. Разходи'!$S20)/'12. Разходи'!$S20,0)</f>
        <v>0.17801047120418853</v>
      </c>
      <c r="AF20" s="1301">
        <f>'12. Разходи'!W20-'12. Разходи'!$S20</f>
        <v>2.7200000000000006</v>
      </c>
      <c r="AG20" s="1300">
        <f>IFERROR(('12. Разходи'!W20-'12. Разходи'!$S20)/'12. Разходи'!$S20,0)</f>
        <v>0.17801047120418853</v>
      </c>
      <c r="AH20" s="1301">
        <f>'12. Разходи'!X20-'12. Разходи'!$S20</f>
        <v>2.7200000000000006</v>
      </c>
      <c r="AI20" s="1304">
        <f>IFERROR(('12. Разходи'!X20-'12. Разходи'!$S20)/'12. Разходи'!$S20,0)</f>
        <v>0.17801047120418853</v>
      </c>
      <c r="AJ20" s="1303">
        <f>'12. Разходи'!AA20</f>
        <v>0</v>
      </c>
      <c r="AK20" s="1305">
        <f>'12. Разходи'!AB20-'12. Разходи'!$AA20</f>
        <v>2</v>
      </c>
      <c r="AL20" s="1300">
        <f>IFERROR(('12. Разходи'!AB20-'12. Разходи'!$AA20)/'12. Разходи'!$AA20,0)</f>
        <v>0</v>
      </c>
      <c r="AM20" s="1299">
        <f>'12. Разходи'!AC20-'12. Разходи'!$AA20</f>
        <v>2.2999999999999998</v>
      </c>
      <c r="AN20" s="1306">
        <f>IFERROR(('12. Разходи'!AC20-'12. Разходи'!$AA20)/'12. Разходи'!$AA20,0)</f>
        <v>0</v>
      </c>
      <c r="AO20" s="1299">
        <f>'12. Разходи'!AD20-'12. Разходи'!$AA20</f>
        <v>1.8</v>
      </c>
      <c r="AP20" s="1306">
        <f>IFERROR(('12. Разходи'!AD20-'12. Разходи'!$AA20)/'12. Разходи'!$AA20,0)</f>
        <v>0</v>
      </c>
      <c r="AQ20" s="1299">
        <f>'12. Разходи'!AE20-'12. Разходи'!$AA20</f>
        <v>2</v>
      </c>
      <c r="AR20" s="1307">
        <f>IFERROR(('12. Разходи'!AE20-'12. Разходи'!$AA20)/'12. Разходи'!$AA20,0)</f>
        <v>0</v>
      </c>
      <c r="AS20" s="1301">
        <f>'12. Разходи'!AF20-'12. Разходи'!$AA20</f>
        <v>2</v>
      </c>
      <c r="AT20" s="1308">
        <f>IFERROR(('12. Разходи'!AF20-'12. Разходи'!$AA20)/'12. Разходи'!$AA20,0)</f>
        <v>0</v>
      </c>
      <c r="AU20" s="1303">
        <f>'12. Разходи'!AI20</f>
        <v>0</v>
      </c>
      <c r="AV20" s="1305">
        <f>'12. Разходи'!AJ20-'12. Разходи'!$AI20</f>
        <v>0</v>
      </c>
      <c r="AW20" s="1300">
        <f>IFERROR(('12. Разходи'!AJ20-'12. Разходи'!$AI20)/'12. Разходи'!$AI20,0)</f>
        <v>0</v>
      </c>
      <c r="AX20" s="1299">
        <f>'12. Разходи'!AK20-'12. Разходи'!$AI20</f>
        <v>0</v>
      </c>
      <c r="AY20" s="1306">
        <f>IFERROR(('12. Разходи'!AK20-'12. Разходи'!$AI20)/'12. Разходи'!$AI20,0)</f>
        <v>0</v>
      </c>
      <c r="AZ20" s="1299">
        <f>'12. Разходи'!AL20-'12. Разходи'!$AI20</f>
        <v>0</v>
      </c>
      <c r="BA20" s="1306">
        <f>IFERROR(('12. Разходи'!AL20-'12. Разходи'!$AI20)/'12. Разходи'!$AI20,0)</f>
        <v>0</v>
      </c>
      <c r="BB20" s="1299">
        <f>'12. Разходи'!AM20-'12. Разходи'!$AI20</f>
        <v>0</v>
      </c>
      <c r="BC20" s="1307">
        <f>IFERROR(('12. Разходи'!AM20-'12. Разходи'!$AI20)/'12. Разходи'!$AI20,0)</f>
        <v>0</v>
      </c>
      <c r="BD20" s="1301">
        <f>'12. Разходи'!AN20-'12. Разходи'!$AI20</f>
        <v>0</v>
      </c>
      <c r="BE20" s="1308">
        <f>IFERROR(('12. Разходи'!AN20-'12. Разходи'!$AI20)/'12. Разходи'!$AI20,0)</f>
        <v>0</v>
      </c>
      <c r="BF20" s="1291"/>
      <c r="BG20" s="1292"/>
      <c r="BJ20" s="1291"/>
      <c r="BK20" s="1291"/>
      <c r="BL20" s="1291"/>
      <c r="BM20" s="1291"/>
      <c r="BN20" s="1291"/>
    </row>
    <row r="21" spans="1:66" s="1293" customFormat="1" ht="15.95" customHeight="1">
      <c r="A21" s="1296" t="s">
        <v>1241</v>
      </c>
      <c r="B21" s="3495" t="s">
        <v>1373</v>
      </c>
      <c r="C21" s="3496">
        <f>'12. Разходи'!C21</f>
        <v>172</v>
      </c>
      <c r="D21" s="1299">
        <f>'12. Разходи'!D21-'12. Разходи'!$C21</f>
        <v>20</v>
      </c>
      <c r="E21" s="1300">
        <f>IFERROR(('12. Разходи'!D21-'12. Разходи'!$C21)/'12. Разходи'!$C21,0)</f>
        <v>0.11627906976744186</v>
      </c>
      <c r="F21" s="1301">
        <f>'12. Разходи'!E21-'12. Разходи'!$C21</f>
        <v>20</v>
      </c>
      <c r="G21" s="1300">
        <f>IFERROR(('12. Разходи'!E21-'12. Разходи'!$C21)/'12. Разходи'!$C21,0)</f>
        <v>0.11627906976744186</v>
      </c>
      <c r="H21" s="1301">
        <f>'12. Разходи'!F21-'12. Разходи'!$C21</f>
        <v>20</v>
      </c>
      <c r="I21" s="1300">
        <f>IFERROR(('12. Разходи'!F21-'12. Разходи'!$C21)/'12. Разходи'!$C21,0)</f>
        <v>0.11627906976744186</v>
      </c>
      <c r="J21" s="1301">
        <f>'12. Разходи'!G21-'12. Разходи'!$C21</f>
        <v>20</v>
      </c>
      <c r="K21" s="1300">
        <f>IFERROR(('12. Разходи'!G21-'12. Разходи'!$C21)/'12. Разходи'!$C21,0)</f>
        <v>0.11627906976744186</v>
      </c>
      <c r="L21" s="1301">
        <f>'12. Разходи'!H21-'12. Разходи'!$C21</f>
        <v>20</v>
      </c>
      <c r="M21" s="1302">
        <f>IFERROR(('12. Разходи'!H21-'12. Разходи'!$C21)/'12. Разходи'!$C21,0)</f>
        <v>0.11627906976744186</v>
      </c>
      <c r="N21" s="1303">
        <f>'12. Разходи'!K21</f>
        <v>29</v>
      </c>
      <c r="O21" s="1299">
        <f>'12. Разходи'!L21-'12. Разходи'!$K21</f>
        <v>41</v>
      </c>
      <c r="P21" s="1300">
        <f>IFERROR(('12. Разходи'!L21-'12. Разходи'!$K21)/'12. Разходи'!$K21,0)</f>
        <v>1.4137931034482758</v>
      </c>
      <c r="Q21" s="1301">
        <f>'12. Разходи'!M21-'12. Разходи'!$K21</f>
        <v>41</v>
      </c>
      <c r="R21" s="1300">
        <f>IFERROR(('12. Разходи'!M21-'12. Разходи'!$K21)/'12. Разходи'!$K21,0)</f>
        <v>1.4137931034482758</v>
      </c>
      <c r="S21" s="1301">
        <f>'12. Разходи'!N21-'12. Разходи'!$K21</f>
        <v>41</v>
      </c>
      <c r="T21" s="1300">
        <f>IFERROR(('12. Разходи'!N21-'12. Разходи'!$K21)/'12. Разходи'!$K21,0)</f>
        <v>1.4137931034482758</v>
      </c>
      <c r="U21" s="1301">
        <f>'12. Разходи'!O21-'12. Разходи'!$K21</f>
        <v>41</v>
      </c>
      <c r="V21" s="1300">
        <f>IFERROR(('12. Разходи'!O21-'12. Разходи'!$K21)/'12. Разходи'!$K21,0)</f>
        <v>1.4137931034482758</v>
      </c>
      <c r="W21" s="1301">
        <f>'12. Разходи'!P21-'12. Разходи'!$K21</f>
        <v>41</v>
      </c>
      <c r="X21" s="1304">
        <f>IFERROR(('12. Разходи'!P21-'12. Разходи'!$K21)/'12. Разходи'!$K21,0)</f>
        <v>1.4137931034482758</v>
      </c>
      <c r="Y21" s="1303">
        <f>'12. Разходи'!S21</f>
        <v>0</v>
      </c>
      <c r="Z21" s="1299">
        <f>'12. Разходи'!T21-'12. Разходи'!$S21</f>
        <v>1</v>
      </c>
      <c r="AA21" s="1300">
        <f>IFERROR(('12. Разходи'!T21-'12. Разходи'!$S21)/'12. Разходи'!$S21,0)</f>
        <v>0</v>
      </c>
      <c r="AB21" s="1301">
        <f>'12. Разходи'!U21-'12. Разходи'!$S21</f>
        <v>1</v>
      </c>
      <c r="AC21" s="1300">
        <f>IFERROR(('12. Разходи'!U21-'12. Разходи'!$S21)/'12. Разходи'!$S21,0)</f>
        <v>0</v>
      </c>
      <c r="AD21" s="1301">
        <f>'12. Разходи'!V21-'12. Разходи'!$S21</f>
        <v>1</v>
      </c>
      <c r="AE21" s="1300">
        <f>IFERROR(('12. Разходи'!V21-'12. Разходи'!$S21)/'12. Разходи'!$S21,0)</f>
        <v>0</v>
      </c>
      <c r="AF21" s="1301">
        <f>'12. Разходи'!W21-'12. Разходи'!$S21</f>
        <v>1</v>
      </c>
      <c r="AG21" s="1300">
        <f>IFERROR(('12. Разходи'!W21-'12. Разходи'!$S21)/'12. Разходи'!$S21,0)</f>
        <v>0</v>
      </c>
      <c r="AH21" s="1301">
        <f>'12. Разходи'!X21-'12. Разходи'!$S21</f>
        <v>1</v>
      </c>
      <c r="AI21" s="1304">
        <f>IFERROR(('12. Разходи'!X21-'12. Разходи'!$S21)/'12. Разходи'!$S21,0)</f>
        <v>0</v>
      </c>
      <c r="AJ21" s="1303">
        <f>'12. Разходи'!AA21</f>
        <v>0</v>
      </c>
      <c r="AK21" s="1305">
        <f>'12. Разходи'!AB21-'12. Разходи'!$AA21</f>
        <v>0</v>
      </c>
      <c r="AL21" s="1300">
        <f>IFERROR(('12. Разходи'!AB21-'12. Разходи'!$AA21)/'12. Разходи'!$AA21,0)</f>
        <v>0</v>
      </c>
      <c r="AM21" s="1301">
        <f>'12. Разходи'!AC21-'12. Разходи'!$AA21</f>
        <v>2</v>
      </c>
      <c r="AN21" s="1300">
        <f>IFERROR(('12. Разходи'!AC21-'12. Разходи'!$AA21)/'12. Разходи'!$AA21,0)</f>
        <v>0</v>
      </c>
      <c r="AO21" s="1301">
        <f>'12. Разходи'!AD21-'12. Разходи'!$AA21</f>
        <v>1.1000000000000001</v>
      </c>
      <c r="AP21" s="1300">
        <f>IFERROR(('12. Разходи'!AD21-'12. Разходи'!$AA21)/'12. Разходи'!$AA21,0)</f>
        <v>0</v>
      </c>
      <c r="AQ21" s="1301">
        <f>'12. Разходи'!AE21-'12. Разходи'!$AA21</f>
        <v>5</v>
      </c>
      <c r="AR21" s="1307">
        <f>IFERROR(('12. Разходи'!AE21-'12. Разходи'!$AA21)/'12. Разходи'!$AA21,0)</f>
        <v>0</v>
      </c>
      <c r="AS21" s="1301">
        <f>'12. Разходи'!AF21-'12. Разходи'!$AA21</f>
        <v>2</v>
      </c>
      <c r="AT21" s="1308">
        <f>IFERROR(('12. Разходи'!AF21-'12. Разходи'!$AA21)/'12. Разходи'!$AA21,0)</f>
        <v>0</v>
      </c>
      <c r="AU21" s="1303">
        <f>'12. Разходи'!AI21</f>
        <v>0</v>
      </c>
      <c r="AV21" s="1305">
        <f>'12. Разходи'!AJ21-'12. Разходи'!$AI21</f>
        <v>0</v>
      </c>
      <c r="AW21" s="1300">
        <f>IFERROR(('12. Разходи'!AJ21-'12. Разходи'!$AI21)/'12. Разходи'!$AI21,0)</f>
        <v>0</v>
      </c>
      <c r="AX21" s="1301">
        <f>'12. Разходи'!AK21-'12. Разходи'!$AI21</f>
        <v>0</v>
      </c>
      <c r="AY21" s="1300">
        <f>IFERROR(('12. Разходи'!AK21-'12. Разходи'!$AI21)/'12. Разходи'!$AI21,0)</f>
        <v>0</v>
      </c>
      <c r="AZ21" s="1301">
        <f>'12. Разходи'!AL21-'12. Разходи'!$AI21</f>
        <v>0</v>
      </c>
      <c r="BA21" s="1300">
        <f>IFERROR(('12. Разходи'!AL21-'12. Разходи'!$AI21)/'12. Разходи'!$AI21,0)</f>
        <v>0</v>
      </c>
      <c r="BB21" s="1301">
        <f>'12. Разходи'!AM21-'12. Разходи'!$AI21</f>
        <v>0</v>
      </c>
      <c r="BC21" s="1307">
        <f>IFERROR(('12. Разходи'!AM21-'12. Разходи'!$AI21)/'12. Разходи'!$AI21,0)</f>
        <v>0</v>
      </c>
      <c r="BD21" s="1301">
        <f>'12. Разходи'!AN21-'12. Разходи'!$AI21</f>
        <v>0</v>
      </c>
      <c r="BE21" s="1308">
        <f>IFERROR(('12. Разходи'!AN21-'12. Разходи'!$AI21)/'12. Разходи'!$AI21,0)</f>
        <v>0</v>
      </c>
      <c r="BF21" s="1291"/>
      <c r="BG21" s="1292"/>
      <c r="BJ21" s="1291"/>
      <c r="BK21" s="1291"/>
      <c r="BL21" s="1291"/>
      <c r="BM21" s="1291"/>
      <c r="BN21" s="1291"/>
    </row>
    <row r="22" spans="1:66" ht="15.95" customHeight="1">
      <c r="A22" s="916" t="s">
        <v>149</v>
      </c>
      <c r="B22" s="983" t="s">
        <v>241</v>
      </c>
      <c r="C22" s="1202">
        <f>'12. Разходи'!C22</f>
        <v>22</v>
      </c>
      <c r="D22" s="995">
        <f>'12. Разходи'!D22-'12. Разходи'!$C22</f>
        <v>2</v>
      </c>
      <c r="E22" s="1211">
        <f>IFERROR(('12. Разходи'!D22-'12. Разходи'!$C22)/'12. Разходи'!$C22,0)</f>
        <v>9.0909090909090912E-2</v>
      </c>
      <c r="F22" s="1226">
        <f>'12. Разходи'!E22-'12. Разходи'!$C22</f>
        <v>2</v>
      </c>
      <c r="G22" s="1211">
        <f>IFERROR(('12. Разходи'!E22-'12. Разходи'!$C22)/'12. Разходи'!$C22,0)</f>
        <v>9.0909090909090912E-2</v>
      </c>
      <c r="H22" s="1226">
        <f>'12. Разходи'!F22-'12. Разходи'!$C22</f>
        <v>2</v>
      </c>
      <c r="I22" s="1211">
        <f>IFERROR(('12. Разходи'!F22-'12. Разходи'!$C22)/'12. Разходи'!$C22,0)</f>
        <v>9.0909090909090912E-2</v>
      </c>
      <c r="J22" s="1226">
        <f>'12. Разходи'!G22-'12. Разходи'!$C22</f>
        <v>2</v>
      </c>
      <c r="K22" s="1211">
        <f>IFERROR(('12. Разходи'!G22-'12. Разходи'!$C22)/'12. Разходи'!$C22,0)</f>
        <v>9.0909090909090912E-2</v>
      </c>
      <c r="L22" s="1226">
        <f>'12. Разходи'!H22-'12. Разходи'!$C22</f>
        <v>2</v>
      </c>
      <c r="M22" s="1212">
        <f>IFERROR(('12. Разходи'!H22-'12. Разходи'!$C22)/'12. Разходи'!$C22,0)</f>
        <v>9.0909090909090912E-2</v>
      </c>
      <c r="N22" s="1270">
        <f>'12. Разходи'!K22</f>
        <v>2</v>
      </c>
      <c r="O22" s="995">
        <f>'12. Разходи'!L22-'12. Разходи'!$K22</f>
        <v>0.20000000000000018</v>
      </c>
      <c r="P22" s="1211">
        <f>IFERROR(('12. Разходи'!L22-'12. Разходи'!$K22)/'12. Разходи'!$K22,0)</f>
        <v>0.10000000000000009</v>
      </c>
      <c r="Q22" s="1226">
        <f>'12. Разходи'!M22-'12. Разходи'!$K22</f>
        <v>0.20000000000000018</v>
      </c>
      <c r="R22" s="1211">
        <f>IFERROR(('12. Разходи'!M22-'12. Разходи'!$K22)/'12. Разходи'!$K22,0)</f>
        <v>0.10000000000000009</v>
      </c>
      <c r="S22" s="1226">
        <f>'12. Разходи'!N22-'12. Разходи'!$K22</f>
        <v>0.20000000000000018</v>
      </c>
      <c r="T22" s="1211">
        <f>IFERROR(('12. Разходи'!N22-'12. Разходи'!$K22)/'12. Разходи'!$K22,0)</f>
        <v>0.10000000000000009</v>
      </c>
      <c r="U22" s="1226">
        <f>'12. Разходи'!O22-'12. Разходи'!$K22</f>
        <v>0.20000000000000018</v>
      </c>
      <c r="V22" s="1211">
        <f>IFERROR(('12. Разходи'!O22-'12. Разходи'!$K22)/'12. Разходи'!$K22,0)</f>
        <v>0.10000000000000009</v>
      </c>
      <c r="W22" s="1226">
        <f>'12. Разходи'!P22-'12. Разходи'!$K22</f>
        <v>0.20000000000000018</v>
      </c>
      <c r="X22" s="904">
        <f>IFERROR(('12. Разходи'!P22-'12. Разходи'!$K22)/'12. Разходи'!$K22,0)</f>
        <v>0.10000000000000009</v>
      </c>
      <c r="Y22" s="1270">
        <f>'12. Разходи'!S22</f>
        <v>2.4</v>
      </c>
      <c r="Z22" s="995">
        <f>'12. Разходи'!T22-'12. Разходи'!$S22</f>
        <v>0.10000000000000009</v>
      </c>
      <c r="AA22" s="1211">
        <f>IFERROR(('12. Разходи'!T22-'12. Разходи'!$S22)/'12. Разходи'!$S22,0)</f>
        <v>4.1666666666666706E-2</v>
      </c>
      <c r="AB22" s="1226">
        <f>'12. Разходи'!U22-'12. Разходи'!$S22</f>
        <v>0.10000000000000009</v>
      </c>
      <c r="AC22" s="1211">
        <f>IFERROR(('12. Разходи'!U22-'12. Разходи'!$S22)/'12. Разходи'!$S22,0)</f>
        <v>4.1666666666666706E-2</v>
      </c>
      <c r="AD22" s="1226">
        <f>'12. Разходи'!V22-'12. Разходи'!$S22</f>
        <v>0.10000000000000009</v>
      </c>
      <c r="AE22" s="1211">
        <f>IFERROR(('12. Разходи'!V22-'12. Разходи'!$S22)/'12. Разходи'!$S22,0)</f>
        <v>4.1666666666666706E-2</v>
      </c>
      <c r="AF22" s="1226">
        <f>'12. Разходи'!W22-'12. Разходи'!$S22</f>
        <v>0.10000000000000009</v>
      </c>
      <c r="AG22" s="1211">
        <f>IFERROR(('12. Разходи'!W22-'12. Разходи'!$S22)/'12. Разходи'!$S22,0)</f>
        <v>4.1666666666666706E-2</v>
      </c>
      <c r="AH22" s="1226">
        <f>'12. Разходи'!X22-'12. Разходи'!$S22</f>
        <v>0.10000000000000009</v>
      </c>
      <c r="AI22" s="904">
        <f>IFERROR(('12. Разходи'!X22-'12. Разходи'!$S22)/'12. Разходи'!$S22,0)</f>
        <v>4.1666666666666706E-2</v>
      </c>
      <c r="AJ22" s="1270">
        <f>'12. Разходи'!AA22</f>
        <v>0.05</v>
      </c>
      <c r="AK22" s="1231">
        <f>'12. Разходи'!AB22-'12. Разходи'!$AA22</f>
        <v>4.9999999999999975E-3</v>
      </c>
      <c r="AL22" s="1211">
        <f>IFERROR(('12. Разходи'!AB22-'12. Разходи'!$AA22)/'12. Разходи'!$AA22,0)</f>
        <v>9.999999999999995E-2</v>
      </c>
      <c r="AM22" s="995">
        <f>'12. Разходи'!AC22-'12. Разходи'!$AA22</f>
        <v>4.9999999999999975E-3</v>
      </c>
      <c r="AN22" s="1219">
        <f>IFERROR(('12. Разходи'!AC22-'12. Разходи'!$AA22)/'12. Разходи'!$AA22,0)</f>
        <v>9.999999999999995E-2</v>
      </c>
      <c r="AO22" s="995">
        <f>'12. Разходи'!AD22-'12. Разходи'!$AA22</f>
        <v>4.9999999999999975E-3</v>
      </c>
      <c r="AP22" s="1219">
        <f>IFERROR(('12. Разходи'!AD22-'12. Разходи'!$AA22)/'12. Разходи'!$AA22,0)</f>
        <v>9.999999999999995E-2</v>
      </c>
      <c r="AQ22" s="995">
        <f>'12. Разходи'!AE22-'12. Разходи'!$AA22</f>
        <v>4.9999999999999975E-3</v>
      </c>
      <c r="AR22" s="1218">
        <f>IFERROR(('12. Разходи'!AE22-'12. Разходи'!$AA22)/'12. Разходи'!$AA22,0)</f>
        <v>9.999999999999995E-2</v>
      </c>
      <c r="AS22" s="1226">
        <f>'12. Разходи'!AF22-'12. Разходи'!$AA22</f>
        <v>4.9999999999999975E-3</v>
      </c>
      <c r="AT22" s="1276">
        <f>IFERROR(('12. Разходи'!AF22-'12. Разходи'!$AA22)/'12. Разходи'!$AA22,0)</f>
        <v>9.999999999999995E-2</v>
      </c>
      <c r="AU22" s="1270">
        <f>'12. Разходи'!AI22</f>
        <v>0</v>
      </c>
      <c r="AV22" s="1231">
        <f>'12. Разходи'!AJ22-'12. Разходи'!$AI22</f>
        <v>0</v>
      </c>
      <c r="AW22" s="1211">
        <f>IFERROR(('12. Разходи'!AJ22-'12. Разходи'!$AI22)/'12. Разходи'!$AI22,0)</f>
        <v>0</v>
      </c>
      <c r="AX22" s="995">
        <f>'12. Разходи'!AK22-'12. Разходи'!$AI22</f>
        <v>0</v>
      </c>
      <c r="AY22" s="1219">
        <f>IFERROR(('12. Разходи'!AK22-'12. Разходи'!$AI22)/'12. Разходи'!$AI22,0)</f>
        <v>0</v>
      </c>
      <c r="AZ22" s="995">
        <f>'12. Разходи'!AL22-'12. Разходи'!$AI22</f>
        <v>0</v>
      </c>
      <c r="BA22" s="1219">
        <f>IFERROR(('12. Разходи'!AL22-'12. Разходи'!$AI22)/'12. Разходи'!$AI22,0)</f>
        <v>0</v>
      </c>
      <c r="BB22" s="995">
        <f>'12. Разходи'!AM22-'12. Разходи'!$AI22</f>
        <v>0</v>
      </c>
      <c r="BC22" s="1218">
        <f>IFERROR(('12. Разходи'!AM22-'12. Разходи'!$AI22)/'12. Разходи'!$AI22,0)</f>
        <v>0</v>
      </c>
      <c r="BD22" s="1226">
        <f>'12. Разходи'!AN22-'12. Разходи'!$AI22</f>
        <v>0</v>
      </c>
      <c r="BE22" s="1276">
        <f>IFERROR(('12. Разходи'!AN22-'12. Разходи'!$AI22)/'12. Разходи'!$AI22,0)</f>
        <v>0</v>
      </c>
      <c r="BF22" s="739"/>
      <c r="BG22" s="724"/>
      <c r="BH22" s="720"/>
      <c r="BI22" s="720"/>
      <c r="BJ22" s="739"/>
      <c r="BK22" s="739"/>
      <c r="BL22" s="739"/>
      <c r="BM22" s="739"/>
      <c r="BN22" s="739"/>
    </row>
    <row r="23" spans="1:66" ht="15.95" customHeight="1">
      <c r="A23" s="916" t="s">
        <v>151</v>
      </c>
      <c r="B23" s="983" t="s">
        <v>242</v>
      </c>
      <c r="C23" s="1202">
        <f>'12. Разходи'!C23</f>
        <v>33</v>
      </c>
      <c r="D23" s="995">
        <f>'12. Разходи'!D23-'12. Разходи'!$C23</f>
        <v>-3</v>
      </c>
      <c r="E23" s="1211">
        <f>IFERROR(('12. Разходи'!D23-'12. Разходи'!$C23)/'12. Разходи'!$C23,0)</f>
        <v>-9.0909090909090912E-2</v>
      </c>
      <c r="F23" s="1226">
        <f>'12. Разходи'!E23-'12. Разходи'!$C23</f>
        <v>-3</v>
      </c>
      <c r="G23" s="1211">
        <f>IFERROR(('12. Разходи'!E23-'12. Разходи'!$C23)/'12. Разходи'!$C23,0)</f>
        <v>-9.0909090909090912E-2</v>
      </c>
      <c r="H23" s="1226">
        <f>'12. Разходи'!F23-'12. Разходи'!$C23</f>
        <v>-3</v>
      </c>
      <c r="I23" s="1211">
        <f>IFERROR(('12. Разходи'!F23-'12. Разходи'!$C23)/'12. Разходи'!$C23,0)</f>
        <v>-9.0909090909090912E-2</v>
      </c>
      <c r="J23" s="1226">
        <f>'12. Разходи'!G23-'12. Разходи'!$C23</f>
        <v>-3</v>
      </c>
      <c r="K23" s="1211">
        <f>IFERROR(('12. Разходи'!G23-'12. Разходи'!$C23)/'12. Разходи'!$C23,0)</f>
        <v>-9.0909090909090912E-2</v>
      </c>
      <c r="L23" s="1226">
        <f>'12. Разходи'!H23-'12. Разходи'!$C23</f>
        <v>-3</v>
      </c>
      <c r="M23" s="1212">
        <f>IFERROR(('12. Разходи'!H23-'12. Разходи'!$C23)/'12. Разходи'!$C23,0)</f>
        <v>-9.0909090909090912E-2</v>
      </c>
      <c r="N23" s="1270">
        <f>'12. Разходи'!K23</f>
        <v>1.45</v>
      </c>
      <c r="O23" s="995">
        <f>'12. Разходи'!L23-'12. Разходи'!$K23</f>
        <v>5.0000000000000044E-2</v>
      </c>
      <c r="P23" s="1211">
        <f>IFERROR(('12. Разходи'!L23-'12. Разходи'!$K23)/'12. Разходи'!$K23,0)</f>
        <v>3.4482758620689689E-2</v>
      </c>
      <c r="Q23" s="1226">
        <f>'12. Разходи'!M23-'12. Разходи'!$K23</f>
        <v>5.0000000000000044E-2</v>
      </c>
      <c r="R23" s="1211">
        <f>IFERROR(('12. Разходи'!M23-'12. Разходи'!$K23)/'12. Разходи'!$K23,0)</f>
        <v>3.4482758620689689E-2</v>
      </c>
      <c r="S23" s="1226">
        <f>'12. Разходи'!N23-'12. Разходи'!$K23</f>
        <v>5.0000000000000044E-2</v>
      </c>
      <c r="T23" s="1211">
        <f>IFERROR(('12. Разходи'!N23-'12. Разходи'!$K23)/'12. Разходи'!$K23,0)</f>
        <v>3.4482758620689689E-2</v>
      </c>
      <c r="U23" s="1226">
        <f>'12. Разходи'!O23-'12. Разходи'!$K23</f>
        <v>5.0000000000000044E-2</v>
      </c>
      <c r="V23" s="1211">
        <f>IFERROR(('12. Разходи'!O23-'12. Разходи'!$K23)/'12. Разходи'!$K23,0)</f>
        <v>3.4482758620689689E-2</v>
      </c>
      <c r="W23" s="1226">
        <f>'12. Разходи'!P23-'12. Разходи'!$K23</f>
        <v>5.0000000000000044E-2</v>
      </c>
      <c r="X23" s="904">
        <f>IFERROR(('12. Разходи'!P23-'12. Разходи'!$K23)/'12. Разходи'!$K23,0)</f>
        <v>3.4482758620689689E-2</v>
      </c>
      <c r="Y23" s="1270">
        <f>'12. Разходи'!S23</f>
        <v>4</v>
      </c>
      <c r="Z23" s="995">
        <f>'12. Разходи'!T23-'12. Разходи'!$S23</f>
        <v>0.20000000000000018</v>
      </c>
      <c r="AA23" s="1211">
        <f>IFERROR(('12. Разходи'!T23-'12. Разходи'!$S23)/'12. Разходи'!$S23,0)</f>
        <v>5.0000000000000044E-2</v>
      </c>
      <c r="AB23" s="1226">
        <f>'12. Разходи'!U23-'12. Разходи'!$S23</f>
        <v>0.20000000000000018</v>
      </c>
      <c r="AC23" s="1211">
        <f>IFERROR(('12. Разходи'!U23-'12. Разходи'!$S23)/'12. Разходи'!$S23,0)</f>
        <v>5.0000000000000044E-2</v>
      </c>
      <c r="AD23" s="1226">
        <f>'12. Разходи'!V23-'12. Разходи'!$S23</f>
        <v>0.20000000000000018</v>
      </c>
      <c r="AE23" s="1211">
        <f>IFERROR(('12. Разходи'!V23-'12. Разходи'!$S23)/'12. Разходи'!$S23,0)</f>
        <v>5.0000000000000044E-2</v>
      </c>
      <c r="AF23" s="1226">
        <f>'12. Разходи'!W23-'12. Разходи'!$S23</f>
        <v>0.20000000000000018</v>
      </c>
      <c r="AG23" s="1211">
        <f>IFERROR(('12. Разходи'!W23-'12. Разходи'!$S23)/'12. Разходи'!$S23,0)</f>
        <v>5.0000000000000044E-2</v>
      </c>
      <c r="AH23" s="1226">
        <f>'12. Разходи'!X23-'12. Разходи'!$S23</f>
        <v>0.20000000000000018</v>
      </c>
      <c r="AI23" s="904">
        <f>IFERROR(('12. Разходи'!X23-'12. Разходи'!$S23)/'12. Разходи'!$S23,0)</f>
        <v>5.0000000000000044E-2</v>
      </c>
      <c r="AJ23" s="1270">
        <f>'12. Разходи'!AA23</f>
        <v>0.26600000000000001</v>
      </c>
      <c r="AK23" s="1231">
        <f>'12. Разходи'!AB23-'12. Разходи'!$AA23</f>
        <v>4.0000000000000036E-3</v>
      </c>
      <c r="AL23" s="1211">
        <f>IFERROR(('12. Разходи'!AB23-'12. Разходи'!$AA23)/'12. Разходи'!$AA23,0)</f>
        <v>1.5037593984962419E-2</v>
      </c>
      <c r="AM23" s="995">
        <f>'12. Разходи'!AC23-'12. Разходи'!$AA23</f>
        <v>4.0000000000000036E-3</v>
      </c>
      <c r="AN23" s="1219">
        <f>IFERROR(('12. Разходи'!AC23-'12. Разходи'!$AA23)/'12. Разходи'!$AA23,0)</f>
        <v>1.5037593984962419E-2</v>
      </c>
      <c r="AO23" s="995">
        <f>'12. Разходи'!AD23-'12. Разходи'!$AA23</f>
        <v>4.0000000000000036E-3</v>
      </c>
      <c r="AP23" s="1219">
        <f>IFERROR(('12. Разходи'!AD23-'12. Разходи'!$AA23)/'12. Разходи'!$AA23,0)</f>
        <v>1.5037593984962419E-2</v>
      </c>
      <c r="AQ23" s="995">
        <f>'12. Разходи'!AE23-'12. Разходи'!$AA23</f>
        <v>4.0000000000000036E-3</v>
      </c>
      <c r="AR23" s="1218">
        <f>IFERROR(('12. Разходи'!AE23-'12. Разходи'!$AA23)/'12. Разходи'!$AA23,0)</f>
        <v>1.5037593984962419E-2</v>
      </c>
      <c r="AS23" s="1226">
        <f>'12. Разходи'!AF23-'12. Разходи'!$AA23</f>
        <v>4.0000000000000036E-3</v>
      </c>
      <c r="AT23" s="1276">
        <f>IFERROR(('12. Разходи'!AF23-'12. Разходи'!$AA23)/'12. Разходи'!$AA23,0)</f>
        <v>1.5037593984962419E-2</v>
      </c>
      <c r="AU23" s="1270">
        <f>'12. Разходи'!AI23</f>
        <v>0</v>
      </c>
      <c r="AV23" s="1231">
        <f>'12. Разходи'!AJ23-'12. Разходи'!$AI23</f>
        <v>0</v>
      </c>
      <c r="AW23" s="1211">
        <f>IFERROR(('12. Разходи'!AJ23-'12. Разходи'!$AI23)/'12. Разходи'!$AI23,0)</f>
        <v>0</v>
      </c>
      <c r="AX23" s="995">
        <f>'12. Разходи'!AK23-'12. Разходи'!$AI23</f>
        <v>0</v>
      </c>
      <c r="AY23" s="1219">
        <f>IFERROR(('12. Разходи'!AK23-'12. Разходи'!$AI23)/'12. Разходи'!$AI23,0)</f>
        <v>0</v>
      </c>
      <c r="AZ23" s="995">
        <f>'12. Разходи'!AL23-'12. Разходи'!$AI23</f>
        <v>0</v>
      </c>
      <c r="BA23" s="1219">
        <f>IFERROR(('12. Разходи'!AL23-'12. Разходи'!$AI23)/'12. Разходи'!$AI23,0)</f>
        <v>0</v>
      </c>
      <c r="BB23" s="995">
        <f>'12. Разходи'!AM23-'12. Разходи'!$AI23</f>
        <v>0</v>
      </c>
      <c r="BC23" s="1218">
        <f>IFERROR(('12. Разходи'!AM23-'12. Разходи'!$AI23)/'12. Разходи'!$AI23,0)</f>
        <v>0</v>
      </c>
      <c r="BD23" s="1226">
        <f>'12. Разходи'!AN23-'12. Разходи'!$AI23</f>
        <v>0</v>
      </c>
      <c r="BE23" s="1276">
        <f>IFERROR(('12. Разходи'!AN23-'12. Разходи'!$AI23)/'12. Разходи'!$AI23,0)</f>
        <v>0</v>
      </c>
      <c r="BF23" s="739"/>
      <c r="BG23" s="724"/>
      <c r="BH23" s="720"/>
      <c r="BI23" s="720"/>
      <c r="BJ23" s="739"/>
      <c r="BK23" s="739"/>
      <c r="BL23" s="739"/>
      <c r="BM23" s="739"/>
      <c r="BN23" s="739"/>
    </row>
    <row r="24" spans="1:66" s="743" customFormat="1" ht="15.95" customHeight="1">
      <c r="A24" s="916" t="s">
        <v>153</v>
      </c>
      <c r="B24" s="983" t="s">
        <v>648</v>
      </c>
      <c r="C24" s="1202">
        <f>'12. Разходи'!C24</f>
        <v>443</v>
      </c>
      <c r="D24" s="1222">
        <f>'12. Разходи'!D24-'12. Разходи'!$C24</f>
        <v>54</v>
      </c>
      <c r="E24" s="964">
        <f>IFERROR(('12. Разходи'!D24-'12. Разходи'!$C24)/'12. Разходи'!$C24,0)</f>
        <v>0.12189616252821671</v>
      </c>
      <c r="F24" s="1223">
        <f>'12. Разходи'!E24-'12. Разходи'!$C24</f>
        <v>54</v>
      </c>
      <c r="G24" s="964">
        <f>IFERROR(('12. Разходи'!E24-'12. Разходи'!$C24)/'12. Разходи'!$C24,0)</f>
        <v>0.12189616252821671</v>
      </c>
      <c r="H24" s="1223">
        <f>'12. Разходи'!F24-'12. Разходи'!$C24</f>
        <v>54</v>
      </c>
      <c r="I24" s="964">
        <f>IFERROR(('12. Разходи'!F24-'12. Разходи'!$C24)/'12. Разходи'!$C24,0)</f>
        <v>0.12189616252821671</v>
      </c>
      <c r="J24" s="1223">
        <f>'12. Разходи'!G24-'12. Разходи'!$C24</f>
        <v>54</v>
      </c>
      <c r="K24" s="964">
        <f>IFERROR(('12. Разходи'!G24-'12. Разходи'!$C24)/'12. Разходи'!$C24,0)</f>
        <v>0.12189616252821671</v>
      </c>
      <c r="L24" s="1223">
        <f>'12. Разходи'!H24-'12. Разходи'!$C24</f>
        <v>54</v>
      </c>
      <c r="M24" s="997">
        <f>IFERROR(('12. Разходи'!H24-'12. Разходи'!$C24)/'12. Разходи'!$C24,0)</f>
        <v>0.12189616252821671</v>
      </c>
      <c r="N24" s="1256">
        <f>'12. Разходи'!K24</f>
        <v>8</v>
      </c>
      <c r="O24" s="1222">
        <f>'12. Разходи'!L24-'12. Разходи'!$K24</f>
        <v>18</v>
      </c>
      <c r="P24" s="964">
        <f>IFERROR(('12. Разходи'!L24-'12. Разходи'!$K24)/'12. Разходи'!$K24,0)</f>
        <v>2.25</v>
      </c>
      <c r="Q24" s="1223">
        <f>'12. Разходи'!M24-'12. Разходи'!$K24</f>
        <v>18</v>
      </c>
      <c r="R24" s="964">
        <f>IFERROR(('12. Разходи'!M24-'12. Разходи'!$K24)/'12. Разходи'!$K24,0)</f>
        <v>2.25</v>
      </c>
      <c r="S24" s="1223">
        <f>'12. Разходи'!N24-'12. Разходи'!$K24</f>
        <v>18</v>
      </c>
      <c r="T24" s="964">
        <f>IFERROR(('12. Разходи'!N24-'12. Разходи'!$K24)/'12. Разходи'!$K24,0)</f>
        <v>2.25</v>
      </c>
      <c r="U24" s="1223">
        <f>'12. Разходи'!O24-'12. Разходи'!$K24</f>
        <v>18</v>
      </c>
      <c r="V24" s="964">
        <f>IFERROR(('12. Разходи'!O24-'12. Разходи'!$K24)/'12. Разходи'!$K24,0)</f>
        <v>2.25</v>
      </c>
      <c r="W24" s="1223">
        <f>'12. Разходи'!P24-'12. Разходи'!$K24</f>
        <v>18</v>
      </c>
      <c r="X24" s="900">
        <f>IFERROR(('12. Разходи'!P24-'12. Разходи'!$K24)/'12. Разходи'!$K24,0)</f>
        <v>2.25</v>
      </c>
      <c r="Y24" s="1256">
        <f>'12. Разходи'!S24</f>
        <v>3.7360000000000002</v>
      </c>
      <c r="Z24" s="1222">
        <f>'12. Разходи'!T24-'12. Разходи'!$S24</f>
        <v>1.2639999999999998</v>
      </c>
      <c r="AA24" s="964">
        <f>IFERROR(('12. Разходи'!T24-'12. Разходи'!$S24)/'12. Разходи'!$S24,0)</f>
        <v>0.3383297644539614</v>
      </c>
      <c r="AB24" s="1223">
        <f>'12. Разходи'!U24-'12. Разходи'!$S24</f>
        <v>1.2639999999999998</v>
      </c>
      <c r="AC24" s="964">
        <f>IFERROR(('12. Разходи'!U24-'12. Разходи'!$S24)/'12. Разходи'!$S24,0)</f>
        <v>0.3383297644539614</v>
      </c>
      <c r="AD24" s="1223">
        <f>'12. Разходи'!V24-'12. Разходи'!$S24</f>
        <v>1.2639999999999998</v>
      </c>
      <c r="AE24" s="964">
        <f>IFERROR(('12. Разходи'!V24-'12. Разходи'!$S24)/'12. Разходи'!$S24,0)</f>
        <v>0.3383297644539614</v>
      </c>
      <c r="AF24" s="1223">
        <f>'12. Разходи'!W24-'12. Разходи'!$S24</f>
        <v>1.2639999999999998</v>
      </c>
      <c r="AG24" s="964">
        <f>IFERROR(('12. Разходи'!W24-'12. Разходи'!$S24)/'12. Разходи'!$S24,0)</f>
        <v>0.3383297644539614</v>
      </c>
      <c r="AH24" s="1223">
        <f>'12. Разходи'!X24-'12. Разходи'!$S24</f>
        <v>1.2639999999999998</v>
      </c>
      <c r="AI24" s="900">
        <f>IFERROR(('12. Разходи'!X24-'12. Разходи'!$S24)/'12. Разходи'!$S24,0)</f>
        <v>0.3383297644539614</v>
      </c>
      <c r="AJ24" s="1256">
        <f>'12. Разходи'!AA24</f>
        <v>0.15</v>
      </c>
      <c r="AK24" s="1233">
        <f>'12. Разходи'!AB24-'12. Разходи'!$AA24</f>
        <v>0</v>
      </c>
      <c r="AL24" s="964">
        <f>IFERROR(('12. Разходи'!AB24-'12. Разходи'!$AA24)/'12. Разходи'!$AA24,0)</f>
        <v>0</v>
      </c>
      <c r="AM24" s="1223">
        <f>'12. Разходи'!AC24-'12. Разходи'!$AA24</f>
        <v>1.85</v>
      </c>
      <c r="AN24" s="964">
        <f>IFERROR(('12. Разходи'!AC24-'12. Разходи'!$AA24)/'12. Разходи'!$AA24,0)</f>
        <v>12.333333333333334</v>
      </c>
      <c r="AO24" s="1223">
        <f>'12. Разходи'!AD24-'12. Разходи'!$AA24</f>
        <v>2.85</v>
      </c>
      <c r="AP24" s="964">
        <f>IFERROR(('12. Разходи'!AD24-'12. Разходи'!$AA24)/'12. Разходи'!$AA24,0)</f>
        <v>19</v>
      </c>
      <c r="AQ24" s="1223">
        <f>'12. Разходи'!AE24-'12. Разходи'!$AA24</f>
        <v>9.85</v>
      </c>
      <c r="AR24" s="973">
        <f>IFERROR(('12. Разходи'!AE24-'12. Разходи'!$AA24)/'12. Разходи'!$AA24,0)</f>
        <v>65.666666666666671</v>
      </c>
      <c r="AS24" s="1223">
        <f>'12. Разходи'!AF24-'12. Разходи'!$AA24</f>
        <v>12.85</v>
      </c>
      <c r="AT24" s="978">
        <f>IFERROR(('12. Разходи'!AF24-'12. Разходи'!$AA24)/'12. Разходи'!$AA24,0)</f>
        <v>85.666666666666671</v>
      </c>
      <c r="AU24" s="1256">
        <f>'12. Разходи'!AI24</f>
        <v>0</v>
      </c>
      <c r="AV24" s="1233">
        <f>'12. Разходи'!AJ24-'12. Разходи'!$AI24</f>
        <v>0</v>
      </c>
      <c r="AW24" s="964">
        <f>IFERROR(('12. Разходи'!AJ24-'12. Разходи'!$AI24)/'12. Разходи'!$AI24,0)</f>
        <v>0</v>
      </c>
      <c r="AX24" s="1223">
        <f>'12. Разходи'!AK24-'12. Разходи'!$AI24</f>
        <v>0</v>
      </c>
      <c r="AY24" s="964">
        <f>IFERROR(('12. Разходи'!AK24-'12. Разходи'!$AI24)/'12. Разходи'!$AI24,0)</f>
        <v>0</v>
      </c>
      <c r="AZ24" s="1223">
        <f>'12. Разходи'!AL24-'12. Разходи'!$AI24</f>
        <v>0</v>
      </c>
      <c r="BA24" s="964">
        <f>IFERROR(('12. Разходи'!AL24-'12. Разходи'!$AI24)/'12. Разходи'!$AI24,0)</f>
        <v>0</v>
      </c>
      <c r="BB24" s="1223">
        <f>'12. Разходи'!AM24-'12. Разходи'!$AI24</f>
        <v>0</v>
      </c>
      <c r="BC24" s="973">
        <f>IFERROR(('12. Разходи'!AM24-'12. Разходи'!$AI24)/'12. Разходи'!$AI24,0)</f>
        <v>0</v>
      </c>
      <c r="BD24" s="1223">
        <f>'12. Разходи'!AN24-'12. Разходи'!$AI24</f>
        <v>0</v>
      </c>
      <c r="BE24" s="978">
        <f>IFERROR(('12. Разходи'!AN24-'12. Разходи'!$AI24)/'12. Разходи'!$AI24,0)</f>
        <v>0</v>
      </c>
      <c r="BF24" s="740"/>
      <c r="BG24" s="741"/>
      <c r="BH24" s="742"/>
      <c r="BI24" s="742"/>
      <c r="BJ24" s="740"/>
      <c r="BK24" s="740"/>
      <c r="BL24" s="740"/>
      <c r="BM24" s="740"/>
      <c r="BN24" s="740"/>
    </row>
    <row r="25" spans="1:66" ht="15.95" customHeight="1">
      <c r="A25" s="916" t="s">
        <v>155</v>
      </c>
      <c r="B25" s="983" t="s">
        <v>442</v>
      </c>
      <c r="C25" s="1278">
        <f>'12. Разходи'!C25</f>
        <v>68</v>
      </c>
      <c r="D25" s="1224">
        <f>'12. Разходи'!D25-'12. Разходи'!$C25</f>
        <v>-28</v>
      </c>
      <c r="E25" s="965">
        <f>IFERROR(('12. Разходи'!D25-'12. Разходи'!$C25)/'12. Разходи'!$C25,0)</f>
        <v>-0.41176470588235292</v>
      </c>
      <c r="F25" s="1225">
        <f>'12. Разходи'!E25-'12. Разходи'!$C25</f>
        <v>-28</v>
      </c>
      <c r="G25" s="965">
        <f>IFERROR(('12. Разходи'!E25-'12. Разходи'!$C25)/'12. Разходи'!$C25,0)</f>
        <v>-0.41176470588235292</v>
      </c>
      <c r="H25" s="1225">
        <f>'12. Разходи'!F25-'12. Разходи'!$C25</f>
        <v>-28</v>
      </c>
      <c r="I25" s="965">
        <f>IFERROR(('12. Разходи'!F25-'12. Разходи'!$C25)/'12. Разходи'!$C25,0)</f>
        <v>-0.41176470588235292</v>
      </c>
      <c r="J25" s="1225">
        <f>'12. Разходи'!G25-'12. Разходи'!$C25</f>
        <v>-28</v>
      </c>
      <c r="K25" s="965">
        <f>IFERROR(('12. Разходи'!G25-'12. Разходи'!$C25)/'12. Разходи'!$C25,0)</f>
        <v>-0.41176470588235292</v>
      </c>
      <c r="L25" s="1225">
        <f>'12. Разходи'!H25-'12. Разходи'!$C25</f>
        <v>-28</v>
      </c>
      <c r="M25" s="972">
        <f>IFERROR(('12. Разходи'!H25-'12. Разходи'!$C25)/'12. Разходи'!$C25,0)</f>
        <v>-0.41176470588235292</v>
      </c>
      <c r="N25" s="1257">
        <f>'12. Разходи'!K25</f>
        <v>6.4</v>
      </c>
      <c r="O25" s="1224">
        <f>'12. Разходи'!L25-'12. Разходи'!$K25</f>
        <v>-0.40000000000000036</v>
      </c>
      <c r="P25" s="965">
        <f>IFERROR(('12. Разходи'!L25-'12. Разходи'!$K25)/'12. Разходи'!$K25,0)</f>
        <v>-6.2500000000000056E-2</v>
      </c>
      <c r="Q25" s="1225">
        <f>'12. Разходи'!M25-'12. Разходи'!$K25</f>
        <v>-0.40000000000000036</v>
      </c>
      <c r="R25" s="965">
        <f>IFERROR(('12. Разходи'!M25-'12. Разходи'!$K25)/'12. Разходи'!$K25,0)</f>
        <v>-6.2500000000000056E-2</v>
      </c>
      <c r="S25" s="1225">
        <f>'12. Разходи'!N25-'12. Разходи'!$K25</f>
        <v>-0.40000000000000036</v>
      </c>
      <c r="T25" s="965">
        <f>IFERROR(('12. Разходи'!N25-'12. Разходи'!$K25)/'12. Разходи'!$K25,0)</f>
        <v>-6.2500000000000056E-2</v>
      </c>
      <c r="U25" s="1225">
        <f>'12. Разходи'!O25-'12. Разходи'!$K25</f>
        <v>-0.40000000000000036</v>
      </c>
      <c r="V25" s="965">
        <f>IFERROR(('12. Разходи'!O25-'12. Разходи'!$K25)/'12. Разходи'!$K25,0)</f>
        <v>-6.2500000000000056E-2</v>
      </c>
      <c r="W25" s="1225">
        <f>'12. Разходи'!P25-'12. Разходи'!$K25</f>
        <v>-0.40000000000000036</v>
      </c>
      <c r="X25" s="784">
        <f>IFERROR(('12. Разходи'!P25-'12. Разходи'!$K25)/'12. Разходи'!$K25,0)</f>
        <v>-6.2500000000000056E-2</v>
      </c>
      <c r="Y25" s="1257">
        <f>'12. Разходи'!S25</f>
        <v>5.3</v>
      </c>
      <c r="Z25" s="1224">
        <f>'12. Разходи'!T25-'12. Разходи'!$S25</f>
        <v>-5.3</v>
      </c>
      <c r="AA25" s="965">
        <f>IFERROR(('12. Разходи'!T25-'12. Разходи'!$S25)/'12. Разходи'!$S25,0)</f>
        <v>-1</v>
      </c>
      <c r="AB25" s="1225">
        <f>'12. Разходи'!U25-'12. Разходи'!$S25</f>
        <v>-5.3</v>
      </c>
      <c r="AC25" s="965">
        <f>IFERROR(('12. Разходи'!U25-'12. Разходи'!$S25)/'12. Разходи'!$S25,0)</f>
        <v>-1</v>
      </c>
      <c r="AD25" s="1225">
        <f>'12. Разходи'!V25-'12. Разходи'!$S25</f>
        <v>-5.3</v>
      </c>
      <c r="AE25" s="965">
        <f>IFERROR(('12. Разходи'!V25-'12. Разходи'!$S25)/'12. Разходи'!$S25,0)</f>
        <v>-1</v>
      </c>
      <c r="AF25" s="1225">
        <f>'12. Разходи'!W25-'12. Разходи'!$S25</f>
        <v>-5.3</v>
      </c>
      <c r="AG25" s="965">
        <f>IFERROR(('12. Разходи'!W25-'12. Разходи'!$S25)/'12. Разходи'!$S25,0)</f>
        <v>-1</v>
      </c>
      <c r="AH25" s="1225">
        <f>'12. Разходи'!X25-'12. Разходи'!$S25</f>
        <v>-5.3</v>
      </c>
      <c r="AI25" s="784">
        <f>IFERROR(('12. Разходи'!X25-'12. Разходи'!$S25)/'12. Разходи'!$S25,0)</f>
        <v>-1</v>
      </c>
      <c r="AJ25" s="1257">
        <f>'12. Разходи'!AA25</f>
        <v>0.31</v>
      </c>
      <c r="AK25" s="1232">
        <f>'12. Разходи'!AB25-'12. Разходи'!$AA25</f>
        <v>3.1000000000000028E-2</v>
      </c>
      <c r="AL25" s="965">
        <f>IFERROR(('12. Разходи'!AB25-'12. Разходи'!$AA25)/'12. Разходи'!$AA25,0)</f>
        <v>0.10000000000000009</v>
      </c>
      <c r="AM25" s="1225">
        <f>'12. Разходи'!AC25-'12. Разходи'!$AA25</f>
        <v>3.1000000000000028E-2</v>
      </c>
      <c r="AN25" s="965">
        <f>IFERROR(('12. Разходи'!AC25-'12. Разходи'!$AA25)/'12. Разходи'!$AA25,0)</f>
        <v>0.10000000000000009</v>
      </c>
      <c r="AO25" s="1225">
        <f>'12. Разходи'!AD25-'12. Разходи'!$AA25</f>
        <v>3.1000000000000028E-2</v>
      </c>
      <c r="AP25" s="965">
        <f>IFERROR(('12. Разходи'!AD25-'12. Разходи'!$AA25)/'12. Разходи'!$AA25,0)</f>
        <v>0.10000000000000009</v>
      </c>
      <c r="AQ25" s="1225">
        <f>'12. Разходи'!AE25-'12. Разходи'!$AA25</f>
        <v>3.1000000000000028E-2</v>
      </c>
      <c r="AR25" s="972">
        <f>IFERROR(('12. Разходи'!AE25-'12. Разходи'!$AA25)/'12. Разходи'!$AA25,0)</f>
        <v>0.10000000000000009</v>
      </c>
      <c r="AS25" s="1225">
        <f>'12. Разходи'!AF25-'12. Разходи'!$AA25</f>
        <v>3.1000000000000028E-2</v>
      </c>
      <c r="AT25" s="784">
        <f>IFERROR(('12. Разходи'!AF25-'12. Разходи'!$AA25)/'12. Разходи'!$AA25,0)</f>
        <v>0.10000000000000009</v>
      </c>
      <c r="AU25" s="1257">
        <f>'12. Разходи'!AI25</f>
        <v>0</v>
      </c>
      <c r="AV25" s="1232">
        <f>'12. Разходи'!AJ25-'12. Разходи'!$AI25</f>
        <v>0</v>
      </c>
      <c r="AW25" s="965">
        <f>IFERROR(('12. Разходи'!AJ25-'12. Разходи'!$AI25)/'12. Разходи'!$AI25,0)</f>
        <v>0</v>
      </c>
      <c r="AX25" s="1225">
        <f>'12. Разходи'!AK25-'12. Разходи'!$AI25</f>
        <v>0</v>
      </c>
      <c r="AY25" s="965">
        <f>IFERROR(('12. Разходи'!AK25-'12. Разходи'!$AI25)/'12. Разходи'!$AI25,0)</f>
        <v>0</v>
      </c>
      <c r="AZ25" s="1225">
        <f>'12. Разходи'!AL25-'12. Разходи'!$AI25</f>
        <v>0</v>
      </c>
      <c r="BA25" s="965">
        <f>IFERROR(('12. Разходи'!AL25-'12. Разходи'!$AI25)/'12. Разходи'!$AI25,0)</f>
        <v>0</v>
      </c>
      <c r="BB25" s="1225">
        <f>'12. Разходи'!AM25-'12. Разходи'!$AI25</f>
        <v>0</v>
      </c>
      <c r="BC25" s="972">
        <f>IFERROR(('12. Разходи'!AM25-'12. Разходи'!$AI25)/'12. Разходи'!$AI25,0)</f>
        <v>0</v>
      </c>
      <c r="BD25" s="1225">
        <f>'12. Разходи'!AN25-'12. Разходи'!$AI25</f>
        <v>0</v>
      </c>
      <c r="BE25" s="784">
        <f>IFERROR(('12. Разходи'!AN25-'12. Разходи'!$AI25)/'12. Разходи'!$AI25,0)</f>
        <v>0</v>
      </c>
      <c r="BF25" s="739"/>
      <c r="BG25" s="724"/>
      <c r="BH25" s="720"/>
      <c r="BI25" s="720"/>
      <c r="BJ25" s="739"/>
      <c r="BK25" s="739"/>
      <c r="BL25" s="739"/>
      <c r="BM25" s="739"/>
      <c r="BN25" s="739"/>
    </row>
    <row r="26" spans="1:66" ht="15.95" customHeight="1">
      <c r="A26" s="917" t="s">
        <v>443</v>
      </c>
      <c r="B26" s="3497" t="str">
        <f>'12. Разходи'!B26</f>
        <v>инструменти, гуми за автомобили</v>
      </c>
      <c r="C26" s="3498">
        <f>'12. Разходи'!C26</f>
        <v>68</v>
      </c>
      <c r="D26" s="995">
        <f>'12. Разходи'!D26-'12. Разходи'!$C26</f>
        <v>-28</v>
      </c>
      <c r="E26" s="1211">
        <f>IFERROR(('12. Разходи'!D26-'12. Разходи'!$C26)/'12. Разходи'!$C26,0)</f>
        <v>-0.41176470588235292</v>
      </c>
      <c r="F26" s="1226">
        <f>'12. Разходи'!E26-'12. Разходи'!$C26</f>
        <v>-28</v>
      </c>
      <c r="G26" s="1211">
        <f>IFERROR(('12. Разходи'!E26-'12. Разходи'!$C26)/'12. Разходи'!$C26,0)</f>
        <v>-0.41176470588235292</v>
      </c>
      <c r="H26" s="1226">
        <f>'12. Разходи'!F26-'12. Разходи'!$C26</f>
        <v>-28</v>
      </c>
      <c r="I26" s="1211">
        <f>IFERROR(('12. Разходи'!F26-'12. Разходи'!$C26)/'12. Разходи'!$C26,0)</f>
        <v>-0.41176470588235292</v>
      </c>
      <c r="J26" s="1226">
        <f>'12. Разходи'!G26-'12. Разходи'!$C26</f>
        <v>-28</v>
      </c>
      <c r="K26" s="1211">
        <f>IFERROR(('12. Разходи'!G26-'12. Разходи'!$C26)/'12. Разходи'!$C26,0)</f>
        <v>-0.41176470588235292</v>
      </c>
      <c r="L26" s="1226">
        <f>'12. Разходи'!H26-'12. Разходи'!$C26</f>
        <v>-28</v>
      </c>
      <c r="M26" s="1212">
        <f>IFERROR(('12. Разходи'!H26-'12. Разходи'!$C26)/'12. Разходи'!$C26,0)</f>
        <v>-0.41176470588235292</v>
      </c>
      <c r="N26" s="1270">
        <f>'12. Разходи'!K26</f>
        <v>6.4</v>
      </c>
      <c r="O26" s="995">
        <f>'12. Разходи'!L26-'12. Разходи'!$K26</f>
        <v>-0.40000000000000036</v>
      </c>
      <c r="P26" s="1211">
        <f>IFERROR(('12. Разходи'!L26-'12. Разходи'!$K26)/'12. Разходи'!$K26,0)</f>
        <v>-6.2500000000000056E-2</v>
      </c>
      <c r="Q26" s="1226">
        <f>'12. Разходи'!M26-'12. Разходи'!$K26</f>
        <v>-0.40000000000000036</v>
      </c>
      <c r="R26" s="1211">
        <f>IFERROR(('12. Разходи'!M26-'12. Разходи'!$K26)/'12. Разходи'!$K26,0)</f>
        <v>-6.2500000000000056E-2</v>
      </c>
      <c r="S26" s="1226">
        <f>'12. Разходи'!N26-'12. Разходи'!$K26</f>
        <v>-0.40000000000000036</v>
      </c>
      <c r="T26" s="1211">
        <f>IFERROR(('12. Разходи'!N26-'12. Разходи'!$K26)/'12. Разходи'!$K26,0)</f>
        <v>-6.2500000000000056E-2</v>
      </c>
      <c r="U26" s="1226">
        <f>'12. Разходи'!O26-'12. Разходи'!$K26</f>
        <v>-0.40000000000000036</v>
      </c>
      <c r="V26" s="1211">
        <f>IFERROR(('12. Разходи'!O26-'12. Разходи'!$K26)/'12. Разходи'!$K26,0)</f>
        <v>-6.2500000000000056E-2</v>
      </c>
      <c r="W26" s="1226">
        <f>'12. Разходи'!P26-'12. Разходи'!$K26</f>
        <v>-0.40000000000000036</v>
      </c>
      <c r="X26" s="904">
        <f>IFERROR(('12. Разходи'!P26-'12. Разходи'!$K26)/'12. Разходи'!$K26,0)</f>
        <v>-6.2500000000000056E-2</v>
      </c>
      <c r="Y26" s="1270">
        <f>'12. Разходи'!S26</f>
        <v>5.3</v>
      </c>
      <c r="Z26" s="995">
        <f>'12. Разходи'!T26-'12. Разходи'!$S26</f>
        <v>-5.3</v>
      </c>
      <c r="AA26" s="1211">
        <f>IFERROR(('12. Разходи'!T26-'12. Разходи'!$S26)/'12. Разходи'!$S26,0)</f>
        <v>-1</v>
      </c>
      <c r="AB26" s="1226">
        <f>'12. Разходи'!U26-'12. Разходи'!$S26</f>
        <v>-5.3</v>
      </c>
      <c r="AC26" s="1211">
        <f>IFERROR(('12. Разходи'!U26-'12. Разходи'!$S26)/'12. Разходи'!$S26,0)</f>
        <v>-1</v>
      </c>
      <c r="AD26" s="1226">
        <f>'12. Разходи'!V26-'12. Разходи'!$S26</f>
        <v>-5.3</v>
      </c>
      <c r="AE26" s="1211">
        <f>IFERROR(('12. Разходи'!V26-'12. Разходи'!$S26)/'12. Разходи'!$S26,0)</f>
        <v>-1</v>
      </c>
      <c r="AF26" s="1226">
        <f>'12. Разходи'!W26-'12. Разходи'!$S26</f>
        <v>-5.3</v>
      </c>
      <c r="AG26" s="1211">
        <f>IFERROR(('12. Разходи'!W26-'12. Разходи'!$S26)/'12. Разходи'!$S26,0)</f>
        <v>-1</v>
      </c>
      <c r="AH26" s="1226">
        <f>'12. Разходи'!X26-'12. Разходи'!$S26</f>
        <v>-5.3</v>
      </c>
      <c r="AI26" s="904">
        <f>IFERROR(('12. Разходи'!X26-'12. Разходи'!$S26)/'12. Разходи'!$S26,0)</f>
        <v>-1</v>
      </c>
      <c r="AJ26" s="1270">
        <f>'12. Разходи'!AA26</f>
        <v>0.31</v>
      </c>
      <c r="AK26" s="1231">
        <f>'12. Разходи'!AB26-'12. Разходи'!$AA26</f>
        <v>3.1000000000000028E-2</v>
      </c>
      <c r="AL26" s="1211">
        <f>IFERROR(('12. Разходи'!AB26-'12. Разходи'!$AA26)/'12. Разходи'!$AA26,0)</f>
        <v>0.10000000000000009</v>
      </c>
      <c r="AM26" s="995">
        <f>'12. Разходи'!AC26-'12. Разходи'!$AA26</f>
        <v>3.1000000000000028E-2</v>
      </c>
      <c r="AN26" s="1219">
        <f>IFERROR(('12. Разходи'!AC26-'12. Разходи'!$AA26)/'12. Разходи'!$AA26,0)</f>
        <v>0.10000000000000009</v>
      </c>
      <c r="AO26" s="995">
        <f>'12. Разходи'!AD26-'12. Разходи'!$AA26</f>
        <v>3.1000000000000028E-2</v>
      </c>
      <c r="AP26" s="1219">
        <f>IFERROR(('12. Разходи'!AD26-'12. Разходи'!$AA26)/'12. Разходи'!$AA26,0)</f>
        <v>0.10000000000000009</v>
      </c>
      <c r="AQ26" s="995">
        <f>'12. Разходи'!AE26-'12. Разходи'!$AA26</f>
        <v>3.1000000000000028E-2</v>
      </c>
      <c r="AR26" s="1218">
        <f>IFERROR(('12. Разходи'!AE26-'12. Разходи'!$AA26)/'12. Разходи'!$AA26,0)</f>
        <v>0.10000000000000009</v>
      </c>
      <c r="AS26" s="1226">
        <f>'12. Разходи'!AF26-'12. Разходи'!$AA26</f>
        <v>3.1000000000000028E-2</v>
      </c>
      <c r="AT26" s="1276">
        <f>IFERROR(('12. Разходи'!AF26-'12. Разходи'!$AA26)/'12. Разходи'!$AA26,0)</f>
        <v>0.10000000000000009</v>
      </c>
      <c r="AU26" s="1270">
        <f>'12. Разходи'!AI26</f>
        <v>0</v>
      </c>
      <c r="AV26" s="1231">
        <f>'12. Разходи'!AJ26-'12. Разходи'!$AI26</f>
        <v>0</v>
      </c>
      <c r="AW26" s="1211">
        <f>IFERROR(('12. Разходи'!AJ26-'12. Разходи'!$AI26)/'12. Разходи'!$AI26,0)</f>
        <v>0</v>
      </c>
      <c r="AX26" s="995">
        <f>'12. Разходи'!AK26-'12. Разходи'!$AI26</f>
        <v>0</v>
      </c>
      <c r="AY26" s="1219">
        <f>IFERROR(('12. Разходи'!AK26-'12. Разходи'!$AI26)/'12. Разходи'!$AI26,0)</f>
        <v>0</v>
      </c>
      <c r="AZ26" s="995">
        <f>'12. Разходи'!AL26-'12. Разходи'!$AI26</f>
        <v>0</v>
      </c>
      <c r="BA26" s="1219">
        <f>IFERROR(('12. Разходи'!AL26-'12. Разходи'!$AI26)/'12. Разходи'!$AI26,0)</f>
        <v>0</v>
      </c>
      <c r="BB26" s="995">
        <f>'12. Разходи'!AM26-'12. Разходи'!$AI26</f>
        <v>0</v>
      </c>
      <c r="BC26" s="1218">
        <f>IFERROR(('12. Разходи'!AM26-'12. Разходи'!$AI26)/'12. Разходи'!$AI26,0)</f>
        <v>0</v>
      </c>
      <c r="BD26" s="1226">
        <f>'12. Разходи'!AN26-'12. Разходи'!$AI26</f>
        <v>0</v>
      </c>
      <c r="BE26" s="1276">
        <f>IFERROR(('12. Разходи'!AN26-'12. Разходи'!$AI26)/'12. Разходи'!$AI26,0)</f>
        <v>0</v>
      </c>
      <c r="BF26" s="744"/>
      <c r="BG26" s="724"/>
      <c r="BH26" s="720"/>
      <c r="BI26" s="720"/>
      <c r="BJ26" s="744"/>
      <c r="BK26" s="744"/>
      <c r="BL26" s="744"/>
      <c r="BM26" s="744"/>
      <c r="BN26" s="744"/>
    </row>
    <row r="27" spans="1:66" ht="15.95" customHeight="1">
      <c r="A27" s="919" t="s">
        <v>444</v>
      </c>
      <c r="B27" s="3497">
        <f>'12. Разходи'!B27</f>
        <v>0</v>
      </c>
      <c r="C27" s="3498">
        <f>'12. Разходи'!C27</f>
        <v>0</v>
      </c>
      <c r="D27" s="995">
        <f>'12. Разходи'!D27-'12. Разходи'!$C27</f>
        <v>0</v>
      </c>
      <c r="E27" s="1211">
        <f>IFERROR(('12. Разходи'!D27-'12. Разходи'!$C27)/'12. Разходи'!$C27,0)</f>
        <v>0</v>
      </c>
      <c r="F27" s="1226">
        <f>'12. Разходи'!E27-'12. Разходи'!$C27</f>
        <v>0</v>
      </c>
      <c r="G27" s="1211">
        <f>IFERROR(('12. Разходи'!E27-'12. Разходи'!$C27)/'12. Разходи'!$C27,0)</f>
        <v>0</v>
      </c>
      <c r="H27" s="1226">
        <f>'12. Разходи'!F27-'12. Разходи'!$C27</f>
        <v>0</v>
      </c>
      <c r="I27" s="1211">
        <f>IFERROR(('12. Разходи'!F27-'12. Разходи'!$C27)/'12. Разходи'!$C27,0)</f>
        <v>0</v>
      </c>
      <c r="J27" s="1226">
        <f>'12. Разходи'!G27-'12. Разходи'!$C27</f>
        <v>0</v>
      </c>
      <c r="K27" s="1211">
        <f>IFERROR(('12. Разходи'!G27-'12. Разходи'!$C27)/'12. Разходи'!$C27,0)</f>
        <v>0</v>
      </c>
      <c r="L27" s="1226">
        <f>'12. Разходи'!H27-'12. Разходи'!$C27</f>
        <v>0</v>
      </c>
      <c r="M27" s="1212">
        <f>IFERROR(('12. Разходи'!H27-'12. Разходи'!$C27)/'12. Разходи'!$C27,0)</f>
        <v>0</v>
      </c>
      <c r="N27" s="1270">
        <f>'12. Разходи'!K27</f>
        <v>0</v>
      </c>
      <c r="O27" s="995">
        <f>'12. Разходи'!L27-'12. Разходи'!$K27</f>
        <v>0</v>
      </c>
      <c r="P27" s="1211">
        <f>IFERROR(('12. Разходи'!L27-'12. Разходи'!$K27)/'12. Разходи'!$K27,0)</f>
        <v>0</v>
      </c>
      <c r="Q27" s="1226">
        <f>'12. Разходи'!M27-'12. Разходи'!$K27</f>
        <v>0</v>
      </c>
      <c r="R27" s="1211">
        <f>IFERROR(('12. Разходи'!M27-'12. Разходи'!$K27)/'12. Разходи'!$K27,0)</f>
        <v>0</v>
      </c>
      <c r="S27" s="1226">
        <f>'12. Разходи'!N27-'12. Разходи'!$K27</f>
        <v>0</v>
      </c>
      <c r="T27" s="1211">
        <f>IFERROR(('12. Разходи'!N27-'12. Разходи'!$K27)/'12. Разходи'!$K27,0)</f>
        <v>0</v>
      </c>
      <c r="U27" s="1226">
        <f>'12. Разходи'!O27-'12. Разходи'!$K27</f>
        <v>0</v>
      </c>
      <c r="V27" s="1211">
        <f>IFERROR(('12. Разходи'!O27-'12. Разходи'!$K27)/'12. Разходи'!$K27,0)</f>
        <v>0</v>
      </c>
      <c r="W27" s="1226">
        <f>'12. Разходи'!P27-'12. Разходи'!$K27</f>
        <v>0</v>
      </c>
      <c r="X27" s="904">
        <f>IFERROR(('12. Разходи'!P27-'12. Разходи'!$K27)/'12. Разходи'!$K27,0)</f>
        <v>0</v>
      </c>
      <c r="Y27" s="1270">
        <f>'12. Разходи'!S27</f>
        <v>0</v>
      </c>
      <c r="Z27" s="995">
        <f>'12. Разходи'!T27-'12. Разходи'!$S27</f>
        <v>0</v>
      </c>
      <c r="AA27" s="1211">
        <f>IFERROR(('12. Разходи'!T27-'12. Разходи'!$S27)/'12. Разходи'!$S27,0)</f>
        <v>0</v>
      </c>
      <c r="AB27" s="1226">
        <f>'12. Разходи'!U27-'12. Разходи'!$S27</f>
        <v>0</v>
      </c>
      <c r="AC27" s="1211">
        <f>IFERROR(('12. Разходи'!U27-'12. Разходи'!$S27)/'12. Разходи'!$S27,0)</f>
        <v>0</v>
      </c>
      <c r="AD27" s="1226">
        <f>'12. Разходи'!V27-'12. Разходи'!$S27</f>
        <v>0</v>
      </c>
      <c r="AE27" s="1211">
        <f>IFERROR(('12. Разходи'!V27-'12. Разходи'!$S27)/'12. Разходи'!$S27,0)</f>
        <v>0</v>
      </c>
      <c r="AF27" s="1226">
        <f>'12. Разходи'!W27-'12. Разходи'!$S27</f>
        <v>0</v>
      </c>
      <c r="AG27" s="1211">
        <f>IFERROR(('12. Разходи'!W27-'12. Разходи'!$S27)/'12. Разходи'!$S27,0)</f>
        <v>0</v>
      </c>
      <c r="AH27" s="1226">
        <f>'12. Разходи'!X27-'12. Разходи'!$S27</f>
        <v>0</v>
      </c>
      <c r="AI27" s="904">
        <f>IFERROR(('12. Разходи'!X27-'12. Разходи'!$S27)/'12. Разходи'!$S27,0)</f>
        <v>0</v>
      </c>
      <c r="AJ27" s="1270">
        <f>'12. Разходи'!AA27</f>
        <v>0</v>
      </c>
      <c r="AK27" s="1231">
        <f>'12. Разходи'!AB27-'12. Разходи'!$AA27</f>
        <v>0</v>
      </c>
      <c r="AL27" s="1211">
        <f>IFERROR(('12. Разходи'!AB27-'12. Разходи'!$AA27)/'12. Разходи'!$AA27,0)</f>
        <v>0</v>
      </c>
      <c r="AM27" s="995">
        <f>'12. Разходи'!AC27-'12. Разходи'!$AA27</f>
        <v>0</v>
      </c>
      <c r="AN27" s="1219">
        <f>IFERROR(('12. Разходи'!AC27-'12. Разходи'!$AA27)/'12. Разходи'!$AA27,0)</f>
        <v>0</v>
      </c>
      <c r="AO27" s="995">
        <f>'12. Разходи'!AD27-'12. Разходи'!$AA27</f>
        <v>0</v>
      </c>
      <c r="AP27" s="1219">
        <f>IFERROR(('12. Разходи'!AD27-'12. Разходи'!$AA27)/'12. Разходи'!$AA27,0)</f>
        <v>0</v>
      </c>
      <c r="AQ27" s="995">
        <f>'12. Разходи'!AE27-'12. Разходи'!$AA27</f>
        <v>0</v>
      </c>
      <c r="AR27" s="1218">
        <f>IFERROR(('12. Разходи'!AE27-'12. Разходи'!$AA27)/'12. Разходи'!$AA27,0)</f>
        <v>0</v>
      </c>
      <c r="AS27" s="1226">
        <f>'12. Разходи'!AF27-'12. Разходи'!$AA27</f>
        <v>0</v>
      </c>
      <c r="AT27" s="1276">
        <f>IFERROR(('12. Разходи'!AF27-'12. Разходи'!$AA27)/'12. Разходи'!$AA27,0)</f>
        <v>0</v>
      </c>
      <c r="AU27" s="1270">
        <f>'12. Разходи'!AI27</f>
        <v>0</v>
      </c>
      <c r="AV27" s="1231">
        <f>'12. Разходи'!AJ27-'12. Разходи'!$AI27</f>
        <v>0</v>
      </c>
      <c r="AW27" s="1211">
        <f>IFERROR(('12. Разходи'!AJ27-'12. Разходи'!$AI27)/'12. Разходи'!$AI27,0)</f>
        <v>0</v>
      </c>
      <c r="AX27" s="995">
        <f>'12. Разходи'!AK27-'12. Разходи'!$AI27</f>
        <v>0</v>
      </c>
      <c r="AY27" s="1219">
        <f>IFERROR(('12. Разходи'!AK27-'12. Разходи'!$AI27)/'12. Разходи'!$AI27,0)</f>
        <v>0</v>
      </c>
      <c r="AZ27" s="995">
        <f>'12. Разходи'!AL27-'12. Разходи'!$AI27</f>
        <v>0</v>
      </c>
      <c r="BA27" s="1219">
        <f>IFERROR(('12. Разходи'!AL27-'12. Разходи'!$AI27)/'12. Разходи'!$AI27,0)</f>
        <v>0</v>
      </c>
      <c r="BB27" s="995">
        <f>'12. Разходи'!AM27-'12. Разходи'!$AI27</f>
        <v>0</v>
      </c>
      <c r="BC27" s="1218">
        <f>IFERROR(('12. Разходи'!AM27-'12. Разходи'!$AI27)/'12. Разходи'!$AI27,0)</f>
        <v>0</v>
      </c>
      <c r="BD27" s="1226">
        <f>'12. Разходи'!AN27-'12. Разходи'!$AI27</f>
        <v>0</v>
      </c>
      <c r="BE27" s="1276">
        <f>IFERROR(('12. Разходи'!AN27-'12. Разходи'!$AI27)/'12. Разходи'!$AI27,0)</f>
        <v>0</v>
      </c>
      <c r="BF27" s="744"/>
      <c r="BG27" s="724"/>
      <c r="BH27" s="720"/>
      <c r="BI27" s="720"/>
      <c r="BJ27" s="744"/>
      <c r="BK27" s="744"/>
      <c r="BL27" s="744"/>
      <c r="BM27" s="744"/>
      <c r="BN27" s="744"/>
    </row>
    <row r="28" spans="1:66" ht="15.95" customHeight="1" thickBot="1">
      <c r="A28" s="919" t="s">
        <v>445</v>
      </c>
      <c r="B28" s="3497">
        <f>'12. Разходи'!B28</f>
        <v>0</v>
      </c>
      <c r="C28" s="3499">
        <f>'12. Разходи'!C28</f>
        <v>0</v>
      </c>
      <c r="D28" s="1227">
        <f>'12. Разходи'!D28-'12. Разходи'!$C28</f>
        <v>0</v>
      </c>
      <c r="E28" s="1213">
        <f>IFERROR(('12. Разходи'!D28-'12. Разходи'!$C28)/'12. Разходи'!$C28,0)</f>
        <v>0</v>
      </c>
      <c r="F28" s="1228">
        <f>'12. Разходи'!E28-'12. Разходи'!$C28</f>
        <v>0</v>
      </c>
      <c r="G28" s="1213">
        <f>IFERROR(('12. Разходи'!E28-'12. Разходи'!$C28)/'12. Разходи'!$C28,0)</f>
        <v>0</v>
      </c>
      <c r="H28" s="1228">
        <f>'12. Разходи'!F28-'12. Разходи'!$C28</f>
        <v>0</v>
      </c>
      <c r="I28" s="1213">
        <f>IFERROR(('12. Разходи'!F28-'12. Разходи'!$C28)/'12. Разходи'!$C28,0)</f>
        <v>0</v>
      </c>
      <c r="J28" s="1228">
        <f>'12. Разходи'!G28-'12. Разходи'!$C28</f>
        <v>0</v>
      </c>
      <c r="K28" s="1213">
        <f>IFERROR(('12. Разходи'!G28-'12. Разходи'!$C28)/'12. Разходи'!$C28,0)</f>
        <v>0</v>
      </c>
      <c r="L28" s="1228">
        <f>'12. Разходи'!H28-'12. Разходи'!$C28</f>
        <v>0</v>
      </c>
      <c r="M28" s="1214">
        <f>IFERROR(('12. Разходи'!H28-'12. Разходи'!$C28)/'12. Разходи'!$C28,0)</f>
        <v>0</v>
      </c>
      <c r="N28" s="1271">
        <f>'12. Разходи'!K28</f>
        <v>0</v>
      </c>
      <c r="O28" s="1227">
        <f>'12. Разходи'!L28-'12. Разходи'!$K28</f>
        <v>0</v>
      </c>
      <c r="P28" s="1213">
        <f>IFERROR(('12. Разходи'!L28-'12. Разходи'!$K28)/'12. Разходи'!$K28,0)</f>
        <v>0</v>
      </c>
      <c r="Q28" s="1228">
        <f>'12. Разходи'!M28-'12. Разходи'!$K28</f>
        <v>0</v>
      </c>
      <c r="R28" s="1213">
        <f>IFERROR(('12. Разходи'!M28-'12. Разходи'!$K28)/'12. Разходи'!$K28,0)</f>
        <v>0</v>
      </c>
      <c r="S28" s="1228">
        <f>'12. Разходи'!N28-'12. Разходи'!$K28</f>
        <v>0</v>
      </c>
      <c r="T28" s="1213">
        <f>IFERROR(('12. Разходи'!N28-'12. Разходи'!$K28)/'12. Разходи'!$K28,0)</f>
        <v>0</v>
      </c>
      <c r="U28" s="1228">
        <f>'12. Разходи'!O28-'12. Разходи'!$K28</f>
        <v>0</v>
      </c>
      <c r="V28" s="1213">
        <f>IFERROR(('12. Разходи'!O28-'12. Разходи'!$K28)/'12. Разходи'!$K28,0)</f>
        <v>0</v>
      </c>
      <c r="W28" s="1228">
        <f>'12. Разходи'!P28-'12. Разходи'!$K28</f>
        <v>0</v>
      </c>
      <c r="X28" s="1275">
        <f>IFERROR(('12. Разходи'!P28-'12. Разходи'!$K28)/'12. Разходи'!$K28,0)</f>
        <v>0</v>
      </c>
      <c r="Y28" s="1271">
        <f>'12. Разходи'!S28</f>
        <v>0</v>
      </c>
      <c r="Z28" s="1227">
        <f>'12. Разходи'!T28-'12. Разходи'!$S28</f>
        <v>0</v>
      </c>
      <c r="AA28" s="1213">
        <f>IFERROR(('12. Разходи'!T28-'12. Разходи'!$S28)/'12. Разходи'!$S28,0)</f>
        <v>0</v>
      </c>
      <c r="AB28" s="1228">
        <f>'12. Разходи'!U28-'12. Разходи'!$S28</f>
        <v>0</v>
      </c>
      <c r="AC28" s="1213">
        <f>IFERROR(('12. Разходи'!U28-'12. Разходи'!$S28)/'12. Разходи'!$S28,0)</f>
        <v>0</v>
      </c>
      <c r="AD28" s="1228">
        <f>'12. Разходи'!V28-'12. Разходи'!$S28</f>
        <v>0</v>
      </c>
      <c r="AE28" s="1213">
        <f>IFERROR(('12. Разходи'!V28-'12. Разходи'!$S28)/'12. Разходи'!$S28,0)</f>
        <v>0</v>
      </c>
      <c r="AF28" s="1228">
        <f>'12. Разходи'!W28-'12. Разходи'!$S28</f>
        <v>0</v>
      </c>
      <c r="AG28" s="1213">
        <f>IFERROR(('12. Разходи'!W28-'12. Разходи'!$S28)/'12. Разходи'!$S28,0)</f>
        <v>0</v>
      </c>
      <c r="AH28" s="1228">
        <f>'12. Разходи'!X28-'12. Разходи'!$S28</f>
        <v>0</v>
      </c>
      <c r="AI28" s="1275">
        <f>IFERROR(('12. Разходи'!X28-'12. Разходи'!$S28)/'12. Разходи'!$S28,0)</f>
        <v>0</v>
      </c>
      <c r="AJ28" s="1272">
        <f>'12. Разходи'!AA28</f>
        <v>0</v>
      </c>
      <c r="AK28" s="1231">
        <f>'12. Разходи'!AB28-'12. Разходи'!$AA28</f>
        <v>0</v>
      </c>
      <c r="AL28" s="1211">
        <f>IFERROR(('12. Разходи'!AB28-'12. Разходи'!$AA28)/'12. Разходи'!$AA28,0)</f>
        <v>0</v>
      </c>
      <c r="AM28" s="995">
        <f>'12. Разходи'!AC28-'12. Разходи'!$AA28</f>
        <v>0</v>
      </c>
      <c r="AN28" s="1219">
        <f>IFERROR(('12. Разходи'!AC28-'12. Разходи'!$AA28)/'12. Разходи'!$AA28,0)</f>
        <v>0</v>
      </c>
      <c r="AO28" s="995">
        <f>'12. Разходи'!AD28-'12. Разходи'!$AA28</f>
        <v>0</v>
      </c>
      <c r="AP28" s="1219">
        <f>IFERROR(('12. Разходи'!AD28-'12. Разходи'!$AA28)/'12. Разходи'!$AA28,0)</f>
        <v>0</v>
      </c>
      <c r="AQ28" s="995">
        <f>'12. Разходи'!AE28-'12. Разходи'!$AA28</f>
        <v>0</v>
      </c>
      <c r="AR28" s="1218">
        <f>IFERROR(('12. Разходи'!AE28-'12. Разходи'!$AA28)/'12. Разходи'!$AA28,0)</f>
        <v>0</v>
      </c>
      <c r="AS28" s="1226">
        <f>'12. Разходи'!AF28-'12. Разходи'!$AA28</f>
        <v>0</v>
      </c>
      <c r="AT28" s="1276">
        <f>IFERROR(('12. Разходи'!AF28-'12. Разходи'!$AA28)/'12. Разходи'!$AA28,0)</f>
        <v>0</v>
      </c>
      <c r="AU28" s="1270">
        <f>'12. Разходи'!AI28</f>
        <v>0</v>
      </c>
      <c r="AV28" s="1231">
        <f>'12. Разходи'!AJ28-'12. Разходи'!$AI28</f>
        <v>0</v>
      </c>
      <c r="AW28" s="1211">
        <f>IFERROR(('12. Разходи'!AJ28-'12. Разходи'!$AI28)/'12. Разходи'!$AI28,0)</f>
        <v>0</v>
      </c>
      <c r="AX28" s="995">
        <f>'12. Разходи'!AK28-'12. Разходи'!$AI28</f>
        <v>0</v>
      </c>
      <c r="AY28" s="1219">
        <f>IFERROR(('12. Разходи'!AK28-'12. Разходи'!$AI28)/'12. Разходи'!$AI28,0)</f>
        <v>0</v>
      </c>
      <c r="AZ28" s="995">
        <f>'12. Разходи'!AL28-'12. Разходи'!$AI28</f>
        <v>0</v>
      </c>
      <c r="BA28" s="1219">
        <f>IFERROR(('12. Разходи'!AL28-'12. Разходи'!$AI28)/'12. Разходи'!$AI28,0)</f>
        <v>0</v>
      </c>
      <c r="BB28" s="995">
        <f>'12. Разходи'!AM28-'12. Разходи'!$AI28</f>
        <v>0</v>
      </c>
      <c r="BC28" s="1218">
        <f>IFERROR(('12. Разходи'!AM28-'12. Разходи'!$AI28)/'12. Разходи'!$AI28,0)</f>
        <v>0</v>
      </c>
      <c r="BD28" s="1226">
        <f>'12. Разходи'!AN28-'12. Разходи'!$AI28</f>
        <v>0</v>
      </c>
      <c r="BE28" s="1276">
        <f>IFERROR(('12. Разходи'!AN28-'12. Разходи'!$AI28)/'12. Разходи'!$AI28,0)</f>
        <v>0</v>
      </c>
      <c r="BF28" s="744"/>
      <c r="BG28" s="724"/>
      <c r="BH28" s="720"/>
      <c r="BI28" s="720"/>
      <c r="BJ28" s="744"/>
      <c r="BK28" s="744"/>
      <c r="BL28" s="744"/>
      <c r="BM28" s="744"/>
      <c r="BN28" s="744"/>
    </row>
    <row r="29" spans="1:66" s="1250" customFormat="1" ht="15.95" customHeight="1" thickBot="1">
      <c r="A29" s="119" t="s">
        <v>98</v>
      </c>
      <c r="B29" s="984" t="s">
        <v>244</v>
      </c>
      <c r="C29" s="1200">
        <f>'12. Разходи'!C29</f>
        <v>2287</v>
      </c>
      <c r="D29" s="1238">
        <f>'12. Разходи'!D29-'12. Разходи'!$C29</f>
        <v>-510.77300000000014</v>
      </c>
      <c r="E29" s="962">
        <f>IFERROR(('12. Разходи'!D29-'12. Разходи'!$C29)/'12. Разходи'!$C29,0)</f>
        <v>-0.22333756012243119</v>
      </c>
      <c r="F29" s="1237">
        <f>'12. Разходи'!E29-'12. Разходи'!$C29</f>
        <v>-345.42000000000007</v>
      </c>
      <c r="G29" s="962">
        <f>IFERROR(('12. Разходи'!E29-'12. Разходи'!$C29)/'12. Разходи'!$C29,0)</f>
        <v>-0.15103629208570182</v>
      </c>
      <c r="H29" s="1237">
        <f>'12. Разходи'!F29-'12. Разходи'!$C29</f>
        <v>-344.52</v>
      </c>
      <c r="I29" s="962">
        <f>IFERROR(('12. Разходи'!F29-'12. Разходи'!$C29)/'12. Разходи'!$C29,0)</f>
        <v>-0.15064276344556185</v>
      </c>
      <c r="J29" s="1237">
        <f>'12. Разходи'!G29-'12. Разходи'!$C29</f>
        <v>-332.52</v>
      </c>
      <c r="K29" s="971">
        <f>IFERROR(('12. Разходи'!G29-'12. Разходи'!$C29)/'12. Разходи'!$C29,0)</f>
        <v>-0.14539571491036291</v>
      </c>
      <c r="L29" s="1237">
        <f>'12. Разходи'!H29-'12. Разходи'!$C29</f>
        <v>-309.52</v>
      </c>
      <c r="M29" s="971">
        <f>IFERROR(('12. Разходи'!H29-'12. Разходи'!$C29)/'12. Разходи'!$C29,0)</f>
        <v>-0.13533887188456492</v>
      </c>
      <c r="N29" s="1254">
        <f>'12. Разходи'!K29</f>
        <v>48.69</v>
      </c>
      <c r="O29" s="1238">
        <f>'12. Разходи'!L29-'12. Разходи'!$K29</f>
        <v>164.26000000000002</v>
      </c>
      <c r="P29" s="962">
        <f>IFERROR(('12. Разходи'!L29-'12. Разходи'!$K29)/'12. Разходи'!$K29,0)</f>
        <v>3.3735880057506682</v>
      </c>
      <c r="Q29" s="1237">
        <f>'12. Разходи'!M29-'12. Разходи'!$K29</f>
        <v>178.38899999999998</v>
      </c>
      <c r="R29" s="962">
        <f>IFERROR(('12. Разходи'!M29-'12. Разходи'!$K29)/'12. Разходи'!$K29,0)</f>
        <v>3.6637707948243992</v>
      </c>
      <c r="S29" s="1237">
        <f>'12. Разходи'!N29-'12. Разходи'!$K29</f>
        <v>180.739</v>
      </c>
      <c r="T29" s="962">
        <f>IFERROR(('12. Разходи'!N29-'12. Разходи'!$K29)/'12. Разходи'!$K29,0)</f>
        <v>3.7120353255288565</v>
      </c>
      <c r="U29" s="1237">
        <f>'12. Разходи'!O29-'12. Разходи'!$K29</f>
        <v>180.739</v>
      </c>
      <c r="V29" s="971">
        <f>IFERROR(('12. Разходи'!O29-'12. Разходи'!$K29)/'12. Разходи'!$K29,0)</f>
        <v>3.7120353255288565</v>
      </c>
      <c r="W29" s="1237">
        <f>'12. Разходи'!P29-'12. Разходи'!$K29</f>
        <v>180.739</v>
      </c>
      <c r="X29" s="898">
        <f>IFERROR(('12. Разходи'!P29-'12. Разходи'!$K29)/'12. Разходи'!$K29,0)</f>
        <v>3.7120353255288565</v>
      </c>
      <c r="Y29" s="1254">
        <f>'12. Разходи'!S29</f>
        <v>340.01700000000005</v>
      </c>
      <c r="Z29" s="1238">
        <f>'12. Разходи'!T29-'12. Разходи'!$S29</f>
        <v>185.21699999999987</v>
      </c>
      <c r="AA29" s="962">
        <f>IFERROR(('12. Разходи'!T29-'12. Разходи'!$S29)/'12. Разходи'!$S29,0)</f>
        <v>0.54472864592064463</v>
      </c>
      <c r="AB29" s="1237">
        <f>'12. Разходи'!U29-'12. Разходи'!$S29</f>
        <v>277.99599999999998</v>
      </c>
      <c r="AC29" s="962">
        <f>IFERROR(('12. Разходи'!U29-'12. Разходи'!$S29)/'12. Разходи'!$S29,0)</f>
        <v>0.81759441439692704</v>
      </c>
      <c r="AD29" s="1237">
        <f>'12. Разходи'!V29-'12. Разходи'!$S29</f>
        <v>-94.313000000000073</v>
      </c>
      <c r="AE29" s="962">
        <f>IFERROR(('12. Разходи'!V29-'12. Разходи'!$S29)/'12. Разходи'!$S29,0)</f>
        <v>-0.27737730760520812</v>
      </c>
      <c r="AF29" s="1237">
        <f>'12. Разходи'!W29-'12. Разходи'!$S29</f>
        <v>-90.489000000000061</v>
      </c>
      <c r="AG29" s="971">
        <f>IFERROR(('12. Разходи'!W29-'12. Разходи'!$S29)/'12. Разходи'!$S29,0)</f>
        <v>-0.26613081110650366</v>
      </c>
      <c r="AH29" s="1237">
        <f>'12. Разходи'!X29-'12. Разходи'!$S29</f>
        <v>-148.81700000000006</v>
      </c>
      <c r="AI29" s="898">
        <f>IFERROR(('12. Разходи'!X29-'12. Разходи'!$S29)/'12. Разходи'!$S29,0)</f>
        <v>-0.43767517506477627</v>
      </c>
      <c r="AJ29" s="1254">
        <f>'12. Разходи'!AA29</f>
        <v>4.4000000000000004</v>
      </c>
      <c r="AK29" s="1238">
        <f>'12. Разходи'!AB29-'12. Разходи'!$AA29</f>
        <v>24.665999999999997</v>
      </c>
      <c r="AL29" s="962">
        <f>IFERROR(('12. Разходи'!AB29-'12. Разходи'!$AA29)/'12. Разходи'!$AA29,0)</f>
        <v>5.6059090909090896</v>
      </c>
      <c r="AM29" s="1237">
        <f>'12. Разходи'!AC29-'12. Разходи'!$AA29</f>
        <v>29.53</v>
      </c>
      <c r="AN29" s="962">
        <f>IFERROR(('12. Разходи'!AC29-'12. Разходи'!$AA29)/'12. Разходи'!$AA29,0)</f>
        <v>6.711363636363636</v>
      </c>
      <c r="AO29" s="1237">
        <f>'12. Разходи'!AD29-'12. Разходи'!$AA29</f>
        <v>38.53</v>
      </c>
      <c r="AP29" s="962">
        <f>IFERROR(('12. Разходи'!AD29-'12. Разходи'!$AA29)/'12. Разходи'!$AA29,0)</f>
        <v>8.7568181818181809</v>
      </c>
      <c r="AQ29" s="1237">
        <f>'12. Разходи'!AE29-'12. Разходи'!$AA29</f>
        <v>29.53</v>
      </c>
      <c r="AR29" s="971">
        <f>IFERROR(('12. Разходи'!AE29-'12. Разходи'!$AA29)/'12. Разходи'!$AA29,0)</f>
        <v>6.711363636363636</v>
      </c>
      <c r="AS29" s="1237">
        <f>'12. Разходи'!AF29-'12. Разходи'!$AA29</f>
        <v>27.560000000000002</v>
      </c>
      <c r="AT29" s="898">
        <f>IFERROR(('12. Разходи'!AF29-'12. Разходи'!$AA29)/'12. Разходи'!$AA29,0)</f>
        <v>6.2636363636363637</v>
      </c>
      <c r="AU29" s="1254">
        <f>'12. Разходи'!AI29</f>
        <v>0</v>
      </c>
      <c r="AV29" s="1238">
        <f>'12. Разходи'!AJ29-'12. Разходи'!$AI29</f>
        <v>0</v>
      </c>
      <c r="AW29" s="962">
        <f>IFERROR(('12. Разходи'!AJ29-'12. Разходи'!$AI29)/'12. Разходи'!$AI29,0)</f>
        <v>0</v>
      </c>
      <c r="AX29" s="1237">
        <f>'12. Разходи'!AK29-'12. Разходи'!$AI29</f>
        <v>0</v>
      </c>
      <c r="AY29" s="962">
        <f>IFERROR(('12. Разходи'!AK29-'12. Разходи'!$AI29)/'12. Разходи'!$AI29,0)</f>
        <v>0</v>
      </c>
      <c r="AZ29" s="1237">
        <f>'12. Разходи'!AL29-'12. Разходи'!$AI29</f>
        <v>0</v>
      </c>
      <c r="BA29" s="962">
        <f>IFERROR(('12. Разходи'!AL29-'12. Разходи'!$AI29)/'12. Разходи'!$AI29,0)</f>
        <v>0</v>
      </c>
      <c r="BB29" s="1237">
        <f>'12. Разходи'!AM29-'12. Разходи'!$AI29</f>
        <v>0</v>
      </c>
      <c r="BC29" s="971">
        <f>IFERROR(('12. Разходи'!AM29-'12. Разходи'!$AI29)/'12. Разходи'!$AI29,0)</f>
        <v>0</v>
      </c>
      <c r="BD29" s="1237">
        <f>'12. Разходи'!AN29-'12. Разходи'!$AI29</f>
        <v>0</v>
      </c>
      <c r="BE29" s="898">
        <f>IFERROR(('12. Разходи'!AN29-'12. Разходи'!$AI29)/'12. Разходи'!$AI29,0)</f>
        <v>0</v>
      </c>
      <c r="BF29" s="745"/>
      <c r="BG29" s="1252"/>
      <c r="BH29" s="1253"/>
      <c r="BI29" s="1253"/>
      <c r="BJ29" s="745"/>
      <c r="BK29" s="745"/>
      <c r="BL29" s="745"/>
      <c r="BM29" s="745"/>
      <c r="BN29" s="745"/>
    </row>
    <row r="30" spans="1:66" ht="15.95" customHeight="1">
      <c r="A30" s="118" t="s">
        <v>99</v>
      </c>
      <c r="B30" s="985" t="s">
        <v>245</v>
      </c>
      <c r="C30" s="1203">
        <f>'12. Разходи'!C30</f>
        <v>61</v>
      </c>
      <c r="D30" s="1229">
        <f>'12. Разходи'!D30-'12. Разходи'!$C30</f>
        <v>0</v>
      </c>
      <c r="E30" s="1215">
        <f>IFERROR(('12. Разходи'!D30-'12. Разходи'!$C30)/'12. Разходи'!$C30,0)</f>
        <v>0</v>
      </c>
      <c r="F30" s="1230">
        <f>'12. Разходи'!E30-'12. Разходи'!$C30</f>
        <v>0</v>
      </c>
      <c r="G30" s="1216">
        <f>IFERROR(('12. Разходи'!E30-'12. Разходи'!$C30)/'12. Разходи'!$C30,0)</f>
        <v>0</v>
      </c>
      <c r="H30" s="1230">
        <f>'12. Разходи'!F30-'12. Разходи'!$C30</f>
        <v>0</v>
      </c>
      <c r="I30" s="1216">
        <f>IFERROR(('12. Разходи'!F30-'12. Разходи'!$C30)/'12. Разходи'!$C30,0)</f>
        <v>0</v>
      </c>
      <c r="J30" s="1230">
        <f>'12. Разходи'!G30-'12. Разходи'!$C30</f>
        <v>0</v>
      </c>
      <c r="K30" s="1217">
        <f>IFERROR(('12. Разходи'!G30-'12. Разходи'!$C30)/'12. Разходи'!$C30,0)</f>
        <v>0</v>
      </c>
      <c r="L30" s="1226">
        <f>'12. Разходи'!H30-'12. Разходи'!$C30</f>
        <v>0</v>
      </c>
      <c r="M30" s="1218">
        <f>IFERROR(('12. Разходи'!H30-'12. Разходи'!$C30)/'12. Разходи'!$C30,0)</f>
        <v>0</v>
      </c>
      <c r="N30" s="1273">
        <f>'12. Разходи'!K30</f>
        <v>8</v>
      </c>
      <c r="O30" s="1229">
        <f>'12. Разходи'!L30-'12. Разходи'!$K30</f>
        <v>4.6500000000000004</v>
      </c>
      <c r="P30" s="1215">
        <f>IFERROR(('12. Разходи'!L30-'12. Разходи'!$K30)/'12. Разходи'!$K30,0)</f>
        <v>0.58125000000000004</v>
      </c>
      <c r="Q30" s="1230">
        <f>'12. Разходи'!M30-'12. Разходи'!$K30</f>
        <v>4.6500000000000004</v>
      </c>
      <c r="R30" s="1216">
        <f>IFERROR(('12. Разходи'!M30-'12. Разходи'!$K30)/'12. Разходи'!$K30,0)</f>
        <v>0.58125000000000004</v>
      </c>
      <c r="S30" s="1230">
        <f>'12. Разходи'!N30-'12. Разходи'!$K30</f>
        <v>7</v>
      </c>
      <c r="T30" s="1216">
        <f>IFERROR(('12. Разходи'!N30-'12. Разходи'!$K30)/'12. Разходи'!$K30,0)</f>
        <v>0.875</v>
      </c>
      <c r="U30" s="1230">
        <f>'12. Разходи'!O30-'12. Разходи'!$K30</f>
        <v>7</v>
      </c>
      <c r="V30" s="1217">
        <f>IFERROR(('12. Разходи'!O30-'12. Разходи'!$K30)/'12. Разходи'!$K30,0)</f>
        <v>0.875</v>
      </c>
      <c r="W30" s="1226">
        <f>'12. Разходи'!P30-'12. Разходи'!$K30</f>
        <v>7</v>
      </c>
      <c r="X30" s="1276">
        <f>IFERROR(('12. Разходи'!P30-'12. Разходи'!$K30)/'12. Разходи'!$K30,0)</f>
        <v>0.875</v>
      </c>
      <c r="Y30" s="1273">
        <f>'12. Разходи'!S30</f>
        <v>6</v>
      </c>
      <c r="Z30" s="1229">
        <f>'12. Разходи'!T30-'12. Разходи'!$S30</f>
        <v>0</v>
      </c>
      <c r="AA30" s="1215">
        <f>IFERROR(('12. Разходи'!T30-'12. Разходи'!$S30)/'12. Разходи'!$S30,0)</f>
        <v>0</v>
      </c>
      <c r="AB30" s="1230">
        <f>'12. Разходи'!U30-'12. Разходи'!$S30</f>
        <v>0</v>
      </c>
      <c r="AC30" s="1216">
        <f>IFERROR(('12. Разходи'!U30-'12. Разходи'!$S30)/'12. Разходи'!$S30,0)</f>
        <v>0</v>
      </c>
      <c r="AD30" s="1230">
        <f>'12. Разходи'!V30-'12. Разходи'!$S30</f>
        <v>9</v>
      </c>
      <c r="AE30" s="1216">
        <f>IFERROR(('12. Разходи'!V30-'12. Разходи'!$S30)/'12. Разходи'!$S30,0)</f>
        <v>1.5</v>
      </c>
      <c r="AF30" s="1230">
        <f>'12. Разходи'!W30-'12. Разходи'!$S30</f>
        <v>9</v>
      </c>
      <c r="AG30" s="1217">
        <f>IFERROR(('12. Разходи'!W30-'12. Разходи'!$S30)/'12. Разходи'!$S30,0)</f>
        <v>1.5</v>
      </c>
      <c r="AH30" s="1226">
        <f>'12. Разходи'!X30-'12. Разходи'!$S30</f>
        <v>9</v>
      </c>
      <c r="AI30" s="1276">
        <f>IFERROR(('12. Разходи'!X30-'12. Разходи'!$S30)/'12. Разходи'!$S30,0)</f>
        <v>1.5</v>
      </c>
      <c r="AJ30" s="1273">
        <f>'12. Разходи'!AA30</f>
        <v>0.44</v>
      </c>
      <c r="AK30" s="1229">
        <f>'12. Разходи'!AB30-'12. Разходи'!$AA30</f>
        <v>2.56</v>
      </c>
      <c r="AL30" s="1215">
        <f>IFERROR(('12. Разходи'!AB30-'12. Разходи'!$AA30)/'12. Разходи'!$AA30,0)</f>
        <v>5.8181818181818183</v>
      </c>
      <c r="AM30" s="1230">
        <f>'12. Разходи'!AC30-'12. Разходи'!$AA30</f>
        <v>2.56</v>
      </c>
      <c r="AN30" s="1216">
        <f>IFERROR(('12. Разходи'!AC30-'12. Разходи'!$AA30)/'12. Разходи'!$AA30,0)</f>
        <v>5.8181818181818183</v>
      </c>
      <c r="AO30" s="1230">
        <f>'12. Разходи'!AD30-'12. Разходи'!$AA30</f>
        <v>2.56</v>
      </c>
      <c r="AP30" s="1216">
        <f>IFERROR(('12. Разходи'!AD30-'12. Разходи'!$AA30)/'12. Разходи'!$AA30,0)</f>
        <v>5.8181818181818183</v>
      </c>
      <c r="AQ30" s="1230">
        <f>'12. Разходи'!AE30-'12. Разходи'!$AA30</f>
        <v>2.56</v>
      </c>
      <c r="AR30" s="1217">
        <f>IFERROR(('12. Разходи'!AE30-'12. Разходи'!$AA30)/'12. Разходи'!$AA30,0)</f>
        <v>5.8181818181818183</v>
      </c>
      <c r="AS30" s="1226">
        <f>'12. Разходи'!AF30-'12. Разходи'!$AA30</f>
        <v>2.56</v>
      </c>
      <c r="AT30" s="1276">
        <f>IFERROR(('12. Разходи'!AF30-'12. Разходи'!$AA30)/'12. Разходи'!$AA30,0)</f>
        <v>5.8181818181818183</v>
      </c>
      <c r="AU30" s="1273">
        <f>'12. Разходи'!AI30</f>
        <v>0</v>
      </c>
      <c r="AV30" s="1229">
        <f>'12. Разходи'!AJ30-'12. Разходи'!$AI30</f>
        <v>0</v>
      </c>
      <c r="AW30" s="1215">
        <f>IFERROR(('12. Разходи'!AJ30-'12. Разходи'!$AI30)/'12. Разходи'!$AI30,0)</f>
        <v>0</v>
      </c>
      <c r="AX30" s="1230">
        <f>'12. Разходи'!AK30-'12. Разходи'!$AI30</f>
        <v>0</v>
      </c>
      <c r="AY30" s="1216">
        <f>IFERROR(('12. Разходи'!AK30-'12. Разходи'!$AI30)/'12. Разходи'!$AI30,0)</f>
        <v>0</v>
      </c>
      <c r="AZ30" s="1230">
        <f>'12. Разходи'!AL30-'12. Разходи'!$AI30</f>
        <v>0</v>
      </c>
      <c r="BA30" s="1216">
        <f>IFERROR(('12. Разходи'!AL30-'12. Разходи'!$AI30)/'12. Разходи'!$AI30,0)</f>
        <v>0</v>
      </c>
      <c r="BB30" s="1230">
        <f>'12. Разходи'!AM30-'12. Разходи'!$AI30</f>
        <v>0</v>
      </c>
      <c r="BC30" s="1217">
        <f>IFERROR(('12. Разходи'!AM30-'12. Разходи'!$AI30)/'12. Разходи'!$AI30,0)</f>
        <v>0</v>
      </c>
      <c r="BD30" s="1226">
        <f>'12. Разходи'!AN30-'12. Разходи'!$AI30</f>
        <v>0</v>
      </c>
      <c r="BE30" s="1276">
        <f>IFERROR(('12. Разходи'!AN30-'12. Разходи'!$AI30)/'12. Разходи'!$AI30,0)</f>
        <v>0</v>
      </c>
      <c r="BF30" s="745"/>
      <c r="BG30" s="746"/>
      <c r="BH30" s="720"/>
      <c r="BI30" s="720"/>
      <c r="BJ30" s="745"/>
      <c r="BK30" s="745"/>
      <c r="BL30" s="745"/>
      <c r="BM30" s="745"/>
      <c r="BN30" s="745"/>
    </row>
    <row r="31" spans="1:66" ht="24">
      <c r="A31" s="916" t="s">
        <v>100</v>
      </c>
      <c r="B31" s="983" t="s">
        <v>246</v>
      </c>
      <c r="C31" s="1202">
        <f>'12. Разходи'!C31</f>
        <v>296</v>
      </c>
      <c r="D31" s="1231">
        <f>'12. Разходи'!D31-'12. Разходи'!$C31</f>
        <v>21.031999999999982</v>
      </c>
      <c r="E31" s="1211">
        <f>IFERROR(('12. Разходи'!D31-'12. Разходи'!$C31)/'12. Разходи'!$C31,0)</f>
        <v>7.1054054054053989E-2</v>
      </c>
      <c r="F31" s="995">
        <f>'12. Разходи'!E31-'12. Разходи'!$C31</f>
        <v>63.100000000000023</v>
      </c>
      <c r="G31" s="1219">
        <f>IFERROR(('12. Разходи'!E31-'12. Разходи'!$C31)/'12. Разходи'!$C31,0)</f>
        <v>0.21317567567567575</v>
      </c>
      <c r="H31" s="995">
        <f>'12. Разходи'!F31-'12. Разходи'!$C31</f>
        <v>64</v>
      </c>
      <c r="I31" s="1219">
        <f>IFERROR(('12. Разходи'!F31-'12. Разходи'!$C31)/'12. Разходи'!$C31,0)</f>
        <v>0.21621621621621623</v>
      </c>
      <c r="J31" s="995">
        <f>'12. Разходи'!G31-'12. Разходи'!$C31</f>
        <v>76</v>
      </c>
      <c r="K31" s="1218">
        <f>IFERROR(('12. Разходи'!G31-'12. Разходи'!$C31)/'12. Разходи'!$C31,0)</f>
        <v>0.25675675675675674</v>
      </c>
      <c r="L31" s="1226">
        <f>'12. Разходи'!H31-'12. Разходи'!$C31</f>
        <v>99</v>
      </c>
      <c r="M31" s="1218">
        <f>IFERROR(('12. Разходи'!H31-'12. Разходи'!$C31)/'12. Разходи'!$C31,0)</f>
        <v>0.33445945945945948</v>
      </c>
      <c r="N31" s="1270">
        <f>'12. Разходи'!K31</f>
        <v>0</v>
      </c>
      <c r="O31" s="1231">
        <f>'12. Разходи'!L31-'12. Разходи'!$K31</f>
        <v>0</v>
      </c>
      <c r="P31" s="1211">
        <f>IFERROR(('12. Разходи'!L31-'12. Разходи'!$K31)/'12. Разходи'!$K31,0)</f>
        <v>0</v>
      </c>
      <c r="Q31" s="995">
        <f>'12. Разходи'!M31-'12. Разходи'!$K31</f>
        <v>0</v>
      </c>
      <c r="R31" s="1219">
        <f>IFERROR(('12. Разходи'!M31-'12. Разходи'!$K31)/'12. Разходи'!$K31,0)</f>
        <v>0</v>
      </c>
      <c r="S31" s="995">
        <f>'12. Разходи'!N31-'12. Разходи'!$K31</f>
        <v>0</v>
      </c>
      <c r="T31" s="1219">
        <f>IFERROR(('12. Разходи'!N31-'12. Разходи'!$K31)/'12. Разходи'!$K31,0)</f>
        <v>0</v>
      </c>
      <c r="U31" s="995">
        <f>'12. Разходи'!O31-'12. Разходи'!$K31</f>
        <v>0</v>
      </c>
      <c r="V31" s="1218">
        <f>IFERROR(('12. Разходи'!O31-'12. Разходи'!$K31)/'12. Разходи'!$K31,0)</f>
        <v>0</v>
      </c>
      <c r="W31" s="1226">
        <f>'12. Разходи'!P31-'12. Разходи'!$K31</f>
        <v>0</v>
      </c>
      <c r="X31" s="1276">
        <f>IFERROR(('12. Разходи'!P31-'12. Разходи'!$K31)/'12. Разходи'!$K31,0)</f>
        <v>0</v>
      </c>
      <c r="Y31" s="1270">
        <f>'12. Разходи'!S31</f>
        <v>0</v>
      </c>
      <c r="Z31" s="1231">
        <f>'12. Разходи'!T31-'12. Разходи'!$S31</f>
        <v>0</v>
      </c>
      <c r="AA31" s="1211">
        <f>IFERROR(('12. Разходи'!T31-'12. Разходи'!$S31)/'12. Разходи'!$S31,0)</f>
        <v>0</v>
      </c>
      <c r="AB31" s="995">
        <f>'12. Разходи'!U31-'12. Разходи'!$S31</f>
        <v>0</v>
      </c>
      <c r="AC31" s="1219">
        <f>IFERROR(('12. Разходи'!U31-'12. Разходи'!$S31)/'12. Разходи'!$S31,0)</f>
        <v>0</v>
      </c>
      <c r="AD31" s="995">
        <f>'12. Разходи'!V31-'12. Разходи'!$S31</f>
        <v>0</v>
      </c>
      <c r="AE31" s="1219">
        <f>IFERROR(('12. Разходи'!V31-'12. Разходи'!$S31)/'12. Разходи'!$S31,0)</f>
        <v>0</v>
      </c>
      <c r="AF31" s="995">
        <f>'12. Разходи'!W31-'12. Разходи'!$S31</f>
        <v>0</v>
      </c>
      <c r="AG31" s="1218">
        <f>IFERROR(('12. Разходи'!W31-'12. Разходи'!$S31)/'12. Разходи'!$S31,0)</f>
        <v>0</v>
      </c>
      <c r="AH31" s="1226">
        <f>'12. Разходи'!X31-'12. Разходи'!$S31</f>
        <v>0</v>
      </c>
      <c r="AI31" s="1276">
        <f>IFERROR(('12. Разходи'!X31-'12. Разходи'!$S31)/'12. Разходи'!$S31,0)</f>
        <v>0</v>
      </c>
      <c r="AJ31" s="1270">
        <f>'12. Разходи'!AA31</f>
        <v>0</v>
      </c>
      <c r="AK31" s="1231">
        <f>'12. Разходи'!AB31-'12. Разходи'!$AA31</f>
        <v>0</v>
      </c>
      <c r="AL31" s="1211">
        <f>IFERROR(('12. Разходи'!AB31-'12. Разходи'!$AA31)/'12. Разходи'!$AA31,0)</f>
        <v>0</v>
      </c>
      <c r="AM31" s="995">
        <f>'12. Разходи'!AC31-'12. Разходи'!$AA31</f>
        <v>0</v>
      </c>
      <c r="AN31" s="1219">
        <f>IFERROR(('12. Разходи'!AC31-'12. Разходи'!$AA31)/'12. Разходи'!$AA31,0)</f>
        <v>0</v>
      </c>
      <c r="AO31" s="995">
        <f>'12. Разходи'!AD31-'12. Разходи'!$AA31</f>
        <v>0</v>
      </c>
      <c r="AP31" s="1219">
        <f>IFERROR(('12. Разходи'!AD31-'12. Разходи'!$AA31)/'12. Разходи'!$AA31,0)</f>
        <v>0</v>
      </c>
      <c r="AQ31" s="995">
        <f>'12. Разходи'!AE31-'12. Разходи'!$AA31</f>
        <v>0</v>
      </c>
      <c r="AR31" s="1218">
        <f>IFERROR(('12. Разходи'!AE31-'12. Разходи'!$AA31)/'12. Разходи'!$AA31,0)</f>
        <v>0</v>
      </c>
      <c r="AS31" s="1226">
        <f>'12. Разходи'!AF31-'12. Разходи'!$AA31</f>
        <v>0</v>
      </c>
      <c r="AT31" s="1276">
        <f>IFERROR(('12. Разходи'!AF31-'12. Разходи'!$AA31)/'12. Разходи'!$AA31,0)</f>
        <v>0</v>
      </c>
      <c r="AU31" s="1270">
        <f>'12. Разходи'!AI31</f>
        <v>0</v>
      </c>
      <c r="AV31" s="1231">
        <f>'12. Разходи'!AJ31-'12. Разходи'!$AI31</f>
        <v>0</v>
      </c>
      <c r="AW31" s="1211">
        <f>IFERROR(('12. Разходи'!AJ31-'12. Разходи'!$AI31)/'12. Разходи'!$AI31,0)</f>
        <v>0</v>
      </c>
      <c r="AX31" s="995">
        <f>'12. Разходи'!AK31-'12. Разходи'!$AI31</f>
        <v>0</v>
      </c>
      <c r="AY31" s="1219">
        <f>IFERROR(('12. Разходи'!AK31-'12. Разходи'!$AI31)/'12. Разходи'!$AI31,0)</f>
        <v>0</v>
      </c>
      <c r="AZ31" s="995">
        <f>'12. Разходи'!AL31-'12. Разходи'!$AI31</f>
        <v>0</v>
      </c>
      <c r="BA31" s="1219">
        <f>IFERROR(('12. Разходи'!AL31-'12. Разходи'!$AI31)/'12. Разходи'!$AI31,0)</f>
        <v>0</v>
      </c>
      <c r="BB31" s="995">
        <f>'12. Разходи'!AM31-'12. Разходи'!$AI31</f>
        <v>0</v>
      </c>
      <c r="BC31" s="1218">
        <f>IFERROR(('12. Разходи'!AM31-'12. Разходи'!$AI31)/'12. Разходи'!$AI31,0)</f>
        <v>0</v>
      </c>
      <c r="BD31" s="1226">
        <f>'12. Разходи'!AN31-'12. Разходи'!$AI31</f>
        <v>0</v>
      </c>
      <c r="BE31" s="1276">
        <f>IFERROR(('12. Разходи'!AN31-'12. Разходи'!$AI31)/'12. Разходи'!$AI31,0)</f>
        <v>0</v>
      </c>
      <c r="BF31" s="739"/>
      <c r="BG31" s="746"/>
      <c r="BH31" s="720"/>
      <c r="BI31" s="720"/>
      <c r="BJ31" s="739"/>
      <c r="BK31" s="739"/>
      <c r="BL31" s="739"/>
      <c r="BM31" s="739"/>
      <c r="BN31" s="739"/>
    </row>
    <row r="32" spans="1:66" ht="15.95" customHeight="1">
      <c r="A32" s="916" t="s">
        <v>173</v>
      </c>
      <c r="B32" s="983" t="s">
        <v>1239</v>
      </c>
      <c r="C32" s="3498">
        <f>'12. Разходи'!C32</f>
        <v>80</v>
      </c>
      <c r="D32" s="1231">
        <f>'12. Разходи'!D32-'12. Разходи'!$C32</f>
        <v>6.8799999999999955</v>
      </c>
      <c r="E32" s="1211">
        <f>IFERROR(('12. Разходи'!D32-'12. Разходи'!$C32)/'12. Разходи'!$C32,0)</f>
        <v>8.5999999999999938E-2</v>
      </c>
      <c r="F32" s="995">
        <f>'12. Разходи'!E32-'12. Разходи'!$C32</f>
        <v>6.8799999999999955</v>
      </c>
      <c r="G32" s="1219">
        <f>IFERROR(('12. Разходи'!E32-'12. Разходи'!$C32)/'12. Разходи'!$C32,0)</f>
        <v>8.5999999999999938E-2</v>
      </c>
      <c r="H32" s="995">
        <f>'12. Разходи'!F32-'12. Разходи'!$C32</f>
        <v>6.8799999999999955</v>
      </c>
      <c r="I32" s="1219">
        <f>IFERROR(('12. Разходи'!F32-'12. Разходи'!$C32)/'12. Разходи'!$C32,0)</f>
        <v>8.5999999999999938E-2</v>
      </c>
      <c r="J32" s="995">
        <f>'12. Разходи'!G32-'12. Разходи'!$C32</f>
        <v>6.8799999999999955</v>
      </c>
      <c r="K32" s="1218">
        <f>IFERROR(('12. Разходи'!G32-'12. Разходи'!$C32)/'12. Разходи'!$C32,0)</f>
        <v>8.5999999999999938E-2</v>
      </c>
      <c r="L32" s="1226">
        <f>'12. Разходи'!H32-'12. Разходи'!$C32</f>
        <v>6.8799999999999955</v>
      </c>
      <c r="M32" s="1218">
        <f>IFERROR(('12. Разходи'!H32-'12. Разходи'!$C32)/'12. Разходи'!$C32,0)</f>
        <v>8.5999999999999938E-2</v>
      </c>
      <c r="N32" s="1270">
        <f>'12. Разходи'!K32</f>
        <v>4.3</v>
      </c>
      <c r="O32" s="1231">
        <f>'12. Разходи'!L32-'12. Разходи'!$K32</f>
        <v>0.29999999999999982</v>
      </c>
      <c r="P32" s="1211">
        <f>IFERROR(('12. Разходи'!L32-'12. Разходи'!$K32)/'12. Разходи'!$K32,0)</f>
        <v>6.9767441860465074E-2</v>
      </c>
      <c r="Q32" s="995">
        <f>'12. Разходи'!M32-'12. Разходи'!$K32</f>
        <v>0.29999999999999982</v>
      </c>
      <c r="R32" s="1219">
        <f>IFERROR(('12. Разходи'!M32-'12. Разходи'!$K32)/'12. Разходи'!$K32,0)</f>
        <v>6.9767441860465074E-2</v>
      </c>
      <c r="S32" s="995">
        <f>'12. Разходи'!N32-'12. Разходи'!$K32</f>
        <v>0.29999999999999982</v>
      </c>
      <c r="T32" s="1219">
        <f>IFERROR(('12. Разходи'!N32-'12. Разходи'!$K32)/'12. Разходи'!$K32,0)</f>
        <v>6.9767441860465074E-2</v>
      </c>
      <c r="U32" s="995">
        <f>'12. Разходи'!O32-'12. Разходи'!$K32</f>
        <v>0.29999999999999982</v>
      </c>
      <c r="V32" s="1218">
        <f>IFERROR(('12. Разходи'!O32-'12. Разходи'!$K32)/'12. Разходи'!$K32,0)</f>
        <v>6.9767441860465074E-2</v>
      </c>
      <c r="W32" s="1226">
        <f>'12. Разходи'!P32-'12. Разходи'!$K32</f>
        <v>0.29999999999999982</v>
      </c>
      <c r="X32" s="1276">
        <f>IFERROR(('12. Разходи'!P32-'12. Разходи'!$K32)/'12. Разходи'!$K32,0)</f>
        <v>6.9767441860465074E-2</v>
      </c>
      <c r="Y32" s="1270">
        <f>'12. Разходи'!S32</f>
        <v>9</v>
      </c>
      <c r="Z32" s="1231">
        <f>'12. Разходи'!T32-'12. Разходи'!$S32</f>
        <v>1</v>
      </c>
      <c r="AA32" s="1211">
        <f>IFERROR(('12. Разходи'!T32-'12. Разходи'!$S32)/'12. Разходи'!$S32,0)</f>
        <v>0.1111111111111111</v>
      </c>
      <c r="AB32" s="995">
        <f>'12. Разходи'!U32-'12. Разходи'!$S32</f>
        <v>1</v>
      </c>
      <c r="AC32" s="1219">
        <f>IFERROR(('12. Разходи'!U32-'12. Разходи'!$S32)/'12. Разходи'!$S32,0)</f>
        <v>0.1111111111111111</v>
      </c>
      <c r="AD32" s="995">
        <f>'12. Разходи'!V32-'12. Разходи'!$S32</f>
        <v>1</v>
      </c>
      <c r="AE32" s="1219">
        <f>IFERROR(('12. Разходи'!V32-'12. Разходи'!$S32)/'12. Разходи'!$S32,0)</f>
        <v>0.1111111111111111</v>
      </c>
      <c r="AF32" s="995">
        <f>'12. Разходи'!W32-'12. Разходи'!$S32</f>
        <v>1</v>
      </c>
      <c r="AG32" s="1218">
        <f>IFERROR(('12. Разходи'!W32-'12. Разходи'!$S32)/'12. Разходи'!$S32,0)</f>
        <v>0.1111111111111111</v>
      </c>
      <c r="AH32" s="1226">
        <f>'12. Разходи'!X32-'12. Разходи'!$S32</f>
        <v>0.90000000000000036</v>
      </c>
      <c r="AI32" s="1276">
        <f>IFERROR(('12. Разходи'!X32-'12. Разходи'!$S32)/'12. Разходи'!$S32,0)</f>
        <v>0.10000000000000003</v>
      </c>
      <c r="AJ32" s="1270">
        <f>'12. Разходи'!AA32</f>
        <v>0.63</v>
      </c>
      <c r="AK32" s="1231">
        <f>'12. Разходи'!AB32-'12. Разходи'!$AA32</f>
        <v>4.37</v>
      </c>
      <c r="AL32" s="1211">
        <f>IFERROR(('12. Разходи'!AB32-'12. Разходи'!$AA32)/'12. Разходи'!$AA32,0)</f>
        <v>6.9365079365079367</v>
      </c>
      <c r="AM32" s="995">
        <f>'12. Разходи'!AC32-'12. Разходи'!$AA32</f>
        <v>4.37</v>
      </c>
      <c r="AN32" s="1219">
        <f>IFERROR(('12. Разходи'!AC32-'12. Разходи'!$AA32)/'12. Разходи'!$AA32,0)</f>
        <v>6.9365079365079367</v>
      </c>
      <c r="AO32" s="995">
        <f>'12. Разходи'!AD32-'12. Разходи'!$AA32</f>
        <v>4.37</v>
      </c>
      <c r="AP32" s="1219">
        <f>IFERROR(('12. Разходи'!AD32-'12. Разходи'!$AA32)/'12. Разходи'!$AA32,0)</f>
        <v>6.9365079365079367</v>
      </c>
      <c r="AQ32" s="995">
        <f>'12. Разходи'!AE32-'12. Разходи'!$AA32</f>
        <v>4.37</v>
      </c>
      <c r="AR32" s="1218">
        <f>IFERROR(('12. Разходи'!AE32-'12. Разходи'!$AA32)/'12. Разходи'!$AA32,0)</f>
        <v>6.9365079365079367</v>
      </c>
      <c r="AS32" s="1226">
        <f>'12. Разходи'!AF32-'12. Разходи'!$AA32</f>
        <v>4.37</v>
      </c>
      <c r="AT32" s="1276">
        <f>IFERROR(('12. Разходи'!AF32-'12. Разходи'!$AA32)/'12. Разходи'!$AA32,0)</f>
        <v>6.9365079365079367</v>
      </c>
      <c r="AU32" s="1270">
        <f>'12. Разходи'!AI32</f>
        <v>0</v>
      </c>
      <c r="AV32" s="1231">
        <f>'12. Разходи'!AJ32-'12. Разходи'!$AI32</f>
        <v>0</v>
      </c>
      <c r="AW32" s="1211">
        <f>IFERROR(('12. Разходи'!AJ32-'12. Разходи'!$AI32)/'12. Разходи'!$AI32,0)</f>
        <v>0</v>
      </c>
      <c r="AX32" s="995">
        <f>'12. Разходи'!AK32-'12. Разходи'!$AI32</f>
        <v>0</v>
      </c>
      <c r="AY32" s="1219">
        <f>IFERROR(('12. Разходи'!AK32-'12. Разходи'!$AI32)/'12. Разходи'!$AI32,0)</f>
        <v>0</v>
      </c>
      <c r="AZ32" s="995">
        <f>'12. Разходи'!AL32-'12. Разходи'!$AI32</f>
        <v>0</v>
      </c>
      <c r="BA32" s="1219">
        <f>IFERROR(('12. Разходи'!AL32-'12. Разходи'!$AI32)/'12. Разходи'!$AI32,0)</f>
        <v>0</v>
      </c>
      <c r="BB32" s="995">
        <f>'12. Разходи'!AM32-'12. Разходи'!$AI32</f>
        <v>0</v>
      </c>
      <c r="BC32" s="1218">
        <f>IFERROR(('12. Разходи'!AM32-'12. Разходи'!$AI32)/'12. Разходи'!$AI32,0)</f>
        <v>0</v>
      </c>
      <c r="BD32" s="1226">
        <f>'12. Разходи'!AN32-'12. Разходи'!$AI32</f>
        <v>0</v>
      </c>
      <c r="BE32" s="1276">
        <f>IFERROR(('12. Разходи'!AN32-'12. Разходи'!$AI32)/'12. Разходи'!$AI32,0)</f>
        <v>0</v>
      </c>
      <c r="BF32" s="739"/>
      <c r="BG32" s="746"/>
      <c r="BH32" s="720"/>
      <c r="BI32" s="720"/>
      <c r="BJ32" s="739"/>
      <c r="BK32" s="739"/>
      <c r="BL32" s="739"/>
      <c r="BM32" s="739"/>
      <c r="BN32" s="739"/>
    </row>
    <row r="33" spans="1:66" ht="15.95" customHeight="1">
      <c r="A33" s="118" t="s">
        <v>247</v>
      </c>
      <c r="B33" s="983" t="s">
        <v>248</v>
      </c>
      <c r="C33" s="1202">
        <f>'12. Разходи'!C33</f>
        <v>4</v>
      </c>
      <c r="D33" s="1231">
        <f>'12. Разходи'!D33-'12. Разходи'!$C33</f>
        <v>0</v>
      </c>
      <c r="E33" s="1211">
        <f>IFERROR(('12. Разходи'!D33-'12. Разходи'!$C33)/'12. Разходи'!$C33,0)</f>
        <v>0</v>
      </c>
      <c r="F33" s="995">
        <f>'12. Разходи'!E33-'12. Разходи'!$C33</f>
        <v>2</v>
      </c>
      <c r="G33" s="1219">
        <f>IFERROR(('12. Разходи'!E33-'12. Разходи'!$C33)/'12. Разходи'!$C33,0)</f>
        <v>0.5</v>
      </c>
      <c r="H33" s="995">
        <f>'12. Разходи'!F33-'12. Разходи'!$C33</f>
        <v>2</v>
      </c>
      <c r="I33" s="1219">
        <f>IFERROR(('12. Разходи'!F33-'12. Разходи'!$C33)/'12. Разходи'!$C33,0)</f>
        <v>0.5</v>
      </c>
      <c r="J33" s="995">
        <f>'12. Разходи'!G33-'12. Разходи'!$C33</f>
        <v>2</v>
      </c>
      <c r="K33" s="1218">
        <f>IFERROR(('12. Разходи'!G33-'12. Разходи'!$C33)/'12. Разходи'!$C33,0)</f>
        <v>0.5</v>
      </c>
      <c r="L33" s="1226">
        <f>'12. Разходи'!H33-'12. Разходи'!$C33</f>
        <v>2</v>
      </c>
      <c r="M33" s="1218">
        <f>IFERROR(('12. Разходи'!H33-'12. Разходи'!$C33)/'12. Разходи'!$C33,0)</f>
        <v>0.5</v>
      </c>
      <c r="N33" s="1270">
        <f>'12. Разходи'!K33</f>
        <v>0</v>
      </c>
      <c r="O33" s="1231">
        <f>'12. Разходи'!L33-'12. Разходи'!$K33</f>
        <v>1</v>
      </c>
      <c r="P33" s="1211">
        <f>IFERROR(('12. Разходи'!L33-'12. Разходи'!$K33)/'12. Разходи'!$K33,0)</f>
        <v>0</v>
      </c>
      <c r="Q33" s="995">
        <f>'12. Разходи'!M33-'12. Разходи'!$K33</f>
        <v>1.0289999999999999</v>
      </c>
      <c r="R33" s="1219">
        <f>IFERROR(('12. Разходи'!M33-'12. Разходи'!$K33)/'12. Разходи'!$K33,0)</f>
        <v>0</v>
      </c>
      <c r="S33" s="995">
        <f>'12. Разходи'!N33-'12. Разходи'!$K33</f>
        <v>1.0289999999999999</v>
      </c>
      <c r="T33" s="1219">
        <f>IFERROR(('12. Разходи'!N33-'12. Разходи'!$K33)/'12. Разходи'!$K33,0)</f>
        <v>0</v>
      </c>
      <c r="U33" s="995">
        <f>'12. Разходи'!O33-'12. Разходи'!$K33</f>
        <v>1.0289999999999999</v>
      </c>
      <c r="V33" s="1218">
        <f>IFERROR(('12. Разходи'!O33-'12. Разходи'!$K33)/'12. Разходи'!$K33,0)</f>
        <v>0</v>
      </c>
      <c r="W33" s="1226">
        <f>'12. Разходи'!P33-'12. Разходи'!$K33</f>
        <v>1.0289999999999999</v>
      </c>
      <c r="X33" s="1276">
        <f>IFERROR(('12. Разходи'!P33-'12. Разходи'!$K33)/'12. Разходи'!$K33,0)</f>
        <v>0</v>
      </c>
      <c r="Y33" s="1270">
        <f>'12. Разходи'!S33</f>
        <v>0</v>
      </c>
      <c r="Z33" s="1231">
        <f>'12. Разходи'!T33-'12. Разходи'!$S33</f>
        <v>1</v>
      </c>
      <c r="AA33" s="1211">
        <f>IFERROR(('12. Разходи'!T33-'12. Разходи'!$S33)/'12. Разходи'!$S33,0)</f>
        <v>0</v>
      </c>
      <c r="AB33" s="995">
        <f>'12. Разходи'!U33-'12. Разходи'!$S33</f>
        <v>1.8</v>
      </c>
      <c r="AC33" s="1219">
        <f>IFERROR(('12. Разходи'!U33-'12. Разходи'!$S33)/'12. Разходи'!$S33,0)</f>
        <v>0</v>
      </c>
      <c r="AD33" s="995">
        <f>'12. Разходи'!V33-'12. Разходи'!$S33</f>
        <v>1.8</v>
      </c>
      <c r="AE33" s="1219">
        <f>IFERROR(('12. Разходи'!V33-'12. Разходи'!$S33)/'12. Разходи'!$S33,0)</f>
        <v>0</v>
      </c>
      <c r="AF33" s="995">
        <f>'12. Разходи'!W33-'12. Разходи'!$S33</f>
        <v>1.8</v>
      </c>
      <c r="AG33" s="1218">
        <f>IFERROR(('12. Разходи'!W33-'12. Разходи'!$S33)/'12. Разходи'!$S33,0)</f>
        <v>0</v>
      </c>
      <c r="AH33" s="1226">
        <f>'12. Разходи'!X33-'12. Разходи'!$S33</f>
        <v>1.8</v>
      </c>
      <c r="AI33" s="1276">
        <f>IFERROR(('12. Разходи'!X33-'12. Разходи'!$S33)/'12. Разходи'!$S33,0)</f>
        <v>0</v>
      </c>
      <c r="AJ33" s="1270">
        <f>'12. Разходи'!AA33</f>
        <v>0.03</v>
      </c>
      <c r="AK33" s="1231">
        <f>'12. Разходи'!AB33-'12. Разходи'!$AA33</f>
        <v>-0.03</v>
      </c>
      <c r="AL33" s="1211">
        <f>IFERROR(('12. Разходи'!AB33-'12. Разходи'!$AA33)/'12. Разходи'!$AA33,0)</f>
        <v>-1</v>
      </c>
      <c r="AM33" s="995">
        <f>'12. Разходи'!AC33-'12. Разходи'!$AA33</f>
        <v>-0.03</v>
      </c>
      <c r="AN33" s="1219">
        <f>IFERROR(('12. Разходи'!AC33-'12. Разходи'!$AA33)/'12. Разходи'!$AA33,0)</f>
        <v>-1</v>
      </c>
      <c r="AO33" s="995">
        <f>'12. Разходи'!AD33-'12. Разходи'!$AA33</f>
        <v>-0.03</v>
      </c>
      <c r="AP33" s="1219">
        <f>IFERROR(('12. Разходи'!AD33-'12. Разходи'!$AA33)/'12. Разходи'!$AA33,0)</f>
        <v>-1</v>
      </c>
      <c r="AQ33" s="995">
        <f>'12. Разходи'!AE33-'12. Разходи'!$AA33</f>
        <v>-0.03</v>
      </c>
      <c r="AR33" s="1218">
        <f>IFERROR(('12. Разходи'!AE33-'12. Разходи'!$AA33)/'12. Разходи'!$AA33,0)</f>
        <v>-1</v>
      </c>
      <c r="AS33" s="1226">
        <f>'12. Разходи'!AF33-'12. Разходи'!$AA33</f>
        <v>0</v>
      </c>
      <c r="AT33" s="1276">
        <f>IFERROR(('12. Разходи'!AF33-'12. Разходи'!$AA33)/'12. Разходи'!$AA33,0)</f>
        <v>0</v>
      </c>
      <c r="AU33" s="1270">
        <f>'12. Разходи'!AI33</f>
        <v>0</v>
      </c>
      <c r="AV33" s="1231">
        <f>'12. Разходи'!AJ33-'12. Разходи'!$AI33</f>
        <v>0</v>
      </c>
      <c r="AW33" s="1211">
        <f>IFERROR(('12. Разходи'!AJ33-'12. Разходи'!$AI33)/'12. Разходи'!$AI33,0)</f>
        <v>0</v>
      </c>
      <c r="AX33" s="995">
        <f>'12. Разходи'!AK33-'12. Разходи'!$AI33</f>
        <v>0</v>
      </c>
      <c r="AY33" s="1219">
        <f>IFERROR(('12. Разходи'!AK33-'12. Разходи'!$AI33)/'12. Разходи'!$AI33,0)</f>
        <v>0</v>
      </c>
      <c r="AZ33" s="995">
        <f>'12. Разходи'!AL33-'12. Разходи'!$AI33</f>
        <v>0</v>
      </c>
      <c r="BA33" s="1219">
        <f>IFERROR(('12. Разходи'!AL33-'12. Разходи'!$AI33)/'12. Разходи'!$AI33,0)</f>
        <v>0</v>
      </c>
      <c r="BB33" s="995">
        <f>'12. Разходи'!AM33-'12. Разходи'!$AI33</f>
        <v>0</v>
      </c>
      <c r="BC33" s="1218">
        <f>IFERROR(('12. Разходи'!AM33-'12. Разходи'!$AI33)/'12. Разходи'!$AI33,0)</f>
        <v>0</v>
      </c>
      <c r="BD33" s="1226">
        <f>'12. Разходи'!AN33-'12. Разходи'!$AI33</f>
        <v>0</v>
      </c>
      <c r="BE33" s="1276">
        <f>IFERROR(('12. Разходи'!AN33-'12. Разходи'!$AI33)/'12. Разходи'!$AI33,0)</f>
        <v>0</v>
      </c>
      <c r="BF33" s="736"/>
      <c r="BG33" s="736"/>
      <c r="BH33" s="736"/>
      <c r="BI33" s="736"/>
      <c r="BJ33" s="736"/>
      <c r="BK33" s="736"/>
      <c r="BL33" s="736"/>
      <c r="BM33" s="736"/>
      <c r="BN33" s="736"/>
    </row>
    <row r="34" spans="1:66" ht="15.95" customHeight="1">
      <c r="A34" s="916" t="s">
        <v>249</v>
      </c>
      <c r="B34" s="983" t="s">
        <v>250</v>
      </c>
      <c r="C34" s="1202">
        <f>'12. Разходи'!C34</f>
        <v>54</v>
      </c>
      <c r="D34" s="1231">
        <f>'12. Разходи'!D34-'12. Разходи'!$C34</f>
        <v>0</v>
      </c>
      <c r="E34" s="1211">
        <f>IFERROR(('12. Разходи'!D34-'12. Разходи'!$C34)/'12. Разходи'!$C34,0)</f>
        <v>0</v>
      </c>
      <c r="F34" s="995">
        <f>'12. Разходи'!E34-'12. Разходи'!$C34</f>
        <v>6</v>
      </c>
      <c r="G34" s="1219">
        <f>IFERROR(('12. Разходи'!E34-'12. Разходи'!$C34)/'12. Разходи'!$C34,0)</f>
        <v>0.1111111111111111</v>
      </c>
      <c r="H34" s="995">
        <f>'12. Разходи'!F34-'12. Разходи'!$C34</f>
        <v>6</v>
      </c>
      <c r="I34" s="1219">
        <f>IFERROR(('12. Разходи'!F34-'12. Разходи'!$C34)/'12. Разходи'!$C34,0)</f>
        <v>0.1111111111111111</v>
      </c>
      <c r="J34" s="995">
        <f>'12. Разходи'!G34-'12. Разходи'!$C34</f>
        <v>6</v>
      </c>
      <c r="K34" s="1218">
        <f>IFERROR(('12. Разходи'!G34-'12. Разходи'!$C34)/'12. Разходи'!$C34,0)</f>
        <v>0.1111111111111111</v>
      </c>
      <c r="L34" s="1226">
        <f>'12. Разходи'!H34-'12. Разходи'!$C34</f>
        <v>6</v>
      </c>
      <c r="M34" s="1218">
        <f>IFERROR(('12. Разходи'!H34-'12. Разходи'!$C34)/'12. Разходи'!$C34,0)</f>
        <v>0.1111111111111111</v>
      </c>
      <c r="N34" s="1270">
        <f>'12. Разходи'!K34</f>
        <v>2.2400000000000002</v>
      </c>
      <c r="O34" s="1231">
        <f>'12. Разходи'!L34-'12. Разходи'!$K34</f>
        <v>0.23999999999999977</v>
      </c>
      <c r="P34" s="1211">
        <f>IFERROR(('12. Разходи'!L34-'12. Разходи'!$K34)/'12. Разходи'!$K34,0)</f>
        <v>0.10714285714285703</v>
      </c>
      <c r="Q34" s="995">
        <f>'12. Разходи'!M34-'12. Разходи'!$K34</f>
        <v>0.23999999999999977</v>
      </c>
      <c r="R34" s="1219">
        <f>IFERROR(('12. Разходи'!M34-'12. Разходи'!$K34)/'12. Разходи'!$K34,0)</f>
        <v>0.10714285714285703</v>
      </c>
      <c r="S34" s="995">
        <f>'12. Разходи'!N34-'12. Разходи'!$K34</f>
        <v>0.23999999999999977</v>
      </c>
      <c r="T34" s="1219">
        <f>IFERROR(('12. Разходи'!N34-'12. Разходи'!$K34)/'12. Разходи'!$K34,0)</f>
        <v>0.10714285714285703</v>
      </c>
      <c r="U34" s="995">
        <f>'12. Разходи'!O34-'12. Разходи'!$K34</f>
        <v>0.23999999999999977</v>
      </c>
      <c r="V34" s="1218">
        <f>IFERROR(('12. Разходи'!O34-'12. Разходи'!$K34)/'12. Разходи'!$K34,0)</f>
        <v>0.10714285714285703</v>
      </c>
      <c r="W34" s="1226">
        <f>'12. Разходи'!P34-'12. Разходи'!$K34</f>
        <v>0.23999999999999977</v>
      </c>
      <c r="X34" s="1276">
        <f>IFERROR(('12. Разходи'!P34-'12. Разходи'!$K34)/'12. Разходи'!$K34,0)</f>
        <v>0.10714285714285703</v>
      </c>
      <c r="Y34" s="1270">
        <f>'12. Разходи'!S34</f>
        <v>6</v>
      </c>
      <c r="Z34" s="1231">
        <f>'12. Разходи'!T34-'12. Разходи'!$S34</f>
        <v>0.66000000000000014</v>
      </c>
      <c r="AA34" s="1211">
        <f>IFERROR(('12. Разходи'!T34-'12. Разходи'!$S34)/'12. Разходи'!$S34,0)</f>
        <v>0.11000000000000003</v>
      </c>
      <c r="AB34" s="995">
        <f>'12. Разходи'!U34-'12. Разходи'!$S34</f>
        <v>0.66000000000000014</v>
      </c>
      <c r="AC34" s="1219">
        <f>IFERROR(('12. Разходи'!U34-'12. Разходи'!$S34)/'12. Разходи'!$S34,0)</f>
        <v>0.11000000000000003</v>
      </c>
      <c r="AD34" s="995">
        <f>'12. Разходи'!V34-'12. Разходи'!$S34</f>
        <v>0.66000000000000014</v>
      </c>
      <c r="AE34" s="1219">
        <f>IFERROR(('12. Разходи'!V34-'12. Разходи'!$S34)/'12. Разходи'!$S34,0)</f>
        <v>0.11000000000000003</v>
      </c>
      <c r="AF34" s="995">
        <f>'12. Разходи'!W34-'12. Разходи'!$S34</f>
        <v>0.66000000000000014</v>
      </c>
      <c r="AG34" s="1218">
        <f>IFERROR(('12. Разходи'!W34-'12. Разходи'!$S34)/'12. Разходи'!$S34,0)</f>
        <v>0.11000000000000003</v>
      </c>
      <c r="AH34" s="1226">
        <f>'12. Разходи'!X34-'12. Разходи'!$S34</f>
        <v>0.66000000000000014</v>
      </c>
      <c r="AI34" s="1276">
        <f>IFERROR(('12. Разходи'!X34-'12. Разходи'!$S34)/'12. Разходи'!$S34,0)</f>
        <v>0.11000000000000003</v>
      </c>
      <c r="AJ34" s="1270">
        <f>'12. Разходи'!AA34</f>
        <v>0.38</v>
      </c>
      <c r="AK34" s="1231">
        <f>'12. Разходи'!AB34-'12. Разходи'!$AA34</f>
        <v>3.999999999999998E-2</v>
      </c>
      <c r="AL34" s="1211">
        <f>IFERROR(('12. Разходи'!AB34-'12. Разходи'!$AA34)/'12. Разходи'!$AA34,0)</f>
        <v>0.10526315789473679</v>
      </c>
      <c r="AM34" s="995">
        <f>'12. Разходи'!AC34-'12. Разходи'!$AA34</f>
        <v>3.999999999999998E-2</v>
      </c>
      <c r="AN34" s="1219">
        <f>IFERROR(('12. Разходи'!AC34-'12. Разходи'!$AA34)/'12. Разходи'!$AA34,0)</f>
        <v>0.10526315789473679</v>
      </c>
      <c r="AO34" s="995">
        <f>'12. Разходи'!AD34-'12. Разходи'!$AA34</f>
        <v>3.999999999999998E-2</v>
      </c>
      <c r="AP34" s="1219">
        <f>IFERROR(('12. Разходи'!AD34-'12. Разходи'!$AA34)/'12. Разходи'!$AA34,0)</f>
        <v>0.10526315789473679</v>
      </c>
      <c r="AQ34" s="995">
        <f>'12. Разходи'!AE34-'12. Разходи'!$AA34</f>
        <v>3.999999999999998E-2</v>
      </c>
      <c r="AR34" s="1218">
        <f>IFERROR(('12. Разходи'!AE34-'12. Разходи'!$AA34)/'12. Разходи'!$AA34,0)</f>
        <v>0.10526315789473679</v>
      </c>
      <c r="AS34" s="1226">
        <f>'12. Разходи'!AF34-'12. Разходи'!$AA34</f>
        <v>3.999999999999998E-2</v>
      </c>
      <c r="AT34" s="1276">
        <f>IFERROR(('12. Разходи'!AF34-'12. Разходи'!$AA34)/'12. Разходи'!$AA34,0)</f>
        <v>0.10526315789473679</v>
      </c>
      <c r="AU34" s="1270">
        <f>'12. Разходи'!AI34</f>
        <v>0</v>
      </c>
      <c r="AV34" s="1231">
        <f>'12. Разходи'!AJ34-'12. Разходи'!$AI34</f>
        <v>0</v>
      </c>
      <c r="AW34" s="1211">
        <f>IFERROR(('12. Разходи'!AJ34-'12. Разходи'!$AI34)/'12. Разходи'!$AI34,0)</f>
        <v>0</v>
      </c>
      <c r="AX34" s="995">
        <f>'12. Разходи'!AK34-'12. Разходи'!$AI34</f>
        <v>0</v>
      </c>
      <c r="AY34" s="1219">
        <f>IFERROR(('12. Разходи'!AK34-'12. Разходи'!$AI34)/'12. Разходи'!$AI34,0)</f>
        <v>0</v>
      </c>
      <c r="AZ34" s="995">
        <f>'12. Разходи'!AL34-'12. Разходи'!$AI34</f>
        <v>0</v>
      </c>
      <c r="BA34" s="1219">
        <f>IFERROR(('12. Разходи'!AL34-'12. Разходи'!$AI34)/'12. Разходи'!$AI34,0)</f>
        <v>0</v>
      </c>
      <c r="BB34" s="995">
        <f>'12. Разходи'!AM34-'12. Разходи'!$AI34</f>
        <v>0</v>
      </c>
      <c r="BC34" s="1218">
        <f>IFERROR(('12. Разходи'!AM34-'12. Разходи'!$AI34)/'12. Разходи'!$AI34,0)</f>
        <v>0</v>
      </c>
      <c r="BD34" s="1226">
        <f>'12. Разходи'!AN34-'12. Разходи'!$AI34</f>
        <v>0</v>
      </c>
      <c r="BE34" s="1276">
        <f>IFERROR(('12. Разходи'!AN34-'12. Разходи'!$AI34)/'12. Разходи'!$AI34,0)</f>
        <v>0</v>
      </c>
    </row>
    <row r="35" spans="1:66" ht="15.95" customHeight="1">
      <c r="A35" s="916" t="s">
        <v>251</v>
      </c>
      <c r="B35" s="983" t="s">
        <v>252</v>
      </c>
      <c r="C35" s="1202">
        <f>'12. Разходи'!C35</f>
        <v>2</v>
      </c>
      <c r="D35" s="1231">
        <f>'12. Разходи'!D35-'12. Разходи'!$C35</f>
        <v>0</v>
      </c>
      <c r="E35" s="1211">
        <f>IFERROR(('12. Разходи'!D35-'12. Разходи'!$C35)/'12. Разходи'!$C35,0)</f>
        <v>0</v>
      </c>
      <c r="F35" s="995">
        <f>'12. Разходи'!E35-'12. Разходи'!$C35</f>
        <v>0</v>
      </c>
      <c r="G35" s="1219">
        <f>IFERROR(('12. Разходи'!E35-'12. Разходи'!$C35)/'12. Разходи'!$C35,0)</f>
        <v>0</v>
      </c>
      <c r="H35" s="995">
        <f>'12. Разходи'!F35-'12. Разходи'!$C35</f>
        <v>0</v>
      </c>
      <c r="I35" s="1219">
        <f>IFERROR(('12. Разходи'!F35-'12. Разходи'!$C35)/'12. Разходи'!$C35,0)</f>
        <v>0</v>
      </c>
      <c r="J35" s="995">
        <f>'12. Разходи'!G35-'12. Разходи'!$C35</f>
        <v>0</v>
      </c>
      <c r="K35" s="1218">
        <f>IFERROR(('12. Разходи'!G35-'12. Разходи'!$C35)/'12. Разходи'!$C35,0)</f>
        <v>0</v>
      </c>
      <c r="L35" s="1226">
        <f>'12. Разходи'!H35-'12. Разходи'!$C35</f>
        <v>0</v>
      </c>
      <c r="M35" s="1218">
        <f>IFERROR(('12. Разходи'!H35-'12. Разходи'!$C35)/'12. Разходи'!$C35,0)</f>
        <v>0</v>
      </c>
      <c r="N35" s="1270">
        <f>'12. Разходи'!K35</f>
        <v>0</v>
      </c>
      <c r="O35" s="1231">
        <f>'12. Разходи'!L35-'12. Разходи'!$K35</f>
        <v>1</v>
      </c>
      <c r="P35" s="1211">
        <f>IFERROR(('12. Разходи'!L35-'12. Разходи'!$K35)/'12. Разходи'!$K35,0)</f>
        <v>0</v>
      </c>
      <c r="Q35" s="995">
        <f>'12. Разходи'!M35-'12. Разходи'!$K35</f>
        <v>1</v>
      </c>
      <c r="R35" s="1219">
        <f>IFERROR(('12. Разходи'!M35-'12. Разходи'!$K35)/'12. Разходи'!$K35,0)</f>
        <v>0</v>
      </c>
      <c r="S35" s="995">
        <f>'12. Разходи'!N35-'12. Разходи'!$K35</f>
        <v>1</v>
      </c>
      <c r="T35" s="1219">
        <f>IFERROR(('12. Разходи'!N35-'12. Разходи'!$K35)/'12. Разходи'!$K35,0)</f>
        <v>0</v>
      </c>
      <c r="U35" s="995">
        <f>'12. Разходи'!O35-'12. Разходи'!$K35</f>
        <v>1</v>
      </c>
      <c r="V35" s="1218">
        <f>IFERROR(('12. Разходи'!O35-'12. Разходи'!$K35)/'12. Разходи'!$K35,0)</f>
        <v>0</v>
      </c>
      <c r="W35" s="1226">
        <f>'12. Разходи'!P35-'12. Разходи'!$K35</f>
        <v>1</v>
      </c>
      <c r="X35" s="1276">
        <f>IFERROR(('12. Разходи'!P35-'12. Разходи'!$K35)/'12. Разходи'!$K35,0)</f>
        <v>0</v>
      </c>
      <c r="Y35" s="1270">
        <f>'12. Разходи'!S35</f>
        <v>0</v>
      </c>
      <c r="Z35" s="1231">
        <f>'12. Разходи'!T35-'12. Разходи'!$S35</f>
        <v>0</v>
      </c>
      <c r="AA35" s="1211">
        <f>IFERROR(('12. Разходи'!T35-'12. Разходи'!$S35)/'12. Разходи'!$S35,0)</f>
        <v>0</v>
      </c>
      <c r="AB35" s="995">
        <f>'12. Разходи'!U35-'12. Разходи'!$S35</f>
        <v>0</v>
      </c>
      <c r="AC35" s="1219">
        <f>IFERROR(('12. Разходи'!U35-'12. Разходи'!$S35)/'12. Разходи'!$S35,0)</f>
        <v>0</v>
      </c>
      <c r="AD35" s="995">
        <f>'12. Разходи'!V35-'12. Разходи'!$S35</f>
        <v>0</v>
      </c>
      <c r="AE35" s="1219">
        <f>IFERROR(('12. Разходи'!V35-'12. Разходи'!$S35)/'12. Разходи'!$S35,0)</f>
        <v>0</v>
      </c>
      <c r="AF35" s="995">
        <f>'12. Разходи'!W35-'12. Разходи'!$S35</f>
        <v>0</v>
      </c>
      <c r="AG35" s="1218">
        <f>IFERROR(('12. Разходи'!W35-'12. Разходи'!$S35)/'12. Разходи'!$S35,0)</f>
        <v>0</v>
      </c>
      <c r="AH35" s="1226">
        <f>'12. Разходи'!X35-'12. Разходи'!$S35</f>
        <v>0</v>
      </c>
      <c r="AI35" s="1276">
        <f>IFERROR(('12. Разходи'!X35-'12. Разходи'!$S35)/'12. Разходи'!$S35,0)</f>
        <v>0</v>
      </c>
      <c r="AJ35" s="1270">
        <f>'12. Разходи'!AA35</f>
        <v>0.01</v>
      </c>
      <c r="AK35" s="1231">
        <f>'12. Разходи'!AB35-'12. Разходи'!$AA35</f>
        <v>0</v>
      </c>
      <c r="AL35" s="1211">
        <f>IFERROR(('12. Разходи'!AB35-'12. Разходи'!$AA35)/'12. Разходи'!$AA35,0)</f>
        <v>0</v>
      </c>
      <c r="AM35" s="995">
        <f>'12. Разходи'!AC35-'12. Разходи'!$AA35</f>
        <v>0</v>
      </c>
      <c r="AN35" s="1219">
        <f>IFERROR(('12. Разходи'!AC35-'12. Разходи'!$AA35)/'12. Разходи'!$AA35,0)</f>
        <v>0</v>
      </c>
      <c r="AO35" s="995">
        <f>'12. Разходи'!AD35-'12. Разходи'!$AA35</f>
        <v>0</v>
      </c>
      <c r="AP35" s="1219">
        <f>IFERROR(('12. Разходи'!AD35-'12. Разходи'!$AA35)/'12. Разходи'!$AA35,0)</f>
        <v>0</v>
      </c>
      <c r="AQ35" s="995">
        <f>'12. Разходи'!AE35-'12. Разходи'!$AA35</f>
        <v>0</v>
      </c>
      <c r="AR35" s="1218">
        <f>IFERROR(('12. Разходи'!AE35-'12. Разходи'!$AA35)/'12. Разходи'!$AA35,0)</f>
        <v>0</v>
      </c>
      <c r="AS35" s="1226">
        <f>'12. Разходи'!AF35-'12. Разходи'!$AA35</f>
        <v>0</v>
      </c>
      <c r="AT35" s="1276">
        <f>IFERROR(('12. Разходи'!AF35-'12. Разходи'!$AA35)/'12. Разходи'!$AA35,0)</f>
        <v>0</v>
      </c>
      <c r="AU35" s="1270">
        <f>'12. Разходи'!AI35</f>
        <v>0</v>
      </c>
      <c r="AV35" s="1231">
        <f>'12. Разходи'!AJ35-'12. Разходи'!$AI35</f>
        <v>0</v>
      </c>
      <c r="AW35" s="1211">
        <f>IFERROR(('12. Разходи'!AJ35-'12. Разходи'!$AI35)/'12. Разходи'!$AI35,0)</f>
        <v>0</v>
      </c>
      <c r="AX35" s="995">
        <f>'12. Разходи'!AK35-'12. Разходи'!$AI35</f>
        <v>0</v>
      </c>
      <c r="AY35" s="1219">
        <f>IFERROR(('12. Разходи'!AK35-'12. Разходи'!$AI35)/'12. Разходи'!$AI35,0)</f>
        <v>0</v>
      </c>
      <c r="AZ35" s="995">
        <f>'12. Разходи'!AL35-'12. Разходи'!$AI35</f>
        <v>0</v>
      </c>
      <c r="BA35" s="1219">
        <f>IFERROR(('12. Разходи'!AL35-'12. Разходи'!$AI35)/'12. Разходи'!$AI35,0)</f>
        <v>0</v>
      </c>
      <c r="BB35" s="995">
        <f>'12. Разходи'!AM35-'12. Разходи'!$AI35</f>
        <v>0</v>
      </c>
      <c r="BC35" s="1218">
        <f>IFERROR(('12. Разходи'!AM35-'12. Разходи'!$AI35)/'12. Разходи'!$AI35,0)</f>
        <v>0</v>
      </c>
      <c r="BD35" s="1226">
        <f>'12. Разходи'!AN35-'12. Разходи'!$AI35</f>
        <v>0</v>
      </c>
      <c r="BE35" s="1276">
        <f>IFERROR(('12. Разходи'!AN35-'12. Разходи'!$AI35)/'12. Разходи'!$AI35,0)</f>
        <v>0</v>
      </c>
    </row>
    <row r="36" spans="1:66" ht="15.95" customHeight="1">
      <c r="A36" s="118" t="s">
        <v>253</v>
      </c>
      <c r="B36" s="983" t="s">
        <v>254</v>
      </c>
      <c r="C36" s="1202">
        <f>'12. Разходи'!C36</f>
        <v>0</v>
      </c>
      <c r="D36" s="1231">
        <f>'12. Разходи'!D36-'12. Разходи'!$C36</f>
        <v>0</v>
      </c>
      <c r="E36" s="1211">
        <f>IFERROR(('12. Разходи'!D36-'12. Разходи'!$C36)/'12. Разходи'!$C36,0)</f>
        <v>0</v>
      </c>
      <c r="F36" s="995">
        <f>'12. Разходи'!E36-'12. Разходи'!$C36</f>
        <v>0</v>
      </c>
      <c r="G36" s="1219">
        <f>IFERROR(('12. Разходи'!E36-'12. Разходи'!$C36)/'12. Разходи'!$C36,0)</f>
        <v>0</v>
      </c>
      <c r="H36" s="995">
        <f>'12. Разходи'!F36-'12. Разходи'!$C36</f>
        <v>0</v>
      </c>
      <c r="I36" s="1219">
        <f>IFERROR(('12. Разходи'!F36-'12. Разходи'!$C36)/'12. Разходи'!$C36,0)</f>
        <v>0</v>
      </c>
      <c r="J36" s="995">
        <f>'12. Разходи'!G36-'12. Разходи'!$C36</f>
        <v>0</v>
      </c>
      <c r="K36" s="1218">
        <f>IFERROR(('12. Разходи'!G36-'12. Разходи'!$C36)/'12. Разходи'!$C36,0)</f>
        <v>0</v>
      </c>
      <c r="L36" s="1226">
        <f>'12. Разходи'!H36-'12. Разходи'!$C36</f>
        <v>0</v>
      </c>
      <c r="M36" s="1218">
        <f>IFERROR(('12. Разходи'!H36-'12. Разходи'!$C36)/'12. Разходи'!$C36,0)</f>
        <v>0</v>
      </c>
      <c r="N36" s="1270">
        <f>'12. Разходи'!K36</f>
        <v>0</v>
      </c>
      <c r="O36" s="1231">
        <f>'12. Разходи'!L36-'12. Разходи'!$K36</f>
        <v>0</v>
      </c>
      <c r="P36" s="1211">
        <f>IFERROR(('12. Разходи'!L36-'12. Разходи'!$K36)/'12. Разходи'!$K36,0)</f>
        <v>0</v>
      </c>
      <c r="Q36" s="995">
        <f>'12. Разходи'!M36-'12. Разходи'!$K36</f>
        <v>0</v>
      </c>
      <c r="R36" s="1219">
        <f>IFERROR(('12. Разходи'!M36-'12. Разходи'!$K36)/'12. Разходи'!$K36,0)</f>
        <v>0</v>
      </c>
      <c r="S36" s="995">
        <f>'12. Разходи'!N36-'12. Разходи'!$K36</f>
        <v>0</v>
      </c>
      <c r="T36" s="1219">
        <f>IFERROR(('12. Разходи'!N36-'12. Разходи'!$K36)/'12. Разходи'!$K36,0)</f>
        <v>0</v>
      </c>
      <c r="U36" s="995">
        <f>'12. Разходи'!O36-'12. Разходи'!$K36</f>
        <v>0</v>
      </c>
      <c r="V36" s="1218">
        <f>IFERROR(('12. Разходи'!O36-'12. Разходи'!$K36)/'12. Разходи'!$K36,0)</f>
        <v>0</v>
      </c>
      <c r="W36" s="1226">
        <f>'12. Разходи'!P36-'12. Разходи'!$K36</f>
        <v>0</v>
      </c>
      <c r="X36" s="1276">
        <f>IFERROR(('12. Разходи'!P36-'12. Разходи'!$K36)/'12. Разходи'!$K36,0)</f>
        <v>0</v>
      </c>
      <c r="Y36" s="1270">
        <f>'12. Разходи'!S36</f>
        <v>0</v>
      </c>
      <c r="Z36" s="1231">
        <f>'12. Разходи'!T36-'12. Разходи'!$S36</f>
        <v>0</v>
      </c>
      <c r="AA36" s="1211">
        <f>IFERROR(('12. Разходи'!T36-'12. Разходи'!$S36)/'12. Разходи'!$S36,0)</f>
        <v>0</v>
      </c>
      <c r="AB36" s="995">
        <f>'12. Разходи'!U36-'12. Разходи'!$S36</f>
        <v>0</v>
      </c>
      <c r="AC36" s="1219">
        <f>IFERROR(('12. Разходи'!U36-'12. Разходи'!$S36)/'12. Разходи'!$S36,0)</f>
        <v>0</v>
      </c>
      <c r="AD36" s="995">
        <f>'12. Разходи'!V36-'12. Разходи'!$S36</f>
        <v>0</v>
      </c>
      <c r="AE36" s="1219">
        <f>IFERROR(('12. Разходи'!V36-'12. Разходи'!$S36)/'12. Разходи'!$S36,0)</f>
        <v>0</v>
      </c>
      <c r="AF36" s="995">
        <f>'12. Разходи'!W36-'12. Разходи'!$S36</f>
        <v>0</v>
      </c>
      <c r="AG36" s="1218">
        <f>IFERROR(('12. Разходи'!W36-'12. Разходи'!$S36)/'12. Разходи'!$S36,0)</f>
        <v>0</v>
      </c>
      <c r="AH36" s="1226">
        <f>'12. Разходи'!X36-'12. Разходи'!$S36</f>
        <v>0</v>
      </c>
      <c r="AI36" s="1276">
        <f>IFERROR(('12. Разходи'!X36-'12. Разходи'!$S36)/'12. Разходи'!$S36,0)</f>
        <v>0</v>
      </c>
      <c r="AJ36" s="1270">
        <f>'12. Разходи'!AA36</f>
        <v>0</v>
      </c>
      <c r="AK36" s="1231">
        <f>'12. Разходи'!AB36-'12. Разходи'!$AA36</f>
        <v>0</v>
      </c>
      <c r="AL36" s="1211">
        <f>IFERROR(('12. Разходи'!AB36-'12. Разходи'!$AA36)/'12. Разходи'!$AA36,0)</f>
        <v>0</v>
      </c>
      <c r="AM36" s="995">
        <f>'12. Разходи'!AC36-'12. Разходи'!$AA36</f>
        <v>0</v>
      </c>
      <c r="AN36" s="1219">
        <f>IFERROR(('12. Разходи'!AC36-'12. Разходи'!$AA36)/'12. Разходи'!$AA36,0)</f>
        <v>0</v>
      </c>
      <c r="AO36" s="995">
        <f>'12. Разходи'!AD36-'12. Разходи'!$AA36</f>
        <v>0</v>
      </c>
      <c r="AP36" s="1219">
        <f>IFERROR(('12. Разходи'!AD36-'12. Разходи'!$AA36)/'12. Разходи'!$AA36,0)</f>
        <v>0</v>
      </c>
      <c r="AQ36" s="995">
        <f>'12. Разходи'!AE36-'12. Разходи'!$AA36</f>
        <v>0</v>
      </c>
      <c r="AR36" s="1218">
        <f>IFERROR(('12. Разходи'!AE36-'12. Разходи'!$AA36)/'12. Разходи'!$AA36,0)</f>
        <v>0</v>
      </c>
      <c r="AS36" s="1226">
        <f>'12. Разходи'!AF36-'12. Разходи'!$AA36</f>
        <v>0</v>
      </c>
      <c r="AT36" s="1276">
        <f>IFERROR(('12. Разходи'!AF36-'12. Разходи'!$AA36)/'12. Разходи'!$AA36,0)</f>
        <v>0</v>
      </c>
      <c r="AU36" s="1270">
        <f>'12. Разходи'!AI36</f>
        <v>0</v>
      </c>
      <c r="AV36" s="1231">
        <f>'12. Разходи'!AJ36-'12. Разходи'!$AI36</f>
        <v>0</v>
      </c>
      <c r="AW36" s="1211">
        <f>IFERROR(('12. Разходи'!AJ36-'12. Разходи'!$AI36)/'12. Разходи'!$AI36,0)</f>
        <v>0</v>
      </c>
      <c r="AX36" s="995">
        <f>'12. Разходи'!AK36-'12. Разходи'!$AI36</f>
        <v>0</v>
      </c>
      <c r="AY36" s="1219">
        <f>IFERROR(('12. Разходи'!AK36-'12. Разходи'!$AI36)/'12. Разходи'!$AI36,0)</f>
        <v>0</v>
      </c>
      <c r="AZ36" s="995">
        <f>'12. Разходи'!AL36-'12. Разходи'!$AI36</f>
        <v>0</v>
      </c>
      <c r="BA36" s="1219">
        <f>IFERROR(('12. Разходи'!AL36-'12. Разходи'!$AI36)/'12. Разходи'!$AI36,0)</f>
        <v>0</v>
      </c>
      <c r="BB36" s="995">
        <f>'12. Разходи'!AM36-'12. Разходи'!$AI36</f>
        <v>0</v>
      </c>
      <c r="BC36" s="1218">
        <f>IFERROR(('12. Разходи'!AM36-'12. Разходи'!$AI36)/'12. Разходи'!$AI36,0)</f>
        <v>0</v>
      </c>
      <c r="BD36" s="1226">
        <f>'12. Разходи'!AN36-'12. Разходи'!$AI36</f>
        <v>0</v>
      </c>
      <c r="BE36" s="1276">
        <f>IFERROR(('12. Разходи'!AN36-'12. Разходи'!$AI36)/'12. Разходи'!$AI36,0)</f>
        <v>0</v>
      </c>
    </row>
    <row r="37" spans="1:66" ht="15.95" customHeight="1">
      <c r="A37" s="916" t="s">
        <v>255</v>
      </c>
      <c r="B37" s="983" t="s">
        <v>256</v>
      </c>
      <c r="C37" s="1202">
        <f>'12. Разходи'!C37</f>
        <v>0</v>
      </c>
      <c r="D37" s="1231">
        <f>'12. Разходи'!D37-'12. Разходи'!$C37</f>
        <v>0</v>
      </c>
      <c r="E37" s="1211">
        <f>IFERROR(('12. Разходи'!D37-'12. Разходи'!$C37)/'12. Разходи'!$C37,0)</f>
        <v>0</v>
      </c>
      <c r="F37" s="995">
        <f>'12. Разходи'!E37-'12. Разходи'!$C37</f>
        <v>0</v>
      </c>
      <c r="G37" s="1219">
        <f>IFERROR(('12. Разходи'!E37-'12. Разходи'!$C37)/'12. Разходи'!$C37,0)</f>
        <v>0</v>
      </c>
      <c r="H37" s="995">
        <f>'12. Разходи'!F37-'12. Разходи'!$C37</f>
        <v>0</v>
      </c>
      <c r="I37" s="1219">
        <f>IFERROR(('12. Разходи'!F37-'12. Разходи'!$C37)/'12. Разходи'!$C37,0)</f>
        <v>0</v>
      </c>
      <c r="J37" s="995">
        <f>'12. Разходи'!G37-'12. Разходи'!$C37</f>
        <v>0</v>
      </c>
      <c r="K37" s="1218">
        <f>IFERROR(('12. Разходи'!G37-'12. Разходи'!$C37)/'12. Разходи'!$C37,0)</f>
        <v>0</v>
      </c>
      <c r="L37" s="1226">
        <f>'12. Разходи'!H37-'12. Разходи'!$C37</f>
        <v>0</v>
      </c>
      <c r="M37" s="1218">
        <f>IFERROR(('12. Разходи'!H37-'12. Разходи'!$C37)/'12. Разходи'!$C37,0)</f>
        <v>0</v>
      </c>
      <c r="N37" s="1270">
        <f>'12. Разходи'!K37</f>
        <v>0</v>
      </c>
      <c r="O37" s="1231">
        <f>'12. Разходи'!L37-'12. Разходи'!$K37</f>
        <v>0</v>
      </c>
      <c r="P37" s="1211">
        <f>IFERROR(('12. Разходи'!L37-'12. Разходи'!$K37)/'12. Разходи'!$K37,0)</f>
        <v>0</v>
      </c>
      <c r="Q37" s="995">
        <f>'12. Разходи'!M37-'12. Разходи'!$K37</f>
        <v>0</v>
      </c>
      <c r="R37" s="1219">
        <f>IFERROR(('12. Разходи'!M37-'12. Разходи'!$K37)/'12. Разходи'!$K37,0)</f>
        <v>0</v>
      </c>
      <c r="S37" s="995">
        <f>'12. Разходи'!N37-'12. Разходи'!$K37</f>
        <v>0</v>
      </c>
      <c r="T37" s="1219">
        <f>IFERROR(('12. Разходи'!N37-'12. Разходи'!$K37)/'12. Разходи'!$K37,0)</f>
        <v>0</v>
      </c>
      <c r="U37" s="995">
        <f>'12. Разходи'!O37-'12. Разходи'!$K37</f>
        <v>0</v>
      </c>
      <c r="V37" s="1218">
        <f>IFERROR(('12. Разходи'!O37-'12. Разходи'!$K37)/'12. Разходи'!$K37,0)</f>
        <v>0</v>
      </c>
      <c r="W37" s="1226">
        <f>'12. Разходи'!P37-'12. Разходи'!$K37</f>
        <v>0</v>
      </c>
      <c r="X37" s="1276">
        <f>IFERROR(('12. Разходи'!P37-'12. Разходи'!$K37)/'12. Разходи'!$K37,0)</f>
        <v>0</v>
      </c>
      <c r="Y37" s="1270">
        <f>'12. Разходи'!S37</f>
        <v>0</v>
      </c>
      <c r="Z37" s="1231">
        <f>'12. Разходи'!T37-'12. Разходи'!$S37</f>
        <v>0</v>
      </c>
      <c r="AA37" s="1211">
        <f>IFERROR(('12. Разходи'!T37-'12. Разходи'!$S37)/'12. Разходи'!$S37,0)</f>
        <v>0</v>
      </c>
      <c r="AB37" s="995">
        <f>'12. Разходи'!U37-'12. Разходи'!$S37</f>
        <v>0</v>
      </c>
      <c r="AC37" s="1219">
        <f>IFERROR(('12. Разходи'!U37-'12. Разходи'!$S37)/'12. Разходи'!$S37,0)</f>
        <v>0</v>
      </c>
      <c r="AD37" s="995">
        <f>'12. Разходи'!V37-'12. Разходи'!$S37</f>
        <v>0</v>
      </c>
      <c r="AE37" s="1219">
        <f>IFERROR(('12. Разходи'!V37-'12. Разходи'!$S37)/'12. Разходи'!$S37,0)</f>
        <v>0</v>
      </c>
      <c r="AF37" s="995">
        <f>'12. Разходи'!W37-'12. Разходи'!$S37</f>
        <v>0</v>
      </c>
      <c r="AG37" s="1218">
        <f>IFERROR(('12. Разходи'!W37-'12. Разходи'!$S37)/'12. Разходи'!$S37,0)</f>
        <v>0</v>
      </c>
      <c r="AH37" s="1226">
        <f>'12. Разходи'!X37-'12. Разходи'!$S37</f>
        <v>0</v>
      </c>
      <c r="AI37" s="1276">
        <f>IFERROR(('12. Разходи'!X37-'12. Разходи'!$S37)/'12. Разходи'!$S37,0)</f>
        <v>0</v>
      </c>
      <c r="AJ37" s="1270">
        <f>'12. Разходи'!AA37</f>
        <v>0</v>
      </c>
      <c r="AK37" s="1231">
        <f>'12. Разходи'!AB37-'12. Разходи'!$AA37</f>
        <v>0</v>
      </c>
      <c r="AL37" s="1211">
        <f>IFERROR(('12. Разходи'!AB37-'12. Разходи'!$AA37)/'12. Разходи'!$AA37,0)</f>
        <v>0</v>
      </c>
      <c r="AM37" s="995">
        <f>'12. Разходи'!AC37-'12. Разходи'!$AA37</f>
        <v>0</v>
      </c>
      <c r="AN37" s="1219">
        <f>IFERROR(('12. Разходи'!AC37-'12. Разходи'!$AA37)/'12. Разходи'!$AA37,0)</f>
        <v>0</v>
      </c>
      <c r="AO37" s="995">
        <f>'12. Разходи'!AD37-'12. Разходи'!$AA37</f>
        <v>0</v>
      </c>
      <c r="AP37" s="1219">
        <f>IFERROR(('12. Разходи'!AD37-'12. Разходи'!$AA37)/'12. Разходи'!$AA37,0)</f>
        <v>0</v>
      </c>
      <c r="AQ37" s="995">
        <f>'12. Разходи'!AE37-'12. Разходи'!$AA37</f>
        <v>0</v>
      </c>
      <c r="AR37" s="1218">
        <f>IFERROR(('12. Разходи'!AE37-'12. Разходи'!$AA37)/'12. Разходи'!$AA37,0)</f>
        <v>0</v>
      </c>
      <c r="AS37" s="1226">
        <f>'12. Разходи'!AF37-'12. Разходи'!$AA37</f>
        <v>0</v>
      </c>
      <c r="AT37" s="1276">
        <f>IFERROR(('12. Разходи'!AF37-'12. Разходи'!$AA37)/'12. Разходи'!$AA37,0)</f>
        <v>0</v>
      </c>
      <c r="AU37" s="1270">
        <f>'12. Разходи'!AI37</f>
        <v>0</v>
      </c>
      <c r="AV37" s="1231">
        <f>'12. Разходи'!AJ37-'12. Разходи'!$AI37</f>
        <v>0</v>
      </c>
      <c r="AW37" s="1211">
        <f>IFERROR(('12. Разходи'!AJ37-'12. Разходи'!$AI37)/'12. Разходи'!$AI37,0)</f>
        <v>0</v>
      </c>
      <c r="AX37" s="995">
        <f>'12. Разходи'!AK37-'12. Разходи'!$AI37</f>
        <v>0</v>
      </c>
      <c r="AY37" s="1219">
        <f>IFERROR(('12. Разходи'!AK37-'12. Разходи'!$AI37)/'12. Разходи'!$AI37,0)</f>
        <v>0</v>
      </c>
      <c r="AZ37" s="995">
        <f>'12. Разходи'!AL37-'12. Разходи'!$AI37</f>
        <v>0</v>
      </c>
      <c r="BA37" s="1219">
        <f>IFERROR(('12. Разходи'!AL37-'12. Разходи'!$AI37)/'12. Разходи'!$AI37,0)</f>
        <v>0</v>
      </c>
      <c r="BB37" s="995">
        <f>'12. Разходи'!AM37-'12. Разходи'!$AI37</f>
        <v>0</v>
      </c>
      <c r="BC37" s="1218">
        <f>IFERROR(('12. Разходи'!AM37-'12. Разходи'!$AI37)/'12. Разходи'!$AI37,0)</f>
        <v>0</v>
      </c>
      <c r="BD37" s="1226">
        <f>'12. Разходи'!AN37-'12. Разходи'!$AI37</f>
        <v>0</v>
      </c>
      <c r="BE37" s="1276">
        <f>IFERROR(('12. Разходи'!AN37-'12. Разходи'!$AI37)/'12. Разходи'!$AI37,0)</f>
        <v>0</v>
      </c>
    </row>
    <row r="38" spans="1:66" ht="15.95" customHeight="1">
      <c r="A38" s="916" t="s">
        <v>257</v>
      </c>
      <c r="B38" s="983" t="s">
        <v>446</v>
      </c>
      <c r="C38" s="1278">
        <f>'12. Разходи'!C38</f>
        <v>38</v>
      </c>
      <c r="D38" s="1232">
        <f>'12. Разходи'!D38-'12. Разходи'!$C38</f>
        <v>54</v>
      </c>
      <c r="E38" s="965">
        <f>IFERROR(('12. Разходи'!D38-'12. Разходи'!$C38)/'12. Разходи'!$C38,0)</f>
        <v>1.4210526315789473</v>
      </c>
      <c r="F38" s="1225">
        <f>'12. Разходи'!E38-'12. Разходи'!$C38</f>
        <v>164</v>
      </c>
      <c r="G38" s="965">
        <f>IFERROR(('12. Разходи'!E38-'12. Разходи'!$C38)/'12. Разходи'!$C38,0)</f>
        <v>4.3157894736842106</v>
      </c>
      <c r="H38" s="1225">
        <f>'12. Разходи'!F38-'12. Разходи'!$C38</f>
        <v>164</v>
      </c>
      <c r="I38" s="965">
        <f>IFERROR(('12. Разходи'!F38-'12. Разходи'!$C38)/'12. Разходи'!$C38,0)</f>
        <v>4.3157894736842106</v>
      </c>
      <c r="J38" s="1225">
        <f>'12. Разходи'!G38-'12. Разходи'!$C38</f>
        <v>164</v>
      </c>
      <c r="K38" s="972">
        <f>IFERROR(('12. Разходи'!G38-'12. Разходи'!$C38)/'12. Разходи'!$C38,0)</f>
        <v>4.3157894736842106</v>
      </c>
      <c r="L38" s="1225">
        <f>'12. Разходи'!H38-'12. Разходи'!$C38</f>
        <v>164</v>
      </c>
      <c r="M38" s="972">
        <f>IFERROR(('12. Разходи'!H38-'12. Разходи'!$C38)/'12. Разходи'!$C38,0)</f>
        <v>4.3157894736842106</v>
      </c>
      <c r="N38" s="1257">
        <f>'12. Разходи'!K38</f>
        <v>1.3</v>
      </c>
      <c r="O38" s="1232">
        <f>'12. Разходи'!L38-'12. Разходи'!$K38</f>
        <v>17.919999999999998</v>
      </c>
      <c r="P38" s="965">
        <f>IFERROR(('12. Разходи'!L38-'12. Разходи'!$K38)/'12. Разходи'!$K38,0)</f>
        <v>13.784615384615384</v>
      </c>
      <c r="Q38" s="1225">
        <f>'12. Разходи'!M38-'12. Разходи'!$K38</f>
        <v>31.919999999999998</v>
      </c>
      <c r="R38" s="965">
        <f>IFERROR(('12. Разходи'!M38-'12. Разходи'!$K38)/'12. Разходи'!$K38,0)</f>
        <v>24.553846153846152</v>
      </c>
      <c r="S38" s="1225">
        <f>'12. Разходи'!N38-'12. Разходи'!$K38</f>
        <v>31.919999999999998</v>
      </c>
      <c r="T38" s="965">
        <f>IFERROR(('12. Разходи'!N38-'12. Разходи'!$K38)/'12. Разходи'!$K38,0)</f>
        <v>24.553846153846152</v>
      </c>
      <c r="U38" s="1225">
        <f>'12. Разходи'!O38-'12. Разходи'!$K38</f>
        <v>31.919999999999998</v>
      </c>
      <c r="V38" s="972">
        <f>IFERROR(('12. Разходи'!O38-'12. Разходи'!$K38)/'12. Разходи'!$K38,0)</f>
        <v>24.553846153846152</v>
      </c>
      <c r="W38" s="1225">
        <f>'12. Разходи'!P38-'12. Разходи'!$K38</f>
        <v>31.919999999999998</v>
      </c>
      <c r="X38" s="784">
        <f>IFERROR(('12. Разходи'!P38-'12. Разходи'!$K38)/'12. Разходи'!$K38,0)</f>
        <v>24.553846153846152</v>
      </c>
      <c r="Y38" s="1257">
        <f>'12. Разходи'!S38</f>
        <v>4</v>
      </c>
      <c r="Z38" s="1232">
        <f>'12. Разходи'!T38-'12. Разходи'!$S38</f>
        <v>26</v>
      </c>
      <c r="AA38" s="965">
        <f>IFERROR(('12. Разходи'!T38-'12. Разходи'!$S38)/'12. Разходи'!$S38,0)</f>
        <v>6.5</v>
      </c>
      <c r="AB38" s="1225">
        <f>'12. Разходи'!U38-'12. Разходи'!$S38</f>
        <v>45.9</v>
      </c>
      <c r="AC38" s="965">
        <f>IFERROR(('12. Разходи'!U38-'12. Разходи'!$S38)/'12. Разходи'!$S38,0)</f>
        <v>11.475</v>
      </c>
      <c r="AD38" s="1225">
        <f>'12. Разходи'!V38-'12. Разходи'!$S38</f>
        <v>45.9</v>
      </c>
      <c r="AE38" s="965">
        <f>IFERROR(('12. Разходи'!V38-'12. Разходи'!$S38)/'12. Разходи'!$S38,0)</f>
        <v>11.475</v>
      </c>
      <c r="AF38" s="1225">
        <f>'12. Разходи'!W38-'12. Разходи'!$S38</f>
        <v>45.9</v>
      </c>
      <c r="AG38" s="972">
        <f>IFERROR(('12. Разходи'!W38-'12. Разходи'!$S38)/'12. Разходи'!$S38,0)</f>
        <v>11.475</v>
      </c>
      <c r="AH38" s="1225">
        <f>'12. Разходи'!X38-'12. Разходи'!$S38</f>
        <v>45.9</v>
      </c>
      <c r="AI38" s="784">
        <f>IFERROR(('12. Разходи'!X38-'12. Разходи'!$S38)/'12. Разходи'!$S38,0)</f>
        <v>11.475</v>
      </c>
      <c r="AJ38" s="1257">
        <f>'12. Разходи'!AA38</f>
        <v>0.26</v>
      </c>
      <c r="AK38" s="1232">
        <f>'12. Разходи'!AB38-'12. Разходи'!$AA38</f>
        <v>4.6560000000000006</v>
      </c>
      <c r="AL38" s="965">
        <f>IFERROR(('12. Разходи'!AB38-'12. Разходи'!$AA38)/'12. Разходи'!$AA38,0)</f>
        <v>17.907692307692308</v>
      </c>
      <c r="AM38" s="1225">
        <f>'12. Разходи'!AC38-'12. Разходи'!$AA38</f>
        <v>5.24</v>
      </c>
      <c r="AN38" s="965">
        <f>IFERROR(('12. Разходи'!AC38-'12. Разходи'!$AA38)/'12. Разходи'!$AA38,0)</f>
        <v>20.153846153846153</v>
      </c>
      <c r="AO38" s="1225">
        <f>'12. Разходи'!AD38-'12. Разходи'!$AA38</f>
        <v>5.24</v>
      </c>
      <c r="AP38" s="965">
        <f>IFERROR(('12. Разходи'!AD38-'12. Разходи'!$AA38)/'12. Разходи'!$AA38,0)</f>
        <v>20.153846153846153</v>
      </c>
      <c r="AQ38" s="1225">
        <f>'12. Разходи'!AE38-'12. Разходи'!$AA38</f>
        <v>5.24</v>
      </c>
      <c r="AR38" s="972">
        <f>IFERROR(('12. Разходи'!AE38-'12. Разходи'!$AA38)/'12. Разходи'!$AA38,0)</f>
        <v>20.153846153846153</v>
      </c>
      <c r="AS38" s="1225">
        <f>'12. Разходи'!AF38-'12. Разходи'!$AA38</f>
        <v>5.24</v>
      </c>
      <c r="AT38" s="784">
        <f>IFERROR(('12. Разходи'!AF38-'12. Разходи'!$AA38)/'12. Разходи'!$AA38,0)</f>
        <v>20.153846153846153</v>
      </c>
      <c r="AU38" s="1257">
        <f>'12. Разходи'!AI38</f>
        <v>0</v>
      </c>
      <c r="AV38" s="1232">
        <f>'12. Разходи'!AJ38-'12. Разходи'!$AI38</f>
        <v>0</v>
      </c>
      <c r="AW38" s="965">
        <f>IFERROR(('12. Разходи'!AJ38-'12. Разходи'!$AI38)/'12. Разходи'!$AI38,0)</f>
        <v>0</v>
      </c>
      <c r="AX38" s="1225">
        <f>'12. Разходи'!AK38-'12. Разходи'!$AI38</f>
        <v>0</v>
      </c>
      <c r="AY38" s="965">
        <f>IFERROR(('12. Разходи'!AK38-'12. Разходи'!$AI38)/'12. Разходи'!$AI38,0)</f>
        <v>0</v>
      </c>
      <c r="AZ38" s="1225">
        <f>'12. Разходи'!AL38-'12. Разходи'!$AI38</f>
        <v>0</v>
      </c>
      <c r="BA38" s="965">
        <f>IFERROR(('12. Разходи'!AL38-'12. Разходи'!$AI38)/'12. Разходи'!$AI38,0)</f>
        <v>0</v>
      </c>
      <c r="BB38" s="1225">
        <f>'12. Разходи'!AM38-'12. Разходи'!$AI38</f>
        <v>0</v>
      </c>
      <c r="BC38" s="972">
        <f>IFERROR(('12. Разходи'!AM38-'12. Разходи'!$AI38)/'12. Разходи'!$AI38,0)</f>
        <v>0</v>
      </c>
      <c r="BD38" s="1225">
        <f>'12. Разходи'!AN38-'12. Разходи'!$AI38</f>
        <v>0</v>
      </c>
      <c r="BE38" s="784">
        <f>IFERROR(('12. Разходи'!AN38-'12. Разходи'!$AI38)/'12. Разходи'!$AI38,0)</f>
        <v>0</v>
      </c>
    </row>
    <row r="39" spans="1:66" s="1293" customFormat="1" ht="15.95" customHeight="1">
      <c r="A39" s="1296" t="s">
        <v>1242</v>
      </c>
      <c r="B39" s="1297" t="s">
        <v>258</v>
      </c>
      <c r="C39" s="1298">
        <f>'12. Разходи'!C39</f>
        <v>26</v>
      </c>
      <c r="D39" s="1305">
        <f>'12. Разходи'!D39-'12. Разходи'!$C39</f>
        <v>54</v>
      </c>
      <c r="E39" s="1300">
        <f>IFERROR(('12. Разходи'!D39-'12. Разходи'!$C39)/'12. Разходи'!$C39,0)</f>
        <v>2.0769230769230771</v>
      </c>
      <c r="F39" s="1299">
        <f>'12. Разходи'!E39-'12. Разходи'!$C39</f>
        <v>164</v>
      </c>
      <c r="G39" s="1306">
        <f>IFERROR(('12. Разходи'!E39-'12. Разходи'!$C39)/'12. Разходи'!$C39,0)</f>
        <v>6.3076923076923075</v>
      </c>
      <c r="H39" s="1299">
        <f>'12. Разходи'!F39-'12. Разходи'!$C39</f>
        <v>164</v>
      </c>
      <c r="I39" s="1306">
        <f>IFERROR(('12. Разходи'!F39-'12. Разходи'!$C39)/'12. Разходи'!$C39,0)</f>
        <v>6.3076923076923075</v>
      </c>
      <c r="J39" s="1299">
        <f>'12. Разходи'!G39-'12. Разходи'!$C39</f>
        <v>164</v>
      </c>
      <c r="K39" s="1307">
        <f>IFERROR(('12. Разходи'!G39-'12. Разходи'!$C39)/'12. Разходи'!$C39,0)</f>
        <v>6.3076923076923075</v>
      </c>
      <c r="L39" s="1301">
        <f>'12. Разходи'!H39-'12. Разходи'!$C39</f>
        <v>164</v>
      </c>
      <c r="M39" s="1307">
        <f>IFERROR(('12. Разходи'!H39-'12. Разходи'!$C39)/'12. Разходи'!$C39,0)</f>
        <v>6.3076923076923075</v>
      </c>
      <c r="N39" s="1303">
        <f>'12. Разходи'!K39</f>
        <v>1.3</v>
      </c>
      <c r="O39" s="1305">
        <f>'12. Разходи'!L39-'12. Разходи'!$K39</f>
        <v>16.7</v>
      </c>
      <c r="P39" s="1300">
        <f>IFERROR(('12. Разходи'!L39-'12. Разходи'!$K39)/'12. Разходи'!$K39,0)</f>
        <v>12.846153846153845</v>
      </c>
      <c r="Q39" s="1299">
        <f>'12. Разходи'!M39-'12. Разходи'!$K39</f>
        <v>30.7</v>
      </c>
      <c r="R39" s="1306">
        <f>IFERROR(('12. Разходи'!M39-'12. Разходи'!$K39)/'12. Разходи'!$K39,0)</f>
        <v>23.615384615384613</v>
      </c>
      <c r="S39" s="1299">
        <f>'12. Разходи'!N39-'12. Разходи'!$K39</f>
        <v>30.7</v>
      </c>
      <c r="T39" s="1306">
        <f>IFERROR(('12. Разходи'!N39-'12. Разходи'!$K39)/'12. Разходи'!$K39,0)</f>
        <v>23.615384615384613</v>
      </c>
      <c r="U39" s="1299">
        <f>'12. Разходи'!O39-'12. Разходи'!$K39</f>
        <v>30.7</v>
      </c>
      <c r="V39" s="1307">
        <f>IFERROR(('12. Разходи'!O39-'12. Разходи'!$K39)/'12. Разходи'!$K39,0)</f>
        <v>23.615384615384613</v>
      </c>
      <c r="W39" s="1301">
        <f>'12. Разходи'!P39-'12. Разходи'!$K39</f>
        <v>30.7</v>
      </c>
      <c r="X39" s="1308">
        <f>IFERROR(('12. Разходи'!P39-'12. Разходи'!$K39)/'12. Разходи'!$K39,0)</f>
        <v>23.615384615384613</v>
      </c>
      <c r="Y39" s="1303">
        <f>'12. Разходи'!S39</f>
        <v>0</v>
      </c>
      <c r="Z39" s="1305">
        <f>'12. Разходи'!T39-'12. Разходи'!$S39</f>
        <v>30</v>
      </c>
      <c r="AA39" s="1300">
        <f>IFERROR(('12. Разходи'!T39-'12. Разходи'!$S39)/'12. Разходи'!$S39,0)</f>
        <v>0</v>
      </c>
      <c r="AB39" s="1299">
        <f>'12. Разходи'!U39-'12. Разходи'!$S39</f>
        <v>49.9</v>
      </c>
      <c r="AC39" s="1306">
        <f>IFERROR(('12. Разходи'!U39-'12. Разходи'!$S39)/'12. Разходи'!$S39,0)</f>
        <v>0</v>
      </c>
      <c r="AD39" s="1299">
        <f>'12. Разходи'!V39-'12. Разходи'!$S39</f>
        <v>49.9</v>
      </c>
      <c r="AE39" s="1306">
        <f>IFERROR(('12. Разходи'!V39-'12. Разходи'!$S39)/'12. Разходи'!$S39,0)</f>
        <v>0</v>
      </c>
      <c r="AF39" s="1299">
        <f>'12. Разходи'!W39-'12. Разходи'!$S39</f>
        <v>49.9</v>
      </c>
      <c r="AG39" s="1307">
        <f>IFERROR(('12. Разходи'!W39-'12. Разходи'!$S39)/'12. Разходи'!$S39,0)</f>
        <v>0</v>
      </c>
      <c r="AH39" s="1301">
        <f>'12. Разходи'!X39-'12. Разходи'!$S39</f>
        <v>49.9</v>
      </c>
      <c r="AI39" s="1308">
        <f>IFERROR(('12. Разходи'!X39-'12. Разходи'!$S39)/'12. Разходи'!$S39,0)</f>
        <v>0</v>
      </c>
      <c r="AJ39" s="1303">
        <f>'12. Разходи'!AA39</f>
        <v>0</v>
      </c>
      <c r="AK39" s="1305">
        <f>'12. Разходи'!AB39-'12. Разходи'!$AA39</f>
        <v>2.9159999999999999</v>
      </c>
      <c r="AL39" s="1300">
        <f>IFERROR(('12. Разходи'!AB39-'12. Разходи'!$AA39)/'12. Разходи'!$AA39,0)</f>
        <v>0</v>
      </c>
      <c r="AM39" s="1299">
        <f>'12. Разходи'!AC39-'12. Разходи'!$AA39</f>
        <v>4</v>
      </c>
      <c r="AN39" s="1306">
        <f>IFERROR(('12. Разходи'!AC39-'12. Разходи'!$AA39)/'12. Разходи'!$AA39,0)</f>
        <v>0</v>
      </c>
      <c r="AO39" s="1299">
        <f>'12. Разходи'!AD39-'12. Разходи'!$AA39</f>
        <v>4</v>
      </c>
      <c r="AP39" s="1306">
        <f>IFERROR(('12. Разходи'!AD39-'12. Разходи'!$AA39)/'12. Разходи'!$AA39,0)</f>
        <v>0</v>
      </c>
      <c r="AQ39" s="1299">
        <f>'12. Разходи'!AE39-'12. Разходи'!$AA39</f>
        <v>4</v>
      </c>
      <c r="AR39" s="1307">
        <f>IFERROR(('12. Разходи'!AE39-'12. Разходи'!$AA39)/'12. Разходи'!$AA39,0)</f>
        <v>0</v>
      </c>
      <c r="AS39" s="1301">
        <f>'12. Разходи'!AF39-'12. Разходи'!$AA39</f>
        <v>4</v>
      </c>
      <c r="AT39" s="1308">
        <f>IFERROR(('12. Разходи'!AF39-'12. Разходи'!$AA39)/'12. Разходи'!$AA39,0)</f>
        <v>0</v>
      </c>
      <c r="AU39" s="1303">
        <f>'12. Разходи'!AI39</f>
        <v>0</v>
      </c>
      <c r="AV39" s="1305">
        <f>'12. Разходи'!AJ39-'12. Разходи'!$AI39</f>
        <v>0</v>
      </c>
      <c r="AW39" s="1300">
        <f>IFERROR(('12. Разходи'!AJ39-'12. Разходи'!$AI39)/'12. Разходи'!$AI39,0)</f>
        <v>0</v>
      </c>
      <c r="AX39" s="1299">
        <f>'12. Разходи'!AK39-'12. Разходи'!$AI39</f>
        <v>0</v>
      </c>
      <c r="AY39" s="1306">
        <f>IFERROR(('12. Разходи'!AK39-'12. Разходи'!$AI39)/'12. Разходи'!$AI39,0)</f>
        <v>0</v>
      </c>
      <c r="AZ39" s="1299">
        <f>'12. Разходи'!AL39-'12. Разходи'!$AI39</f>
        <v>0</v>
      </c>
      <c r="BA39" s="1306">
        <f>IFERROR(('12. Разходи'!AL39-'12. Разходи'!$AI39)/'12. Разходи'!$AI39,0)</f>
        <v>0</v>
      </c>
      <c r="BB39" s="1299">
        <f>'12. Разходи'!AM39-'12. Разходи'!$AI39</f>
        <v>0</v>
      </c>
      <c r="BC39" s="1307">
        <f>IFERROR(('12. Разходи'!AM39-'12. Разходи'!$AI39)/'12. Разходи'!$AI39,0)</f>
        <v>0</v>
      </c>
      <c r="BD39" s="1301">
        <f>'12. Разходи'!AN39-'12. Разходи'!$AI39</f>
        <v>0</v>
      </c>
      <c r="BE39" s="1308">
        <f>IFERROR(('12. Разходи'!AN39-'12. Разходи'!$AI39)/'12. Разходи'!$AI39,0)</f>
        <v>0</v>
      </c>
      <c r="BF39" s="1291"/>
      <c r="BG39" s="1291"/>
      <c r="BH39" s="1291"/>
      <c r="BI39" s="1291"/>
      <c r="BJ39" s="1291"/>
      <c r="BK39" s="1291"/>
      <c r="BL39" s="1291"/>
      <c r="BM39" s="1291"/>
      <c r="BN39" s="1291"/>
    </row>
    <row r="40" spans="1:66" s="1293" customFormat="1" ht="15.95" customHeight="1">
      <c r="A40" s="1296" t="s">
        <v>1243</v>
      </c>
      <c r="B40" s="1297" t="s">
        <v>259</v>
      </c>
      <c r="C40" s="1298">
        <f>'12. Разходи'!C40</f>
        <v>12</v>
      </c>
      <c r="D40" s="1305">
        <f>'12. Разходи'!D40-'12. Разходи'!$C40</f>
        <v>0</v>
      </c>
      <c r="E40" s="1300">
        <f>IFERROR(('12. Разходи'!D40-'12. Разходи'!$C40)/'12. Разходи'!$C40,0)</f>
        <v>0</v>
      </c>
      <c r="F40" s="1299">
        <f>'12. Разходи'!E40-'12. Разходи'!$C40</f>
        <v>0</v>
      </c>
      <c r="G40" s="1306">
        <f>IFERROR(('12. Разходи'!E40-'12. Разходи'!$C40)/'12. Разходи'!$C40,0)</f>
        <v>0</v>
      </c>
      <c r="H40" s="1299">
        <f>'12. Разходи'!F40-'12. Разходи'!$C40</f>
        <v>0</v>
      </c>
      <c r="I40" s="1306">
        <f>IFERROR(('12. Разходи'!F40-'12. Разходи'!$C40)/'12. Разходи'!$C40,0)</f>
        <v>0</v>
      </c>
      <c r="J40" s="1299">
        <f>'12. Разходи'!G40-'12. Разходи'!$C40</f>
        <v>0</v>
      </c>
      <c r="K40" s="1307">
        <f>IFERROR(('12. Разходи'!G40-'12. Разходи'!$C40)/'12. Разходи'!$C40,0)</f>
        <v>0</v>
      </c>
      <c r="L40" s="1301">
        <f>'12. Разходи'!H40-'12. Разходи'!$C40</f>
        <v>0</v>
      </c>
      <c r="M40" s="1307">
        <f>IFERROR(('12. Разходи'!H40-'12. Разходи'!$C40)/'12. Разходи'!$C40,0)</f>
        <v>0</v>
      </c>
      <c r="N40" s="1303">
        <f>'12. Разходи'!K40</f>
        <v>0</v>
      </c>
      <c r="O40" s="1305">
        <f>'12. Разходи'!L40-'12. Разходи'!$K40</f>
        <v>1.22</v>
      </c>
      <c r="P40" s="1300">
        <f>IFERROR(('12. Разходи'!L40-'12. Разходи'!$K40)/'12. Разходи'!$K40,0)</f>
        <v>0</v>
      </c>
      <c r="Q40" s="1299">
        <f>'12. Разходи'!M40-'12. Разходи'!$K40</f>
        <v>1.22</v>
      </c>
      <c r="R40" s="1306">
        <f>IFERROR(('12. Разходи'!M40-'12. Разходи'!$K40)/'12. Разходи'!$K40,0)</f>
        <v>0</v>
      </c>
      <c r="S40" s="1299">
        <f>'12. Разходи'!N40-'12. Разходи'!$K40</f>
        <v>1.22</v>
      </c>
      <c r="T40" s="1306">
        <f>IFERROR(('12. Разходи'!N40-'12. Разходи'!$K40)/'12. Разходи'!$K40,0)</f>
        <v>0</v>
      </c>
      <c r="U40" s="1299">
        <f>'12. Разходи'!O40-'12. Разходи'!$K40</f>
        <v>1.22</v>
      </c>
      <c r="V40" s="1307">
        <f>IFERROR(('12. Разходи'!O40-'12. Разходи'!$K40)/'12. Разходи'!$K40,0)</f>
        <v>0</v>
      </c>
      <c r="W40" s="1301">
        <f>'12. Разходи'!P40-'12. Разходи'!$K40</f>
        <v>1.22</v>
      </c>
      <c r="X40" s="1308">
        <f>IFERROR(('12. Разходи'!P40-'12. Разходи'!$K40)/'12. Разходи'!$K40,0)</f>
        <v>0</v>
      </c>
      <c r="Y40" s="1303">
        <f>'12. Разходи'!S40</f>
        <v>0</v>
      </c>
      <c r="Z40" s="1305">
        <f>'12. Разходи'!T40-'12. Разходи'!$S40</f>
        <v>0</v>
      </c>
      <c r="AA40" s="1300">
        <f>IFERROR(('12. Разходи'!T40-'12. Разходи'!$S40)/'12. Разходи'!$S40,0)</f>
        <v>0</v>
      </c>
      <c r="AB40" s="1299">
        <f>'12. Разходи'!U40-'12. Разходи'!$S40</f>
        <v>0</v>
      </c>
      <c r="AC40" s="1306">
        <f>IFERROR(('12. Разходи'!U40-'12. Разходи'!$S40)/'12. Разходи'!$S40,0)</f>
        <v>0</v>
      </c>
      <c r="AD40" s="1299">
        <f>'12. Разходи'!V40-'12. Разходи'!$S40</f>
        <v>0</v>
      </c>
      <c r="AE40" s="1306">
        <f>IFERROR(('12. Разходи'!V40-'12. Разходи'!$S40)/'12. Разходи'!$S40,0)</f>
        <v>0</v>
      </c>
      <c r="AF40" s="1299">
        <f>'12. Разходи'!W40-'12. Разходи'!$S40</f>
        <v>0</v>
      </c>
      <c r="AG40" s="1307">
        <f>IFERROR(('12. Разходи'!W40-'12. Разходи'!$S40)/'12. Разходи'!$S40,0)</f>
        <v>0</v>
      </c>
      <c r="AH40" s="1301">
        <f>'12. Разходи'!X40-'12. Разходи'!$S40</f>
        <v>0</v>
      </c>
      <c r="AI40" s="1308">
        <f>IFERROR(('12. Разходи'!X40-'12. Разходи'!$S40)/'12. Разходи'!$S40,0)</f>
        <v>0</v>
      </c>
      <c r="AJ40" s="1303">
        <f>'12. Разходи'!AA40</f>
        <v>0</v>
      </c>
      <c r="AK40" s="1305">
        <f>'12. Разходи'!AB40-'12. Разходи'!$AA40</f>
        <v>1</v>
      </c>
      <c r="AL40" s="1300">
        <f>IFERROR(('12. Разходи'!AB40-'12. Разходи'!$AA40)/'12. Разходи'!$AA40,0)</f>
        <v>0</v>
      </c>
      <c r="AM40" s="1299">
        <f>'12. Разходи'!AC40-'12. Разходи'!$AA40</f>
        <v>0.5</v>
      </c>
      <c r="AN40" s="1306">
        <f>IFERROR(('12. Разходи'!AC40-'12. Разходи'!$AA40)/'12. Разходи'!$AA40,0)</f>
        <v>0</v>
      </c>
      <c r="AO40" s="1299">
        <f>'12. Разходи'!AD40-'12. Разходи'!$AA40</f>
        <v>0.5</v>
      </c>
      <c r="AP40" s="1306">
        <f>IFERROR(('12. Разходи'!AD40-'12. Разходи'!$AA40)/'12. Разходи'!$AA40,0)</f>
        <v>0</v>
      </c>
      <c r="AQ40" s="1299">
        <f>'12. Разходи'!AE40-'12. Разходи'!$AA40</f>
        <v>0.5</v>
      </c>
      <c r="AR40" s="1307">
        <f>IFERROR(('12. Разходи'!AE40-'12. Разходи'!$AA40)/'12. Разходи'!$AA40,0)</f>
        <v>0</v>
      </c>
      <c r="AS40" s="1301">
        <f>'12. Разходи'!AF40-'12. Разходи'!$AA40</f>
        <v>0.5</v>
      </c>
      <c r="AT40" s="1308">
        <f>IFERROR(('12. Разходи'!AF40-'12. Разходи'!$AA40)/'12. Разходи'!$AA40,0)</f>
        <v>0</v>
      </c>
      <c r="AU40" s="1303">
        <f>'12. Разходи'!AI40</f>
        <v>0</v>
      </c>
      <c r="AV40" s="1305">
        <f>'12. Разходи'!AJ40-'12. Разходи'!$AI40</f>
        <v>0</v>
      </c>
      <c r="AW40" s="1300">
        <f>IFERROR(('12. Разходи'!AJ40-'12. Разходи'!$AI40)/'12. Разходи'!$AI40,0)</f>
        <v>0</v>
      </c>
      <c r="AX40" s="1299">
        <f>'12. Разходи'!AK40-'12. Разходи'!$AI40</f>
        <v>0</v>
      </c>
      <c r="AY40" s="1306">
        <f>IFERROR(('12. Разходи'!AK40-'12. Разходи'!$AI40)/'12. Разходи'!$AI40,0)</f>
        <v>0</v>
      </c>
      <c r="AZ40" s="1299">
        <f>'12. Разходи'!AL40-'12. Разходи'!$AI40</f>
        <v>0</v>
      </c>
      <c r="BA40" s="1306">
        <f>IFERROR(('12. Разходи'!AL40-'12. Разходи'!$AI40)/'12. Разходи'!$AI40,0)</f>
        <v>0</v>
      </c>
      <c r="BB40" s="1299">
        <f>'12. Разходи'!AM40-'12. Разходи'!$AI40</f>
        <v>0</v>
      </c>
      <c r="BC40" s="1307">
        <f>IFERROR(('12. Разходи'!AM40-'12. Разходи'!$AI40)/'12. Разходи'!$AI40,0)</f>
        <v>0</v>
      </c>
      <c r="BD40" s="1301">
        <f>'12. Разходи'!AN40-'12. Разходи'!$AI40</f>
        <v>0</v>
      </c>
      <c r="BE40" s="1308">
        <f>IFERROR(('12. Разходи'!AN40-'12. Разходи'!$AI40)/'12. Разходи'!$AI40,0)</f>
        <v>0</v>
      </c>
      <c r="BF40" s="1291"/>
      <c r="BG40" s="1291"/>
      <c r="BH40" s="1291"/>
      <c r="BI40" s="1291"/>
      <c r="BJ40" s="1291"/>
      <c r="BK40" s="1291"/>
      <c r="BL40" s="1291"/>
      <c r="BM40" s="1291"/>
      <c r="BN40" s="1291"/>
    </row>
    <row r="41" spans="1:66" s="1293" customFormat="1" ht="15.95" customHeight="1">
      <c r="A41" s="1296" t="s">
        <v>1244</v>
      </c>
      <c r="B41" s="1297" t="s">
        <v>260</v>
      </c>
      <c r="C41" s="1298">
        <f>'12. Разходи'!C41</f>
        <v>0</v>
      </c>
      <c r="D41" s="1305">
        <f>'12. Разходи'!D41-'12. Разходи'!$C41</f>
        <v>0</v>
      </c>
      <c r="E41" s="1300">
        <f>IFERROR(('12. Разходи'!D41-'12. Разходи'!$C41)/'12. Разходи'!$C41,0)</f>
        <v>0</v>
      </c>
      <c r="F41" s="1299">
        <f>'12. Разходи'!E41-'12. Разходи'!$C41</f>
        <v>0</v>
      </c>
      <c r="G41" s="1306">
        <f>IFERROR(('12. Разходи'!E41-'12. Разходи'!$C41)/'12. Разходи'!$C41,0)</f>
        <v>0</v>
      </c>
      <c r="H41" s="1299">
        <f>'12. Разходи'!F41-'12. Разходи'!$C41</f>
        <v>0</v>
      </c>
      <c r="I41" s="1306">
        <f>IFERROR(('12. Разходи'!F41-'12. Разходи'!$C41)/'12. Разходи'!$C41,0)</f>
        <v>0</v>
      </c>
      <c r="J41" s="1299">
        <f>'12. Разходи'!G41-'12. Разходи'!$C41</f>
        <v>0</v>
      </c>
      <c r="K41" s="1307">
        <f>IFERROR(('12. Разходи'!G41-'12. Разходи'!$C41)/'12. Разходи'!$C41,0)</f>
        <v>0</v>
      </c>
      <c r="L41" s="1301">
        <f>'12. Разходи'!H41-'12. Разходи'!$C41</f>
        <v>0</v>
      </c>
      <c r="M41" s="1307">
        <f>IFERROR(('12. Разходи'!H41-'12. Разходи'!$C41)/'12. Разходи'!$C41,0)</f>
        <v>0</v>
      </c>
      <c r="N41" s="1303">
        <f>'12. Разходи'!K41</f>
        <v>0</v>
      </c>
      <c r="O41" s="1305">
        <f>'12. Разходи'!L41-'12. Разходи'!$K41</f>
        <v>0</v>
      </c>
      <c r="P41" s="1300">
        <f>IFERROR(('12. Разходи'!L41-'12. Разходи'!$K41)/'12. Разходи'!$K41,0)</f>
        <v>0</v>
      </c>
      <c r="Q41" s="1299">
        <f>'12. Разходи'!M41-'12. Разходи'!$K41</f>
        <v>0</v>
      </c>
      <c r="R41" s="1306">
        <f>IFERROR(('12. Разходи'!M41-'12. Разходи'!$K41)/'12. Разходи'!$K41,0)</f>
        <v>0</v>
      </c>
      <c r="S41" s="1299">
        <f>'12. Разходи'!N41-'12. Разходи'!$K41</f>
        <v>0</v>
      </c>
      <c r="T41" s="1306">
        <f>IFERROR(('12. Разходи'!N41-'12. Разходи'!$K41)/'12. Разходи'!$K41,0)</f>
        <v>0</v>
      </c>
      <c r="U41" s="1299">
        <f>'12. Разходи'!O41-'12. Разходи'!$K41</f>
        <v>0</v>
      </c>
      <c r="V41" s="1307">
        <f>IFERROR(('12. Разходи'!O41-'12. Разходи'!$K41)/'12. Разходи'!$K41,0)</f>
        <v>0</v>
      </c>
      <c r="W41" s="1301">
        <f>'12. Разходи'!P41-'12. Разходи'!$K41</f>
        <v>0</v>
      </c>
      <c r="X41" s="1308">
        <f>IFERROR(('12. Разходи'!P41-'12. Разходи'!$K41)/'12. Разходи'!$K41,0)</f>
        <v>0</v>
      </c>
      <c r="Y41" s="1303">
        <f>'12. Разходи'!S41</f>
        <v>0</v>
      </c>
      <c r="Z41" s="1305">
        <f>'12. Разходи'!T41-'12. Разходи'!$S41</f>
        <v>0</v>
      </c>
      <c r="AA41" s="1300">
        <f>IFERROR(('12. Разходи'!T41-'12. Разходи'!$S41)/'12. Разходи'!$S41,0)</f>
        <v>0</v>
      </c>
      <c r="AB41" s="1299">
        <f>'12. Разходи'!U41-'12. Разходи'!$S41</f>
        <v>0</v>
      </c>
      <c r="AC41" s="1306">
        <f>IFERROR(('12. Разходи'!U41-'12. Разходи'!$S41)/'12. Разходи'!$S41,0)</f>
        <v>0</v>
      </c>
      <c r="AD41" s="1299">
        <f>'12. Разходи'!V41-'12. Разходи'!$S41</f>
        <v>0</v>
      </c>
      <c r="AE41" s="1306">
        <f>IFERROR(('12. Разходи'!V41-'12. Разходи'!$S41)/'12. Разходи'!$S41,0)</f>
        <v>0</v>
      </c>
      <c r="AF41" s="1299">
        <f>'12. Разходи'!W41-'12. Разходи'!$S41</f>
        <v>0</v>
      </c>
      <c r="AG41" s="1307">
        <f>IFERROR(('12. Разходи'!W41-'12. Разходи'!$S41)/'12. Разходи'!$S41,0)</f>
        <v>0</v>
      </c>
      <c r="AH41" s="1301">
        <f>'12. Разходи'!X41-'12. Разходи'!$S41</f>
        <v>0</v>
      </c>
      <c r="AI41" s="1308">
        <f>IFERROR(('12. Разходи'!X41-'12. Разходи'!$S41)/'12. Разходи'!$S41,0)</f>
        <v>0</v>
      </c>
      <c r="AJ41" s="1303">
        <f>'12. Разходи'!AA41</f>
        <v>0</v>
      </c>
      <c r="AK41" s="1305">
        <f>'12. Разходи'!AB41-'12. Разходи'!$AA41</f>
        <v>1</v>
      </c>
      <c r="AL41" s="1300">
        <f>IFERROR(('12. Разходи'!AB41-'12. Разходи'!$AA41)/'12. Разходи'!$AA41,0)</f>
        <v>0</v>
      </c>
      <c r="AM41" s="1299">
        <f>'12. Разходи'!AC41-'12. Разходи'!$AA41</f>
        <v>1</v>
      </c>
      <c r="AN41" s="1306">
        <f>IFERROR(('12. Разходи'!AC41-'12. Разходи'!$AA41)/'12. Разходи'!$AA41,0)</f>
        <v>0</v>
      </c>
      <c r="AO41" s="1299">
        <f>'12. Разходи'!AD41-'12. Разходи'!$AA41</f>
        <v>1</v>
      </c>
      <c r="AP41" s="1306">
        <f>IFERROR(('12. Разходи'!AD41-'12. Разходи'!$AA41)/'12. Разходи'!$AA41,0)</f>
        <v>0</v>
      </c>
      <c r="AQ41" s="1299">
        <f>'12. Разходи'!AE41-'12. Разходи'!$AA41</f>
        <v>1</v>
      </c>
      <c r="AR41" s="1307">
        <f>IFERROR(('12. Разходи'!AE41-'12. Разходи'!$AA41)/'12. Разходи'!$AA41,0)</f>
        <v>0</v>
      </c>
      <c r="AS41" s="1301">
        <f>'12. Разходи'!AF41-'12. Разходи'!$AA41</f>
        <v>1</v>
      </c>
      <c r="AT41" s="1308">
        <f>IFERROR(('12. Разходи'!AF41-'12. Разходи'!$AA41)/'12. Разходи'!$AA41,0)</f>
        <v>0</v>
      </c>
      <c r="AU41" s="1303">
        <f>'12. Разходи'!AI41</f>
        <v>0</v>
      </c>
      <c r="AV41" s="1305">
        <f>'12. Разходи'!AJ41-'12. Разходи'!$AI41</f>
        <v>0</v>
      </c>
      <c r="AW41" s="1300">
        <f>IFERROR(('12. Разходи'!AJ41-'12. Разходи'!$AI41)/'12. Разходи'!$AI41,0)</f>
        <v>0</v>
      </c>
      <c r="AX41" s="1299">
        <f>'12. Разходи'!AK41-'12. Разходи'!$AI41</f>
        <v>0</v>
      </c>
      <c r="AY41" s="1306">
        <f>IFERROR(('12. Разходи'!AK41-'12. Разходи'!$AI41)/'12. Разходи'!$AI41,0)</f>
        <v>0</v>
      </c>
      <c r="AZ41" s="1299">
        <f>'12. Разходи'!AL41-'12. Разходи'!$AI41</f>
        <v>0</v>
      </c>
      <c r="BA41" s="1306">
        <f>IFERROR(('12. Разходи'!AL41-'12. Разходи'!$AI41)/'12. Разходи'!$AI41,0)</f>
        <v>0</v>
      </c>
      <c r="BB41" s="1299">
        <f>'12. Разходи'!AM41-'12. Разходи'!$AI41</f>
        <v>0</v>
      </c>
      <c r="BC41" s="1307">
        <f>IFERROR(('12. Разходи'!AM41-'12. Разходи'!$AI41)/'12. Разходи'!$AI41,0)</f>
        <v>0</v>
      </c>
      <c r="BD41" s="1301">
        <f>'12. Разходи'!AN41-'12. Разходи'!$AI41</f>
        <v>0</v>
      </c>
      <c r="BE41" s="1308">
        <f>IFERROR(('12. Разходи'!AN41-'12. Разходи'!$AI41)/'12. Разходи'!$AI41,0)</f>
        <v>0</v>
      </c>
      <c r="BF41" s="1291"/>
      <c r="BG41" s="1291"/>
      <c r="BH41" s="1291"/>
      <c r="BI41" s="1291"/>
      <c r="BJ41" s="1291"/>
      <c r="BK41" s="1291"/>
      <c r="BL41" s="1291"/>
      <c r="BM41" s="1291"/>
      <c r="BN41" s="1291"/>
    </row>
    <row r="42" spans="1:66" s="1293" customFormat="1" ht="15.95" customHeight="1">
      <c r="A42" s="1296" t="s">
        <v>1245</v>
      </c>
      <c r="B42" s="1297" t="s">
        <v>447</v>
      </c>
      <c r="C42" s="1298">
        <f>'12. Разходи'!C42</f>
        <v>0</v>
      </c>
      <c r="D42" s="1305">
        <f>'12. Разходи'!D42-'12. Разходи'!$C42</f>
        <v>0</v>
      </c>
      <c r="E42" s="1300">
        <f>IFERROR(('12. Разходи'!D42-'12. Разходи'!$C42)/'12. Разходи'!$C42,0)</f>
        <v>0</v>
      </c>
      <c r="F42" s="1299">
        <f>'12. Разходи'!E42-'12. Разходи'!$C42</f>
        <v>0</v>
      </c>
      <c r="G42" s="1306">
        <f>IFERROR(('12. Разходи'!E42-'12. Разходи'!$C42)/'12. Разходи'!$C42,0)</f>
        <v>0</v>
      </c>
      <c r="H42" s="1299">
        <f>'12. Разходи'!F42-'12. Разходи'!$C42</f>
        <v>0</v>
      </c>
      <c r="I42" s="1306">
        <f>IFERROR(('12. Разходи'!F42-'12. Разходи'!$C42)/'12. Разходи'!$C42,0)</f>
        <v>0</v>
      </c>
      <c r="J42" s="1299">
        <f>'12. Разходи'!G42-'12. Разходи'!$C42</f>
        <v>0</v>
      </c>
      <c r="K42" s="1307">
        <f>IFERROR(('12. Разходи'!G42-'12. Разходи'!$C42)/'12. Разходи'!$C42,0)</f>
        <v>0</v>
      </c>
      <c r="L42" s="1301">
        <f>'12. Разходи'!H42-'12. Разходи'!$C42</f>
        <v>0</v>
      </c>
      <c r="M42" s="1307">
        <f>IFERROR(('12. Разходи'!H42-'12. Разходи'!$C42)/'12. Разходи'!$C42,0)</f>
        <v>0</v>
      </c>
      <c r="N42" s="1303">
        <f>'12. Разходи'!K42</f>
        <v>0</v>
      </c>
      <c r="O42" s="1305">
        <f>'12. Разходи'!L42-'12. Разходи'!$K42</f>
        <v>0</v>
      </c>
      <c r="P42" s="1300">
        <f>IFERROR(('12. Разходи'!L42-'12. Разходи'!$K42)/'12. Разходи'!$K42,0)</f>
        <v>0</v>
      </c>
      <c r="Q42" s="1299">
        <f>'12. Разходи'!M42-'12. Разходи'!$K42</f>
        <v>0</v>
      </c>
      <c r="R42" s="1306">
        <f>IFERROR(('12. Разходи'!M42-'12. Разходи'!$K42)/'12. Разходи'!$K42,0)</f>
        <v>0</v>
      </c>
      <c r="S42" s="1299">
        <f>'12. Разходи'!N42-'12. Разходи'!$K42</f>
        <v>0</v>
      </c>
      <c r="T42" s="1306">
        <f>IFERROR(('12. Разходи'!N42-'12. Разходи'!$K42)/'12. Разходи'!$K42,0)</f>
        <v>0</v>
      </c>
      <c r="U42" s="1299">
        <f>'12. Разходи'!O42-'12. Разходи'!$K42</f>
        <v>0</v>
      </c>
      <c r="V42" s="1307">
        <f>IFERROR(('12. Разходи'!O42-'12. Разходи'!$K42)/'12. Разходи'!$K42,0)</f>
        <v>0</v>
      </c>
      <c r="W42" s="1301">
        <f>'12. Разходи'!P42-'12. Разходи'!$K42</f>
        <v>0</v>
      </c>
      <c r="X42" s="1308">
        <f>IFERROR(('12. Разходи'!P42-'12. Разходи'!$K42)/'12. Разходи'!$K42,0)</f>
        <v>0</v>
      </c>
      <c r="Y42" s="1303">
        <f>'12. Разходи'!S42</f>
        <v>4</v>
      </c>
      <c r="Z42" s="1305">
        <f>'12. Разходи'!T42-'12. Разходи'!$S42</f>
        <v>-4</v>
      </c>
      <c r="AA42" s="1300">
        <f>IFERROR(('12. Разходи'!T42-'12. Разходи'!$S42)/'12. Разходи'!$S42,0)</f>
        <v>-1</v>
      </c>
      <c r="AB42" s="1299">
        <f>'12. Разходи'!U42-'12. Разходи'!$S42</f>
        <v>-4</v>
      </c>
      <c r="AC42" s="1306">
        <f>IFERROR(('12. Разходи'!U42-'12. Разходи'!$S42)/'12. Разходи'!$S42,0)</f>
        <v>-1</v>
      </c>
      <c r="AD42" s="1299">
        <f>'12. Разходи'!V42-'12. Разходи'!$S42</f>
        <v>-4</v>
      </c>
      <c r="AE42" s="1306">
        <f>IFERROR(('12. Разходи'!V42-'12. Разходи'!$S42)/'12. Разходи'!$S42,0)</f>
        <v>-1</v>
      </c>
      <c r="AF42" s="1299">
        <f>'12. Разходи'!W42-'12. Разходи'!$S42</f>
        <v>-4</v>
      </c>
      <c r="AG42" s="1307">
        <f>IFERROR(('12. Разходи'!W42-'12. Разходи'!$S42)/'12. Разходи'!$S42,0)</f>
        <v>-1</v>
      </c>
      <c r="AH42" s="1301">
        <f>'12. Разходи'!X42-'12. Разходи'!$S42</f>
        <v>-4</v>
      </c>
      <c r="AI42" s="1308">
        <f>IFERROR(('12. Разходи'!X42-'12. Разходи'!$S42)/'12. Разходи'!$S42,0)</f>
        <v>-1</v>
      </c>
      <c r="AJ42" s="1303">
        <f>'12. Разходи'!AA42</f>
        <v>0.26</v>
      </c>
      <c r="AK42" s="1305">
        <f>'12. Разходи'!AB42-'12. Разходи'!$AA42</f>
        <v>-0.26</v>
      </c>
      <c r="AL42" s="1300">
        <f>IFERROR(('12. Разходи'!AB42-'12. Разходи'!$AA42)/'12. Разходи'!$AA42,0)</f>
        <v>-1</v>
      </c>
      <c r="AM42" s="1299">
        <f>'12. Разходи'!AC42-'12. Разходи'!$AA42</f>
        <v>-0.26</v>
      </c>
      <c r="AN42" s="1306">
        <f>IFERROR(('12. Разходи'!AC42-'12. Разходи'!$AA42)/'12. Разходи'!$AA42,0)</f>
        <v>-1</v>
      </c>
      <c r="AO42" s="1299">
        <f>'12. Разходи'!AD42-'12. Разходи'!$AA42</f>
        <v>-0.26</v>
      </c>
      <c r="AP42" s="1306">
        <f>IFERROR(('12. Разходи'!AD42-'12. Разходи'!$AA42)/'12. Разходи'!$AA42,0)</f>
        <v>-1</v>
      </c>
      <c r="AQ42" s="1299">
        <f>'12. Разходи'!AE42-'12. Разходи'!$AA42</f>
        <v>-0.26</v>
      </c>
      <c r="AR42" s="1307">
        <f>IFERROR(('12. Разходи'!AE42-'12. Разходи'!$AA42)/'12. Разходи'!$AA42,0)</f>
        <v>-1</v>
      </c>
      <c r="AS42" s="1301">
        <f>'12. Разходи'!AF42-'12. Разходи'!$AA42</f>
        <v>-0.26</v>
      </c>
      <c r="AT42" s="1308">
        <f>IFERROR(('12. Разходи'!AF42-'12. Разходи'!$AA42)/'12. Разходи'!$AA42,0)</f>
        <v>-1</v>
      </c>
      <c r="AU42" s="1303">
        <f>'12. Разходи'!AI42</f>
        <v>0</v>
      </c>
      <c r="AV42" s="1305">
        <f>'12. Разходи'!AJ42-'12. Разходи'!$AI42</f>
        <v>0</v>
      </c>
      <c r="AW42" s="1300">
        <f>IFERROR(('12. Разходи'!AJ42-'12. Разходи'!$AI42)/'12. Разходи'!$AI42,0)</f>
        <v>0</v>
      </c>
      <c r="AX42" s="1299">
        <f>'12. Разходи'!AK42-'12. Разходи'!$AI42</f>
        <v>0</v>
      </c>
      <c r="AY42" s="1306">
        <f>IFERROR(('12. Разходи'!AK42-'12. Разходи'!$AI42)/'12. Разходи'!$AI42,0)</f>
        <v>0</v>
      </c>
      <c r="AZ42" s="1299">
        <f>'12. Разходи'!AL42-'12. Разходи'!$AI42</f>
        <v>0</v>
      </c>
      <c r="BA42" s="1306">
        <f>IFERROR(('12. Разходи'!AL42-'12. Разходи'!$AI42)/'12. Разходи'!$AI42,0)</f>
        <v>0</v>
      </c>
      <c r="BB42" s="1299">
        <f>'12. Разходи'!AM42-'12. Разходи'!$AI42</f>
        <v>0</v>
      </c>
      <c r="BC42" s="1307">
        <f>IFERROR(('12. Разходи'!AM42-'12. Разходи'!$AI42)/'12. Разходи'!$AI42,0)</f>
        <v>0</v>
      </c>
      <c r="BD42" s="1301">
        <f>'12. Разходи'!AN42-'12. Разходи'!$AI42</f>
        <v>0</v>
      </c>
      <c r="BE42" s="1308">
        <f>IFERROR(('12. Разходи'!AN42-'12. Разходи'!$AI42)/'12. Разходи'!$AI42,0)</f>
        <v>0</v>
      </c>
      <c r="BF42" s="1291"/>
      <c r="BG42" s="1291"/>
      <c r="BH42" s="1291"/>
      <c r="BI42" s="1291"/>
      <c r="BJ42" s="1291"/>
      <c r="BK42" s="1291"/>
      <c r="BL42" s="1291"/>
      <c r="BM42" s="1291"/>
      <c r="BN42" s="1291"/>
    </row>
    <row r="43" spans="1:66" ht="15.95" customHeight="1">
      <c r="A43" s="916" t="s">
        <v>261</v>
      </c>
      <c r="B43" s="983" t="s">
        <v>262</v>
      </c>
      <c r="C43" s="1202">
        <f>'12. Разходи'!C43</f>
        <v>273</v>
      </c>
      <c r="D43" s="1231">
        <f>'12. Разходи'!D43-'12. Разходи'!$C43</f>
        <v>3</v>
      </c>
      <c r="E43" s="1211">
        <f>IFERROR(('12. Разходи'!D43-'12. Разходи'!$C43)/'12. Разходи'!$C43,0)</f>
        <v>1.098901098901099E-2</v>
      </c>
      <c r="F43" s="995">
        <f>'12. Разходи'!E43-'12. Разходи'!$C43</f>
        <v>3</v>
      </c>
      <c r="G43" s="1219">
        <f>IFERROR(('12. Разходи'!E43-'12. Разходи'!$C43)/'12. Разходи'!$C43,0)</f>
        <v>1.098901098901099E-2</v>
      </c>
      <c r="H43" s="995">
        <f>'12. Разходи'!F43-'12. Разходи'!$C43</f>
        <v>3</v>
      </c>
      <c r="I43" s="1219">
        <f>IFERROR(('12. Разходи'!F43-'12. Разходи'!$C43)/'12. Разходи'!$C43,0)</f>
        <v>1.098901098901099E-2</v>
      </c>
      <c r="J43" s="995">
        <f>'12. Разходи'!G43-'12. Разходи'!$C43</f>
        <v>3</v>
      </c>
      <c r="K43" s="1218">
        <f>IFERROR(('12. Разходи'!G43-'12. Разходи'!$C43)/'12. Разходи'!$C43,0)</f>
        <v>1.098901098901099E-2</v>
      </c>
      <c r="L43" s="1226">
        <f>'12. Разходи'!H43-'12. Разходи'!$C43</f>
        <v>3</v>
      </c>
      <c r="M43" s="1218">
        <f>IFERROR(('12. Разходи'!H43-'12. Разходи'!$C43)/'12. Разходи'!$C43,0)</f>
        <v>1.098901098901099E-2</v>
      </c>
      <c r="N43" s="1270">
        <f>'12. Разходи'!K43</f>
        <v>3.4</v>
      </c>
      <c r="O43" s="1231">
        <f>'12. Разходи'!L43-'12. Разходи'!$K43</f>
        <v>-0.39999999999999991</v>
      </c>
      <c r="P43" s="1211">
        <f>IFERROR(('12. Разходи'!L43-'12. Разходи'!$K43)/'12. Разходи'!$K43,0)</f>
        <v>-0.11764705882352938</v>
      </c>
      <c r="Q43" s="995">
        <f>'12. Разходи'!M43-'12. Разходи'!$K43</f>
        <v>-0.10000000000000009</v>
      </c>
      <c r="R43" s="1219">
        <f>IFERROR(('12. Разходи'!M43-'12. Разходи'!$K43)/'12. Разходи'!$K43,0)</f>
        <v>-2.941176470588238E-2</v>
      </c>
      <c r="S43" s="995">
        <f>'12. Разходи'!N43-'12. Разходи'!$K43</f>
        <v>-0.10000000000000009</v>
      </c>
      <c r="T43" s="1219">
        <f>IFERROR(('12. Разходи'!N43-'12. Разходи'!$K43)/'12. Разходи'!$K43,0)</f>
        <v>-2.941176470588238E-2</v>
      </c>
      <c r="U43" s="995">
        <f>'12. Разходи'!O43-'12. Разходи'!$K43</f>
        <v>-0.10000000000000009</v>
      </c>
      <c r="V43" s="1218">
        <f>IFERROR(('12. Разходи'!O43-'12. Разходи'!$K43)/'12. Разходи'!$K43,0)</f>
        <v>-2.941176470588238E-2</v>
      </c>
      <c r="W43" s="1226">
        <f>'12. Разходи'!P43-'12. Разходи'!$K43</f>
        <v>-0.10000000000000009</v>
      </c>
      <c r="X43" s="1276">
        <f>IFERROR(('12. Разходи'!P43-'12. Разходи'!$K43)/'12. Разходи'!$K43,0)</f>
        <v>-2.941176470588238E-2</v>
      </c>
      <c r="Y43" s="1270">
        <f>'12. Разходи'!S43</f>
        <v>64</v>
      </c>
      <c r="Z43" s="1231">
        <f>'12. Разходи'!T43-'12. Разходи'!$S43</f>
        <v>0</v>
      </c>
      <c r="AA43" s="1211">
        <f>IFERROR(('12. Разходи'!T43-'12. Разходи'!$S43)/'12. Разходи'!$S43,0)</f>
        <v>0</v>
      </c>
      <c r="AB43" s="995">
        <f>'12. Разходи'!U43-'12. Разходи'!$S43</f>
        <v>0</v>
      </c>
      <c r="AC43" s="1219">
        <f>IFERROR(('12. Разходи'!U43-'12. Разходи'!$S43)/'12. Разходи'!$S43,0)</f>
        <v>0</v>
      </c>
      <c r="AD43" s="995">
        <f>'12. Разходи'!V43-'12. Разходи'!$S43</f>
        <v>0</v>
      </c>
      <c r="AE43" s="1219">
        <f>IFERROR(('12. Разходи'!V43-'12. Разходи'!$S43)/'12. Разходи'!$S43,0)</f>
        <v>0</v>
      </c>
      <c r="AF43" s="995">
        <f>'12. Разходи'!W43-'12. Разходи'!$S43</f>
        <v>0</v>
      </c>
      <c r="AG43" s="1218">
        <f>IFERROR(('12. Разходи'!W43-'12. Разходи'!$S43)/'12. Разходи'!$S43,0)</f>
        <v>0</v>
      </c>
      <c r="AH43" s="1226">
        <f>'12. Разходи'!X43-'12. Разходи'!$S43</f>
        <v>0</v>
      </c>
      <c r="AI43" s="1276">
        <f>IFERROR(('12. Разходи'!X43-'12. Разходи'!$S43)/'12. Разходи'!$S43,0)</f>
        <v>0</v>
      </c>
      <c r="AJ43" s="1270">
        <f>'12. Разходи'!AA43</f>
        <v>1.64</v>
      </c>
      <c r="AK43" s="1231">
        <f>'12. Разходи'!AB43-'12. Разходи'!$AA43</f>
        <v>8.36</v>
      </c>
      <c r="AL43" s="1211">
        <f>IFERROR(('12. Разходи'!AB43-'12. Разходи'!$AA43)/'12. Разходи'!$AA43,0)</f>
        <v>5.0975609756097562</v>
      </c>
      <c r="AM43" s="995">
        <f>'12. Разходи'!AC43-'12. Разходи'!$AA43</f>
        <v>8.36</v>
      </c>
      <c r="AN43" s="1219">
        <f>IFERROR(('12. Разходи'!AC43-'12. Разходи'!$AA43)/'12. Разходи'!$AA43,0)</f>
        <v>5.0975609756097562</v>
      </c>
      <c r="AO43" s="995">
        <f>'12. Разходи'!AD43-'12. Разходи'!$AA43</f>
        <v>8.36</v>
      </c>
      <c r="AP43" s="1219">
        <f>IFERROR(('12. Разходи'!AD43-'12. Разходи'!$AA43)/'12. Разходи'!$AA43,0)</f>
        <v>5.0975609756097562</v>
      </c>
      <c r="AQ43" s="995">
        <f>'12. Разходи'!AE43-'12. Разходи'!$AA43</f>
        <v>8.36</v>
      </c>
      <c r="AR43" s="1218">
        <f>IFERROR(('12. Разходи'!AE43-'12. Разходи'!$AA43)/'12. Разходи'!$AA43,0)</f>
        <v>5.0975609756097562</v>
      </c>
      <c r="AS43" s="1226">
        <f>'12. Разходи'!AF43-'12. Разходи'!$AA43</f>
        <v>8.36</v>
      </c>
      <c r="AT43" s="1276">
        <f>IFERROR(('12. Разходи'!AF43-'12. Разходи'!$AA43)/'12. Разходи'!$AA43,0)</f>
        <v>5.0975609756097562</v>
      </c>
      <c r="AU43" s="1270">
        <f>'12. Разходи'!AI43</f>
        <v>0</v>
      </c>
      <c r="AV43" s="1231">
        <f>'12. Разходи'!AJ43-'12. Разходи'!$AI43</f>
        <v>0</v>
      </c>
      <c r="AW43" s="1211">
        <f>IFERROR(('12. Разходи'!AJ43-'12. Разходи'!$AI43)/'12. Разходи'!$AI43,0)</f>
        <v>0</v>
      </c>
      <c r="AX43" s="995">
        <f>'12. Разходи'!AK43-'12. Разходи'!$AI43</f>
        <v>0</v>
      </c>
      <c r="AY43" s="1219">
        <f>IFERROR(('12. Разходи'!AK43-'12. Разходи'!$AI43)/'12. Разходи'!$AI43,0)</f>
        <v>0</v>
      </c>
      <c r="AZ43" s="995">
        <f>'12. Разходи'!AL43-'12. Разходи'!$AI43</f>
        <v>0</v>
      </c>
      <c r="BA43" s="1219">
        <f>IFERROR(('12. Разходи'!AL43-'12. Разходи'!$AI43)/'12. Разходи'!$AI43,0)</f>
        <v>0</v>
      </c>
      <c r="BB43" s="995">
        <f>'12. Разходи'!AM43-'12. Разходи'!$AI43</f>
        <v>0</v>
      </c>
      <c r="BC43" s="1218">
        <f>IFERROR(('12. Разходи'!AM43-'12. Разходи'!$AI43)/'12. Разходи'!$AI43,0)</f>
        <v>0</v>
      </c>
      <c r="BD43" s="1226">
        <f>'12. Разходи'!AN43-'12. Разходи'!$AI43</f>
        <v>0</v>
      </c>
      <c r="BE43" s="1276">
        <f>IFERROR(('12. Разходи'!AN43-'12. Разходи'!$AI43)/'12. Разходи'!$AI43,0)</f>
        <v>0</v>
      </c>
      <c r="BF43" s="736"/>
      <c r="BG43" s="736"/>
      <c r="BH43" s="736"/>
      <c r="BI43" s="736"/>
      <c r="BJ43" s="736"/>
      <c r="BK43" s="736"/>
      <c r="BL43" s="736"/>
      <c r="BM43" s="736"/>
      <c r="BN43" s="736"/>
    </row>
    <row r="44" spans="1:66" ht="15.95" customHeight="1">
      <c r="A44" s="916" t="s">
        <v>263</v>
      </c>
      <c r="B44" s="983" t="s">
        <v>264</v>
      </c>
      <c r="C44" s="1202">
        <f>'12. Разходи'!C44</f>
        <v>79</v>
      </c>
      <c r="D44" s="1231">
        <f>'12. Разходи'!D44-'12. Разходи'!$C44</f>
        <v>1.7600000000000051</v>
      </c>
      <c r="E44" s="1211">
        <f>IFERROR(('12. Разходи'!D44-'12. Разходи'!$C44)/'12. Разходи'!$C44,0)</f>
        <v>2.2278481012658294E-2</v>
      </c>
      <c r="F44" s="995">
        <f>'12. Разходи'!E44-'12. Разходи'!$C44</f>
        <v>5</v>
      </c>
      <c r="G44" s="1219">
        <f>IFERROR(('12. Разходи'!E44-'12. Разходи'!$C44)/'12. Разходи'!$C44,0)</f>
        <v>6.3291139240506333E-2</v>
      </c>
      <c r="H44" s="995">
        <f>'12. Разходи'!F44-'12. Разходи'!$C44</f>
        <v>5</v>
      </c>
      <c r="I44" s="1219">
        <f>IFERROR(('12. Разходи'!F44-'12. Разходи'!$C44)/'12. Разходи'!$C44,0)</f>
        <v>6.3291139240506333E-2</v>
      </c>
      <c r="J44" s="995">
        <f>'12. Разходи'!G44-'12. Разходи'!$C44</f>
        <v>5</v>
      </c>
      <c r="K44" s="1218">
        <f>IFERROR(('12. Разходи'!G44-'12. Разходи'!$C44)/'12. Разходи'!$C44,0)</f>
        <v>6.3291139240506333E-2</v>
      </c>
      <c r="L44" s="1226">
        <f>'12. Разходи'!H44-'12. Разходи'!$C44</f>
        <v>5</v>
      </c>
      <c r="M44" s="1218">
        <f>IFERROR(('12. Разходи'!H44-'12. Разходи'!$C44)/'12. Разходи'!$C44,0)</f>
        <v>6.3291139240506333E-2</v>
      </c>
      <c r="N44" s="1270">
        <f>'12. Разходи'!K44</f>
        <v>3</v>
      </c>
      <c r="O44" s="1231">
        <f>'12. Разходи'!L44-'12. Разходи'!$K44</f>
        <v>0</v>
      </c>
      <c r="P44" s="1211">
        <f>IFERROR(('12. Разходи'!L44-'12. Разходи'!$K44)/'12. Разходи'!$K44,0)</f>
        <v>0</v>
      </c>
      <c r="Q44" s="995">
        <f>'12. Разходи'!M44-'12. Разходи'!$K44</f>
        <v>0</v>
      </c>
      <c r="R44" s="1219">
        <f>IFERROR(('12. Разходи'!M44-'12. Разходи'!$K44)/'12. Разходи'!$K44,0)</f>
        <v>0</v>
      </c>
      <c r="S44" s="995">
        <f>'12. Разходи'!N44-'12. Разходи'!$K44</f>
        <v>0</v>
      </c>
      <c r="T44" s="1219">
        <f>IFERROR(('12. Разходи'!N44-'12. Разходи'!$K44)/'12. Разходи'!$K44,0)</f>
        <v>0</v>
      </c>
      <c r="U44" s="995">
        <f>'12. Разходи'!O44-'12. Разходи'!$K44</f>
        <v>0</v>
      </c>
      <c r="V44" s="1218">
        <f>IFERROR(('12. Разходи'!O44-'12. Разходи'!$K44)/'12. Разходи'!$K44,0)</f>
        <v>0</v>
      </c>
      <c r="W44" s="1226">
        <f>'12. Разходи'!P44-'12. Разходи'!$K44</f>
        <v>0</v>
      </c>
      <c r="X44" s="1276">
        <f>IFERROR(('12. Разходи'!P44-'12. Разходи'!$K44)/'12. Разходи'!$K44,0)</f>
        <v>0</v>
      </c>
      <c r="Y44" s="1270">
        <f>'12. Разходи'!S44</f>
        <v>10</v>
      </c>
      <c r="Z44" s="1231">
        <f>'12. Разходи'!T44-'12. Разходи'!$S44</f>
        <v>0</v>
      </c>
      <c r="AA44" s="1211">
        <f>IFERROR(('12. Разходи'!T44-'12. Разходи'!$S44)/'12. Разходи'!$S44,0)</f>
        <v>0</v>
      </c>
      <c r="AB44" s="995">
        <f>'12. Разходи'!U44-'12. Разходи'!$S44</f>
        <v>0</v>
      </c>
      <c r="AC44" s="1219">
        <f>IFERROR(('12. Разходи'!U44-'12. Разходи'!$S44)/'12. Разходи'!$S44,0)</f>
        <v>0</v>
      </c>
      <c r="AD44" s="995">
        <f>'12. Разходи'!V44-'12. Разходи'!$S44</f>
        <v>0</v>
      </c>
      <c r="AE44" s="1219">
        <f>IFERROR(('12. Разходи'!V44-'12. Разходи'!$S44)/'12. Разходи'!$S44,0)</f>
        <v>0</v>
      </c>
      <c r="AF44" s="995">
        <f>'12. Разходи'!W44-'12. Разходи'!$S44</f>
        <v>0</v>
      </c>
      <c r="AG44" s="1218">
        <f>IFERROR(('12. Разходи'!W44-'12. Разходи'!$S44)/'12. Разходи'!$S44,0)</f>
        <v>0</v>
      </c>
      <c r="AH44" s="1226">
        <f>'12. Разходи'!X44-'12. Разходи'!$S44</f>
        <v>0</v>
      </c>
      <c r="AI44" s="1276">
        <f>IFERROR(('12. Разходи'!X44-'12. Разходи'!$S44)/'12. Разходи'!$S44,0)</f>
        <v>0</v>
      </c>
      <c r="AJ44" s="1270">
        <f>'12. Разходи'!AA44</f>
        <v>0</v>
      </c>
      <c r="AK44" s="1231">
        <f>'12. Разходи'!AB44-'12. Разходи'!$AA44</f>
        <v>2</v>
      </c>
      <c r="AL44" s="1211">
        <f>IFERROR(('12. Разходи'!AB44-'12. Разходи'!$AA44)/'12. Разходи'!$AA44,0)</f>
        <v>0</v>
      </c>
      <c r="AM44" s="995">
        <f>'12. Разходи'!AC44-'12. Разходи'!$AA44</f>
        <v>2</v>
      </c>
      <c r="AN44" s="1219">
        <f>IFERROR(('12. Разходи'!AC44-'12. Разходи'!$AA44)/'12. Разходи'!$AA44,0)</f>
        <v>0</v>
      </c>
      <c r="AO44" s="995">
        <f>'12. Разходи'!AD44-'12. Разходи'!$AA44</f>
        <v>2</v>
      </c>
      <c r="AP44" s="1219">
        <f>IFERROR(('12. Разходи'!AD44-'12. Разходи'!$AA44)/'12. Разходи'!$AA44,0)</f>
        <v>0</v>
      </c>
      <c r="AQ44" s="995">
        <f>'12. Разходи'!AE44-'12. Разходи'!$AA44</f>
        <v>2</v>
      </c>
      <c r="AR44" s="1218">
        <f>IFERROR(('12. Разходи'!AE44-'12. Разходи'!$AA44)/'12. Разходи'!$AA44,0)</f>
        <v>0</v>
      </c>
      <c r="AS44" s="1226">
        <f>'12. Разходи'!AF44-'12. Разходи'!$AA44</f>
        <v>2</v>
      </c>
      <c r="AT44" s="1276">
        <f>IFERROR(('12. Разходи'!AF44-'12. Разходи'!$AA44)/'12. Разходи'!$AA44,0)</f>
        <v>0</v>
      </c>
      <c r="AU44" s="1270">
        <f>'12. Разходи'!AI44</f>
        <v>0</v>
      </c>
      <c r="AV44" s="1231">
        <f>'12. Разходи'!AJ44-'12. Разходи'!$AI44</f>
        <v>0</v>
      </c>
      <c r="AW44" s="1211">
        <f>IFERROR(('12. Разходи'!AJ44-'12. Разходи'!$AI44)/'12. Разходи'!$AI44,0)</f>
        <v>0</v>
      </c>
      <c r="AX44" s="995">
        <f>'12. Разходи'!AK44-'12. Разходи'!$AI44</f>
        <v>0</v>
      </c>
      <c r="AY44" s="1219">
        <f>IFERROR(('12. Разходи'!AK44-'12. Разходи'!$AI44)/'12. Разходи'!$AI44,0)</f>
        <v>0</v>
      </c>
      <c r="AZ44" s="995">
        <f>'12. Разходи'!AL44-'12. Разходи'!$AI44</f>
        <v>0</v>
      </c>
      <c r="BA44" s="1219">
        <f>IFERROR(('12. Разходи'!AL44-'12. Разходи'!$AI44)/'12. Разходи'!$AI44,0)</f>
        <v>0</v>
      </c>
      <c r="BB44" s="995">
        <f>'12. Разходи'!AM44-'12. Разходи'!$AI44</f>
        <v>0</v>
      </c>
      <c r="BC44" s="1218">
        <f>IFERROR(('12. Разходи'!AM44-'12. Разходи'!$AI44)/'12. Разходи'!$AI44,0)</f>
        <v>0</v>
      </c>
      <c r="BD44" s="1226">
        <f>'12. Разходи'!AN44-'12. Разходи'!$AI44</f>
        <v>0</v>
      </c>
      <c r="BE44" s="1276">
        <f>IFERROR(('12. Разходи'!AN44-'12. Разходи'!$AI44)/'12. Разходи'!$AI44,0)</f>
        <v>0</v>
      </c>
      <c r="BF44" s="736"/>
      <c r="BG44" s="736"/>
      <c r="BH44" s="736"/>
      <c r="BI44" s="736"/>
      <c r="BJ44" s="736"/>
      <c r="BK44" s="736"/>
      <c r="BL44" s="736"/>
      <c r="BM44" s="736"/>
      <c r="BN44" s="736"/>
    </row>
    <row r="45" spans="1:66" ht="15.95" customHeight="1">
      <c r="A45" s="916" t="s">
        <v>265</v>
      </c>
      <c r="B45" s="983" t="s">
        <v>636</v>
      </c>
      <c r="C45" s="1202">
        <f>'12. Разходи'!C45</f>
        <v>6</v>
      </c>
      <c r="D45" s="1231">
        <f>'12. Разходи'!D45-'12. Разходи'!$C45</f>
        <v>0.59999999999999964</v>
      </c>
      <c r="E45" s="1211">
        <f>IFERROR(('12. Разходи'!D45-'12. Разходи'!$C45)/'12. Разходи'!$C45,0)</f>
        <v>9.9999999999999936E-2</v>
      </c>
      <c r="F45" s="995">
        <f>'12. Разходи'!E45-'12. Разходи'!$C45</f>
        <v>0.59999999999999964</v>
      </c>
      <c r="G45" s="1219">
        <f>IFERROR(('12. Разходи'!E45-'12. Разходи'!$C45)/'12. Разходи'!$C45,0)</f>
        <v>9.9999999999999936E-2</v>
      </c>
      <c r="H45" s="995">
        <f>'12. Разходи'!F45-'12. Разходи'!$C45</f>
        <v>0.59999999999999964</v>
      </c>
      <c r="I45" s="1219">
        <f>IFERROR(('12. Разходи'!F45-'12. Разходи'!$C45)/'12. Разходи'!$C45,0)</f>
        <v>9.9999999999999936E-2</v>
      </c>
      <c r="J45" s="995">
        <f>'12. Разходи'!G45-'12. Разходи'!$C45</f>
        <v>0.59999999999999964</v>
      </c>
      <c r="K45" s="1218">
        <f>IFERROR(('12. Разходи'!G45-'12. Разходи'!$C45)/'12. Разходи'!$C45,0)</f>
        <v>9.9999999999999936E-2</v>
      </c>
      <c r="L45" s="1226">
        <f>'12. Разходи'!H45-'12. Разходи'!$C45</f>
        <v>0.59999999999999964</v>
      </c>
      <c r="M45" s="1218">
        <f>IFERROR(('12. Разходи'!H45-'12. Разходи'!$C45)/'12. Разходи'!$C45,0)</f>
        <v>9.9999999999999936E-2</v>
      </c>
      <c r="N45" s="1270">
        <f>'12. Разходи'!K45</f>
        <v>0.45</v>
      </c>
      <c r="O45" s="1231">
        <f>'12. Разходи'!L45-'12. Разходи'!$K45</f>
        <v>-0.45</v>
      </c>
      <c r="P45" s="1211">
        <f>IFERROR(('12. Разходи'!L45-'12. Разходи'!$K45)/'12. Разходи'!$K45,0)</f>
        <v>-1</v>
      </c>
      <c r="Q45" s="995">
        <f>'12. Разходи'!M45-'12. Разходи'!$K45</f>
        <v>-0.45</v>
      </c>
      <c r="R45" s="1219">
        <f>IFERROR(('12. Разходи'!M45-'12. Разходи'!$K45)/'12. Разходи'!$K45,0)</f>
        <v>-1</v>
      </c>
      <c r="S45" s="995">
        <f>'12. Разходи'!N45-'12. Разходи'!$K45</f>
        <v>-0.45</v>
      </c>
      <c r="T45" s="1219">
        <f>IFERROR(('12. Разходи'!N45-'12. Разходи'!$K45)/'12. Разходи'!$K45,0)</f>
        <v>-1</v>
      </c>
      <c r="U45" s="995">
        <f>'12. Разходи'!O45-'12. Разходи'!$K45</f>
        <v>-0.45</v>
      </c>
      <c r="V45" s="1218">
        <f>IFERROR(('12. Разходи'!O45-'12. Разходи'!$K45)/'12. Разходи'!$K45,0)</f>
        <v>-1</v>
      </c>
      <c r="W45" s="1226">
        <f>'12. Разходи'!P45-'12. Разходи'!$K45</f>
        <v>-0.45</v>
      </c>
      <c r="X45" s="1276">
        <f>IFERROR(('12. Разходи'!P45-'12. Разходи'!$K45)/'12. Разходи'!$K45,0)</f>
        <v>-1</v>
      </c>
      <c r="Y45" s="1270">
        <f>'12. Разходи'!S45</f>
        <v>1</v>
      </c>
      <c r="Z45" s="1231">
        <f>'12. Разходи'!T45-'12. Разходи'!$S45</f>
        <v>0</v>
      </c>
      <c r="AA45" s="1211">
        <f>IFERROR(('12. Разходи'!T45-'12. Разходи'!$S45)/'12. Разходи'!$S45,0)</f>
        <v>0</v>
      </c>
      <c r="AB45" s="995">
        <f>'12. Разходи'!U45-'12. Разходи'!$S45</f>
        <v>0</v>
      </c>
      <c r="AC45" s="1219">
        <f>IFERROR(('12. Разходи'!U45-'12. Разходи'!$S45)/'12. Разходи'!$S45,0)</f>
        <v>0</v>
      </c>
      <c r="AD45" s="995">
        <f>'12. Разходи'!V45-'12. Разходи'!$S45</f>
        <v>0</v>
      </c>
      <c r="AE45" s="1219">
        <f>IFERROR(('12. Разходи'!V45-'12. Разходи'!$S45)/'12. Разходи'!$S45,0)</f>
        <v>0</v>
      </c>
      <c r="AF45" s="995">
        <f>'12. Разходи'!W45-'12. Разходи'!$S45</f>
        <v>0</v>
      </c>
      <c r="AG45" s="1218">
        <f>IFERROR(('12. Разходи'!W45-'12. Разходи'!$S45)/'12. Разходи'!$S45,0)</f>
        <v>0</v>
      </c>
      <c r="AH45" s="1226">
        <f>'12. Разходи'!X45-'12. Разходи'!$S45</f>
        <v>0</v>
      </c>
      <c r="AI45" s="1276">
        <f>IFERROR(('12. Разходи'!X45-'12. Разходи'!$S45)/'12. Разходи'!$S45,0)</f>
        <v>0</v>
      </c>
      <c r="AJ45" s="1270">
        <f>'12. Разходи'!AA45</f>
        <v>0.06</v>
      </c>
      <c r="AK45" s="1231">
        <f>'12. Разходи'!AB45-'12. Разходи'!$AA45</f>
        <v>0.94</v>
      </c>
      <c r="AL45" s="1211">
        <f>IFERROR(('12. Разходи'!AB45-'12. Разходи'!$AA45)/'12. Разходи'!$AA45,0)</f>
        <v>15.666666666666666</v>
      </c>
      <c r="AM45" s="995">
        <f>'12. Разходи'!AC45-'12. Разходи'!$AA45</f>
        <v>0.94</v>
      </c>
      <c r="AN45" s="1219">
        <f>IFERROR(('12. Разходи'!AC45-'12. Разходи'!$AA45)/'12. Разходи'!$AA45,0)</f>
        <v>15.666666666666666</v>
      </c>
      <c r="AO45" s="995">
        <f>'12. Разходи'!AD45-'12. Разходи'!$AA45</f>
        <v>0.94</v>
      </c>
      <c r="AP45" s="1219">
        <f>IFERROR(('12. Разходи'!AD45-'12. Разходи'!$AA45)/'12. Разходи'!$AA45,0)</f>
        <v>15.666666666666666</v>
      </c>
      <c r="AQ45" s="995">
        <f>'12. Разходи'!AE45-'12. Разходи'!$AA45</f>
        <v>0.94</v>
      </c>
      <c r="AR45" s="1218">
        <f>IFERROR(('12. Разходи'!AE45-'12. Разходи'!$AA45)/'12. Разходи'!$AA45,0)</f>
        <v>15.666666666666666</v>
      </c>
      <c r="AS45" s="1226">
        <f>'12. Разходи'!AF45-'12. Разходи'!$AA45</f>
        <v>0.94</v>
      </c>
      <c r="AT45" s="1276">
        <f>IFERROR(('12. Разходи'!AF45-'12. Разходи'!$AA45)/'12. Разходи'!$AA45,0)</f>
        <v>15.666666666666666</v>
      </c>
      <c r="AU45" s="1270">
        <f>'12. Разходи'!AI45</f>
        <v>0</v>
      </c>
      <c r="AV45" s="1231">
        <f>'12. Разходи'!AJ45-'12. Разходи'!$AI45</f>
        <v>0</v>
      </c>
      <c r="AW45" s="1211">
        <f>IFERROR(('12. Разходи'!AJ45-'12. Разходи'!$AI45)/'12. Разходи'!$AI45,0)</f>
        <v>0</v>
      </c>
      <c r="AX45" s="995">
        <f>'12. Разходи'!AK45-'12. Разходи'!$AI45</f>
        <v>0</v>
      </c>
      <c r="AY45" s="1219">
        <f>IFERROR(('12. Разходи'!AK45-'12. Разходи'!$AI45)/'12. Разходи'!$AI45,0)</f>
        <v>0</v>
      </c>
      <c r="AZ45" s="995">
        <f>'12. Разходи'!AL45-'12. Разходи'!$AI45</f>
        <v>0</v>
      </c>
      <c r="BA45" s="1219">
        <f>IFERROR(('12. Разходи'!AL45-'12. Разходи'!$AI45)/'12. Разходи'!$AI45,0)</f>
        <v>0</v>
      </c>
      <c r="BB45" s="995">
        <f>'12. Разходи'!AM45-'12. Разходи'!$AI45</f>
        <v>0</v>
      </c>
      <c r="BC45" s="1218">
        <f>IFERROR(('12. Разходи'!AM45-'12. Разходи'!$AI45)/'12. Разходи'!$AI45,0)</f>
        <v>0</v>
      </c>
      <c r="BD45" s="1226">
        <f>'12. Разходи'!AN45-'12. Разходи'!$AI45</f>
        <v>0</v>
      </c>
      <c r="BE45" s="1276">
        <f>IFERROR(('12. Разходи'!AN45-'12. Разходи'!$AI45)/'12. Разходи'!$AI45,0)</f>
        <v>0</v>
      </c>
      <c r="BF45" s="736"/>
      <c r="BG45" s="736"/>
      <c r="BH45" s="736"/>
      <c r="BI45" s="736"/>
      <c r="BJ45" s="736"/>
      <c r="BK45" s="736"/>
      <c r="BL45" s="736"/>
      <c r="BM45" s="736"/>
      <c r="BN45" s="736"/>
    </row>
    <row r="46" spans="1:66" ht="15.95" customHeight="1">
      <c r="A46" s="916" t="s">
        <v>267</v>
      </c>
      <c r="B46" s="983" t="s">
        <v>691</v>
      </c>
      <c r="C46" s="1202">
        <f>'12. Разходи'!C46</f>
        <v>13</v>
      </c>
      <c r="D46" s="1231">
        <f>'12. Разходи'!D46-'12. Разходи'!$C46</f>
        <v>0</v>
      </c>
      <c r="E46" s="1211">
        <f>IFERROR(('12. Разходи'!D46-'12. Разходи'!$C46)/'12. Разходи'!$C46,0)</f>
        <v>0</v>
      </c>
      <c r="F46" s="995">
        <f>'12. Разходи'!E46-'12. Разходи'!$C46</f>
        <v>0</v>
      </c>
      <c r="G46" s="1219">
        <f>IFERROR(('12. Разходи'!E46-'12. Разходи'!$C46)/'12. Разходи'!$C46,0)</f>
        <v>0</v>
      </c>
      <c r="H46" s="995">
        <f>'12. Разходи'!F46-'12. Разходи'!$C46</f>
        <v>0</v>
      </c>
      <c r="I46" s="1219">
        <f>IFERROR(('12. Разходи'!F46-'12. Разходи'!$C46)/'12. Разходи'!$C46,0)</f>
        <v>0</v>
      </c>
      <c r="J46" s="995">
        <f>'12. Разходи'!G46-'12. Разходи'!$C46</f>
        <v>0</v>
      </c>
      <c r="K46" s="1218">
        <f>IFERROR(('12. Разходи'!G46-'12. Разходи'!$C46)/'12. Разходи'!$C46,0)</f>
        <v>0</v>
      </c>
      <c r="L46" s="1226">
        <f>'12. Разходи'!H46-'12. Разходи'!$C46</f>
        <v>0</v>
      </c>
      <c r="M46" s="1218">
        <f>IFERROR(('12. Разходи'!H46-'12. Разходи'!$C46)/'12. Разходи'!$C46,0)</f>
        <v>0</v>
      </c>
      <c r="N46" s="1270">
        <f>'12. Разходи'!K46</f>
        <v>0</v>
      </c>
      <c r="O46" s="1231">
        <f>'12. Разходи'!L46-'12. Разходи'!$K46</f>
        <v>0</v>
      </c>
      <c r="P46" s="1211">
        <f>IFERROR(('12. Разходи'!L46-'12. Разходи'!$K46)/'12. Разходи'!$K46,0)</f>
        <v>0</v>
      </c>
      <c r="Q46" s="995">
        <f>'12. Разходи'!M46-'12. Разходи'!$K46</f>
        <v>0</v>
      </c>
      <c r="R46" s="1219">
        <f>IFERROR(('12. Разходи'!M46-'12. Разходи'!$K46)/'12. Разходи'!$K46,0)</f>
        <v>0</v>
      </c>
      <c r="S46" s="995">
        <f>'12. Разходи'!N46-'12. Разходи'!$K46</f>
        <v>0</v>
      </c>
      <c r="T46" s="1219">
        <f>IFERROR(('12. Разходи'!N46-'12. Разходи'!$K46)/'12. Разходи'!$K46,0)</f>
        <v>0</v>
      </c>
      <c r="U46" s="995">
        <f>'12. Разходи'!O46-'12. Разходи'!$K46</f>
        <v>0</v>
      </c>
      <c r="V46" s="1218">
        <f>IFERROR(('12. Разходи'!O46-'12. Разходи'!$K46)/'12. Разходи'!$K46,0)</f>
        <v>0</v>
      </c>
      <c r="W46" s="1226">
        <f>'12. Разходи'!P46-'12. Разходи'!$K46</f>
        <v>0</v>
      </c>
      <c r="X46" s="1276">
        <f>IFERROR(('12. Разходи'!P46-'12. Разходи'!$K46)/'12. Разходи'!$K46,0)</f>
        <v>0</v>
      </c>
      <c r="Y46" s="1270">
        <f>'12. Разходи'!S46</f>
        <v>0</v>
      </c>
      <c r="Z46" s="1231">
        <f>'12. Разходи'!T46-'12. Разходи'!$S46</f>
        <v>1</v>
      </c>
      <c r="AA46" s="1211">
        <f>IFERROR(('12. Разходи'!T46-'12. Разходи'!$S46)/'12. Разходи'!$S46,0)</f>
        <v>0</v>
      </c>
      <c r="AB46" s="995">
        <f>'12. Разходи'!U46-'12. Разходи'!$S46</f>
        <v>1</v>
      </c>
      <c r="AC46" s="1219">
        <f>IFERROR(('12. Разходи'!U46-'12. Разходи'!$S46)/'12. Разходи'!$S46,0)</f>
        <v>0</v>
      </c>
      <c r="AD46" s="995">
        <f>'12. Разходи'!V46-'12. Разходи'!$S46</f>
        <v>1</v>
      </c>
      <c r="AE46" s="1219">
        <f>IFERROR(('12. Разходи'!V46-'12. Разходи'!$S46)/'12. Разходи'!$S46,0)</f>
        <v>0</v>
      </c>
      <c r="AF46" s="995">
        <f>'12. Разходи'!W46-'12. Разходи'!$S46</f>
        <v>1</v>
      </c>
      <c r="AG46" s="1218">
        <f>IFERROR(('12. Разходи'!W46-'12. Разходи'!$S46)/'12. Разходи'!$S46,0)</f>
        <v>0</v>
      </c>
      <c r="AH46" s="1226">
        <f>'12. Разходи'!X46-'12. Разходи'!$S46</f>
        <v>1</v>
      </c>
      <c r="AI46" s="1276">
        <f>IFERROR(('12. Разходи'!X46-'12. Разходи'!$S46)/'12. Разходи'!$S46,0)</f>
        <v>0</v>
      </c>
      <c r="AJ46" s="1270">
        <f>'12. Разходи'!AA46</f>
        <v>0</v>
      </c>
      <c r="AK46" s="1231">
        <f>'12. Разходи'!AB46-'12. Разходи'!$AA46</f>
        <v>0</v>
      </c>
      <c r="AL46" s="1211">
        <f>IFERROR(('12. Разходи'!AB46-'12. Разходи'!$AA46)/'12. Разходи'!$AA46,0)</f>
        <v>0</v>
      </c>
      <c r="AM46" s="995">
        <f>'12. Разходи'!AC46-'12. Разходи'!$AA46</f>
        <v>0</v>
      </c>
      <c r="AN46" s="1219">
        <f>IFERROR(('12. Разходи'!AC46-'12. Разходи'!$AA46)/'12. Разходи'!$AA46,0)</f>
        <v>0</v>
      </c>
      <c r="AO46" s="995">
        <f>'12. Разходи'!AD46-'12. Разходи'!$AA46</f>
        <v>0</v>
      </c>
      <c r="AP46" s="1219">
        <f>IFERROR(('12. Разходи'!AD46-'12. Разходи'!$AA46)/'12. Разходи'!$AA46,0)</f>
        <v>0</v>
      </c>
      <c r="AQ46" s="995">
        <f>'12. Разходи'!AE46-'12. Разходи'!$AA46</f>
        <v>0</v>
      </c>
      <c r="AR46" s="1218">
        <f>IFERROR(('12. Разходи'!AE46-'12. Разходи'!$AA46)/'12. Разходи'!$AA46,0)</f>
        <v>0</v>
      </c>
      <c r="AS46" s="1226">
        <f>'12. Разходи'!AF46-'12. Разходи'!$AA46</f>
        <v>0</v>
      </c>
      <c r="AT46" s="1276">
        <f>IFERROR(('12. Разходи'!AF46-'12. Разходи'!$AA46)/'12. Разходи'!$AA46,0)</f>
        <v>0</v>
      </c>
      <c r="AU46" s="1270">
        <f>'12. Разходи'!AI46</f>
        <v>0</v>
      </c>
      <c r="AV46" s="1231">
        <f>'12. Разходи'!AJ46-'12. Разходи'!$AI46</f>
        <v>0</v>
      </c>
      <c r="AW46" s="1211">
        <f>IFERROR(('12. Разходи'!AJ46-'12. Разходи'!$AI46)/'12. Разходи'!$AI46,0)</f>
        <v>0</v>
      </c>
      <c r="AX46" s="995">
        <f>'12. Разходи'!AK46-'12. Разходи'!$AI46</f>
        <v>0</v>
      </c>
      <c r="AY46" s="1219">
        <f>IFERROR(('12. Разходи'!AK46-'12. Разходи'!$AI46)/'12. Разходи'!$AI46,0)</f>
        <v>0</v>
      </c>
      <c r="AZ46" s="995">
        <f>'12. Разходи'!AL46-'12. Разходи'!$AI46</f>
        <v>0</v>
      </c>
      <c r="BA46" s="1219">
        <f>IFERROR(('12. Разходи'!AL46-'12. Разходи'!$AI46)/'12. Разходи'!$AI46,0)</f>
        <v>0</v>
      </c>
      <c r="BB46" s="995">
        <f>'12. Разходи'!AM46-'12. Разходи'!$AI46</f>
        <v>0</v>
      </c>
      <c r="BC46" s="1218">
        <f>IFERROR(('12. Разходи'!AM46-'12. Разходи'!$AI46)/'12. Разходи'!$AI46,0)</f>
        <v>0</v>
      </c>
      <c r="BD46" s="1226">
        <f>'12. Разходи'!AN46-'12. Разходи'!$AI46</f>
        <v>0</v>
      </c>
      <c r="BE46" s="1276">
        <f>IFERROR(('12. Разходи'!AN46-'12. Разходи'!$AI46)/'12. Разходи'!$AI46,0)</f>
        <v>0</v>
      </c>
      <c r="BF46" s="736"/>
      <c r="BG46" s="736"/>
      <c r="BH46" s="736"/>
      <c r="BI46" s="736"/>
      <c r="BJ46" s="736"/>
      <c r="BK46" s="736"/>
      <c r="BL46" s="736"/>
      <c r="BM46" s="736"/>
      <c r="BN46" s="736"/>
    </row>
    <row r="47" spans="1:66" ht="15.95" customHeight="1">
      <c r="A47" s="916" t="s">
        <v>449</v>
      </c>
      <c r="B47" s="983" t="s">
        <v>448</v>
      </c>
      <c r="C47" s="1202">
        <f>'12. Разходи'!C47</f>
        <v>0</v>
      </c>
      <c r="D47" s="1231">
        <f>'12. Разходи'!D47-'12. Разходи'!$C47</f>
        <v>2.9550000000000001</v>
      </c>
      <c r="E47" s="1211">
        <f>IFERROR(('12. Разходи'!D47-'12. Разходи'!$C47)/'12. Разходи'!$C47,0)</f>
        <v>0</v>
      </c>
      <c r="F47" s="995">
        <f>'12. Разходи'!E47-'12. Разходи'!$C47</f>
        <v>5</v>
      </c>
      <c r="G47" s="1219">
        <f>IFERROR(('12. Разходи'!E47-'12. Разходи'!$C47)/'12. Разходи'!$C47,0)</f>
        <v>0</v>
      </c>
      <c r="H47" s="995">
        <f>'12. Разходи'!F47-'12. Разходи'!$C47</f>
        <v>5</v>
      </c>
      <c r="I47" s="1219">
        <f>IFERROR(('12. Разходи'!F47-'12. Разходи'!$C47)/'12. Разходи'!$C47,0)</f>
        <v>0</v>
      </c>
      <c r="J47" s="995">
        <f>'12. Разходи'!G47-'12. Разходи'!$C47</f>
        <v>5</v>
      </c>
      <c r="K47" s="1218">
        <f>IFERROR(('12. Разходи'!G47-'12. Разходи'!$C47)/'12. Разходи'!$C47,0)</f>
        <v>0</v>
      </c>
      <c r="L47" s="1226">
        <f>'12. Разходи'!H47-'12. Разходи'!$C47</f>
        <v>5</v>
      </c>
      <c r="M47" s="1218">
        <f>IFERROR(('12. Разходи'!H47-'12. Разходи'!$C47)/'12. Разходи'!$C47,0)</f>
        <v>0</v>
      </c>
      <c r="N47" s="1270">
        <f>'12. Разходи'!K47</f>
        <v>0</v>
      </c>
      <c r="O47" s="1231">
        <f>'12. Разходи'!L47-'12. Разходи'!$K47</f>
        <v>2</v>
      </c>
      <c r="P47" s="1211">
        <f>IFERROR(('12. Разходи'!L47-'12. Разходи'!$K47)/'12. Разходи'!$K47,0)</f>
        <v>0</v>
      </c>
      <c r="Q47" s="995">
        <f>'12. Разходи'!M47-'12. Разходи'!$K47</f>
        <v>1.8</v>
      </c>
      <c r="R47" s="1219">
        <f>IFERROR(('12. Разходи'!M47-'12. Разходи'!$K47)/'12. Разходи'!$K47,0)</f>
        <v>0</v>
      </c>
      <c r="S47" s="995">
        <f>'12. Разходи'!N47-'12. Разходи'!$K47</f>
        <v>1.8</v>
      </c>
      <c r="T47" s="1219">
        <f>IFERROR(('12. Разходи'!N47-'12. Разходи'!$K47)/'12. Разходи'!$K47,0)</f>
        <v>0</v>
      </c>
      <c r="U47" s="995">
        <f>'12. Разходи'!O47-'12. Разходи'!$K47</f>
        <v>1.8</v>
      </c>
      <c r="V47" s="1218">
        <f>IFERROR(('12. Разходи'!O47-'12. Разходи'!$K47)/'12. Разходи'!$K47,0)</f>
        <v>0</v>
      </c>
      <c r="W47" s="1226">
        <f>'12. Разходи'!P47-'12. Разходи'!$K47</f>
        <v>1.8</v>
      </c>
      <c r="X47" s="1276">
        <f>IFERROR(('12. Разходи'!P47-'12. Разходи'!$K47)/'12. Разходи'!$K47,0)</f>
        <v>0</v>
      </c>
      <c r="Y47" s="1270">
        <f>'12. Разходи'!S47</f>
        <v>0</v>
      </c>
      <c r="Z47" s="1231">
        <f>'12. Разходи'!T47-'12. Разходи'!$S47</f>
        <v>1</v>
      </c>
      <c r="AA47" s="1211">
        <f>IFERROR(('12. Разходи'!T47-'12. Разходи'!$S47)/'12. Разходи'!$S47,0)</f>
        <v>0</v>
      </c>
      <c r="AB47" s="995">
        <f>'12. Разходи'!U47-'12. Разходи'!$S47</f>
        <v>1</v>
      </c>
      <c r="AC47" s="1219">
        <f>IFERROR(('12. Разходи'!U47-'12. Разходи'!$S47)/'12. Разходи'!$S47,0)</f>
        <v>0</v>
      </c>
      <c r="AD47" s="995">
        <f>'12. Разходи'!V47-'12. Разходи'!$S47</f>
        <v>1</v>
      </c>
      <c r="AE47" s="1219">
        <f>IFERROR(('12. Разходи'!V47-'12. Разходи'!$S47)/'12. Разходи'!$S47,0)</f>
        <v>0</v>
      </c>
      <c r="AF47" s="995">
        <f>'12. Разходи'!W47-'12. Разходи'!$S47</f>
        <v>1</v>
      </c>
      <c r="AG47" s="1218">
        <f>IFERROR(('12. Разходи'!W47-'12. Разходи'!$S47)/'12. Разходи'!$S47,0)</f>
        <v>0</v>
      </c>
      <c r="AH47" s="1226">
        <f>'12. Разходи'!X47-'12. Разходи'!$S47</f>
        <v>1</v>
      </c>
      <c r="AI47" s="1276">
        <f>IFERROR(('12. Разходи'!X47-'12. Разходи'!$S47)/'12. Разходи'!$S47,0)</f>
        <v>0</v>
      </c>
      <c r="AJ47" s="1270">
        <f>'12. Разходи'!AA47</f>
        <v>0</v>
      </c>
      <c r="AK47" s="1231">
        <f>'12. Разходи'!AB47-'12. Разходи'!$AA47</f>
        <v>1</v>
      </c>
      <c r="AL47" s="1211">
        <f>IFERROR(('12. Разходи'!AB47-'12. Разходи'!$AA47)/'12. Разходи'!$AA47,0)</f>
        <v>0</v>
      </c>
      <c r="AM47" s="995">
        <f>'12. Разходи'!AC47-'12. Разходи'!$AA47</f>
        <v>1</v>
      </c>
      <c r="AN47" s="1219">
        <f>IFERROR(('12. Разходи'!AC47-'12. Разходи'!$AA47)/'12. Разходи'!$AA47,0)</f>
        <v>0</v>
      </c>
      <c r="AO47" s="995">
        <f>'12. Разходи'!AD47-'12. Разходи'!$AA47</f>
        <v>1</v>
      </c>
      <c r="AP47" s="1219">
        <f>IFERROR(('12. Разходи'!AD47-'12. Разходи'!$AA47)/'12. Разходи'!$AA47,0)</f>
        <v>0</v>
      </c>
      <c r="AQ47" s="995">
        <f>'12. Разходи'!AE47-'12. Разходи'!$AA47</f>
        <v>1</v>
      </c>
      <c r="AR47" s="1218">
        <f>IFERROR(('12. Разходи'!AE47-'12. Разходи'!$AA47)/'12. Разходи'!$AA47,0)</f>
        <v>0</v>
      </c>
      <c r="AS47" s="1226">
        <f>'12. Разходи'!AF47-'12. Разходи'!$AA47</f>
        <v>1</v>
      </c>
      <c r="AT47" s="1276">
        <f>IFERROR(('12. Разходи'!AF47-'12. Разходи'!$AA47)/'12. Разходи'!$AA47,0)</f>
        <v>0</v>
      </c>
      <c r="AU47" s="1270">
        <f>'12. Разходи'!AI47</f>
        <v>0</v>
      </c>
      <c r="AV47" s="1231">
        <f>'12. Разходи'!AJ47-'12. Разходи'!$AI47</f>
        <v>0</v>
      </c>
      <c r="AW47" s="1211">
        <f>IFERROR(('12. Разходи'!AJ47-'12. Разходи'!$AI47)/'12. Разходи'!$AI47,0)</f>
        <v>0</v>
      </c>
      <c r="AX47" s="995">
        <f>'12. Разходи'!AK47-'12. Разходи'!$AI47</f>
        <v>0</v>
      </c>
      <c r="AY47" s="1219">
        <f>IFERROR(('12. Разходи'!AK47-'12. Разходи'!$AI47)/'12. Разходи'!$AI47,0)</f>
        <v>0</v>
      </c>
      <c r="AZ47" s="995">
        <f>'12. Разходи'!AL47-'12. Разходи'!$AI47</f>
        <v>0</v>
      </c>
      <c r="BA47" s="1219">
        <f>IFERROR(('12. Разходи'!AL47-'12. Разходи'!$AI47)/'12. Разходи'!$AI47,0)</f>
        <v>0</v>
      </c>
      <c r="BB47" s="995">
        <f>'12. Разходи'!AM47-'12. Разходи'!$AI47</f>
        <v>0</v>
      </c>
      <c r="BC47" s="1218">
        <f>IFERROR(('12. Разходи'!AM47-'12. Разходи'!$AI47)/'12. Разходи'!$AI47,0)</f>
        <v>0</v>
      </c>
      <c r="BD47" s="1226">
        <f>'12. Разходи'!AN47-'12. Разходи'!$AI47</f>
        <v>0</v>
      </c>
      <c r="BE47" s="1276">
        <f>IFERROR(('12. Разходи'!AN47-'12. Разходи'!$AI47)/'12. Разходи'!$AI47,0)</f>
        <v>0</v>
      </c>
    </row>
    <row r="48" spans="1:66" s="743" customFormat="1" ht="15.95" customHeight="1">
      <c r="A48" s="916" t="s">
        <v>607</v>
      </c>
      <c r="B48" s="983" t="s">
        <v>647</v>
      </c>
      <c r="C48" s="1202">
        <f>'12. Разходи'!C48</f>
        <v>707</v>
      </c>
      <c r="D48" s="1233">
        <f>'12. Разходи'!D48-'12. Разходи'!$C48</f>
        <v>73</v>
      </c>
      <c r="E48" s="964">
        <f>IFERROR(('12. Разходи'!D48-'12. Разходи'!$C48)/'12. Разходи'!$C48,0)</f>
        <v>0.10325318246110325</v>
      </c>
      <c r="F48" s="1223">
        <f>'12. Разходи'!E48-'12. Разходи'!$C48</f>
        <v>73</v>
      </c>
      <c r="G48" s="964">
        <f>IFERROR(('12. Разходи'!E48-'12. Разходи'!$C48)/'12. Разходи'!$C48,0)</f>
        <v>0.10325318246110325</v>
      </c>
      <c r="H48" s="1223">
        <f>'12. Разходи'!F48-'12. Разходи'!$C48</f>
        <v>73</v>
      </c>
      <c r="I48" s="964">
        <f>IFERROR(('12. Разходи'!F48-'12. Разходи'!$C48)/'12. Разходи'!$C48,0)</f>
        <v>0.10325318246110325</v>
      </c>
      <c r="J48" s="1223">
        <f>'12. Разходи'!G48-'12. Разходи'!$C48</f>
        <v>73</v>
      </c>
      <c r="K48" s="973">
        <f>IFERROR(('12. Разходи'!G48-'12. Разходи'!$C48)/'12. Разходи'!$C48,0)</f>
        <v>0.10325318246110325</v>
      </c>
      <c r="L48" s="1223">
        <f>'12. Разходи'!H48-'12. Разходи'!$C48</f>
        <v>73</v>
      </c>
      <c r="M48" s="973">
        <f>IFERROR(('12. Разходи'!H48-'12. Разходи'!$C48)/'12. Разходи'!$C48,0)</f>
        <v>0.10325318246110325</v>
      </c>
      <c r="N48" s="1256">
        <f>'12. Разходи'!K48</f>
        <v>25</v>
      </c>
      <c r="O48" s="1233">
        <f>'12. Разходи'!L48-'12. Разходи'!$K48</f>
        <v>139</v>
      </c>
      <c r="P48" s="964">
        <f>IFERROR(('12. Разходи'!L48-'12. Разходи'!$K48)/'12. Разходи'!$K48,0)</f>
        <v>5.56</v>
      </c>
      <c r="Q48" s="1223">
        <f>'12. Разходи'!M48-'12. Разходи'!$K48</f>
        <v>139</v>
      </c>
      <c r="R48" s="964">
        <f>IFERROR(('12. Разходи'!M48-'12. Разходи'!$K48)/'12. Разходи'!$K48,0)</f>
        <v>5.56</v>
      </c>
      <c r="S48" s="1223">
        <f>'12. Разходи'!N48-'12. Разходи'!$K48</f>
        <v>139</v>
      </c>
      <c r="T48" s="964">
        <f>IFERROR(('12. Разходи'!N48-'12. Разходи'!$K48)/'12. Разходи'!$K48,0)</f>
        <v>5.56</v>
      </c>
      <c r="U48" s="1223">
        <f>'12. Разходи'!O48-'12. Разходи'!$K48</f>
        <v>139</v>
      </c>
      <c r="V48" s="973">
        <f>IFERROR(('12. Разходи'!O48-'12. Разходи'!$K48)/'12. Разходи'!$K48,0)</f>
        <v>5.56</v>
      </c>
      <c r="W48" s="1223">
        <f>'12. Разходи'!P48-'12. Разходи'!$K48</f>
        <v>139</v>
      </c>
      <c r="X48" s="978">
        <f>IFERROR(('12. Разходи'!P48-'12. Разходи'!$K48)/'12. Разходи'!$K48,0)</f>
        <v>5.56</v>
      </c>
      <c r="Y48" s="1256">
        <f>'12. Разходи'!S48</f>
        <v>18.016999999999999</v>
      </c>
      <c r="Z48" s="1233">
        <f>'12. Разходи'!T48-'12. Разходи'!$S48</f>
        <v>1.9830000000000005</v>
      </c>
      <c r="AA48" s="964">
        <f>IFERROR(('12. Разходи'!T48-'12. Разходи'!$S48)/'12. Разходи'!$S48,0)</f>
        <v>0.11006271854359774</v>
      </c>
      <c r="AB48" s="1223">
        <f>'12. Разходи'!U48-'12. Разходи'!$S48</f>
        <v>1.9830000000000005</v>
      </c>
      <c r="AC48" s="964">
        <f>IFERROR(('12. Разходи'!U48-'12. Разходи'!$S48)/'12. Разходи'!$S48,0)</f>
        <v>0.11006271854359774</v>
      </c>
      <c r="AD48" s="1223">
        <f>'12. Разходи'!V48-'12. Разходи'!$S48</f>
        <v>1.9830000000000005</v>
      </c>
      <c r="AE48" s="964">
        <f>IFERROR(('12. Разходи'!V48-'12. Разходи'!$S48)/'12. Разходи'!$S48,0)</f>
        <v>0.11006271854359774</v>
      </c>
      <c r="AF48" s="1223">
        <f>'12. Разходи'!W48-'12. Разходи'!$S48</f>
        <v>1.9830000000000005</v>
      </c>
      <c r="AG48" s="973">
        <f>IFERROR(('12. Разходи'!W48-'12. Разходи'!$S48)/'12. Разходи'!$S48,0)</f>
        <v>0.11006271854359774</v>
      </c>
      <c r="AH48" s="1223">
        <f>'12. Разходи'!X48-'12. Разходи'!$S48</f>
        <v>1.9830000000000005</v>
      </c>
      <c r="AI48" s="978">
        <f>IFERROR(('12. Разходи'!X48-'12. Разходи'!$S48)/'12. Разходи'!$S48,0)</f>
        <v>0.11006271854359774</v>
      </c>
      <c r="AJ48" s="1256">
        <f>'12. Разходи'!AA48</f>
        <v>0.72</v>
      </c>
      <c r="AK48" s="1233">
        <f>'12. Разходи'!AB48-'12. Разходи'!$AA48</f>
        <v>0</v>
      </c>
      <c r="AL48" s="964">
        <f>IFERROR(('12. Разходи'!AB48-'12. Разходи'!$AA48)/'12. Разходи'!$AA48,0)</f>
        <v>0</v>
      </c>
      <c r="AM48" s="1223">
        <f>'12. Разходи'!AC48-'12. Разходи'!$AA48</f>
        <v>4.28</v>
      </c>
      <c r="AN48" s="964">
        <f>IFERROR(('12. Разходи'!AC48-'12. Разходи'!$AA48)/'12. Разходи'!$AA48,0)</f>
        <v>5.9444444444444446</v>
      </c>
      <c r="AO48" s="1223">
        <f>'12. Разходи'!AD48-'12. Разходи'!$AA48</f>
        <v>13.28</v>
      </c>
      <c r="AP48" s="964">
        <f>IFERROR(('12. Разходи'!AD48-'12. Разходи'!$AA48)/'12. Разходи'!$AA48,0)</f>
        <v>18.444444444444443</v>
      </c>
      <c r="AQ48" s="1223">
        <f>'12. Разходи'!AE48-'12. Разходи'!$AA48</f>
        <v>4.28</v>
      </c>
      <c r="AR48" s="973">
        <f>IFERROR(('12. Разходи'!AE48-'12. Разходи'!$AA48)/'12. Разходи'!$AA48,0)</f>
        <v>5.9444444444444446</v>
      </c>
      <c r="AS48" s="1223">
        <f>'12. Разходи'!AF48-'12. Разходи'!$AA48</f>
        <v>2.2800000000000002</v>
      </c>
      <c r="AT48" s="978">
        <f>IFERROR(('12. Разходи'!AF48-'12. Разходи'!$AA48)/'12. Разходи'!$AA48,0)</f>
        <v>3.166666666666667</v>
      </c>
      <c r="AU48" s="1256">
        <f>'12. Разходи'!AI48</f>
        <v>0</v>
      </c>
      <c r="AV48" s="1233">
        <f>'12. Разходи'!AJ48-'12. Разходи'!$AI48</f>
        <v>0</v>
      </c>
      <c r="AW48" s="964">
        <f>IFERROR(('12. Разходи'!AJ48-'12. Разходи'!$AI48)/'12. Разходи'!$AI48,0)</f>
        <v>0</v>
      </c>
      <c r="AX48" s="1223">
        <f>'12. Разходи'!AK48-'12. Разходи'!$AI48</f>
        <v>0</v>
      </c>
      <c r="AY48" s="964">
        <f>IFERROR(('12. Разходи'!AK48-'12. Разходи'!$AI48)/'12. Разходи'!$AI48,0)</f>
        <v>0</v>
      </c>
      <c r="AZ48" s="1223">
        <f>'12. Разходи'!AL48-'12. Разходи'!$AI48</f>
        <v>0</v>
      </c>
      <c r="BA48" s="964">
        <f>IFERROR(('12. Разходи'!AL48-'12. Разходи'!$AI48)/'12. Разходи'!$AI48,0)</f>
        <v>0</v>
      </c>
      <c r="BB48" s="1223">
        <f>'12. Разходи'!AM48-'12. Разходи'!$AI48</f>
        <v>0</v>
      </c>
      <c r="BC48" s="973">
        <f>IFERROR(('12. Разходи'!AM48-'12. Разходи'!$AI48)/'12. Разходи'!$AI48,0)</f>
        <v>0</v>
      </c>
      <c r="BD48" s="1223">
        <f>'12. Разходи'!AN48-'12. Разходи'!$AI48</f>
        <v>0</v>
      </c>
      <c r="BE48" s="978">
        <f>IFERROR(('12. Разходи'!AN48-'12. Разходи'!$AI48)/'12. Разходи'!$AI48,0)</f>
        <v>0</v>
      </c>
      <c r="BF48" s="747"/>
      <c r="BG48" s="747"/>
      <c r="BH48" s="747"/>
      <c r="BI48" s="747"/>
      <c r="BJ48" s="747"/>
      <c r="BK48" s="747"/>
      <c r="BL48" s="747"/>
      <c r="BM48" s="747"/>
      <c r="BN48" s="747"/>
    </row>
    <row r="49" spans="1:66" ht="15.95" customHeight="1">
      <c r="A49" s="916" t="s">
        <v>690</v>
      </c>
      <c r="B49" s="983" t="s">
        <v>637</v>
      </c>
      <c r="C49" s="1236"/>
      <c r="D49" s="3407"/>
      <c r="E49" s="3409"/>
      <c r="F49" s="2211"/>
      <c r="G49" s="3409"/>
      <c r="H49" s="2211"/>
      <c r="I49" s="3409"/>
      <c r="J49" s="2211"/>
      <c r="K49" s="3500"/>
      <c r="L49" s="2211"/>
      <c r="M49" s="3500"/>
      <c r="N49" s="3501"/>
      <c r="O49" s="3407"/>
      <c r="P49" s="3409"/>
      <c r="Q49" s="2211"/>
      <c r="R49" s="3409"/>
      <c r="S49" s="2211"/>
      <c r="T49" s="3409"/>
      <c r="U49" s="2211"/>
      <c r="V49" s="3500"/>
      <c r="W49" s="2211"/>
      <c r="X49" s="3408"/>
      <c r="Y49" s="3502">
        <f>'12. Разходи'!S49</f>
        <v>0</v>
      </c>
      <c r="Z49" s="1233">
        <f>'12. Разходи'!T49-'12. Разходи'!$S49</f>
        <v>0</v>
      </c>
      <c r="AA49" s="964">
        <f>IFERROR(('12. Разходи'!T49-'12. Разходи'!$S49)/'12. Разходи'!$S49,0)</f>
        <v>0</v>
      </c>
      <c r="AB49" s="1223">
        <f>'12. Разходи'!U49-'12. Разходи'!$S49</f>
        <v>34.200000000000003</v>
      </c>
      <c r="AC49" s="964">
        <f>IFERROR(('12. Разходи'!U49-'12. Разходи'!$S49)/'12. Разходи'!$S49,0)</f>
        <v>0</v>
      </c>
      <c r="AD49" s="1223">
        <f>'12. Разходи'!V49-'12. Разходи'!$S49</f>
        <v>65.2</v>
      </c>
      <c r="AE49" s="964">
        <f>IFERROR(('12. Разходи'!V49-'12. Разходи'!$S49)/'12. Разходи'!$S49,0)</f>
        <v>0</v>
      </c>
      <c r="AF49" s="1223">
        <f>'12. Разходи'!W49-'12. Разходи'!$S49</f>
        <v>69</v>
      </c>
      <c r="AG49" s="973">
        <f>IFERROR(('12. Разходи'!W49-'12. Разходи'!$S49)/'12. Разходи'!$S49,0)</f>
        <v>0</v>
      </c>
      <c r="AH49" s="1223">
        <f>'12. Разходи'!X49-'12. Разходи'!$S49</f>
        <v>10.94</v>
      </c>
      <c r="AI49" s="978">
        <f>IFERROR(('12. Разходи'!X49-'12. Разходи'!$S49)/'12. Разходи'!$S49,0)</f>
        <v>0</v>
      </c>
      <c r="AJ49" s="3501"/>
      <c r="AK49" s="3407"/>
      <c r="AL49" s="3409"/>
      <c r="AM49" s="2211"/>
      <c r="AN49" s="3409"/>
      <c r="AO49" s="2211"/>
      <c r="AP49" s="3409"/>
      <c r="AQ49" s="2211"/>
      <c r="AR49" s="3500"/>
      <c r="AS49" s="2211"/>
      <c r="AT49" s="3408"/>
      <c r="AU49" s="3501"/>
      <c r="AV49" s="3407"/>
      <c r="AW49" s="3409"/>
      <c r="AX49" s="2211"/>
      <c r="AY49" s="3409"/>
      <c r="AZ49" s="2211"/>
      <c r="BA49" s="3409"/>
      <c r="BB49" s="2211"/>
      <c r="BC49" s="3500"/>
      <c r="BD49" s="2211"/>
      <c r="BE49" s="3408"/>
    </row>
    <row r="50" spans="1:66" ht="15.95" customHeight="1">
      <c r="A50" s="916" t="s">
        <v>743</v>
      </c>
      <c r="B50" s="983" t="s">
        <v>742</v>
      </c>
      <c r="C50" s="1236"/>
      <c r="D50" s="3407"/>
      <c r="E50" s="3409"/>
      <c r="F50" s="2211"/>
      <c r="G50" s="3409"/>
      <c r="H50" s="2211"/>
      <c r="I50" s="3409"/>
      <c r="J50" s="2211"/>
      <c r="K50" s="3503"/>
      <c r="L50" s="2211"/>
      <c r="M50" s="3503"/>
      <c r="N50" s="3501"/>
      <c r="O50" s="3407"/>
      <c r="P50" s="3409"/>
      <c r="Q50" s="2211"/>
      <c r="R50" s="3409"/>
      <c r="S50" s="2211"/>
      <c r="T50" s="3409"/>
      <c r="U50" s="2211"/>
      <c r="V50" s="3503"/>
      <c r="W50" s="2211"/>
      <c r="X50" s="3504"/>
      <c r="Y50" s="3502">
        <f>'12. Разходи'!S50</f>
        <v>0</v>
      </c>
      <c r="Z50" s="1233">
        <f>'12. Разходи'!T50-'12. Разходи'!$S50</f>
        <v>0</v>
      </c>
      <c r="AA50" s="964">
        <f>IFERROR(('12. Разходи'!T50-'12. Разходи'!$S50)/'12. Разходи'!$S50,0)</f>
        <v>0</v>
      </c>
      <c r="AB50" s="1223">
        <f>'12. Разходи'!U50-'12. Разходи'!$S50</f>
        <v>0.18</v>
      </c>
      <c r="AC50" s="964">
        <f>IFERROR(('12. Разходи'!U50-'12. Разходи'!$S50)/'12. Разходи'!$S50,0)</f>
        <v>0</v>
      </c>
      <c r="AD50" s="1223">
        <f>'12. Разходи'!V50-'12. Разходи'!$S50</f>
        <v>0.14399999999999999</v>
      </c>
      <c r="AE50" s="964">
        <f>IFERROR(('12. Разходи'!V50-'12. Разходи'!$S50)/'12. Разходи'!$S50,0)</f>
        <v>0</v>
      </c>
      <c r="AF50" s="1223">
        <f>'12. Разходи'!W50-'12. Разходи'!$S50</f>
        <v>0.16800000000000001</v>
      </c>
      <c r="AG50" s="973">
        <f>IFERROR(('12. Разходи'!W50-'12. Разходи'!$S50)/'12. Разходи'!$S50,0)</f>
        <v>0</v>
      </c>
      <c r="AH50" s="1223">
        <f>'12. Разходи'!X50-'12. Разходи'!$S50</f>
        <v>0</v>
      </c>
      <c r="AI50" s="978">
        <f>IFERROR(('12. Разходи'!X50-'12. Разходи'!$S50)/'12. Разходи'!$S50,0)</f>
        <v>0</v>
      </c>
      <c r="AJ50" s="3501"/>
      <c r="AK50" s="3407"/>
      <c r="AL50" s="3409"/>
      <c r="AM50" s="2211"/>
      <c r="AN50" s="3409"/>
      <c r="AO50" s="2211"/>
      <c r="AP50" s="3409"/>
      <c r="AQ50" s="2211"/>
      <c r="AR50" s="3503"/>
      <c r="AS50" s="2211"/>
      <c r="AT50" s="3504"/>
      <c r="AU50" s="3501"/>
      <c r="AV50" s="3407"/>
      <c r="AW50" s="3409"/>
      <c r="AX50" s="2211"/>
      <c r="AY50" s="3409"/>
      <c r="AZ50" s="2211"/>
      <c r="BA50" s="3409"/>
      <c r="BB50" s="2211"/>
      <c r="BC50" s="3503"/>
      <c r="BD50" s="2211"/>
      <c r="BE50" s="3504"/>
    </row>
    <row r="51" spans="1:66" ht="15.95" customHeight="1">
      <c r="A51" s="916" t="s">
        <v>1246</v>
      </c>
      <c r="B51" s="983" t="s">
        <v>450</v>
      </c>
      <c r="C51" s="1279">
        <f>'12. Разходи'!C51</f>
        <v>674</v>
      </c>
      <c r="D51" s="1234">
        <f>'12. Разходи'!D51-'12. Разходи'!$C51</f>
        <v>-674</v>
      </c>
      <c r="E51" s="963">
        <f>IFERROR(('12. Разходи'!D51-'12. Разходи'!$C51)/'12. Разходи'!$C51,0)</f>
        <v>-1</v>
      </c>
      <c r="F51" s="1221">
        <f>'12. Разходи'!E51-'12. Разходи'!$C51</f>
        <v>-674</v>
      </c>
      <c r="G51" s="963">
        <f>IFERROR(('12. Разходи'!E51-'12. Разходи'!$C51)/'12. Разходи'!$C51,0)</f>
        <v>-1</v>
      </c>
      <c r="H51" s="1221">
        <f>'12. Разходи'!F51-'12. Разходи'!$C51</f>
        <v>-674</v>
      </c>
      <c r="I51" s="963">
        <f>IFERROR(('12. Разходи'!F51-'12. Разходи'!$C51)/'12. Разходи'!$C51,0)</f>
        <v>-1</v>
      </c>
      <c r="J51" s="1221">
        <f>'12. Разходи'!G51-'12. Разходи'!$C51</f>
        <v>-674</v>
      </c>
      <c r="K51" s="974">
        <f>IFERROR(('12. Разходи'!G51-'12. Разходи'!$C51)/'12. Разходи'!$C51,0)</f>
        <v>-1</v>
      </c>
      <c r="L51" s="1221">
        <f>'12. Разходи'!H51-'12. Разходи'!$C51</f>
        <v>-674</v>
      </c>
      <c r="M51" s="974">
        <f>IFERROR(('12. Разходи'!H51-'12. Разходи'!$C51)/'12. Разходи'!$C51,0)</f>
        <v>-1</v>
      </c>
      <c r="N51" s="1255">
        <f>'12. Разходи'!K51</f>
        <v>1</v>
      </c>
      <c r="O51" s="1234">
        <f>'12. Разходи'!L51-'12. Разходи'!$K51</f>
        <v>-1</v>
      </c>
      <c r="P51" s="963">
        <f>IFERROR(('12. Разходи'!L51-'12. Разходи'!$K51)/'12. Разходи'!$K51,0)</f>
        <v>-1</v>
      </c>
      <c r="Q51" s="1221">
        <f>'12. Разходи'!M51-'12. Разходи'!$K51</f>
        <v>-1</v>
      </c>
      <c r="R51" s="963">
        <f>IFERROR(('12. Разходи'!M51-'12. Разходи'!$K51)/'12. Разходи'!$K51,0)</f>
        <v>-1</v>
      </c>
      <c r="S51" s="1221">
        <f>'12. Разходи'!N51-'12. Разходи'!$K51</f>
        <v>-1</v>
      </c>
      <c r="T51" s="963">
        <f>IFERROR(('12. Разходи'!N51-'12. Разходи'!$K51)/'12. Разходи'!$K51,0)</f>
        <v>-1</v>
      </c>
      <c r="U51" s="1221">
        <f>'12. Разходи'!O51-'12. Разходи'!$K51</f>
        <v>-1</v>
      </c>
      <c r="V51" s="974">
        <f>IFERROR(('12. Разходи'!O51-'12. Разходи'!$K51)/'12. Разходи'!$K51,0)</f>
        <v>-1</v>
      </c>
      <c r="W51" s="1221">
        <f>'12. Разходи'!P51-'12. Разходи'!$K51</f>
        <v>-1</v>
      </c>
      <c r="X51" s="899">
        <f>IFERROR(('12. Разходи'!P51-'12. Разходи'!$K51)/'12. Разходи'!$K51,0)</f>
        <v>-1</v>
      </c>
      <c r="Y51" s="1255">
        <f>'12. Разходи'!S51</f>
        <v>222</v>
      </c>
      <c r="Z51" s="1234">
        <f>'12. Разходи'!T51-'12. Разходи'!$S51</f>
        <v>152.57400000000001</v>
      </c>
      <c r="AA51" s="963">
        <f>IFERROR(('12. Разходи'!T51-'12. Разходи'!$S51)/'12. Разходи'!$S51,0)</f>
        <v>0.68727027027027032</v>
      </c>
      <c r="AB51" s="1221">
        <f>'12. Разходи'!U51-'12. Разходи'!$S51</f>
        <v>190.27300000000002</v>
      </c>
      <c r="AC51" s="963">
        <f>IFERROR(('12. Разходи'!U51-'12. Разходи'!$S51)/'12. Разходи'!$S51,0)</f>
        <v>0.85708558558558567</v>
      </c>
      <c r="AD51" s="1221">
        <f>'12. Разходи'!V51-'12. Разходи'!$S51</f>
        <v>-222</v>
      </c>
      <c r="AE51" s="963">
        <f>IFERROR(('12. Разходи'!V51-'12. Разходи'!$S51)/'12. Разходи'!$S51,0)</f>
        <v>-1</v>
      </c>
      <c r="AF51" s="1221">
        <f>'12. Разходи'!W51-'12. Разходи'!$S51</f>
        <v>-222</v>
      </c>
      <c r="AG51" s="974">
        <f>IFERROR(('12. Разходи'!W51-'12. Разходи'!$S51)/'12. Разходи'!$S51,0)</f>
        <v>-1</v>
      </c>
      <c r="AH51" s="1221">
        <f>'12. Разходи'!X51-'12. Разходи'!$S51</f>
        <v>-222</v>
      </c>
      <c r="AI51" s="899">
        <f>IFERROR(('12. Разходи'!X51-'12. Разходи'!$S51)/'12. Разходи'!$S51,0)</f>
        <v>-1</v>
      </c>
      <c r="AJ51" s="1255">
        <f>'12. Разходи'!AA51</f>
        <v>0.23</v>
      </c>
      <c r="AK51" s="1234">
        <f>'12. Разходи'!AB51-'12. Разходи'!$AA51</f>
        <v>0.77</v>
      </c>
      <c r="AL51" s="963">
        <f>IFERROR(('12. Разходи'!AB51-'12. Разходи'!$AA51)/'12. Разходи'!$AA51,0)</f>
        <v>3.3478260869565215</v>
      </c>
      <c r="AM51" s="1221">
        <f>'12. Разходи'!AC51-'12. Разходи'!$AA51</f>
        <v>0.77</v>
      </c>
      <c r="AN51" s="963">
        <f>IFERROR(('12. Разходи'!AC51-'12. Разходи'!$AA51)/'12. Разходи'!$AA51,0)</f>
        <v>3.3478260869565215</v>
      </c>
      <c r="AO51" s="1221">
        <f>'12. Разходи'!AD51-'12. Разходи'!$AA51</f>
        <v>0.77</v>
      </c>
      <c r="AP51" s="963">
        <f>IFERROR(('12. Разходи'!AD51-'12. Разходи'!$AA51)/'12. Разходи'!$AA51,0)</f>
        <v>3.3478260869565215</v>
      </c>
      <c r="AQ51" s="1221">
        <f>'12. Разходи'!AE51-'12. Разходи'!$AA51</f>
        <v>0.77</v>
      </c>
      <c r="AR51" s="974">
        <f>IFERROR(('12. Разходи'!AE51-'12. Разходи'!$AA51)/'12. Разходи'!$AA51,0)</f>
        <v>3.3478260869565215</v>
      </c>
      <c r="AS51" s="1221">
        <f>'12. Разходи'!AF51-'12. Разходи'!$AA51</f>
        <v>0.77</v>
      </c>
      <c r="AT51" s="899">
        <f>IFERROR(('12. Разходи'!AF51-'12. Разходи'!$AA51)/'12. Разходи'!$AA51,0)</f>
        <v>3.3478260869565215</v>
      </c>
      <c r="AU51" s="1255">
        <f>'12. Разходи'!AI51</f>
        <v>0</v>
      </c>
      <c r="AV51" s="1234">
        <f>'12. Разходи'!AJ51-'12. Разходи'!$AI51</f>
        <v>0</v>
      </c>
      <c r="AW51" s="963">
        <f>IFERROR(('12. Разходи'!AJ51-'12. Разходи'!$AI51)/'12. Разходи'!$AI51,0)</f>
        <v>0</v>
      </c>
      <c r="AX51" s="1221">
        <f>'12. Разходи'!AK51-'12. Разходи'!$AI51</f>
        <v>0</v>
      </c>
      <c r="AY51" s="963">
        <f>IFERROR(('12. Разходи'!AK51-'12. Разходи'!$AI51)/'12. Разходи'!$AI51,0)</f>
        <v>0</v>
      </c>
      <c r="AZ51" s="1221">
        <f>'12. Разходи'!AL51-'12. Разходи'!$AI51</f>
        <v>0</v>
      </c>
      <c r="BA51" s="963">
        <f>IFERROR(('12. Разходи'!AL51-'12. Разходи'!$AI51)/'12. Разходи'!$AI51,0)</f>
        <v>0</v>
      </c>
      <c r="BB51" s="1221">
        <f>'12. Разходи'!AM51-'12. Разходи'!$AI51</f>
        <v>0</v>
      </c>
      <c r="BC51" s="974">
        <f>IFERROR(('12. Разходи'!AM51-'12. Разходи'!$AI51)/'12. Разходи'!$AI51,0)</f>
        <v>0</v>
      </c>
      <c r="BD51" s="1221">
        <f>'12. Разходи'!AN51-'12. Разходи'!$AI51</f>
        <v>0</v>
      </c>
      <c r="BE51" s="899">
        <f>IFERROR(('12. Разходи'!AN51-'12. Разходи'!$AI51)/'12. Разходи'!$AI51,0)</f>
        <v>0</v>
      </c>
    </row>
    <row r="52" spans="1:66" s="737" customFormat="1" ht="15.95" customHeight="1">
      <c r="A52" s="917" t="s">
        <v>1247</v>
      </c>
      <c r="B52" s="3497" t="str">
        <f>'12. Разходи'!B52</f>
        <v>Софийска вода АД</v>
      </c>
      <c r="C52" s="3498">
        <f>'12. Разходи'!C52</f>
        <v>674</v>
      </c>
      <c r="D52" s="1231">
        <f>'12. Разходи'!D52-'12. Разходи'!$C52</f>
        <v>-674</v>
      </c>
      <c r="E52" s="1211">
        <f>IFERROR(('12. Разходи'!D52-'12. Разходи'!$C52)/'12. Разходи'!$C52,0)</f>
        <v>-1</v>
      </c>
      <c r="F52" s="995">
        <f>'12. Разходи'!E52-'12. Разходи'!$C52</f>
        <v>-674</v>
      </c>
      <c r="G52" s="1219">
        <f>IFERROR(('12. Разходи'!E52-'12. Разходи'!$C52)/'12. Разходи'!$C52,0)</f>
        <v>-1</v>
      </c>
      <c r="H52" s="995">
        <f>'12. Разходи'!F52-'12. Разходи'!$C52</f>
        <v>-674</v>
      </c>
      <c r="I52" s="1219">
        <f>IFERROR(('12. Разходи'!F52-'12. Разходи'!$C52)/'12. Разходи'!$C52,0)</f>
        <v>-1</v>
      </c>
      <c r="J52" s="995">
        <f>'12. Разходи'!G52-'12. Разходи'!$C52</f>
        <v>-674</v>
      </c>
      <c r="K52" s="1218">
        <f>IFERROR(('12. Разходи'!G52-'12. Разходи'!$C52)/'12. Разходи'!$C52,0)</f>
        <v>-1</v>
      </c>
      <c r="L52" s="1226">
        <f>'12. Разходи'!H52-'12. Разходи'!$C52</f>
        <v>-674</v>
      </c>
      <c r="M52" s="1218">
        <f>IFERROR(('12. Разходи'!H52-'12. Разходи'!$C52)/'12. Разходи'!$C52,0)</f>
        <v>-1</v>
      </c>
      <c r="N52" s="1270">
        <f>'12. Разходи'!K52</f>
        <v>1</v>
      </c>
      <c r="O52" s="1231">
        <f>'12. Разходи'!L52-'12. Разходи'!$K52</f>
        <v>-1</v>
      </c>
      <c r="P52" s="1211">
        <f>IFERROR(('12. Разходи'!L52-'12. Разходи'!$K52)/'12. Разходи'!$K52,0)</f>
        <v>-1</v>
      </c>
      <c r="Q52" s="995">
        <f>'12. Разходи'!M52-'12. Разходи'!$K52</f>
        <v>-1</v>
      </c>
      <c r="R52" s="1219">
        <f>IFERROR(('12. Разходи'!M52-'12. Разходи'!$K52)/'12. Разходи'!$K52,0)</f>
        <v>-1</v>
      </c>
      <c r="S52" s="995">
        <f>'12. Разходи'!N52-'12. Разходи'!$K52</f>
        <v>-1</v>
      </c>
      <c r="T52" s="1219">
        <f>IFERROR(('12. Разходи'!N52-'12. Разходи'!$K52)/'12. Разходи'!$K52,0)</f>
        <v>-1</v>
      </c>
      <c r="U52" s="995">
        <f>'12. Разходи'!O52-'12. Разходи'!$K52</f>
        <v>-1</v>
      </c>
      <c r="V52" s="1218">
        <f>IFERROR(('12. Разходи'!O52-'12. Разходи'!$K52)/'12. Разходи'!$K52,0)</f>
        <v>-1</v>
      </c>
      <c r="W52" s="1226">
        <f>'12. Разходи'!P52-'12. Разходи'!$K52</f>
        <v>-1</v>
      </c>
      <c r="X52" s="1276">
        <f>IFERROR(('12. Разходи'!P52-'12. Разходи'!$K52)/'12. Разходи'!$K52,0)</f>
        <v>-1</v>
      </c>
      <c r="Y52" s="1270">
        <f>'12. Разходи'!S52</f>
        <v>0</v>
      </c>
      <c r="Z52" s="1231">
        <f>'12. Разходи'!T52-'12. Разходи'!$S52</f>
        <v>0</v>
      </c>
      <c r="AA52" s="1211">
        <f>IFERROR(('12. Разходи'!T52-'12. Разходи'!$S52)/'12. Разходи'!$S52,0)</f>
        <v>0</v>
      </c>
      <c r="AB52" s="995">
        <f>'12. Разходи'!U52-'12. Разходи'!$S52</f>
        <v>0</v>
      </c>
      <c r="AC52" s="1219">
        <f>IFERROR(('12. Разходи'!U52-'12. Разходи'!$S52)/'12. Разходи'!$S52,0)</f>
        <v>0</v>
      </c>
      <c r="AD52" s="995">
        <f>'12. Разходи'!V52-'12. Разходи'!$S52</f>
        <v>0</v>
      </c>
      <c r="AE52" s="1219">
        <f>IFERROR(('12. Разходи'!V52-'12. Разходи'!$S52)/'12. Разходи'!$S52,0)</f>
        <v>0</v>
      </c>
      <c r="AF52" s="995">
        <f>'12. Разходи'!W52-'12. Разходи'!$S52</f>
        <v>0</v>
      </c>
      <c r="AG52" s="1218">
        <f>IFERROR(('12. Разходи'!W52-'12. Разходи'!$S52)/'12. Разходи'!$S52,0)</f>
        <v>0</v>
      </c>
      <c r="AH52" s="1226">
        <f>'12. Разходи'!X52-'12. Разходи'!$S52</f>
        <v>0</v>
      </c>
      <c r="AI52" s="1276">
        <f>IFERROR(('12. Разходи'!X52-'12. Разходи'!$S52)/'12. Разходи'!$S52,0)</f>
        <v>0</v>
      </c>
      <c r="AJ52" s="1270">
        <f>'12. Разходи'!AA52</f>
        <v>0.23</v>
      </c>
      <c r="AK52" s="1231">
        <f>'12. Разходи'!AB52-'12. Разходи'!$AA52</f>
        <v>-0.23</v>
      </c>
      <c r="AL52" s="1211">
        <f>IFERROR(('12. Разходи'!AB52-'12. Разходи'!$AA52)/'12. Разходи'!$AA52,0)</f>
        <v>-1</v>
      </c>
      <c r="AM52" s="995">
        <f>'12. Разходи'!AC52-'12. Разходи'!$AA52</f>
        <v>-0.23</v>
      </c>
      <c r="AN52" s="1219">
        <f>IFERROR(('12. Разходи'!AC52-'12. Разходи'!$AA52)/'12. Разходи'!$AA52,0)</f>
        <v>-1</v>
      </c>
      <c r="AO52" s="995">
        <f>'12. Разходи'!AD52-'12. Разходи'!$AA52</f>
        <v>-0.23</v>
      </c>
      <c r="AP52" s="1219">
        <f>IFERROR(('12. Разходи'!AD52-'12. Разходи'!$AA52)/'12. Разходи'!$AA52,0)</f>
        <v>-1</v>
      </c>
      <c r="AQ52" s="995">
        <f>'12. Разходи'!AE52-'12. Разходи'!$AA52</f>
        <v>-0.23</v>
      </c>
      <c r="AR52" s="1218">
        <f>IFERROR(('12. Разходи'!AE52-'12. Разходи'!$AA52)/'12. Разходи'!$AA52,0)</f>
        <v>-1</v>
      </c>
      <c r="AS52" s="1226">
        <f>'12. Разходи'!AF52-'12. Разходи'!$AA52</f>
        <v>-0.23</v>
      </c>
      <c r="AT52" s="1276">
        <f>IFERROR(('12. Разходи'!AF52-'12. Разходи'!$AA52)/'12. Разходи'!$AA52,0)</f>
        <v>-1</v>
      </c>
      <c r="AU52" s="1270">
        <f>'12. Разходи'!AI52</f>
        <v>0</v>
      </c>
      <c r="AV52" s="1231">
        <f>'12. Разходи'!AJ52-'12. Разходи'!$AI52</f>
        <v>0</v>
      </c>
      <c r="AW52" s="1211">
        <f>IFERROR(('12. Разходи'!AJ52-'12. Разходи'!$AI52)/'12. Разходи'!$AI52,0)</f>
        <v>0</v>
      </c>
      <c r="AX52" s="995">
        <f>'12. Разходи'!AK52-'12. Разходи'!$AI52</f>
        <v>0</v>
      </c>
      <c r="AY52" s="1219">
        <f>IFERROR(('12. Разходи'!AK52-'12. Разходи'!$AI52)/'12. Разходи'!$AI52,0)</f>
        <v>0</v>
      </c>
      <c r="AZ52" s="995">
        <f>'12. Разходи'!AL52-'12. Разходи'!$AI52</f>
        <v>0</v>
      </c>
      <c r="BA52" s="1219">
        <f>IFERROR(('12. Разходи'!AL52-'12. Разходи'!$AI52)/'12. Разходи'!$AI52,0)</f>
        <v>0</v>
      </c>
      <c r="BB52" s="995">
        <f>'12. Разходи'!AM52-'12. Разходи'!$AI52</f>
        <v>0</v>
      </c>
      <c r="BC52" s="1218">
        <f>IFERROR(('12. Разходи'!AM52-'12. Разходи'!$AI52)/'12. Разходи'!$AI52,0)</f>
        <v>0</v>
      </c>
      <c r="BD52" s="1226">
        <f>'12. Разходи'!AN52-'12. Разходи'!$AI52</f>
        <v>0</v>
      </c>
      <c r="BE52" s="1276">
        <f>IFERROR(('12. Разходи'!AN52-'12. Разходи'!$AI52)/'12. Разходи'!$AI52,0)</f>
        <v>0</v>
      </c>
      <c r="BF52" s="736"/>
      <c r="BG52" s="736"/>
      <c r="BH52" s="736"/>
      <c r="BI52" s="736"/>
      <c r="BJ52" s="736"/>
      <c r="BK52" s="736"/>
      <c r="BL52" s="736"/>
      <c r="BM52" s="736"/>
      <c r="BN52" s="736"/>
    </row>
    <row r="53" spans="1:66" s="737" customFormat="1" ht="15.95" customHeight="1">
      <c r="A53" s="919" t="s">
        <v>1248</v>
      </c>
      <c r="B53" s="3497" t="str">
        <f>'12. Разходи'!B53</f>
        <v>Псов Леко Ко EООД</v>
      </c>
      <c r="C53" s="3498">
        <f>'12. Разходи'!C53</f>
        <v>0</v>
      </c>
      <c r="D53" s="1231">
        <f>'12. Разходи'!D53-'12. Разходи'!$C53</f>
        <v>0</v>
      </c>
      <c r="E53" s="1211">
        <f>IFERROR(('12. Разходи'!D53-'12. Разходи'!$C53)/'12. Разходи'!$C53,0)</f>
        <v>0</v>
      </c>
      <c r="F53" s="995">
        <f>'12. Разходи'!E53-'12. Разходи'!$C53</f>
        <v>0</v>
      </c>
      <c r="G53" s="1219">
        <f>IFERROR(('12. Разходи'!E53-'12. Разходи'!$C53)/'12. Разходи'!$C53,0)</f>
        <v>0</v>
      </c>
      <c r="H53" s="995">
        <f>'12. Разходи'!F53-'12. Разходи'!$C53</f>
        <v>0</v>
      </c>
      <c r="I53" s="1219">
        <f>IFERROR(('12. Разходи'!F53-'12. Разходи'!$C53)/'12. Разходи'!$C53,0)</f>
        <v>0</v>
      </c>
      <c r="J53" s="995">
        <f>'12. Разходи'!G53-'12. Разходи'!$C53</f>
        <v>0</v>
      </c>
      <c r="K53" s="1218">
        <f>IFERROR(('12. Разходи'!G53-'12. Разходи'!$C53)/'12. Разходи'!$C53,0)</f>
        <v>0</v>
      </c>
      <c r="L53" s="1226">
        <f>'12. Разходи'!H53-'12. Разходи'!$C53</f>
        <v>0</v>
      </c>
      <c r="M53" s="1218">
        <f>IFERROR(('12. Разходи'!H53-'12. Разходи'!$C53)/'12. Разходи'!$C53,0)</f>
        <v>0</v>
      </c>
      <c r="N53" s="1270">
        <f>'12. Разходи'!K53</f>
        <v>0</v>
      </c>
      <c r="O53" s="1231">
        <f>'12. Разходи'!L53-'12. Разходи'!$K53</f>
        <v>0</v>
      </c>
      <c r="P53" s="1211">
        <f>IFERROR(('12. Разходи'!L53-'12. Разходи'!$K53)/'12. Разходи'!$K53,0)</f>
        <v>0</v>
      </c>
      <c r="Q53" s="995">
        <f>'12. Разходи'!M53-'12. Разходи'!$K53</f>
        <v>0</v>
      </c>
      <c r="R53" s="1219">
        <f>IFERROR(('12. Разходи'!M53-'12. Разходи'!$K53)/'12. Разходи'!$K53,0)</f>
        <v>0</v>
      </c>
      <c r="S53" s="995">
        <f>'12. Разходи'!N53-'12. Разходи'!$K53</f>
        <v>0</v>
      </c>
      <c r="T53" s="1219">
        <f>IFERROR(('12. Разходи'!N53-'12. Разходи'!$K53)/'12. Разходи'!$K53,0)</f>
        <v>0</v>
      </c>
      <c r="U53" s="995">
        <f>'12. Разходи'!O53-'12. Разходи'!$K53</f>
        <v>0</v>
      </c>
      <c r="V53" s="1218">
        <f>IFERROR(('12. Разходи'!O53-'12. Разходи'!$K53)/'12. Разходи'!$K53,0)</f>
        <v>0</v>
      </c>
      <c r="W53" s="1226">
        <f>'12. Разходи'!P53-'12. Разходи'!$K53</f>
        <v>0</v>
      </c>
      <c r="X53" s="1276">
        <f>IFERROR(('12. Разходи'!P53-'12. Разходи'!$K53)/'12. Разходи'!$K53,0)</f>
        <v>0</v>
      </c>
      <c r="Y53" s="1270">
        <f>'12. Разходи'!S53</f>
        <v>222</v>
      </c>
      <c r="Z53" s="1231">
        <f>'12. Разходи'!T53-'12. Разходи'!$S53</f>
        <v>152.57400000000001</v>
      </c>
      <c r="AA53" s="1211">
        <f>IFERROR(('12. Разходи'!T53-'12. Разходи'!$S53)/'12. Разходи'!$S53,0)</f>
        <v>0.68727027027027032</v>
      </c>
      <c r="AB53" s="995">
        <f>'12. Разходи'!U53-'12. Разходи'!$S53</f>
        <v>190.27300000000002</v>
      </c>
      <c r="AC53" s="1219">
        <f>IFERROR(('12. Разходи'!U53-'12. Разходи'!$S53)/'12. Разходи'!$S53,0)</f>
        <v>0.85708558558558567</v>
      </c>
      <c r="AD53" s="995">
        <f>'12. Разходи'!V53-'12. Разходи'!$S53</f>
        <v>-222</v>
      </c>
      <c r="AE53" s="1219">
        <f>IFERROR(('12. Разходи'!V53-'12. Разходи'!$S53)/'12. Разходи'!$S53,0)</f>
        <v>-1</v>
      </c>
      <c r="AF53" s="995">
        <f>'12. Разходи'!W53-'12. Разходи'!$S53</f>
        <v>-222</v>
      </c>
      <c r="AG53" s="1218">
        <f>IFERROR(('12. Разходи'!W53-'12. Разходи'!$S53)/'12. Разходи'!$S53,0)</f>
        <v>-1</v>
      </c>
      <c r="AH53" s="1226">
        <f>'12. Разходи'!X53-'12. Разходи'!$S53</f>
        <v>-222</v>
      </c>
      <c r="AI53" s="1276">
        <f>IFERROR(('12. Разходи'!X53-'12. Разходи'!$S53)/'12. Разходи'!$S53,0)</f>
        <v>-1</v>
      </c>
      <c r="AJ53" s="1270">
        <f>'12. Разходи'!AA53</f>
        <v>0</v>
      </c>
      <c r="AK53" s="1231">
        <f>'12. Разходи'!AB53-'12. Разходи'!$AA53</f>
        <v>0</v>
      </c>
      <c r="AL53" s="1211">
        <f>IFERROR(('12. Разходи'!AB53-'12. Разходи'!$AA53)/'12. Разходи'!$AA53,0)</f>
        <v>0</v>
      </c>
      <c r="AM53" s="995">
        <f>'12. Разходи'!AC53-'12. Разходи'!$AA53</f>
        <v>0</v>
      </c>
      <c r="AN53" s="1219">
        <f>IFERROR(('12. Разходи'!AC53-'12. Разходи'!$AA53)/'12. Разходи'!$AA53,0)</f>
        <v>0</v>
      </c>
      <c r="AO53" s="995">
        <f>'12. Разходи'!AD53-'12. Разходи'!$AA53</f>
        <v>0</v>
      </c>
      <c r="AP53" s="1219">
        <f>IFERROR(('12. Разходи'!AD53-'12. Разходи'!$AA53)/'12. Разходи'!$AA53,0)</f>
        <v>0</v>
      </c>
      <c r="AQ53" s="995">
        <f>'12. Разходи'!AE53-'12. Разходи'!$AA53</f>
        <v>0</v>
      </c>
      <c r="AR53" s="1218">
        <f>IFERROR(('12. Разходи'!AE53-'12. Разходи'!$AA53)/'12. Разходи'!$AA53,0)</f>
        <v>0</v>
      </c>
      <c r="AS53" s="1226">
        <f>'12. Разходи'!AF53-'12. Разходи'!$AA53</f>
        <v>0</v>
      </c>
      <c r="AT53" s="1276">
        <f>IFERROR(('12. Разходи'!AF53-'12. Разходи'!$AA53)/'12. Разходи'!$AA53,0)</f>
        <v>0</v>
      </c>
      <c r="AU53" s="1270">
        <f>'12. Разходи'!AI53</f>
        <v>0</v>
      </c>
      <c r="AV53" s="1231">
        <f>'12. Разходи'!AJ53-'12. Разходи'!$AI53</f>
        <v>0</v>
      </c>
      <c r="AW53" s="1211">
        <f>IFERROR(('12. Разходи'!AJ53-'12. Разходи'!$AI53)/'12. Разходи'!$AI53,0)</f>
        <v>0</v>
      </c>
      <c r="AX53" s="995">
        <f>'12. Разходи'!AK53-'12. Разходи'!$AI53</f>
        <v>0</v>
      </c>
      <c r="AY53" s="1219">
        <f>IFERROR(('12. Разходи'!AK53-'12. Разходи'!$AI53)/'12. Разходи'!$AI53,0)</f>
        <v>0</v>
      </c>
      <c r="AZ53" s="995">
        <f>'12. Разходи'!AL53-'12. Разходи'!$AI53</f>
        <v>0</v>
      </c>
      <c r="BA53" s="1219">
        <f>IFERROR(('12. Разходи'!AL53-'12. Разходи'!$AI53)/'12. Разходи'!$AI53,0)</f>
        <v>0</v>
      </c>
      <c r="BB53" s="995">
        <f>'12. Разходи'!AM53-'12. Разходи'!$AI53</f>
        <v>0</v>
      </c>
      <c r="BC53" s="1218">
        <f>IFERROR(('12. Разходи'!AM53-'12. Разходи'!$AI53)/'12. Разходи'!$AI53,0)</f>
        <v>0</v>
      </c>
      <c r="BD53" s="1226">
        <f>'12. Разходи'!AN53-'12. Разходи'!$AI53</f>
        <v>0</v>
      </c>
      <c r="BE53" s="1276">
        <f>IFERROR(('12. Разходи'!AN53-'12. Разходи'!$AI53)/'12. Разходи'!$AI53,0)</f>
        <v>0</v>
      </c>
      <c r="BF53" s="736"/>
      <c r="BG53" s="736"/>
      <c r="BH53" s="736"/>
      <c r="BI53" s="736"/>
      <c r="BJ53" s="736"/>
      <c r="BK53" s="736"/>
      <c r="BL53" s="736"/>
      <c r="BM53" s="736"/>
      <c r="BN53" s="736"/>
    </row>
    <row r="54" spans="1:66" s="737" customFormat="1" ht="15.95" customHeight="1" thickBot="1">
      <c r="A54" s="986" t="s">
        <v>1249</v>
      </c>
      <c r="B54" s="3497">
        <f>'12. Разходи'!B54</f>
        <v>0</v>
      </c>
      <c r="C54" s="3498">
        <f>'12. Разходи'!C54</f>
        <v>0</v>
      </c>
      <c r="D54" s="1231">
        <f>'12. Разходи'!D54-'12. Разходи'!$C54</f>
        <v>0</v>
      </c>
      <c r="E54" s="1211">
        <f>IFERROR(('12. Разходи'!D54-'12. Разходи'!$C54)/'12. Разходи'!$C54,0)</f>
        <v>0</v>
      </c>
      <c r="F54" s="995">
        <f>'12. Разходи'!E54-'12. Разходи'!$C54</f>
        <v>0</v>
      </c>
      <c r="G54" s="1219">
        <f>IFERROR(('12. Разходи'!E54-'12. Разходи'!$C54)/'12. Разходи'!$C54,0)</f>
        <v>0</v>
      </c>
      <c r="H54" s="995">
        <f>'12. Разходи'!F54-'12. Разходи'!$C54</f>
        <v>0</v>
      </c>
      <c r="I54" s="1219">
        <f>IFERROR(('12. Разходи'!F54-'12. Разходи'!$C54)/'12. Разходи'!$C54,0)</f>
        <v>0</v>
      </c>
      <c r="J54" s="995">
        <f>'12. Разходи'!G54-'12. Разходи'!$C54</f>
        <v>0</v>
      </c>
      <c r="K54" s="1218">
        <f>IFERROR(('12. Разходи'!G54-'12. Разходи'!$C54)/'12. Разходи'!$C54,0)</f>
        <v>0</v>
      </c>
      <c r="L54" s="1226">
        <f>'12. Разходи'!H54-'12. Разходи'!$C54</f>
        <v>0</v>
      </c>
      <c r="M54" s="1218">
        <f>IFERROR(('12. Разходи'!H54-'12. Разходи'!$C54)/'12. Разходи'!$C54,0)</f>
        <v>0</v>
      </c>
      <c r="N54" s="1270">
        <f>'12. Разходи'!K54</f>
        <v>0</v>
      </c>
      <c r="O54" s="1231">
        <f>'12. Разходи'!L54-'12. Разходи'!$K54</f>
        <v>0</v>
      </c>
      <c r="P54" s="1211">
        <f>IFERROR(('12. Разходи'!L54-'12. Разходи'!$K54)/'12. Разходи'!$K54,0)</f>
        <v>0</v>
      </c>
      <c r="Q54" s="995">
        <f>'12. Разходи'!M54-'12. Разходи'!$K54</f>
        <v>0</v>
      </c>
      <c r="R54" s="1219">
        <f>IFERROR(('12. Разходи'!M54-'12. Разходи'!$K54)/'12. Разходи'!$K54,0)</f>
        <v>0</v>
      </c>
      <c r="S54" s="995">
        <f>'12. Разходи'!N54-'12. Разходи'!$K54</f>
        <v>0</v>
      </c>
      <c r="T54" s="1219">
        <f>IFERROR(('12. Разходи'!N54-'12. Разходи'!$K54)/'12. Разходи'!$K54,0)</f>
        <v>0</v>
      </c>
      <c r="U54" s="995">
        <f>'12. Разходи'!O54-'12. Разходи'!$K54</f>
        <v>0</v>
      </c>
      <c r="V54" s="1218">
        <f>IFERROR(('12. Разходи'!O54-'12. Разходи'!$K54)/'12. Разходи'!$K54,0)</f>
        <v>0</v>
      </c>
      <c r="W54" s="1226">
        <f>'12. Разходи'!P54-'12. Разходи'!$K54</f>
        <v>0</v>
      </c>
      <c r="X54" s="1276">
        <f>IFERROR(('12. Разходи'!P54-'12. Разходи'!$K54)/'12. Разходи'!$K54,0)</f>
        <v>0</v>
      </c>
      <c r="Y54" s="1270">
        <f>'12. Разходи'!S54</f>
        <v>0</v>
      </c>
      <c r="Z54" s="1231">
        <f>'12. Разходи'!T54-'12. Разходи'!$S54</f>
        <v>0</v>
      </c>
      <c r="AA54" s="1211">
        <f>IFERROR(('12. Разходи'!T54-'12. Разходи'!$S54)/'12. Разходи'!$S54,0)</f>
        <v>0</v>
      </c>
      <c r="AB54" s="995">
        <f>'12. Разходи'!U54-'12. Разходи'!$S54</f>
        <v>0</v>
      </c>
      <c r="AC54" s="1219">
        <f>IFERROR(('12. Разходи'!U54-'12. Разходи'!$S54)/'12. Разходи'!$S54,0)</f>
        <v>0</v>
      </c>
      <c r="AD54" s="995">
        <f>'12. Разходи'!V54-'12. Разходи'!$S54</f>
        <v>0</v>
      </c>
      <c r="AE54" s="1219">
        <f>IFERROR(('12. Разходи'!V54-'12. Разходи'!$S54)/'12. Разходи'!$S54,0)</f>
        <v>0</v>
      </c>
      <c r="AF54" s="995">
        <f>'12. Разходи'!W54-'12. Разходи'!$S54</f>
        <v>0</v>
      </c>
      <c r="AG54" s="1218">
        <f>IFERROR(('12. Разходи'!W54-'12. Разходи'!$S54)/'12. Разходи'!$S54,0)</f>
        <v>0</v>
      </c>
      <c r="AH54" s="1226">
        <f>'12. Разходи'!X54-'12. Разходи'!$S54</f>
        <v>0</v>
      </c>
      <c r="AI54" s="1276">
        <f>IFERROR(('12. Разходи'!X54-'12. Разходи'!$S54)/'12. Разходи'!$S54,0)</f>
        <v>0</v>
      </c>
      <c r="AJ54" s="1270">
        <f>'12. Разходи'!AA54</f>
        <v>0</v>
      </c>
      <c r="AK54" s="1231">
        <f>'12. Разходи'!AB54-'12. Разходи'!$AA54</f>
        <v>1</v>
      </c>
      <c r="AL54" s="1211">
        <f>IFERROR(('12. Разходи'!AB54-'12. Разходи'!$AA54)/'12. Разходи'!$AA54,0)</f>
        <v>0</v>
      </c>
      <c r="AM54" s="995">
        <f>'12. Разходи'!AC54-'12. Разходи'!$AA54</f>
        <v>1</v>
      </c>
      <c r="AN54" s="1219">
        <f>IFERROR(('12. Разходи'!AC54-'12. Разходи'!$AA54)/'12. Разходи'!$AA54,0)</f>
        <v>0</v>
      </c>
      <c r="AO54" s="995">
        <f>'12. Разходи'!AD54-'12. Разходи'!$AA54</f>
        <v>1</v>
      </c>
      <c r="AP54" s="1219">
        <f>IFERROR(('12. Разходи'!AD54-'12. Разходи'!$AA54)/'12. Разходи'!$AA54,0)</f>
        <v>0</v>
      </c>
      <c r="AQ54" s="995">
        <f>'12. Разходи'!AE54-'12. Разходи'!$AA54</f>
        <v>1</v>
      </c>
      <c r="AR54" s="1218">
        <f>IFERROR(('12. Разходи'!AE54-'12. Разходи'!$AA54)/'12. Разходи'!$AA54,0)</f>
        <v>0</v>
      </c>
      <c r="AS54" s="1226">
        <f>'12. Разходи'!AF54-'12. Разходи'!$AA54</f>
        <v>1</v>
      </c>
      <c r="AT54" s="1276">
        <f>IFERROR(('12. Разходи'!AF54-'12. Разходи'!$AA54)/'12. Разходи'!$AA54,0)</f>
        <v>0</v>
      </c>
      <c r="AU54" s="1270">
        <f>'12. Разходи'!AI54</f>
        <v>0</v>
      </c>
      <c r="AV54" s="1231">
        <f>'12. Разходи'!AJ54-'12. Разходи'!$AI54</f>
        <v>0</v>
      </c>
      <c r="AW54" s="1211">
        <f>IFERROR(('12. Разходи'!AJ54-'12. Разходи'!$AI54)/'12. Разходи'!$AI54,0)</f>
        <v>0</v>
      </c>
      <c r="AX54" s="995">
        <f>'12. Разходи'!AK54-'12. Разходи'!$AI54</f>
        <v>0</v>
      </c>
      <c r="AY54" s="1219">
        <f>IFERROR(('12. Разходи'!AK54-'12. Разходи'!$AI54)/'12. Разходи'!$AI54,0)</f>
        <v>0</v>
      </c>
      <c r="AZ54" s="995">
        <f>'12. Разходи'!AL54-'12. Разходи'!$AI54</f>
        <v>0</v>
      </c>
      <c r="BA54" s="1219">
        <f>IFERROR(('12. Разходи'!AL54-'12. Разходи'!$AI54)/'12. Разходи'!$AI54,0)</f>
        <v>0</v>
      </c>
      <c r="BB54" s="995">
        <f>'12. Разходи'!AM54-'12. Разходи'!$AI54</f>
        <v>0</v>
      </c>
      <c r="BC54" s="1218">
        <f>IFERROR(('12. Разходи'!AM54-'12. Разходи'!$AI54)/'12. Разходи'!$AI54,0)</f>
        <v>0</v>
      </c>
      <c r="BD54" s="1226">
        <f>'12. Разходи'!AN54-'12. Разходи'!$AI54</f>
        <v>0</v>
      </c>
      <c r="BE54" s="1276">
        <f>IFERROR(('12. Разходи'!AN54-'12. Разходи'!$AI54)/'12. Разходи'!$AI54,0)</f>
        <v>0</v>
      </c>
      <c r="BF54" s="736"/>
      <c r="BG54" s="736"/>
      <c r="BH54" s="736"/>
      <c r="BI54" s="736"/>
      <c r="BJ54" s="736"/>
      <c r="BK54" s="736"/>
      <c r="BL54" s="736"/>
      <c r="BM54" s="736"/>
      <c r="BN54" s="736"/>
    </row>
    <row r="55" spans="1:66" s="1250" customFormat="1" ht="15.95" customHeight="1" thickBot="1">
      <c r="A55" s="120">
        <v>3</v>
      </c>
      <c r="B55" s="981" t="s">
        <v>451</v>
      </c>
      <c r="C55" s="1200">
        <f>'12. Разходи'!C55</f>
        <v>634.44000000000005</v>
      </c>
      <c r="D55" s="1238">
        <f>'12. Разходи'!D55-'12. Разходи'!$C55</f>
        <v>-52.712063504187768</v>
      </c>
      <c r="E55" s="962">
        <f>IFERROR(('12. Разходи'!D55-'12. Разходи'!$C55)/'12. Разходи'!$C55,0)</f>
        <v>-8.3084394906039596E-2</v>
      </c>
      <c r="F55" s="1237">
        <f>'12. Разходи'!E55-'12. Разходи'!$C55</f>
        <v>-25.885737790139956</v>
      </c>
      <c r="G55" s="962">
        <f>IFERROR(('12. Разходи'!E55-'12. Разходи'!$C55)/'12. Разходи'!$C55,0)</f>
        <v>-4.0800923318422472E-2</v>
      </c>
      <c r="H55" s="1237">
        <f>'12. Разходи'!F55-'12. Разходи'!$C55</f>
        <v>34.293701838332026</v>
      </c>
      <c r="I55" s="971">
        <f>IFERROR(('12. Разходи'!F55-'12. Разходи'!$C55)/'12. Разходи'!$C55,0)</f>
        <v>5.4053498894035719E-2</v>
      </c>
      <c r="J55" s="1240">
        <f>'12. Разходи'!G55-'12. Разходи'!$C55</f>
        <v>68.241633447709546</v>
      </c>
      <c r="K55" s="971">
        <f>IFERROR(('12. Разходи'!G55-'12. Разходи'!$C55)/'12. Разходи'!$C55,0)</f>
        <v>0.10756199711195627</v>
      </c>
      <c r="L55" s="1237">
        <f>'12. Разходи'!H55-'12. Разходи'!$C55</f>
        <v>93.603326568581224</v>
      </c>
      <c r="M55" s="971">
        <f>IFERROR(('12. Разходи'!H55-'12. Разходи'!$C55)/'12. Разходи'!$C55,0)</f>
        <v>0.14753692479758718</v>
      </c>
      <c r="N55" s="1254">
        <f>'12. Разходи'!K55</f>
        <v>109.28999999999999</v>
      </c>
      <c r="O55" s="1238">
        <f>'12. Разходи'!L55-'12. Разходи'!$K55</f>
        <v>-11.787616185371377</v>
      </c>
      <c r="P55" s="962">
        <f>IFERROR(('12. Разходи'!L55-'12. Разходи'!$K55)/'12. Разходи'!$K55,0)</f>
        <v>-0.10785631059906101</v>
      </c>
      <c r="Q55" s="1237">
        <f>'12. Разходи'!M55-'12. Разходи'!$K55</f>
        <v>28.055248564640209</v>
      </c>
      <c r="R55" s="962">
        <f>IFERROR(('12. Разходи'!M55-'12. Разходи'!$K55)/'12. Разходи'!$K55,0)</f>
        <v>0.25670462590026727</v>
      </c>
      <c r="S55" s="1237">
        <f>'12. Разходи'!N55-'12. Разходи'!$K55</f>
        <v>79.879427846502011</v>
      </c>
      <c r="T55" s="971">
        <f>IFERROR(('12. Разходи'!N55-'12. Разходи'!$K55)/'12. Разходи'!$K55,0)</f>
        <v>0.7308942066657701</v>
      </c>
      <c r="U55" s="1240">
        <f>'12. Разходи'!O55-'12. Разходи'!$K55</f>
        <v>273.90717714074356</v>
      </c>
      <c r="V55" s="971">
        <f>IFERROR(('12. Разходи'!O55-'12. Разходи'!$K55)/'12. Разходи'!$K55,0)</f>
        <v>2.5062418989911572</v>
      </c>
      <c r="W55" s="1237">
        <f>'12. Разходи'!P55-'12. Разходи'!$K55</f>
        <v>271.47964244761488</v>
      </c>
      <c r="X55" s="898">
        <f>IFERROR(('12. Разходи'!P55-'12. Разходи'!$K55)/'12. Разходи'!$K55,0)</f>
        <v>2.4840300342905564</v>
      </c>
      <c r="Y55" s="1254">
        <f>'12. Разходи'!S55</f>
        <v>34.380000000000003</v>
      </c>
      <c r="Z55" s="1238">
        <f>'12. Разходи'!T55-'12. Разходи'!$S55</f>
        <v>10.170219689559111</v>
      </c>
      <c r="AA55" s="962">
        <f>IFERROR(('12. Разходи'!T55-'12. Разходи'!$S55)/'12. Разходи'!$S55,0)</f>
        <v>0.29581790836413935</v>
      </c>
      <c r="AB55" s="1237">
        <f>'12. Разходи'!U55-'12. Разходи'!$S55</f>
        <v>60.498039225499845</v>
      </c>
      <c r="AC55" s="962">
        <f>IFERROR(('12. Разходи'!U55-'12. Разходи'!$S55)/'12. Разходи'!$S55,0)</f>
        <v>1.7596870048138407</v>
      </c>
      <c r="AD55" s="1237">
        <f>'12. Разходи'!V55-'12. Разходи'!$S55</f>
        <v>84.759520315166043</v>
      </c>
      <c r="AE55" s="971">
        <f>IFERROR(('12. Разходи'!V55-'12. Разходи'!$S55)/'12. Разходи'!$S55,0)</f>
        <v>2.4653729003829561</v>
      </c>
      <c r="AF55" s="1240">
        <f>'12. Разходи'!W55-'12. Разходи'!$S55</f>
        <v>168.52883941154715</v>
      </c>
      <c r="AG55" s="971">
        <f>IFERROR(('12. Разходи'!W55-'12. Разходи'!$S55)/'12. Разходи'!$S55,0)</f>
        <v>4.9019441364615224</v>
      </c>
      <c r="AH55" s="1237">
        <f>'12. Разходи'!X55-'12. Разходи'!$S55</f>
        <v>168.95668098380389</v>
      </c>
      <c r="AI55" s="898">
        <f>IFERROR(('12. Разходи'!X55-'12. Разходи'!$S55)/'12. Разходи'!$S55,0)</f>
        <v>4.9143886266376926</v>
      </c>
      <c r="AJ55" s="1254">
        <f>'12. Разходи'!AA55</f>
        <v>0.80000000000000016</v>
      </c>
      <c r="AK55" s="1238">
        <f>'12. Разходи'!AB55-'12. Разходи'!$AA55</f>
        <v>7.3130000000000028E-2</v>
      </c>
      <c r="AL55" s="962">
        <f>IFERROR(('12. Разходи'!AB55-'12. Разходи'!$AA55)/'12. Разходи'!$AA55,0)</f>
        <v>9.1412500000000022E-2</v>
      </c>
      <c r="AM55" s="1237">
        <f>'12. Разходи'!AC55-'12. Разходи'!$AA55</f>
        <v>0.17313000000000012</v>
      </c>
      <c r="AN55" s="962">
        <f>IFERROR(('12. Разходи'!AC55-'12. Разходи'!$AA55)/'12. Разходи'!$AA55,0)</f>
        <v>0.21641250000000009</v>
      </c>
      <c r="AO55" s="1237">
        <f>'12. Разходи'!AD55-'12. Разходи'!$AA55</f>
        <v>-0.57687000000000022</v>
      </c>
      <c r="AP55" s="971">
        <f>IFERROR(('12. Разходи'!AD55-'12. Разходи'!$AA55)/'12. Разходи'!$AA55,0)</f>
        <v>-0.7210875000000001</v>
      </c>
      <c r="AQ55" s="1240">
        <f>'12. Разходи'!AE55-'12. Разходи'!$AA55</f>
        <v>-0.57687000000000022</v>
      </c>
      <c r="AR55" s="971">
        <f>IFERROR(('12. Разходи'!AE55-'12. Разходи'!$AA55)/'12. Разходи'!$AA55,0)</f>
        <v>-0.7210875000000001</v>
      </c>
      <c r="AS55" s="1237">
        <f>'12. Разходи'!AF55-'12. Разходи'!$AA55</f>
        <v>-0.57687000000000022</v>
      </c>
      <c r="AT55" s="898">
        <f>IFERROR(('12. Разходи'!AF55-'12. Разходи'!$AA55)/'12. Разходи'!$AA55,0)</f>
        <v>-0.7210875000000001</v>
      </c>
      <c r="AU55" s="1254">
        <f>'12. Разходи'!AI55</f>
        <v>0</v>
      </c>
      <c r="AV55" s="1238">
        <f>'12. Разходи'!AJ55-'12. Разходи'!$AI55</f>
        <v>0</v>
      </c>
      <c r="AW55" s="962">
        <f>IFERROR(('12. Разходи'!AJ55-'12. Разходи'!$AI55)/'12. Разходи'!$AI55,0)</f>
        <v>0</v>
      </c>
      <c r="AX55" s="1237">
        <f>'12. Разходи'!AK55-'12. Разходи'!$AI55</f>
        <v>0</v>
      </c>
      <c r="AY55" s="962">
        <f>IFERROR(('12. Разходи'!AK55-'12. Разходи'!$AI55)/'12. Разходи'!$AI55,0)</f>
        <v>0</v>
      </c>
      <c r="AZ55" s="1237">
        <f>'12. Разходи'!AL55-'12. Разходи'!$AI55</f>
        <v>0</v>
      </c>
      <c r="BA55" s="971">
        <f>IFERROR(('12. Разходи'!AL55-'12. Разходи'!$AI55)/'12. Разходи'!$AI55,0)</f>
        <v>0</v>
      </c>
      <c r="BB55" s="1240">
        <f>'12. Разходи'!AM55-'12. Разходи'!$AI55</f>
        <v>0</v>
      </c>
      <c r="BC55" s="971">
        <f>IFERROR(('12. Разходи'!AM55-'12. Разходи'!$AI55)/'12. Разходи'!$AI55,0)</f>
        <v>0</v>
      </c>
      <c r="BD55" s="1237">
        <f>'12. Разходи'!AN55-'12. Разходи'!$AI55</f>
        <v>0</v>
      </c>
      <c r="BE55" s="898">
        <f>IFERROR(('12. Разходи'!AN55-'12. Разходи'!$AI55)/'12. Разходи'!$AI55,0)</f>
        <v>0</v>
      </c>
      <c r="BF55" s="1251"/>
      <c r="BG55" s="1251"/>
      <c r="BH55" s="1251"/>
      <c r="BI55" s="1251"/>
      <c r="BJ55" s="1251"/>
      <c r="BK55" s="1251"/>
      <c r="BL55" s="1251"/>
      <c r="BM55" s="1251"/>
      <c r="BN55" s="1251"/>
    </row>
    <row r="56" spans="1:66" ht="15.95" customHeight="1">
      <c r="A56" s="1649" t="s">
        <v>268</v>
      </c>
      <c r="B56" s="1650" t="s">
        <v>452</v>
      </c>
      <c r="C56" s="1651">
        <f>'12. Разходи'!C56</f>
        <v>159</v>
      </c>
      <c r="D56" s="1652">
        <f>'12. Разходи'!D56-'12. Разходи'!$C56</f>
        <v>54.395255273536662</v>
      </c>
      <c r="E56" s="1653">
        <f>IFERROR(('12. Разходи'!D56-'12. Разходи'!$C56)/'12. Разходи'!$C56,0)</f>
        <v>0.34210852373293499</v>
      </c>
      <c r="F56" s="1654">
        <f>'12. Разходи'!E56-'12. Разходи'!$C56</f>
        <v>64.188823328277635</v>
      </c>
      <c r="G56" s="1653">
        <f>IFERROR(('12. Разходи'!E56-'12. Разходи'!$C56)/'12. Разходи'!$C56,0)</f>
        <v>0.4037032913728153</v>
      </c>
      <c r="H56" s="1654">
        <f>'12. Разходи'!F56-'12. Разходи'!$C56</f>
        <v>73.61737966001067</v>
      </c>
      <c r="I56" s="1653">
        <f>IFERROR(('12. Разходи'!F56-'12. Разходи'!$C56)/'12. Разходи'!$C56,0)</f>
        <v>0.46300238779880926</v>
      </c>
      <c r="J56" s="1654">
        <f>'12. Разходи'!G56-'12. Разходи'!$C56</f>
        <v>67.319241988052227</v>
      </c>
      <c r="K56" s="1655">
        <f>IFERROR(('12. Разходи'!G56-'12. Разходи'!$C56)/'12. Разходи'!$C56,0)</f>
        <v>0.4233914590443536</v>
      </c>
      <c r="L56" s="1654">
        <f>'12. Разходи'!H56-'12. Разходи'!$C56</f>
        <v>92.677135965683618</v>
      </c>
      <c r="M56" s="1655">
        <f>IFERROR(('12. Разходи'!H56-'12. Разходи'!$C56)/'12. Разходи'!$C56,0)</f>
        <v>0.5828750689665636</v>
      </c>
      <c r="N56" s="1656">
        <f>'12. Разходи'!K56</f>
        <v>68</v>
      </c>
      <c r="O56" s="1652">
        <f>'12. Разходи'!L56-'12. Разходи'!$K56</f>
        <v>6.8245658186046967</v>
      </c>
      <c r="P56" s="1653">
        <f>IFERROR(('12. Разходи'!L56-'12. Разходи'!$K56)/'12. Разходи'!$K56,0)</f>
        <v>0.10036126203830437</v>
      </c>
      <c r="Q56" s="1654">
        <f>'12. Разходи'!M56-'12. Разходи'!$K56</f>
        <v>15.180832090129371</v>
      </c>
      <c r="R56" s="1653">
        <f>IFERROR(('12. Разходи'!M56-'12. Разходи'!$K56)/'12. Разходи'!$K56,0)</f>
        <v>0.22324753073719664</v>
      </c>
      <c r="S56" s="1654">
        <f>'12. Разходи'!N56-'12. Разходи'!$K56</f>
        <v>20.288973128729907</v>
      </c>
      <c r="T56" s="1653">
        <f>IFERROR(('12. Разходи'!N56-'12. Разходи'!$K56)/'12. Разходи'!$K56,0)</f>
        <v>0.29836725189308688</v>
      </c>
      <c r="U56" s="1654">
        <f>'12. Разходи'!O56-'12. Разходи'!$K56</f>
        <v>1.9174088641660489</v>
      </c>
      <c r="V56" s="1655">
        <f>IFERROR(('12. Разходи'!O56-'12. Разходи'!$K56)/'12. Разходи'!$K56,0)</f>
        <v>2.8197189178912483E-2</v>
      </c>
      <c r="W56" s="1654">
        <f>'12. Разходи'!P56-'12. Разходи'!$K56</f>
        <v>-1.9043156353545356</v>
      </c>
      <c r="X56" s="1657">
        <f>IFERROR(('12. Разходи'!P56-'12. Разходи'!$K56)/'12. Разходи'!$K56,0)</f>
        <v>-2.800464169639023E-2</v>
      </c>
      <c r="Y56" s="1656">
        <f>'12. Разходи'!S56</f>
        <v>15.8</v>
      </c>
      <c r="Z56" s="1652">
        <f>'12. Разходи'!T56-'12. Разходи'!$S56</f>
        <v>-0.5876610921413068</v>
      </c>
      <c r="AA56" s="1653">
        <f>IFERROR(('12. Разходи'!T56-'12. Разходи'!$S56)/'12. Разходи'!$S56,0)</f>
        <v>-3.7193740008943467E-2</v>
      </c>
      <c r="AB56" s="1654">
        <f>'12. Разходи'!U56-'12. Разходи'!$S56</f>
        <v>1.4125045815930442</v>
      </c>
      <c r="AC56" s="1653">
        <f>IFERROR(('12. Разходи'!U56-'12. Разходи'!$S56)/'12. Разходи'!$S56,0)</f>
        <v>8.9399024151458492E-2</v>
      </c>
      <c r="AD56" s="1654">
        <f>'12. Разходи'!V56-'12. Разходи'!$S56</f>
        <v>1.2358072112594662</v>
      </c>
      <c r="AE56" s="1653">
        <f>IFERROR(('12. Разходи'!V56-'12. Разходи'!$S56)/'12. Разходи'!$S56,0)</f>
        <v>7.82156462822447E-2</v>
      </c>
      <c r="AF56" s="1654">
        <f>'12. Разходи'!W56-'12. Разходи'!$S56</f>
        <v>-1.1494908522182001</v>
      </c>
      <c r="AG56" s="1655">
        <f>IFERROR(('12. Разходи'!W56-'12. Разходи'!$S56)/'12. Разходи'!$S56,0)</f>
        <v>-7.2752585583430382E-2</v>
      </c>
      <c r="AH56" s="1654">
        <f>'12. Разходи'!X56-'12. Разходи'!$S56</f>
        <v>-0.72566033032919464</v>
      </c>
      <c r="AI56" s="1657">
        <f>IFERROR(('12. Разходи'!X56-'12. Разходи'!$S56)/'12. Разходи'!$S56,0)</f>
        <v>-4.5927869008176872E-2</v>
      </c>
      <c r="AJ56" s="1656">
        <f>'12. Разходи'!AA56</f>
        <v>0.80000000000000016</v>
      </c>
      <c r="AK56" s="1652">
        <f>'12. Разходи'!AB56-'12. Разходи'!$AA56</f>
        <v>7.3130000000000028E-2</v>
      </c>
      <c r="AL56" s="1653">
        <f>IFERROR(('12. Разходи'!AB56-'12. Разходи'!$AA56)/'12. Разходи'!$AA56,0)</f>
        <v>9.1412500000000022E-2</v>
      </c>
      <c r="AM56" s="1654">
        <f>'12. Разходи'!AC56-'12. Разходи'!$AA56</f>
        <v>0.17313000000000012</v>
      </c>
      <c r="AN56" s="1653">
        <f>IFERROR(('12. Разходи'!AC56-'12. Разходи'!$AA56)/'12. Разходи'!$AA56,0)</f>
        <v>0.21641250000000009</v>
      </c>
      <c r="AO56" s="1654">
        <f>'12. Разходи'!AD56-'12. Разходи'!$AA56</f>
        <v>-0.57687000000000022</v>
      </c>
      <c r="AP56" s="1653">
        <f>IFERROR(('12. Разходи'!AD56-'12. Разходи'!$AA56)/'12. Разходи'!$AA56,0)</f>
        <v>-0.7210875000000001</v>
      </c>
      <c r="AQ56" s="1654">
        <f>'12. Разходи'!AE56-'12. Разходи'!$AA56</f>
        <v>-0.57687000000000022</v>
      </c>
      <c r="AR56" s="1655">
        <f>IFERROR(('12. Разходи'!AE56-'12. Разходи'!$AA56)/'12. Разходи'!$AA56,0)</f>
        <v>-0.7210875000000001</v>
      </c>
      <c r="AS56" s="1654">
        <f>'12. Разходи'!AF56-'12. Разходи'!$AA56</f>
        <v>-0.57687000000000022</v>
      </c>
      <c r="AT56" s="1657">
        <f>IFERROR(('12. Разходи'!AF56-'12. Разходи'!$AA56)/'12. Разходи'!$AA56,0)</f>
        <v>-0.7210875000000001</v>
      </c>
      <c r="AU56" s="1656">
        <f>'12. Разходи'!AI56</f>
        <v>0</v>
      </c>
      <c r="AV56" s="1652">
        <f>'12. Разходи'!AJ56-'12. Разходи'!$AI56</f>
        <v>0</v>
      </c>
      <c r="AW56" s="1653">
        <f>IFERROR(('12. Разходи'!AJ56-'12. Разходи'!$AI56)/'12. Разходи'!$AI56,0)</f>
        <v>0</v>
      </c>
      <c r="AX56" s="1654">
        <f>'12. Разходи'!AK56-'12. Разходи'!$AI56</f>
        <v>0</v>
      </c>
      <c r="AY56" s="1653">
        <f>IFERROR(('12. Разходи'!AK56-'12. Разходи'!$AI56)/'12. Разходи'!$AI56,0)</f>
        <v>0</v>
      </c>
      <c r="AZ56" s="1654">
        <f>'12. Разходи'!AL56-'12. Разходи'!$AI56</f>
        <v>0</v>
      </c>
      <c r="BA56" s="1653">
        <f>IFERROR(('12. Разходи'!AL56-'12. Разходи'!$AI56)/'12. Разходи'!$AI56,0)</f>
        <v>0</v>
      </c>
      <c r="BB56" s="1654">
        <f>'12. Разходи'!AM56-'12. Разходи'!$AI56</f>
        <v>0</v>
      </c>
      <c r="BC56" s="1655">
        <f>IFERROR(('12. Разходи'!AM56-'12. Разходи'!$AI56)/'12. Разходи'!$AI56,0)</f>
        <v>0</v>
      </c>
      <c r="BD56" s="1654">
        <f>'12. Разходи'!AN56-'12. Разходи'!$AI56</f>
        <v>0</v>
      </c>
      <c r="BE56" s="1657">
        <f>IFERROR(('12. Разходи'!AN56-'12. Разходи'!$AI56)/'12. Разходи'!$AI56,0)</f>
        <v>0</v>
      </c>
      <c r="BF56" s="748"/>
      <c r="BG56" s="748"/>
      <c r="BH56" s="748"/>
      <c r="BI56" s="748"/>
      <c r="BJ56" s="748"/>
      <c r="BK56" s="748"/>
      <c r="BL56" s="748"/>
      <c r="BM56" s="748"/>
      <c r="BN56" s="748"/>
    </row>
    <row r="57" spans="1:66" ht="24">
      <c r="A57" s="1658" t="s">
        <v>269</v>
      </c>
      <c r="B57" s="1650" t="s">
        <v>744</v>
      </c>
      <c r="C57" s="1651">
        <f>'12. Разходи'!C57</f>
        <v>79</v>
      </c>
      <c r="D57" s="1233">
        <f>'12. Разходи'!D57-'12. Разходи'!$C57</f>
        <v>64.352681222275663</v>
      </c>
      <c r="E57" s="964">
        <f>IFERROR(('12. Разходи'!D57-'12. Разходи'!$C57)/'12. Разходи'!$C57,0)</f>
        <v>0.81459090154779323</v>
      </c>
      <c r="F57" s="1223">
        <f>'12. Разходи'!E57-'12. Разходи'!$C57</f>
        <v>117.0254388815824</v>
      </c>
      <c r="G57" s="964">
        <f>IFERROR(('12. Разходи'!E57-'12. Разходи'!$C57)/'12. Разходи'!$C57,0)</f>
        <v>1.481334669387119</v>
      </c>
      <c r="H57" s="1223">
        <f>'12. Разходи'!F57-'12. Разходи'!$C57</f>
        <v>151.16632217832139</v>
      </c>
      <c r="I57" s="964">
        <f>IFERROR(('12. Разходи'!F57-'12. Разходи'!$C57)/'12. Разходи'!$C57,0)</f>
        <v>1.9134977490926759</v>
      </c>
      <c r="J57" s="1223">
        <f>'12. Разходи'!G57-'12. Разходи'!$C57</f>
        <v>167.56239145965728</v>
      </c>
      <c r="K57" s="997">
        <f>IFERROR(('12. Разходи'!G57-'12. Разходи'!$C57)/'12. Разходи'!$C57,0)</f>
        <v>2.1210429298690796</v>
      </c>
      <c r="L57" s="1223">
        <f>'12. Разходи'!H57-'12. Разходи'!$C57</f>
        <v>172.6861906028976</v>
      </c>
      <c r="M57" s="997">
        <f>IFERROR(('12. Разходи'!H57-'12. Разходи'!$C57)/'12. Разходи'!$C57,0)</f>
        <v>2.1859011468721214</v>
      </c>
      <c r="N57" s="1256">
        <f>'12. Разходи'!K57</f>
        <v>3</v>
      </c>
      <c r="O57" s="1233">
        <f>'12. Разходи'!L57-'12. Разходи'!$K57</f>
        <v>8.787817996023918</v>
      </c>
      <c r="P57" s="964">
        <f>IFERROR(('12. Разходи'!L57-'12. Разходи'!$K57)/'12. Разходи'!$K57,0)</f>
        <v>2.9292726653413061</v>
      </c>
      <c r="Q57" s="1223">
        <f>'12. Разходи'!M57-'12. Разходи'!$K57</f>
        <v>50.424416474510835</v>
      </c>
      <c r="R57" s="964">
        <f>IFERROR(('12. Разходи'!M57-'12. Разходи'!$K57)/'12. Разходи'!$K57,0)</f>
        <v>16.808138824836945</v>
      </c>
      <c r="S57" s="1223">
        <f>'12. Разходи'!N57-'12. Разходи'!$K57</f>
        <v>85.360454717772086</v>
      </c>
      <c r="T57" s="964">
        <f>IFERROR(('12. Разходи'!N57-'12. Разходи'!$K57)/'12. Разходи'!$K57,0)</f>
        <v>28.453484905924029</v>
      </c>
      <c r="U57" s="1223">
        <f>'12. Разходи'!O57-'12. Разходи'!$K57</f>
        <v>87.629768276577451</v>
      </c>
      <c r="V57" s="997">
        <f>IFERROR(('12. Разходи'!O57-'12. Разходи'!$K57)/'12. Разходи'!$K57,0)</f>
        <v>29.20992275885915</v>
      </c>
      <c r="W57" s="1223">
        <f>'12. Разходи'!P57-'12. Разходи'!$K57</f>
        <v>89.563958082969421</v>
      </c>
      <c r="X57" s="900">
        <f>IFERROR(('12. Разходи'!P57-'12. Разходи'!$K57)/'12. Разходи'!$K57,0)</f>
        <v>29.854652694323139</v>
      </c>
      <c r="Y57" s="1256">
        <f>'12. Разходи'!S57</f>
        <v>3.3</v>
      </c>
      <c r="Z57" s="1233">
        <f>'12. Разходи'!T57-'12. Разходи'!$S57</f>
        <v>25.457880781700421</v>
      </c>
      <c r="AA57" s="964">
        <f>IFERROR(('12. Разходи'!T57-'12. Разходи'!$S57)/'12. Разходи'!$S57,0)</f>
        <v>7.714509327788007</v>
      </c>
      <c r="AB57" s="1223">
        <f>'12. Разходи'!U57-'12. Разходи'!$S57</f>
        <v>74.095534643906802</v>
      </c>
      <c r="AC57" s="964">
        <f>IFERROR(('12. Разходи'!U57-'12. Разходи'!$S57)/'12. Разходи'!$S57,0)</f>
        <v>22.453192316335397</v>
      </c>
      <c r="AD57" s="1223">
        <f>'12. Разходи'!V57-'12. Разходи'!$S57</f>
        <v>98.303713103906574</v>
      </c>
      <c r="AE57" s="964">
        <f>IFERROR(('12. Разходи'!V57-'12. Разходи'!$S57)/'12. Разходи'!$S57,0)</f>
        <v>29.789003970880781</v>
      </c>
      <c r="AF57" s="1223">
        <f>'12. Разходи'!W57-'12. Разходи'!$S57</f>
        <v>100.02833026376534</v>
      </c>
      <c r="AG57" s="997">
        <f>IFERROR(('12. Разходи'!W57-'12. Разходи'!$S57)/'12. Разходи'!$S57,0)</f>
        <v>30.311615231444044</v>
      </c>
      <c r="AH57" s="1223">
        <f>'12. Разходи'!X57-'12. Разходи'!$S57</f>
        <v>100.56234131413306</v>
      </c>
      <c r="AI57" s="900">
        <f>IFERROR(('12. Разходи'!X57-'12. Разходи'!$S57)/'12. Разходи'!$S57,0)</f>
        <v>30.473436761858505</v>
      </c>
      <c r="AJ57" s="1256">
        <f>'12. Разходи'!AA57</f>
        <v>0</v>
      </c>
      <c r="AK57" s="1233">
        <f>'12. Разходи'!AB57-'12. Разходи'!$AA57</f>
        <v>0</v>
      </c>
      <c r="AL57" s="964">
        <f>IFERROR(('12. Разходи'!AB57-'12. Разходи'!$AA57)/'12. Разходи'!$AA57,0)</f>
        <v>0</v>
      </c>
      <c r="AM57" s="1223">
        <f>'12. Разходи'!AC57-'12. Разходи'!$AA57</f>
        <v>0</v>
      </c>
      <c r="AN57" s="964">
        <f>IFERROR(('12. Разходи'!AC57-'12. Разходи'!$AA57)/'12. Разходи'!$AA57,0)</f>
        <v>0</v>
      </c>
      <c r="AO57" s="1223">
        <f>'12. Разходи'!AD57-'12. Разходи'!$AA57</f>
        <v>0</v>
      </c>
      <c r="AP57" s="964">
        <f>IFERROR(('12. Разходи'!AD57-'12. Разходи'!$AA57)/'12. Разходи'!$AA57,0)</f>
        <v>0</v>
      </c>
      <c r="AQ57" s="1223">
        <f>'12. Разходи'!AE57-'12. Разходи'!$AA57</f>
        <v>0</v>
      </c>
      <c r="AR57" s="997">
        <f>IFERROR(('12. Разходи'!AE57-'12. Разходи'!$AA57)/'12. Разходи'!$AA57,0)</f>
        <v>0</v>
      </c>
      <c r="AS57" s="1223">
        <f>'12. Разходи'!AF57-'12. Разходи'!$AA57</f>
        <v>0</v>
      </c>
      <c r="AT57" s="900">
        <f>IFERROR(('12. Разходи'!AF57-'12. Разходи'!$AA57)/'12. Разходи'!$AA57,0)</f>
        <v>0</v>
      </c>
      <c r="AU57" s="1256">
        <f>'12. Разходи'!AI57</f>
        <v>0</v>
      </c>
      <c r="AV57" s="1233">
        <f>'12. Разходи'!AJ57-'12. Разходи'!$AI57</f>
        <v>0</v>
      </c>
      <c r="AW57" s="964">
        <f>IFERROR(('12. Разходи'!AJ57-'12. Разходи'!$AI57)/'12. Разходи'!$AI57,0)</f>
        <v>0</v>
      </c>
      <c r="AX57" s="1223">
        <f>'12. Разходи'!AK57-'12. Разходи'!$AI57</f>
        <v>0</v>
      </c>
      <c r="AY57" s="964">
        <f>IFERROR(('12. Разходи'!AK57-'12. Разходи'!$AI57)/'12. Разходи'!$AI57,0)</f>
        <v>0</v>
      </c>
      <c r="AZ57" s="1223">
        <f>'12. Разходи'!AL57-'12. Разходи'!$AI57</f>
        <v>0</v>
      </c>
      <c r="BA57" s="964">
        <f>IFERROR(('12. Разходи'!AL57-'12. Разходи'!$AI57)/'12. Разходи'!$AI57,0)</f>
        <v>0</v>
      </c>
      <c r="BB57" s="1223">
        <f>'12. Разходи'!AM57-'12. Разходи'!$AI57</f>
        <v>0</v>
      </c>
      <c r="BC57" s="997">
        <f>IFERROR(('12. Разходи'!AM57-'12. Разходи'!$AI57)/'12. Разходи'!$AI57,0)</f>
        <v>0</v>
      </c>
      <c r="BD57" s="1223">
        <f>'12. Разходи'!AN57-'12. Разходи'!$AI57</f>
        <v>0</v>
      </c>
      <c r="BE57" s="900">
        <f>IFERROR(('12. Разходи'!AN57-'12. Разходи'!$AI57)/'12. Разходи'!$AI57,0)</f>
        <v>0</v>
      </c>
      <c r="BF57" s="748"/>
      <c r="BG57" s="748"/>
      <c r="BH57" s="748"/>
      <c r="BI57" s="748"/>
      <c r="BJ57" s="748"/>
      <c r="BK57" s="748"/>
      <c r="BL57" s="748"/>
      <c r="BM57" s="748"/>
      <c r="BN57" s="748"/>
    </row>
    <row r="58" spans="1:66" ht="24.75" thickBot="1">
      <c r="A58" s="1659" t="s">
        <v>491</v>
      </c>
      <c r="B58" s="1660" t="s">
        <v>745</v>
      </c>
      <c r="C58" s="1661">
        <f>'12. Разходи'!C58</f>
        <v>396.44</v>
      </c>
      <c r="D58" s="1241">
        <f>'12. Разходи'!D58-'12. Разходи'!$C58</f>
        <v>-171.46</v>
      </c>
      <c r="E58" s="969">
        <f>IFERROR(('12. Разходи'!D58-'12. Разходи'!$C58)/'12. Разходи'!$C58,0)</f>
        <v>-0.43249924326505906</v>
      </c>
      <c r="F58" s="1242">
        <f>'12. Разходи'!E58-'12. Разходи'!$C58</f>
        <v>-207.1</v>
      </c>
      <c r="G58" s="969">
        <f>IFERROR(('12. Разходи'!E58-'12. Разходи'!$C58)/'12. Разходи'!$C58,0)</f>
        <v>-0.52239935425285033</v>
      </c>
      <c r="H58" s="1242">
        <f>'12. Разходи'!F58-'12. Разходи'!$C58</f>
        <v>-190.49</v>
      </c>
      <c r="I58" s="969">
        <f>IFERROR(('12. Разходи'!F58-'12. Разходи'!$C58)/'12. Разходи'!$C58,0)</f>
        <v>-0.48050146302088592</v>
      </c>
      <c r="J58" s="1242">
        <f>'12. Разходи'!G58-'12. Разходи'!$C58</f>
        <v>-166.64</v>
      </c>
      <c r="K58" s="1662">
        <f>IFERROR(('12. Разходи'!G58-'12. Разходи'!$C58)/'12. Разходи'!$C58,0)</f>
        <v>-0.42034103521339922</v>
      </c>
      <c r="L58" s="1242">
        <f>'12. Разходи'!H58-'12. Разходи'!$C58</f>
        <v>-171.76</v>
      </c>
      <c r="M58" s="1662">
        <f>IFERROR(('12. Разходи'!H58-'12. Разходи'!$C58)/'12. Разходи'!$C58,0)</f>
        <v>-0.43325597820603368</v>
      </c>
      <c r="N58" s="1258">
        <f>'12. Разходи'!K58</f>
        <v>38.29</v>
      </c>
      <c r="O58" s="1241">
        <f>'12. Разходи'!L58-'12. Разходи'!$K58</f>
        <v>-27.4</v>
      </c>
      <c r="P58" s="969">
        <f>IFERROR(('12. Разходи'!L58-'12. Разходи'!$K58)/'12. Разходи'!$K58,0)</f>
        <v>-0.71559153826064248</v>
      </c>
      <c r="Q58" s="1242">
        <f>'12. Разходи'!M58-'12. Разходи'!$K58</f>
        <v>-37.549999999999997</v>
      </c>
      <c r="R58" s="969">
        <f>IFERROR(('12. Разходи'!M58-'12. Разходи'!$K58)/'12. Разходи'!$K58,0)</f>
        <v>-0.98067380517106284</v>
      </c>
      <c r="S58" s="1242">
        <f>'12. Разходи'!N58-'12. Разходи'!$K58</f>
        <v>-25.77</v>
      </c>
      <c r="T58" s="969">
        <f>IFERROR(('12. Разходи'!N58-'12. Разходи'!$K58)/'12. Разходи'!$K58,0)</f>
        <v>-0.67302167667798385</v>
      </c>
      <c r="U58" s="1242">
        <f>'12. Разходи'!O58-'12. Разходи'!$K58</f>
        <v>184.36</v>
      </c>
      <c r="V58" s="1662">
        <f>IFERROR(('12. Разходи'!O58-'12. Разходи'!$K58)/'12. Разходи'!$K58,0)</f>
        <v>4.8148341603551845</v>
      </c>
      <c r="W58" s="1242">
        <f>'12. Разходи'!P58-'12. Разходи'!$K58</f>
        <v>183.82000000000002</v>
      </c>
      <c r="X58" s="1663">
        <f>IFERROR(('12. Разходи'!P58-'12. Разходи'!$K58)/'12. Разходи'!$K58,0)</f>
        <v>4.8007312614259607</v>
      </c>
      <c r="Y58" s="1258">
        <f>'12. Разходи'!S58</f>
        <v>15.28</v>
      </c>
      <c r="Z58" s="1241">
        <f>'12. Разходи'!T58-'12. Разходи'!$S58</f>
        <v>-14.7</v>
      </c>
      <c r="AA58" s="969">
        <f>IFERROR(('12. Разходи'!T58-'12. Разходи'!$S58)/'12. Разходи'!$S58,0)</f>
        <v>-0.9620418848167539</v>
      </c>
      <c r="AB58" s="1242">
        <f>'12. Разходи'!U58-'12. Разходи'!$S58</f>
        <v>-15.01</v>
      </c>
      <c r="AC58" s="969">
        <f>IFERROR(('12. Разходи'!U58-'12. Разходи'!$S58)/'12. Разходи'!$S58,0)</f>
        <v>-0.98232984293193715</v>
      </c>
      <c r="AD58" s="1242">
        <f>'12. Разходи'!V58-'12. Разходи'!$S58</f>
        <v>-14.78</v>
      </c>
      <c r="AE58" s="969">
        <f>IFERROR(('12. Разходи'!V58-'12. Разходи'!$S58)/'12. Разходи'!$S58,0)</f>
        <v>-0.9672774869109948</v>
      </c>
      <c r="AF58" s="1242">
        <f>'12. Разходи'!W58-'12. Разходи'!$S58</f>
        <v>69.650000000000006</v>
      </c>
      <c r="AG58" s="1662">
        <f>IFERROR(('12. Разходи'!W58-'12. Разходи'!$S58)/'12. Разходи'!$S58,0)</f>
        <v>4.55824607329843</v>
      </c>
      <c r="AH58" s="1242">
        <f>'12. Разходи'!X58-'12. Разходи'!$S58</f>
        <v>69.12</v>
      </c>
      <c r="AI58" s="1663">
        <f>IFERROR(('12. Разходи'!X58-'12. Разходи'!$S58)/'12. Разходи'!$S58,0)</f>
        <v>4.5235602094240841</v>
      </c>
      <c r="AJ58" s="1258">
        <f>'12. Разходи'!AA58</f>
        <v>0</v>
      </c>
      <c r="AK58" s="1241">
        <f>'12. Разходи'!AB58-'12. Разходи'!$AA58</f>
        <v>0</v>
      </c>
      <c r="AL58" s="969">
        <f>IFERROR(('12. Разходи'!AB58-'12. Разходи'!$AA58)/'12. Разходи'!$AA58,0)</f>
        <v>0</v>
      </c>
      <c r="AM58" s="1242">
        <f>'12. Разходи'!AC58-'12. Разходи'!$AA58</f>
        <v>0</v>
      </c>
      <c r="AN58" s="969">
        <f>IFERROR(('12. Разходи'!AC58-'12. Разходи'!$AA58)/'12. Разходи'!$AA58,0)</f>
        <v>0</v>
      </c>
      <c r="AO58" s="1242">
        <f>'12. Разходи'!AD58-'12. Разходи'!$AA58</f>
        <v>0</v>
      </c>
      <c r="AP58" s="969">
        <f>IFERROR(('12. Разходи'!AD58-'12. Разходи'!$AA58)/'12. Разходи'!$AA58,0)</f>
        <v>0</v>
      </c>
      <c r="AQ58" s="1242">
        <f>'12. Разходи'!AE58-'12. Разходи'!$AA58</f>
        <v>0</v>
      </c>
      <c r="AR58" s="1662">
        <f>IFERROR(('12. Разходи'!AE58-'12. Разходи'!$AA58)/'12. Разходи'!$AA58,0)</f>
        <v>0</v>
      </c>
      <c r="AS58" s="1242">
        <f>'12. Разходи'!AF58-'12. Разходи'!$AA58</f>
        <v>0</v>
      </c>
      <c r="AT58" s="1663">
        <f>IFERROR(('12. Разходи'!AF58-'12. Разходи'!$AA58)/'12. Разходи'!$AA58,0)</f>
        <v>0</v>
      </c>
      <c r="AU58" s="1258">
        <f>'12. Разходи'!AI58</f>
        <v>0</v>
      </c>
      <c r="AV58" s="1241">
        <f>'12. Разходи'!AJ58-'12. Разходи'!$AI58</f>
        <v>0</v>
      </c>
      <c r="AW58" s="969">
        <f>IFERROR(('12. Разходи'!AJ58-'12. Разходи'!$AI58)/'12. Разходи'!$AI58,0)</f>
        <v>0</v>
      </c>
      <c r="AX58" s="1242">
        <f>'12. Разходи'!AK58-'12. Разходи'!$AI58</f>
        <v>0</v>
      </c>
      <c r="AY58" s="969">
        <f>IFERROR(('12. Разходи'!AK58-'12. Разходи'!$AI58)/'12. Разходи'!$AI58,0)</f>
        <v>0</v>
      </c>
      <c r="AZ58" s="1242">
        <f>'12. Разходи'!AL58-'12. Разходи'!$AI58</f>
        <v>0</v>
      </c>
      <c r="BA58" s="969">
        <f>IFERROR(('12. Разходи'!AL58-'12. Разходи'!$AI58)/'12. Разходи'!$AI58,0)</f>
        <v>0</v>
      </c>
      <c r="BB58" s="1242">
        <f>'12. Разходи'!AM58-'12. Разходи'!$AI58</f>
        <v>0</v>
      </c>
      <c r="BC58" s="1662">
        <f>IFERROR(('12. Разходи'!AM58-'12. Разходи'!$AI58)/'12. Разходи'!$AI58,0)</f>
        <v>0</v>
      </c>
      <c r="BD58" s="1242">
        <f>'12. Разходи'!AN58-'12. Разходи'!$AI58</f>
        <v>0</v>
      </c>
      <c r="BE58" s="1663">
        <f>IFERROR(('12. Разходи'!AN58-'12. Разходи'!$AI58)/'12. Разходи'!$AI58,0)</f>
        <v>0</v>
      </c>
      <c r="BF58" s="736"/>
      <c r="BG58" s="736"/>
      <c r="BH58" s="736"/>
      <c r="BI58" s="736"/>
      <c r="BJ58" s="736"/>
      <c r="BK58" s="736"/>
      <c r="BL58" s="736"/>
      <c r="BM58" s="736"/>
      <c r="BN58" s="736"/>
    </row>
    <row r="59" spans="1:66" s="1250" customFormat="1" ht="15.95" customHeight="1" thickBot="1">
      <c r="A59" s="120">
        <v>4</v>
      </c>
      <c r="B59" s="981" t="s">
        <v>453</v>
      </c>
      <c r="C59" s="1200">
        <f>'12. Разходи'!C59</f>
        <v>3077.788</v>
      </c>
      <c r="D59" s="1238">
        <f>'12. Разходи'!D59-'12. Разходи'!$C59</f>
        <v>361.46199999999999</v>
      </c>
      <c r="E59" s="962">
        <f>IFERROR(('12. Разходи'!D59-'12. Разходи'!$C59)/'12. Разходи'!$C59,0)</f>
        <v>0.117442137015285</v>
      </c>
      <c r="F59" s="1237">
        <f>'12. Разходи'!E59-'12. Разходи'!$C59</f>
        <v>878.61200000000008</v>
      </c>
      <c r="G59" s="962">
        <f>IFERROR(('12. Разходи'!E59-'12. Разходи'!$C59)/'12. Разходи'!$C59,0)</f>
        <v>0.28546865476114669</v>
      </c>
      <c r="H59" s="1237">
        <f>'12. Разходи'!F59-'12. Разходи'!$C59</f>
        <v>1472.4119999999998</v>
      </c>
      <c r="I59" s="962">
        <f>IFERROR(('12. Разходи'!F59-'12. Разходи'!$C59)/'12. Разходи'!$C59,0)</f>
        <v>0.47839942192249751</v>
      </c>
      <c r="J59" s="1237">
        <f>'12. Разходи'!G59-'12. Разходи'!$C59</f>
        <v>2154.712</v>
      </c>
      <c r="K59" s="975">
        <f>IFERROR(('12. Разходи'!G59-'12. Разходи'!$C59)/'12. Разходи'!$C59,0)</f>
        <v>0.70008460621719237</v>
      </c>
      <c r="L59" s="1237">
        <f>'12. Разходи'!H59-'12. Разходи'!$C59</f>
        <v>2204.9119999999998</v>
      </c>
      <c r="M59" s="975">
        <f>IFERROR(('12. Разходи'!H59-'12. Разходи'!$C59)/'12. Разходи'!$C59,0)</f>
        <v>0.71639502135949573</v>
      </c>
      <c r="N59" s="1254">
        <f>'12. Разходи'!K59</f>
        <v>171.16200000000001</v>
      </c>
      <c r="O59" s="1238">
        <f>'12. Разходи'!L59-'12. Разходи'!$K59</f>
        <v>14.187999999999988</v>
      </c>
      <c r="P59" s="962">
        <f>IFERROR(('12. Разходи'!L59-'12. Разходи'!$K59)/'12. Разходи'!$K59,0)</f>
        <v>8.2892230752152865E-2</v>
      </c>
      <c r="Q59" s="1237">
        <f>'12. Разходи'!M59-'12. Разходи'!$K59</f>
        <v>41.687999999999988</v>
      </c>
      <c r="R59" s="962">
        <f>IFERROR(('12. Разходи'!M59-'12. Разходи'!$K59)/'12. Разходи'!$K59,0)</f>
        <v>0.24355873383110729</v>
      </c>
      <c r="S59" s="1237">
        <f>'12. Разходи'!N59-'12. Разходи'!$K59</f>
        <v>73.75800000000001</v>
      </c>
      <c r="T59" s="962">
        <f>IFERROR(('12. Разходи'!N59-'12. Разходи'!$K59)/'12. Разходи'!$K59,0)</f>
        <v>0.43092508851263717</v>
      </c>
      <c r="U59" s="1237">
        <f>'12. Разходи'!O59-'12. Разходи'!$K59</f>
        <v>110.08799999999999</v>
      </c>
      <c r="V59" s="975">
        <f>IFERROR(('12. Разходи'!O59-'12. Разходи'!$K59)/'12. Разходи'!$K59,0)</f>
        <v>0.64318014512567034</v>
      </c>
      <c r="W59" s="1237">
        <f>'12. Разходи'!P59-'12. Разходи'!$K59</f>
        <v>132.79800000000003</v>
      </c>
      <c r="X59" s="977">
        <f>IFERROR(('12. Разходи'!P59-'12. Разходи'!$K59)/'12. Разходи'!$K59,0)</f>
        <v>0.775861464577418</v>
      </c>
      <c r="Y59" s="1254">
        <f>'12. Разходи'!S59</f>
        <v>433.798</v>
      </c>
      <c r="Z59" s="1238">
        <f>'12. Разходи'!T59-'12. Разходи'!$S59</f>
        <v>53.701999999999998</v>
      </c>
      <c r="AA59" s="962">
        <f>IFERROR(('12. Разходи'!T59-'12. Разходи'!$S59)/'12. Разходи'!$S59,0)</f>
        <v>0.12379494603479038</v>
      </c>
      <c r="AB59" s="1237">
        <f>'12. Разходи'!U59-'12. Разходи'!$S59</f>
        <v>128.48199999999997</v>
      </c>
      <c r="AC59" s="962">
        <f>IFERROR(('12. Разходи'!U59-'12. Разходи'!$S59)/'12. Разходи'!$S59,0)</f>
        <v>0.29617932770552186</v>
      </c>
      <c r="AD59" s="1237">
        <f>'12. Разходи'!V59-'12. Разходи'!$S59</f>
        <v>211.50199999999995</v>
      </c>
      <c r="AE59" s="962">
        <f>IFERROR(('12. Разходи'!V59-'12. Разходи'!$S59)/'12. Разходи'!$S59,0)</f>
        <v>0.48755872548974394</v>
      </c>
      <c r="AF59" s="1237">
        <f>'12. Разходи'!W59-'12. Разходи'!$S59</f>
        <v>308.40200000000004</v>
      </c>
      <c r="AG59" s="975">
        <f>IFERROR(('12. Разходи'!W59-'12. Разходи'!$S59)/'12. Разходи'!$S59,0)</f>
        <v>0.71093458245542862</v>
      </c>
      <c r="AH59" s="1237">
        <f>'12. Разходи'!X59-'12. Разходи'!$S59</f>
        <v>404.202</v>
      </c>
      <c r="AI59" s="977">
        <f>IFERROR(('12. Разходи'!X59-'12. Разходи'!$S59)/'12. Разходи'!$S59,0)</f>
        <v>0.93177469697877813</v>
      </c>
      <c r="AJ59" s="1254">
        <f>'12. Разходи'!AA59</f>
        <v>16.451999999999998</v>
      </c>
      <c r="AK59" s="1238">
        <f>'12. Разходи'!AB59-'12. Разходи'!$AA59</f>
        <v>1.4680000000000035</v>
      </c>
      <c r="AL59" s="962">
        <f>IFERROR(('12. Разходи'!AB59-'12. Разходи'!$AA59)/'12. Разходи'!$AA59,0)</f>
        <v>8.9229273036713089E-2</v>
      </c>
      <c r="AM59" s="1237">
        <f>'12. Разходи'!AC59-'12. Разходи'!$AA59</f>
        <v>4.3060000000000009</v>
      </c>
      <c r="AN59" s="962">
        <f>IFERROR(('12. Разходи'!AC59-'12. Разходи'!$AA59)/'12. Разходи'!$AA59,0)</f>
        <v>0.26173109652321913</v>
      </c>
      <c r="AO59" s="1237">
        <f>'12. Разходи'!AD59-'12. Разходи'!$AA59</f>
        <v>7.57</v>
      </c>
      <c r="AP59" s="962">
        <f>IFERROR(('12. Разходи'!AD59-'12. Разходи'!$AA59)/'12. Разходи'!$AA59,0)</f>
        <v>0.46012642839776324</v>
      </c>
      <c r="AQ59" s="1237">
        <f>'12. Разходи'!AE59-'12. Разходи'!$AA59</f>
        <v>11.323</v>
      </c>
      <c r="AR59" s="975">
        <f>IFERROR(('12. Разходи'!AE59-'12. Разходи'!$AA59)/'12. Разходи'!$AA59,0)</f>
        <v>0.68824459032336505</v>
      </c>
      <c r="AS59" s="1237">
        <f>'12. Разходи'!AF59-'12. Разходи'!$AA59</f>
        <v>15.452000000000005</v>
      </c>
      <c r="AT59" s="977">
        <f>IFERROR(('12. Разходи'!AF59-'12. Разходи'!$AA59)/'12. Разходи'!$AA59,0)</f>
        <v>0.93921711646000527</v>
      </c>
      <c r="AU59" s="1254">
        <f>'12. Разходи'!AI59</f>
        <v>0</v>
      </c>
      <c r="AV59" s="1238">
        <f>'12. Разходи'!AJ59-'12. Разходи'!$AI59</f>
        <v>0</v>
      </c>
      <c r="AW59" s="962">
        <f>IFERROR(('12. Разходи'!AJ59-'12. Разходи'!$AI59)/'12. Разходи'!$AI59,0)</f>
        <v>0</v>
      </c>
      <c r="AX59" s="1237">
        <f>'12. Разходи'!AK59-'12. Разходи'!$AI59</f>
        <v>0</v>
      </c>
      <c r="AY59" s="962">
        <f>IFERROR(('12. Разходи'!AK59-'12. Разходи'!$AI59)/'12. Разходи'!$AI59,0)</f>
        <v>0</v>
      </c>
      <c r="AZ59" s="1237">
        <f>'12. Разходи'!AL59-'12. Разходи'!$AI59</f>
        <v>0</v>
      </c>
      <c r="BA59" s="962">
        <f>IFERROR(('12. Разходи'!AL59-'12. Разходи'!$AI59)/'12. Разходи'!$AI59,0)</f>
        <v>0</v>
      </c>
      <c r="BB59" s="1237">
        <f>'12. Разходи'!AM59-'12. Разходи'!$AI59</f>
        <v>0</v>
      </c>
      <c r="BC59" s="975">
        <f>IFERROR(('12. Разходи'!AM59-'12. Разходи'!$AI59)/'12. Разходи'!$AI59,0)</f>
        <v>0</v>
      </c>
      <c r="BD59" s="1237">
        <f>'12. Разходи'!AN59-'12. Разходи'!$AI59</f>
        <v>0</v>
      </c>
      <c r="BE59" s="977">
        <f>IFERROR(('12. Разходи'!AN59-'12. Разходи'!$AI59)/'12. Разходи'!$AI59,0)</f>
        <v>0</v>
      </c>
      <c r="BF59" s="1251"/>
      <c r="BG59" s="1251"/>
      <c r="BH59" s="1251"/>
      <c r="BI59" s="1251"/>
      <c r="BJ59" s="1251"/>
      <c r="BK59" s="1251"/>
      <c r="BL59" s="1251"/>
      <c r="BM59" s="1251"/>
      <c r="BN59" s="1251"/>
    </row>
    <row r="60" spans="1:66" ht="15.95" customHeight="1">
      <c r="A60" s="118" t="s">
        <v>104</v>
      </c>
      <c r="B60" s="985" t="s">
        <v>270</v>
      </c>
      <c r="C60" s="1203">
        <f>'12. Разходи'!C60</f>
        <v>2571.2579999999998</v>
      </c>
      <c r="D60" s="1231">
        <f>'12. Разходи'!D60-'12. Разходи'!$C60</f>
        <v>367.99200000000019</v>
      </c>
      <c r="E60" s="1211">
        <f>IFERROR(('12. Разходи'!D60-'12. Разходи'!$C60)/'12. Разходи'!$C60,0)</f>
        <v>0.14311749346039962</v>
      </c>
      <c r="F60" s="995">
        <f>'12. Разходи'!E60-'12. Разходи'!$C60</f>
        <v>845.14200000000028</v>
      </c>
      <c r="G60" s="1219">
        <f>IFERROR(('12. Разходи'!E60-'12. Разходи'!$C60)/'12. Разходи'!$C60,0)</f>
        <v>0.32868813631304222</v>
      </c>
      <c r="H60" s="995">
        <f>'12. Разходи'!F60-'12. Разходи'!$C60</f>
        <v>1388.942</v>
      </c>
      <c r="I60" s="1219">
        <f>IFERROR(('12. Разходи'!F60-'12. Разходи'!$C60)/'12. Разходи'!$C60,0)</f>
        <v>0.5401799430473333</v>
      </c>
      <c r="J60" s="995">
        <f>'12. Разходи'!G60-'12. Разходи'!$C60</f>
        <v>2011.2420000000002</v>
      </c>
      <c r="K60" s="1218">
        <f>IFERROR(('12. Разходи'!G60-'12. Разходи'!$C60)/'12. Разходи'!$C60,0)</f>
        <v>0.78220155270299607</v>
      </c>
      <c r="L60" s="1226">
        <f>'12. Разходи'!H60-'12. Разходи'!$C60</f>
        <v>2061.442</v>
      </c>
      <c r="M60" s="1218">
        <f>IFERROR(('12. Разходи'!H60-'12. Разходи'!$C60)/'12. Разходи'!$C60,0)</f>
        <v>0.80172506998519799</v>
      </c>
      <c r="N60" s="1270">
        <f>'12. Разходи'!K60</f>
        <v>134.83199999999999</v>
      </c>
      <c r="O60" s="1231">
        <f>'12. Разходи'!L60-'12. Разходи'!$K60</f>
        <v>19.768000000000001</v>
      </c>
      <c r="P60" s="1211">
        <f>IFERROR(('12. Разходи'!L60-'12. Разходи'!$K60)/'12. Разходи'!$K60,0)</f>
        <v>0.14661208021834579</v>
      </c>
      <c r="Q60" s="995">
        <f>'12. Разходи'!M60-'12. Разходи'!$K60</f>
        <v>43.018000000000001</v>
      </c>
      <c r="R60" s="1219">
        <f>IFERROR(('12. Разходи'!M60-'12. Разходи'!$K60)/'12. Разходи'!$K60,0)</f>
        <v>0.3190488904711048</v>
      </c>
      <c r="S60" s="995">
        <f>'12. Разходи'!N60-'12. Разходи'!$K60</f>
        <v>72.088000000000022</v>
      </c>
      <c r="T60" s="1219">
        <f>IFERROR(('12. Разходи'!N60-'12. Разходи'!$K60)/'12. Разходи'!$K60,0)</f>
        <v>0.5346505280645546</v>
      </c>
      <c r="U60" s="995">
        <f>'12. Разходи'!O60-'12. Разходи'!$K60</f>
        <v>103.41800000000001</v>
      </c>
      <c r="V60" s="1218">
        <f>IFERROR(('12. Разходи'!O60-'12. Разходи'!$K60)/'12. Разходи'!$K60,0)</f>
        <v>0.76701376527827225</v>
      </c>
      <c r="W60" s="1226">
        <f>'12. Разходи'!P60-'12. Разходи'!$K60</f>
        <v>122.12800000000004</v>
      </c>
      <c r="X60" s="1276">
        <f>IFERROR(('12. Разходи'!P60-'12. Разходи'!$K60)/'12. Разходи'!$K60,0)</f>
        <v>0.90577904355049288</v>
      </c>
      <c r="Y60" s="1270">
        <f>'12. Разходи'!S60</f>
        <v>419.58100000000002</v>
      </c>
      <c r="Z60" s="1231">
        <f>'12. Разходи'!T60-'12. Разходи'!$S60</f>
        <v>60.758999999999958</v>
      </c>
      <c r="AA60" s="1211">
        <f>IFERROR(('12. Разходи'!T60-'12. Разходи'!$S60)/'12. Разходи'!$S60,0)</f>
        <v>0.1448087496812295</v>
      </c>
      <c r="AB60" s="995">
        <f>'12. Разходи'!U60-'12. Разходи'!$S60</f>
        <v>135.53899999999999</v>
      </c>
      <c r="AC60" s="1219">
        <f>IFERROR(('12. Разходи'!U60-'12. Разходи'!$S60)/'12. Разходи'!$S60,0)</f>
        <v>0.32303416980273175</v>
      </c>
      <c r="AD60" s="995">
        <f>'12. Разходи'!V60-'12. Разходи'!$S60</f>
        <v>218.55899999999997</v>
      </c>
      <c r="AE60" s="1219">
        <f>IFERROR(('12. Разходи'!V60-'12. Разходи'!$S60)/'12. Разходи'!$S60,0)</f>
        <v>0.5208982294241159</v>
      </c>
      <c r="AF60" s="995">
        <f>'12. Разходи'!W60-'12. Разходи'!$S60</f>
        <v>315.45900000000006</v>
      </c>
      <c r="AG60" s="1218">
        <f>IFERROR(('12. Разходи'!W60-'12. Разходи'!$S60)/'12. Разходи'!$S60,0)</f>
        <v>0.75184290995064129</v>
      </c>
      <c r="AH60" s="1226">
        <f>'12. Разходи'!X60-'12. Разходи'!$S60</f>
        <v>411.25900000000001</v>
      </c>
      <c r="AI60" s="1276">
        <f>IFERROR(('12. Разходи'!X60-'12. Разходи'!$S60)/'12. Разходи'!$S60,0)</f>
        <v>0.98016592743713371</v>
      </c>
      <c r="AJ60" s="1270">
        <f>'12. Разходи'!AA60</f>
        <v>16.451999999999998</v>
      </c>
      <c r="AK60" s="1231">
        <f>'12. Разходи'!AB60-'12. Разходи'!$AA60</f>
        <v>1.4680000000000035</v>
      </c>
      <c r="AL60" s="1211">
        <f>IFERROR(('12. Разходи'!AB60-'12. Разходи'!$AA60)/'12. Разходи'!$AA60,0)</f>
        <v>8.9229273036713089E-2</v>
      </c>
      <c r="AM60" s="995">
        <f>'12. Разходи'!AC60-'12. Разходи'!$AA60</f>
        <v>2.3060000000000009</v>
      </c>
      <c r="AN60" s="1219">
        <f>IFERROR(('12. Разходи'!AC60-'12. Разходи'!$AA60)/'12. Разходи'!$AA60,0)</f>
        <v>0.14016532944322885</v>
      </c>
      <c r="AO60" s="995">
        <f>'12. Разходи'!AD60-'12. Разходи'!$AA60</f>
        <v>5.57</v>
      </c>
      <c r="AP60" s="1219">
        <f>IFERROR(('12. Разходи'!AD60-'12. Разходи'!$AA60)/'12. Разходи'!$AA60,0)</f>
        <v>0.33856066131777296</v>
      </c>
      <c r="AQ60" s="995">
        <f>'12. Разходи'!AE60-'12. Разходи'!$AA60</f>
        <v>4.3230000000000004</v>
      </c>
      <c r="AR60" s="1218">
        <f>IFERROR(('12. Разходи'!AE60-'12. Разходи'!$AA60)/'12. Разходи'!$AA60,0)</f>
        <v>0.26276440554339903</v>
      </c>
      <c r="AS60" s="1226">
        <f>'12. Разходи'!AF60-'12. Разходи'!$AA60</f>
        <v>13.452000000000005</v>
      </c>
      <c r="AT60" s="1276">
        <f>IFERROR(('12. Разходи'!AF60-'12. Разходи'!$AA60)/'12. Разходи'!$AA60,0)</f>
        <v>0.81765134938001505</v>
      </c>
      <c r="AU60" s="1270">
        <f>'12. Разходи'!AI60</f>
        <v>0</v>
      </c>
      <c r="AV60" s="1231">
        <f>'12. Разходи'!AJ60-'12. Разходи'!$AI60</f>
        <v>0</v>
      </c>
      <c r="AW60" s="1211">
        <f>IFERROR(('12. Разходи'!AJ60-'12. Разходи'!$AI60)/'12. Разходи'!$AI60,0)</f>
        <v>0</v>
      </c>
      <c r="AX60" s="995">
        <f>'12. Разходи'!AK60-'12. Разходи'!$AI60</f>
        <v>0</v>
      </c>
      <c r="AY60" s="1219">
        <f>IFERROR(('12. Разходи'!AK60-'12. Разходи'!$AI60)/'12. Разходи'!$AI60,0)</f>
        <v>0</v>
      </c>
      <c r="AZ60" s="995">
        <f>'12. Разходи'!AL60-'12. Разходи'!$AI60</f>
        <v>0</v>
      </c>
      <c r="BA60" s="1219">
        <f>IFERROR(('12. Разходи'!AL60-'12. Разходи'!$AI60)/'12. Разходи'!$AI60,0)</f>
        <v>0</v>
      </c>
      <c r="BB60" s="995">
        <f>'12. Разходи'!AM60-'12. Разходи'!$AI60</f>
        <v>0</v>
      </c>
      <c r="BC60" s="1218">
        <f>IFERROR(('12. Разходи'!AM60-'12. Разходи'!$AI60)/'12. Разходи'!$AI60,0)</f>
        <v>0</v>
      </c>
      <c r="BD60" s="1226">
        <f>'12. Разходи'!AN60-'12. Разходи'!$AI60</f>
        <v>0</v>
      </c>
      <c r="BE60" s="1276">
        <f>IFERROR(('12. Разходи'!AN60-'12. Разходи'!$AI60)/'12. Разходи'!$AI60,0)</f>
        <v>0</v>
      </c>
    </row>
    <row r="61" spans="1:66" s="743" customFormat="1" ht="24">
      <c r="A61" s="437" t="s">
        <v>105</v>
      </c>
      <c r="B61" s="988" t="s">
        <v>646</v>
      </c>
      <c r="C61" s="1205">
        <f>'12. Разходи'!C61</f>
        <v>455</v>
      </c>
      <c r="D61" s="1233">
        <f>'12. Разходи'!D61-'12. Разходи'!$C61</f>
        <v>45</v>
      </c>
      <c r="E61" s="964">
        <f>IFERROR(('12. Разходи'!D61-'12. Разходи'!$C61)/'12. Разходи'!$C61,0)</f>
        <v>9.8901098901098897E-2</v>
      </c>
      <c r="F61" s="1223">
        <f>'12. Разходи'!E61-'12. Разходи'!$C61</f>
        <v>85</v>
      </c>
      <c r="G61" s="964">
        <f>IFERROR(('12. Разходи'!E61-'12. Разходи'!$C61)/'12. Разходи'!$C61,0)</f>
        <v>0.18681318681318682</v>
      </c>
      <c r="H61" s="1223">
        <f>'12. Разходи'!F61-'12. Разходи'!$C61</f>
        <v>135</v>
      </c>
      <c r="I61" s="964">
        <f>IFERROR(('12. Разходи'!F61-'12. Разходи'!$C61)/'12. Разходи'!$C61,0)</f>
        <v>0.2967032967032967</v>
      </c>
      <c r="J61" s="1223">
        <f>'12. Разходи'!G61-'12. Разходи'!$C61</f>
        <v>195</v>
      </c>
      <c r="K61" s="973">
        <f>IFERROR(('12. Разходи'!G61-'12. Разходи'!$C61)/'12. Разходи'!$C61,0)</f>
        <v>0.42857142857142855</v>
      </c>
      <c r="L61" s="1223">
        <f>'12. Разходи'!H61-'12. Разходи'!$C61</f>
        <v>195</v>
      </c>
      <c r="M61" s="973">
        <f>IFERROR(('12. Разходи'!H61-'12. Разходи'!$C61)/'12. Разходи'!$C61,0)</f>
        <v>0.42857142857142855</v>
      </c>
      <c r="N61" s="1256">
        <f>'12. Разходи'!K61</f>
        <v>25</v>
      </c>
      <c r="O61" s="1233">
        <f>'12. Разходи'!L61-'12. Разходи'!$K61</f>
        <v>3.75</v>
      </c>
      <c r="P61" s="964">
        <f>IFERROR(('12. Разходи'!L61-'12. Разходи'!$K61)/'12. Разходи'!$K61,0)</f>
        <v>0.15</v>
      </c>
      <c r="Q61" s="1223">
        <f>'12. Разходи'!M61-'12. Разходи'!$K61</f>
        <v>8</v>
      </c>
      <c r="R61" s="964">
        <f>IFERROR(('12. Разходи'!M61-'12. Разходи'!$K61)/'12. Разходи'!$K61,0)</f>
        <v>0.32</v>
      </c>
      <c r="S61" s="1223">
        <f>'12. Разходи'!N61-'12. Разходи'!$K61</f>
        <v>11</v>
      </c>
      <c r="T61" s="964">
        <f>IFERROR(('12. Разходи'!N61-'12. Разходи'!$K61)/'12. Разходи'!$K61,0)</f>
        <v>0.44</v>
      </c>
      <c r="U61" s="1223">
        <f>'12. Разходи'!O61-'12. Разходи'!$K61</f>
        <v>16</v>
      </c>
      <c r="V61" s="973">
        <f>IFERROR(('12. Разходи'!O61-'12. Разходи'!$K61)/'12. Разходи'!$K61,0)</f>
        <v>0.64</v>
      </c>
      <c r="W61" s="1223">
        <f>'12. Разходи'!P61-'12. Разходи'!$K61</f>
        <v>20</v>
      </c>
      <c r="X61" s="978">
        <f>IFERROR(('12. Разходи'!P61-'12. Разходи'!$K61)/'12. Разходи'!$K61,0)</f>
        <v>0.8</v>
      </c>
      <c r="Y61" s="1256">
        <f>'12. Разходи'!S61</f>
        <v>1.887</v>
      </c>
      <c r="Z61" s="1233">
        <f>'12. Разходи'!T61-'12. Разходи'!$S61</f>
        <v>0.27300000000000013</v>
      </c>
      <c r="AA61" s="964">
        <f>IFERROR(('12. Разходи'!T61-'12. Разходи'!$S61)/'12. Разходи'!$S61,0)</f>
        <v>0.14467408585055649</v>
      </c>
      <c r="AB61" s="1223">
        <f>'12. Разходи'!U61-'12. Разходи'!$S61</f>
        <v>0.27300000000000013</v>
      </c>
      <c r="AC61" s="964">
        <f>IFERROR(('12. Разходи'!U61-'12. Разходи'!$S61)/'12. Разходи'!$S61,0)</f>
        <v>0.14467408585055649</v>
      </c>
      <c r="AD61" s="1223">
        <f>'12. Разходи'!V61-'12. Разходи'!$S61</f>
        <v>0.27300000000000013</v>
      </c>
      <c r="AE61" s="964">
        <f>IFERROR(('12. Разходи'!V61-'12. Разходи'!$S61)/'12. Разходи'!$S61,0)</f>
        <v>0.14467408585055649</v>
      </c>
      <c r="AF61" s="1223">
        <f>'12. Разходи'!W61-'12. Разходи'!$S61</f>
        <v>0.27300000000000013</v>
      </c>
      <c r="AG61" s="973">
        <f>IFERROR(('12. Разходи'!W61-'12. Разходи'!$S61)/'12. Разходи'!$S61,0)</f>
        <v>0.14467408585055649</v>
      </c>
      <c r="AH61" s="1223">
        <f>'12. Разходи'!X61-'12. Разходи'!$S61</f>
        <v>0.27300000000000013</v>
      </c>
      <c r="AI61" s="978">
        <f>IFERROR(('12. Разходи'!X61-'12. Разходи'!$S61)/'12. Разходи'!$S61,0)</f>
        <v>0.14467408585055649</v>
      </c>
      <c r="AJ61" s="1256">
        <f>'12. Разходи'!AA61</f>
        <v>0</v>
      </c>
      <c r="AK61" s="1233">
        <f>'12. Разходи'!AB61-'12. Разходи'!$AA61</f>
        <v>0</v>
      </c>
      <c r="AL61" s="964">
        <f>IFERROR(('12. Разходи'!AB61-'12. Разходи'!$AA61)/'12. Разходи'!$AA61,0)</f>
        <v>0</v>
      </c>
      <c r="AM61" s="1223">
        <f>'12. Разходи'!AC61-'12. Разходи'!$AA61</f>
        <v>2</v>
      </c>
      <c r="AN61" s="964">
        <f>IFERROR(('12. Разходи'!AC61-'12. Разходи'!$AA61)/'12. Разходи'!$AA61,0)</f>
        <v>0</v>
      </c>
      <c r="AO61" s="1223">
        <f>'12. Разходи'!AD61-'12. Разходи'!$AA61</f>
        <v>2</v>
      </c>
      <c r="AP61" s="964">
        <f>IFERROR(('12. Разходи'!AD61-'12. Разходи'!$AA61)/'12. Разходи'!$AA61,0)</f>
        <v>0</v>
      </c>
      <c r="AQ61" s="1223">
        <f>'12. Разходи'!AE61-'12. Разходи'!$AA61</f>
        <v>7</v>
      </c>
      <c r="AR61" s="973">
        <f>IFERROR(('12. Разходи'!AE61-'12. Разходи'!$AA61)/'12. Разходи'!$AA61,0)</f>
        <v>0</v>
      </c>
      <c r="AS61" s="1223">
        <f>'12. Разходи'!AF61-'12. Разходи'!$AA61</f>
        <v>2</v>
      </c>
      <c r="AT61" s="978">
        <f>IFERROR(('12. Разходи'!AF61-'12. Разходи'!$AA61)/'12. Разходи'!$AA61,0)</f>
        <v>0</v>
      </c>
      <c r="AU61" s="1256">
        <f>'12. Разходи'!AI61</f>
        <v>0</v>
      </c>
      <c r="AV61" s="1233">
        <f>'12. Разходи'!AJ61-'12. Разходи'!$AI61</f>
        <v>0</v>
      </c>
      <c r="AW61" s="964">
        <f>IFERROR(('12. Разходи'!AJ61-'12. Разходи'!$AI61)/'12. Разходи'!$AI61,0)</f>
        <v>0</v>
      </c>
      <c r="AX61" s="1223">
        <f>'12. Разходи'!AK61-'12. Разходи'!$AI61</f>
        <v>0</v>
      </c>
      <c r="AY61" s="964">
        <f>IFERROR(('12. Разходи'!AK61-'12. Разходи'!$AI61)/'12. Разходи'!$AI61,0)</f>
        <v>0</v>
      </c>
      <c r="AZ61" s="1223">
        <f>'12. Разходи'!AL61-'12. Разходи'!$AI61</f>
        <v>0</v>
      </c>
      <c r="BA61" s="964">
        <f>IFERROR(('12. Разходи'!AL61-'12. Разходи'!$AI61)/'12. Разходи'!$AI61,0)</f>
        <v>0</v>
      </c>
      <c r="BB61" s="1223">
        <f>'12. Разходи'!AM61-'12. Разходи'!$AI61</f>
        <v>0</v>
      </c>
      <c r="BC61" s="973">
        <f>IFERROR(('12. Разходи'!AM61-'12. Разходи'!$AI61)/'12. Разходи'!$AI61,0)</f>
        <v>0</v>
      </c>
      <c r="BD61" s="1223">
        <f>'12. Разходи'!AN61-'12. Разходи'!$AI61</f>
        <v>0</v>
      </c>
      <c r="BE61" s="978">
        <f>IFERROR(('12. Разходи'!AN61-'12. Разходи'!$AI61)/'12. Разходи'!$AI61,0)</f>
        <v>0</v>
      </c>
      <c r="BF61" s="747"/>
      <c r="BG61" s="747"/>
      <c r="BH61" s="747"/>
      <c r="BI61" s="747"/>
      <c r="BJ61" s="747"/>
      <c r="BK61" s="747"/>
      <c r="BL61" s="747"/>
      <c r="BM61" s="747"/>
      <c r="BN61" s="747"/>
    </row>
    <row r="62" spans="1:66" ht="45.75" customHeight="1" thickBot="1">
      <c r="A62" s="118" t="s">
        <v>106</v>
      </c>
      <c r="B62" s="987" t="s">
        <v>1851</v>
      </c>
      <c r="C62" s="1204">
        <f>'12. Разходи'!C62</f>
        <v>51.53</v>
      </c>
      <c r="D62" s="1231">
        <f>'12. Разходи'!D62-'12. Разходи'!$C62</f>
        <v>-51.53</v>
      </c>
      <c r="E62" s="1211">
        <f>IFERROR(('12. Разходи'!D62-'12. Разходи'!$C62)/'12. Разходи'!$C62,0)</f>
        <v>-1</v>
      </c>
      <c r="F62" s="995">
        <f>'12. Разходи'!E62-'12. Разходи'!$C62</f>
        <v>-51.53</v>
      </c>
      <c r="G62" s="1219">
        <f>IFERROR(('12. Разходи'!E62-'12. Разходи'!$C62)/'12. Разходи'!$C62,0)</f>
        <v>-1</v>
      </c>
      <c r="H62" s="995">
        <f>'12. Разходи'!F62-'12. Разходи'!$C62</f>
        <v>-51.53</v>
      </c>
      <c r="I62" s="1219">
        <f>IFERROR(('12. Разходи'!F62-'12. Разходи'!$C62)/'12. Разходи'!$C62,0)</f>
        <v>-1</v>
      </c>
      <c r="J62" s="995">
        <f>'12. Разходи'!G62-'12. Разходи'!$C62</f>
        <v>-51.53</v>
      </c>
      <c r="K62" s="1218">
        <f>IFERROR(('12. Разходи'!G62-'12. Разходи'!$C62)/'12. Разходи'!$C62,0)</f>
        <v>-1</v>
      </c>
      <c r="L62" s="1226">
        <f>'12. Разходи'!H62-'12. Разходи'!$C62</f>
        <v>-51.53</v>
      </c>
      <c r="M62" s="1218">
        <f>IFERROR(('12. Разходи'!H62-'12. Разходи'!$C62)/'12. Разходи'!$C62,0)</f>
        <v>-1</v>
      </c>
      <c r="N62" s="1270">
        <f>'12. Разходи'!K62</f>
        <v>11.33</v>
      </c>
      <c r="O62" s="1231">
        <f>'12. Разходи'!L62-'12. Разходи'!$K62</f>
        <v>-9.33</v>
      </c>
      <c r="P62" s="1211">
        <f>IFERROR(('12. Разходи'!L62-'12. Разходи'!$K62)/'12. Разходи'!$K62,0)</f>
        <v>-0.82347749338040599</v>
      </c>
      <c r="Q62" s="995">
        <f>'12. Разходи'!M62-'12. Разходи'!$K62</f>
        <v>-9.33</v>
      </c>
      <c r="R62" s="1219">
        <f>IFERROR(('12. Разходи'!M62-'12. Разходи'!$K62)/'12. Разходи'!$K62,0)</f>
        <v>-0.82347749338040599</v>
      </c>
      <c r="S62" s="995">
        <f>'12. Разходи'!N62-'12. Разходи'!$K62</f>
        <v>-9.33</v>
      </c>
      <c r="T62" s="1219">
        <f>IFERROR(('12. Разходи'!N62-'12. Разходи'!$K62)/'12. Разходи'!$K62,0)</f>
        <v>-0.82347749338040599</v>
      </c>
      <c r="U62" s="995">
        <f>'12. Разходи'!O62-'12. Разходи'!$K62</f>
        <v>-9.33</v>
      </c>
      <c r="V62" s="1218">
        <f>IFERROR(('12. Разходи'!O62-'12. Разходи'!$K62)/'12. Разходи'!$K62,0)</f>
        <v>-0.82347749338040599</v>
      </c>
      <c r="W62" s="1226">
        <f>'12. Разходи'!P62-'12. Разходи'!$K62</f>
        <v>-9.33</v>
      </c>
      <c r="X62" s="1276">
        <f>IFERROR(('12. Разходи'!P62-'12. Разходи'!$K62)/'12. Разходи'!$K62,0)</f>
        <v>-0.82347749338040599</v>
      </c>
      <c r="Y62" s="1270">
        <f>'12. Разходи'!S62</f>
        <v>12.33</v>
      </c>
      <c r="Z62" s="1231">
        <f>'12. Разходи'!T62-'12. Разходи'!$S62</f>
        <v>-7.33</v>
      </c>
      <c r="AA62" s="1211">
        <f>IFERROR(('12. Разходи'!T62-'12. Разходи'!$S62)/'12. Разходи'!$S62,0)</f>
        <v>-0.59448499594484994</v>
      </c>
      <c r="AB62" s="995">
        <f>'12. Разходи'!U62-'12. Разходи'!$S62</f>
        <v>-7.33</v>
      </c>
      <c r="AC62" s="1219">
        <f>IFERROR(('12. Разходи'!U62-'12. Разходи'!$S62)/'12. Разходи'!$S62,0)</f>
        <v>-0.59448499594484994</v>
      </c>
      <c r="AD62" s="995">
        <f>'12. Разходи'!V62-'12. Разходи'!$S62</f>
        <v>-7.33</v>
      </c>
      <c r="AE62" s="1219">
        <f>IFERROR(('12. Разходи'!V62-'12. Разходи'!$S62)/'12. Разходи'!$S62,0)</f>
        <v>-0.59448499594484994</v>
      </c>
      <c r="AF62" s="995">
        <f>'12. Разходи'!W62-'12. Разходи'!$S62</f>
        <v>-7.33</v>
      </c>
      <c r="AG62" s="1218">
        <f>IFERROR(('12. Разходи'!W62-'12. Разходи'!$S62)/'12. Разходи'!$S62,0)</f>
        <v>-0.59448499594484994</v>
      </c>
      <c r="AH62" s="1226">
        <f>'12. Разходи'!X62-'12. Разходи'!$S62</f>
        <v>-7.33</v>
      </c>
      <c r="AI62" s="1276">
        <f>IFERROR(('12. Разходи'!X62-'12. Разходи'!$S62)/'12. Разходи'!$S62,0)</f>
        <v>-0.59448499594484994</v>
      </c>
      <c r="AJ62" s="1270">
        <f>'12. Разходи'!AA62</f>
        <v>0</v>
      </c>
      <c r="AK62" s="1231">
        <f>'12. Разходи'!AB62-'12. Разходи'!$AA62</f>
        <v>0</v>
      </c>
      <c r="AL62" s="1211">
        <f>IFERROR(('12. Разходи'!AB62-'12. Разходи'!$AA62)/'12. Разходи'!$AA62,0)</f>
        <v>0</v>
      </c>
      <c r="AM62" s="995">
        <f>'12. Разходи'!AC62-'12. Разходи'!$AA62</f>
        <v>0</v>
      </c>
      <c r="AN62" s="1219">
        <f>IFERROR(('12. Разходи'!AC62-'12. Разходи'!$AA62)/'12. Разходи'!$AA62,0)</f>
        <v>0</v>
      </c>
      <c r="AO62" s="995">
        <f>'12. Разходи'!AD62-'12. Разходи'!$AA62</f>
        <v>0</v>
      </c>
      <c r="AP62" s="1219">
        <f>IFERROR(('12. Разходи'!AD62-'12. Разходи'!$AA62)/'12. Разходи'!$AA62,0)</f>
        <v>0</v>
      </c>
      <c r="AQ62" s="995">
        <f>'12. Разходи'!AE62-'12. Разходи'!$AA62</f>
        <v>0</v>
      </c>
      <c r="AR62" s="1218">
        <f>IFERROR(('12. Разходи'!AE62-'12. Разходи'!$AA62)/'12. Разходи'!$AA62,0)</f>
        <v>0</v>
      </c>
      <c r="AS62" s="1226">
        <f>'12. Разходи'!AF62-'12. Разходи'!$AA62</f>
        <v>0</v>
      </c>
      <c r="AT62" s="1276">
        <f>IFERROR(('12. Разходи'!AF62-'12. Разходи'!$AA62)/'12. Разходи'!$AA62,0)</f>
        <v>0</v>
      </c>
      <c r="AU62" s="1270">
        <f>'12. Разходи'!AI62</f>
        <v>0</v>
      </c>
      <c r="AV62" s="1231">
        <f>'12. Разходи'!AJ62-'12. Разходи'!$AI62</f>
        <v>0</v>
      </c>
      <c r="AW62" s="1211">
        <f>IFERROR(('12. Разходи'!AJ62-'12. Разходи'!$AI62)/'12. Разходи'!$AI62,0)</f>
        <v>0</v>
      </c>
      <c r="AX62" s="995">
        <f>'12. Разходи'!AK62-'12. Разходи'!$AI62</f>
        <v>0</v>
      </c>
      <c r="AY62" s="1219">
        <f>IFERROR(('12. Разходи'!AK62-'12. Разходи'!$AI62)/'12. Разходи'!$AI62,0)</f>
        <v>0</v>
      </c>
      <c r="AZ62" s="995">
        <f>'12. Разходи'!AL62-'12. Разходи'!$AI62</f>
        <v>0</v>
      </c>
      <c r="BA62" s="1219">
        <f>IFERROR(('12. Разходи'!AL62-'12. Разходи'!$AI62)/'12. Разходи'!$AI62,0)</f>
        <v>0</v>
      </c>
      <c r="BB62" s="995">
        <f>'12. Разходи'!AM62-'12. Разходи'!$AI62</f>
        <v>0</v>
      </c>
      <c r="BC62" s="1218">
        <f>IFERROR(('12. Разходи'!AM62-'12. Разходи'!$AI62)/'12. Разходи'!$AI62,0)</f>
        <v>0</v>
      </c>
      <c r="BD62" s="1226">
        <f>'12. Разходи'!AN62-'12. Разходи'!$AI62</f>
        <v>0</v>
      </c>
      <c r="BE62" s="1276">
        <f>IFERROR(('12. Разходи'!AN62-'12. Разходи'!$AI62)/'12. Разходи'!$AI62,0)</f>
        <v>0</v>
      </c>
    </row>
    <row r="63" spans="1:66" s="1250" customFormat="1" ht="15.95" customHeight="1" thickBot="1">
      <c r="A63" s="120">
        <v>5</v>
      </c>
      <c r="B63" s="984" t="s">
        <v>454</v>
      </c>
      <c r="C63" s="1200">
        <f>'12. Разходи'!C63</f>
        <v>937.22699999999998</v>
      </c>
      <c r="D63" s="1238">
        <f>'12. Разходи'!D63-'12. Разходи'!$C63</f>
        <v>121.77300000000002</v>
      </c>
      <c r="E63" s="962">
        <f>IFERROR(('12. Разходи'!D63-'12. Разходи'!$C63)/'12. Разходи'!$C63,0)</f>
        <v>0.12992903533508962</v>
      </c>
      <c r="F63" s="1237">
        <f>'12. Разходи'!E63-'12. Разходи'!$C63</f>
        <v>285.77300000000002</v>
      </c>
      <c r="G63" s="962">
        <f>IFERROR(('12. Разходи'!E63-'12. Разходи'!$C63)/'12. Разходи'!$C63,0)</f>
        <v>0.30491332409330935</v>
      </c>
      <c r="H63" s="1237">
        <f>'12. Разходи'!F63-'12. Разходи'!$C63</f>
        <v>468.77300000000002</v>
      </c>
      <c r="I63" s="962">
        <f>IFERROR(('12. Разходи'!F63-'12. Разходи'!$C63)/'12. Разходи'!$C63,0)</f>
        <v>0.50017018289059112</v>
      </c>
      <c r="J63" s="1237">
        <f>'12. Разходи'!G63-'12. Разходи'!$C63</f>
        <v>679.77300000000002</v>
      </c>
      <c r="K63" s="975">
        <f>IFERROR(('12. Разходи'!G63-'12. Разходи'!$C63)/'12. Разходи'!$C63,0)</f>
        <v>0.72530240806122748</v>
      </c>
      <c r="L63" s="1237">
        <f>'12. Разходи'!H63-'12. Разходи'!$C63</f>
        <v>920.77300000000002</v>
      </c>
      <c r="M63" s="975">
        <f>IFERROR(('12. Разходи'!H63-'12. Разходи'!$C63)/'12. Разходи'!$C63,0)</f>
        <v>0.98244395434617238</v>
      </c>
      <c r="N63" s="1254">
        <f>'12. Разходи'!K63</f>
        <v>67</v>
      </c>
      <c r="O63" s="1238">
        <f>'12. Разходи'!L63-'12. Разходи'!$K63</f>
        <v>7.5</v>
      </c>
      <c r="P63" s="962">
        <f>IFERROR(('12. Разходи'!L63-'12. Разходи'!$K63)/'12. Разходи'!$K63,0)</f>
        <v>0.11194029850746269</v>
      </c>
      <c r="Q63" s="1237">
        <f>'12. Разходи'!M63-'12. Разходи'!$K63</f>
        <v>16.5</v>
      </c>
      <c r="R63" s="962">
        <f>IFERROR(('12. Разходи'!M63-'12. Разходи'!$K63)/'12. Разходи'!$K63,0)</f>
        <v>0.2462686567164179</v>
      </c>
      <c r="S63" s="1237">
        <f>'12. Разходи'!N63-'12. Разходи'!$K63</f>
        <v>30.5</v>
      </c>
      <c r="T63" s="962">
        <f>IFERROR(('12. Разходи'!N63-'12. Разходи'!$K63)/'12. Разходи'!$K63,0)</f>
        <v>0.45522388059701491</v>
      </c>
      <c r="U63" s="1237">
        <f>'12. Разходи'!O63-'12. Разходи'!$K63</f>
        <v>44.5</v>
      </c>
      <c r="V63" s="975">
        <f>IFERROR(('12. Разходи'!O63-'12. Разходи'!$K63)/'12. Разходи'!$K63,0)</f>
        <v>0.66417910447761197</v>
      </c>
      <c r="W63" s="1237">
        <f>'12. Разходи'!P63-'12. Разходи'!$K63</f>
        <v>60.5</v>
      </c>
      <c r="X63" s="977">
        <f>IFERROR(('12. Разходи'!P63-'12. Разходи'!$K63)/'12. Разходи'!$K63,0)</f>
        <v>0.90298507462686572</v>
      </c>
      <c r="Y63" s="1254">
        <f>'12. Разходи'!S63</f>
        <v>132</v>
      </c>
      <c r="Z63" s="1238">
        <f>'12. Разходи'!T63-'12. Разходи'!$S63</f>
        <v>16</v>
      </c>
      <c r="AA63" s="962">
        <f>IFERROR(('12. Разходи'!T63-'12. Разходи'!$S63)/'12. Разходи'!$S63,0)</f>
        <v>0.12121212121212122</v>
      </c>
      <c r="AB63" s="1237">
        <f>'12. Разходи'!U63-'12. Разходи'!$S63</f>
        <v>38</v>
      </c>
      <c r="AC63" s="962">
        <f>IFERROR(('12. Разходи'!U63-'12. Разходи'!$S63)/'12. Разходи'!$S63,0)</f>
        <v>0.2878787878787879</v>
      </c>
      <c r="AD63" s="1237">
        <f>'12. Разходи'!V63-'12. Разходи'!$S63</f>
        <v>63</v>
      </c>
      <c r="AE63" s="962">
        <f>IFERROR(('12. Разходи'!V63-'12. Разходи'!$S63)/'12. Разходи'!$S63,0)</f>
        <v>0.47727272727272729</v>
      </c>
      <c r="AF63" s="1237">
        <f>'12. Разходи'!W63-'12. Разходи'!$S63</f>
        <v>94</v>
      </c>
      <c r="AG63" s="975">
        <f>IFERROR(('12. Разходи'!W63-'12. Разходи'!$S63)/'12. Разходи'!$S63,0)</f>
        <v>0.71212121212121215</v>
      </c>
      <c r="AH63" s="1237">
        <f>'12. Разходи'!X63-'12. Разходи'!$S63</f>
        <v>127</v>
      </c>
      <c r="AI63" s="977">
        <f>IFERROR(('12. Разходи'!X63-'12. Разходи'!$S63)/'12. Разходи'!$S63,0)</f>
        <v>0.96212121212121215</v>
      </c>
      <c r="AJ63" s="1254">
        <f>'12. Разходи'!AA63</f>
        <v>5.2700000000000005</v>
      </c>
      <c r="AK63" s="1238">
        <f>'12. Разходи'!AB63-'12. Разходи'!$AA63</f>
        <v>0.33000000000000007</v>
      </c>
      <c r="AL63" s="962">
        <f>IFERROR(('12. Разходи'!AB63-'12. Разходи'!$AA63)/'12. Разходи'!$AA63,0)</f>
        <v>6.2618595825426948E-2</v>
      </c>
      <c r="AM63" s="1237">
        <f>'12. Разходи'!AC63-'12. Разходи'!$AA63</f>
        <v>0.72999999999999954</v>
      </c>
      <c r="AN63" s="962">
        <f>IFERROR(('12. Разходи'!AC63-'12. Разходи'!$AA63)/'12. Разходи'!$AA63,0)</f>
        <v>0.13851992409867162</v>
      </c>
      <c r="AO63" s="1237">
        <f>'12. Разходи'!AD63-'12. Разходи'!$AA63</f>
        <v>1.7299999999999995</v>
      </c>
      <c r="AP63" s="962">
        <f>IFERROR(('12. Разходи'!AD63-'12. Разходи'!$AA63)/'12. Разходи'!$AA63,0)</f>
        <v>0.32827324478178355</v>
      </c>
      <c r="AQ63" s="1237">
        <f>'12. Разходи'!AE63-'12. Разходи'!$AA63</f>
        <v>2.7299999999999995</v>
      </c>
      <c r="AR63" s="975">
        <f>IFERROR(('12. Разходи'!AE63-'12. Разходи'!$AA63)/'12. Разходи'!$AA63,0)</f>
        <v>0.51802656546489545</v>
      </c>
      <c r="AS63" s="1237">
        <f>'12. Разходи'!AF63-'12. Разходи'!$AA63</f>
        <v>4.7299999999999995</v>
      </c>
      <c r="AT63" s="977">
        <f>IFERROR(('12. Разходи'!AF63-'12. Разходи'!$AA63)/'12. Разходи'!$AA63,0)</f>
        <v>0.89753320683111937</v>
      </c>
      <c r="AU63" s="1254">
        <f>'12. Разходи'!AI63</f>
        <v>0</v>
      </c>
      <c r="AV63" s="1238">
        <f>'12. Разходи'!AJ63-'12. Разходи'!$AI63</f>
        <v>0</v>
      </c>
      <c r="AW63" s="962">
        <f>IFERROR(('12. Разходи'!AJ63-'12. Разходи'!$AI63)/'12. Разходи'!$AI63,0)</f>
        <v>0</v>
      </c>
      <c r="AX63" s="1237">
        <f>'12. Разходи'!AK63-'12. Разходи'!$AI63</f>
        <v>0</v>
      </c>
      <c r="AY63" s="962">
        <f>IFERROR(('12. Разходи'!AK63-'12. Разходи'!$AI63)/'12. Разходи'!$AI63,0)</f>
        <v>0</v>
      </c>
      <c r="AZ63" s="1237">
        <f>'12. Разходи'!AL63-'12. Разходи'!$AI63</f>
        <v>0</v>
      </c>
      <c r="BA63" s="962">
        <f>IFERROR(('12. Разходи'!AL63-'12. Разходи'!$AI63)/'12. Разходи'!$AI63,0)</f>
        <v>0</v>
      </c>
      <c r="BB63" s="1237">
        <f>'12. Разходи'!AM63-'12. Разходи'!$AI63</f>
        <v>0</v>
      </c>
      <c r="BC63" s="975">
        <f>IFERROR(('12. Разходи'!AM63-'12. Разходи'!$AI63)/'12. Разходи'!$AI63,0)</f>
        <v>0</v>
      </c>
      <c r="BD63" s="1237">
        <f>'12. Разходи'!AN63-'12. Разходи'!$AI63</f>
        <v>0</v>
      </c>
      <c r="BE63" s="977">
        <f>IFERROR(('12. Разходи'!AN63-'12. Разходи'!$AI63)/'12. Разходи'!$AI63,0)</f>
        <v>0</v>
      </c>
      <c r="BF63" s="760"/>
      <c r="BG63" s="760"/>
      <c r="BH63" s="760"/>
      <c r="BI63" s="760"/>
      <c r="BJ63" s="760"/>
      <c r="BK63" s="760"/>
      <c r="BL63" s="760"/>
      <c r="BM63" s="760"/>
      <c r="BN63" s="760"/>
    </row>
    <row r="64" spans="1:66" ht="15.95" customHeight="1">
      <c r="A64" s="118" t="s">
        <v>108</v>
      </c>
      <c r="B64" s="985" t="s">
        <v>638</v>
      </c>
      <c r="C64" s="1203">
        <f>'12. Разходи'!C64</f>
        <v>547</v>
      </c>
      <c r="D64" s="1229">
        <f>'12. Разходи'!D64-'12. Разходи'!$C64</f>
        <v>83</v>
      </c>
      <c r="E64" s="1215">
        <f>IFERROR(('12. Разходи'!D64-'12. Разходи'!$C64)/'12. Разходи'!$C64,0)</f>
        <v>0.15173674588665448</v>
      </c>
      <c r="F64" s="1230">
        <f>'12. Разходи'!E64-'12. Разходи'!$C64</f>
        <v>190</v>
      </c>
      <c r="G64" s="1216">
        <f>IFERROR(('12. Разходи'!E64-'12. Разходи'!$C64)/'12. Разходи'!$C64,0)</f>
        <v>0.34734917733089582</v>
      </c>
      <c r="H64" s="1230">
        <f>'12. Разходи'!F64-'12. Разходи'!$C64</f>
        <v>306</v>
      </c>
      <c r="I64" s="1216">
        <f>IFERROR(('12. Разходи'!F64-'12. Разходи'!$C64)/'12. Разходи'!$C64,0)</f>
        <v>0.55941499085923219</v>
      </c>
      <c r="J64" s="1230">
        <f>'12. Разходи'!G64-'12. Разходи'!$C64</f>
        <v>440</v>
      </c>
      <c r="K64" s="1217">
        <f>IFERROR(('12. Разходи'!G64-'12. Разходи'!$C64)/'12. Разходи'!$C64,0)</f>
        <v>0.80438756855575866</v>
      </c>
      <c r="L64" s="1235">
        <f>'12. Разходи'!H64-'12. Разходи'!$C64</f>
        <v>608</v>
      </c>
      <c r="M64" s="1217">
        <f>IFERROR(('12. Разходи'!H64-'12. Разходи'!$C64)/'12. Разходи'!$C64,0)</f>
        <v>1.1115173674588665</v>
      </c>
      <c r="N64" s="1274">
        <f>'12. Разходи'!K64</f>
        <v>41</v>
      </c>
      <c r="O64" s="1229">
        <f>'12. Разходи'!L64-'12. Разходи'!$K64</f>
        <v>6.25</v>
      </c>
      <c r="P64" s="1215">
        <f>IFERROR(('12. Разходи'!L64-'12. Разходи'!$K64)/'12. Разходи'!$K64,0)</f>
        <v>0.1524390243902439</v>
      </c>
      <c r="Q64" s="1230">
        <f>'12. Разходи'!M64-'12. Разходи'!$K64</f>
        <v>12.399999999999999</v>
      </c>
      <c r="R64" s="1216">
        <f>IFERROR(('12. Разходи'!M64-'12. Разходи'!$K64)/'12. Разходи'!$K64,0)</f>
        <v>0.30243902439024389</v>
      </c>
      <c r="S64" s="1230">
        <f>'12. Разходи'!N64-'12. Разходи'!$K64</f>
        <v>21.799999999999997</v>
      </c>
      <c r="T64" s="1216">
        <f>IFERROR(('12. Разходи'!N64-'12. Разходи'!$K64)/'12. Разходи'!$K64,0)</f>
        <v>0.53170731707317065</v>
      </c>
      <c r="U64" s="1230">
        <f>'12. Разходи'!O64-'12. Разходи'!$K64</f>
        <v>30.799999999999997</v>
      </c>
      <c r="V64" s="1217">
        <f>IFERROR(('12. Разходи'!O64-'12. Разходи'!$K64)/'12. Разходи'!$K64,0)</f>
        <v>0.75121951219512184</v>
      </c>
      <c r="W64" s="1235">
        <f>'12. Разходи'!P64-'12. Разходи'!$K64</f>
        <v>42</v>
      </c>
      <c r="X64" s="1277">
        <f>IFERROR(('12. Разходи'!P64-'12. Разходи'!$K64)/'12. Разходи'!$K64,0)</f>
        <v>1.024390243902439</v>
      </c>
      <c r="Y64" s="1274">
        <f>'12. Разходи'!S64</f>
        <v>89.466999999999999</v>
      </c>
      <c r="Z64" s="1229">
        <f>'12. Разходи'!T64-'12. Разходи'!$S64</f>
        <v>13.921000000000006</v>
      </c>
      <c r="AA64" s="1215">
        <f>IFERROR(('12. Разходи'!T64-'12. Разходи'!$S64)/'12. Разходи'!$S64,0)</f>
        <v>0.15559927123967504</v>
      </c>
      <c r="AB64" s="1230">
        <f>'12. Разходи'!U64-'12. Разходи'!$S64</f>
        <v>28.921000000000006</v>
      </c>
      <c r="AC64" s="1216">
        <f>IFERROR(('12. Разходи'!U64-'12. Разходи'!$S64)/'12. Разходи'!$S64,0)</f>
        <v>0.32325885522036063</v>
      </c>
      <c r="AD64" s="1230">
        <f>'12. Разходи'!V64-'12. Разходи'!$S64</f>
        <v>45.921000000000006</v>
      </c>
      <c r="AE64" s="1216">
        <f>IFERROR(('12. Разходи'!V64-'12. Разходи'!$S64)/'12. Разходи'!$S64,0)</f>
        <v>0.51327305039847104</v>
      </c>
      <c r="AF64" s="1230">
        <f>'12. Разходи'!W64-'12. Разходи'!$S64</f>
        <v>67.921000000000006</v>
      </c>
      <c r="AG64" s="1217">
        <f>IFERROR(('12. Разходи'!W64-'12. Разходи'!$S64)/'12. Разходи'!$S64,0)</f>
        <v>0.75917377357014326</v>
      </c>
      <c r="AH64" s="1235">
        <f>'12. Разходи'!X64-'12. Разходи'!$S64</f>
        <v>90.921000000000006</v>
      </c>
      <c r="AI64" s="1277">
        <f>IFERROR(('12. Разходи'!X64-'12. Разходи'!$S64)/'12. Разходи'!$S64,0)</f>
        <v>1.0162518023405278</v>
      </c>
      <c r="AJ64" s="1274">
        <f>'12. Разходи'!AA64</f>
        <v>3.65</v>
      </c>
      <c r="AK64" s="1229">
        <f>'12. Разходи'!AB64-'12. Разходи'!$AA64</f>
        <v>0.35000000000000009</v>
      </c>
      <c r="AL64" s="1215">
        <f>IFERROR(('12. Разходи'!AB64-'12. Разходи'!$AA64)/'12. Разходи'!$AA64,0)</f>
        <v>9.5890410958904132E-2</v>
      </c>
      <c r="AM64" s="1230">
        <f>'12. Разходи'!AC64-'12. Разходи'!$AA64</f>
        <v>-0.64999999999999991</v>
      </c>
      <c r="AN64" s="1216">
        <f>IFERROR(('12. Разходи'!AC64-'12. Разходи'!$AA64)/'12. Разходи'!$AA64,0)</f>
        <v>-0.17808219178082191</v>
      </c>
      <c r="AO64" s="1230">
        <f>'12. Разходи'!AD64-'12. Разходи'!$AA64</f>
        <v>0.55000000000000027</v>
      </c>
      <c r="AP64" s="1216">
        <f>IFERROR(('12. Разходи'!AD64-'12. Разходи'!$AA64)/'12. Разходи'!$AA64,0)</f>
        <v>0.15068493150684939</v>
      </c>
      <c r="AQ64" s="1230">
        <f>'12. Разходи'!AE64-'12. Разходи'!$AA64</f>
        <v>1.35</v>
      </c>
      <c r="AR64" s="1217">
        <f>IFERROR(('12. Разходи'!AE64-'12. Разходи'!$AA64)/'12. Разходи'!$AA64,0)</f>
        <v>0.36986301369863017</v>
      </c>
      <c r="AS64" s="1235">
        <f>'12. Разходи'!AF64-'12. Разходи'!$AA64</f>
        <v>2.35</v>
      </c>
      <c r="AT64" s="1277">
        <f>IFERROR(('12. Разходи'!AF64-'12. Разходи'!$AA64)/'12. Разходи'!$AA64,0)</f>
        <v>0.64383561643835618</v>
      </c>
      <c r="AU64" s="1274">
        <f>'12. Разходи'!AI64</f>
        <v>0</v>
      </c>
      <c r="AV64" s="1229">
        <f>'12. Разходи'!AJ64-'12. Разходи'!$AI64</f>
        <v>0</v>
      </c>
      <c r="AW64" s="1215">
        <f>IFERROR(('12. Разходи'!AJ64-'12. Разходи'!$AI64)/'12. Разходи'!$AI64,0)</f>
        <v>0</v>
      </c>
      <c r="AX64" s="1230">
        <f>'12. Разходи'!AK64-'12. Разходи'!$AI64</f>
        <v>0</v>
      </c>
      <c r="AY64" s="1216">
        <f>IFERROR(('12. Разходи'!AK64-'12. Разходи'!$AI64)/'12. Разходи'!$AI64,0)</f>
        <v>0</v>
      </c>
      <c r="AZ64" s="1230">
        <f>'12. Разходи'!AL64-'12. Разходи'!$AI64</f>
        <v>0</v>
      </c>
      <c r="BA64" s="1216">
        <f>IFERROR(('12. Разходи'!AL64-'12. Разходи'!$AI64)/'12. Разходи'!$AI64,0)</f>
        <v>0</v>
      </c>
      <c r="BB64" s="1230">
        <f>'12. Разходи'!AM64-'12. Разходи'!$AI64</f>
        <v>0</v>
      </c>
      <c r="BC64" s="1217">
        <f>IFERROR(('12. Разходи'!AM64-'12. Разходи'!$AI64)/'12. Разходи'!$AI64,0)</f>
        <v>0</v>
      </c>
      <c r="BD64" s="1235">
        <f>'12. Разходи'!AN64-'12. Разходи'!$AI64</f>
        <v>0</v>
      </c>
      <c r="BE64" s="1277">
        <f>IFERROR(('12. Разходи'!AN64-'12. Разходи'!$AI64)/'12. Разходи'!$AI64,0)</f>
        <v>0</v>
      </c>
    </row>
    <row r="65" spans="1:66" s="743" customFormat="1" ht="15.95" customHeight="1">
      <c r="A65" s="437" t="s">
        <v>112</v>
      </c>
      <c r="B65" s="988" t="s">
        <v>645</v>
      </c>
      <c r="C65" s="1205">
        <f>'12. Разходи'!C65</f>
        <v>95</v>
      </c>
      <c r="D65" s="1233">
        <f>'12. Разходи'!D65-'12. Разходи'!$C65</f>
        <v>9</v>
      </c>
      <c r="E65" s="964">
        <f>IFERROR(('12. Разходи'!D65-'12. Разходи'!$C65)/'12. Разходи'!$C65,0)</f>
        <v>9.4736842105263161E-2</v>
      </c>
      <c r="F65" s="1223">
        <f>'12. Разходи'!E65-'12. Разходи'!$C65</f>
        <v>17</v>
      </c>
      <c r="G65" s="964">
        <f>IFERROR(('12. Разходи'!E65-'12. Разходи'!$C65)/'12. Разходи'!$C65,0)</f>
        <v>0.17894736842105263</v>
      </c>
      <c r="H65" s="1223">
        <f>'12. Разходи'!F65-'12. Разходи'!$C65</f>
        <v>28</v>
      </c>
      <c r="I65" s="964">
        <f>IFERROR(('12. Разходи'!F65-'12. Разходи'!$C65)/'12. Разходи'!$C65,0)</f>
        <v>0.29473684210526313</v>
      </c>
      <c r="J65" s="1223">
        <f>'12. Разходи'!G65-'12. Разходи'!$C65</f>
        <v>40</v>
      </c>
      <c r="K65" s="973">
        <f>IFERROR(('12. Разходи'!G65-'12. Разходи'!$C65)/'12. Разходи'!$C65,0)</f>
        <v>0.42105263157894735</v>
      </c>
      <c r="L65" s="1223">
        <f>'12. Разходи'!H65-'12. Разходи'!$C65</f>
        <v>40</v>
      </c>
      <c r="M65" s="973">
        <f>IFERROR(('12. Разходи'!H65-'12. Разходи'!$C65)/'12. Разходи'!$C65,0)</f>
        <v>0.42105263157894735</v>
      </c>
      <c r="N65" s="1256">
        <f>'12. Разходи'!K65</f>
        <v>5</v>
      </c>
      <c r="O65" s="1233">
        <f>'12. Разходи'!L65-'12. Разходи'!$K65</f>
        <v>0.75</v>
      </c>
      <c r="P65" s="964">
        <f>IFERROR(('12. Разходи'!L65-'12. Разходи'!$K65)/'12. Разходи'!$K65,0)</f>
        <v>0.15</v>
      </c>
      <c r="Q65" s="1223">
        <f>'12. Разходи'!M65-'12. Разходи'!$K65</f>
        <v>1.5999999999999996</v>
      </c>
      <c r="R65" s="964">
        <f>IFERROR(('12. Разходи'!M65-'12. Разходи'!$K65)/'12. Разходи'!$K65,0)</f>
        <v>0.31999999999999995</v>
      </c>
      <c r="S65" s="1223">
        <f>'12. Разходи'!N65-'12. Разходи'!$K65</f>
        <v>2.2000000000000002</v>
      </c>
      <c r="T65" s="964">
        <f>IFERROR(('12. Разходи'!N65-'12. Разходи'!$K65)/'12. Разходи'!$K65,0)</f>
        <v>0.44000000000000006</v>
      </c>
      <c r="U65" s="1223">
        <f>'12. Разходи'!O65-'12. Разходи'!$K65</f>
        <v>3.1999999999999993</v>
      </c>
      <c r="V65" s="973">
        <f>IFERROR(('12. Разходи'!O65-'12. Разходи'!$K65)/'12. Разходи'!$K65,0)</f>
        <v>0.6399999999999999</v>
      </c>
      <c r="W65" s="1223">
        <f>'12. Разходи'!P65-'12. Разходи'!$K65</f>
        <v>4</v>
      </c>
      <c r="X65" s="978">
        <f>IFERROR(('12. Разходи'!P65-'12. Разходи'!$K65)/'12. Разходи'!$K65,0)</f>
        <v>0.8</v>
      </c>
      <c r="Y65" s="1256">
        <f>'12. Разходи'!S65</f>
        <v>0.53300000000000003</v>
      </c>
      <c r="Z65" s="1233">
        <f>'12. Разходи'!T65-'12. Разходи'!$S65</f>
        <v>7.8999999999999959E-2</v>
      </c>
      <c r="AA65" s="964">
        <f>IFERROR(('12. Разходи'!T65-'12. Разходи'!$S65)/'12. Разходи'!$S65,0)</f>
        <v>0.14821763602251398</v>
      </c>
      <c r="AB65" s="1223">
        <f>'12. Разходи'!U65-'12. Разходи'!$S65</f>
        <v>7.8999999999999959E-2</v>
      </c>
      <c r="AC65" s="964">
        <f>IFERROR(('12. Разходи'!U65-'12. Разходи'!$S65)/'12. Разходи'!$S65,0)</f>
        <v>0.14821763602251398</v>
      </c>
      <c r="AD65" s="1223">
        <f>'12. Разходи'!V65-'12. Разходи'!$S65</f>
        <v>7.8999999999999959E-2</v>
      </c>
      <c r="AE65" s="964">
        <f>IFERROR(('12. Разходи'!V65-'12. Разходи'!$S65)/'12. Разходи'!$S65,0)</f>
        <v>0.14821763602251398</v>
      </c>
      <c r="AF65" s="1223">
        <f>'12. Разходи'!W65-'12. Разходи'!$S65</f>
        <v>7.8999999999999959E-2</v>
      </c>
      <c r="AG65" s="973">
        <f>IFERROR(('12. Разходи'!W65-'12. Разходи'!$S65)/'12. Разходи'!$S65,0)</f>
        <v>0.14821763602251398</v>
      </c>
      <c r="AH65" s="1223">
        <f>'12. Разходи'!X65-'12. Разходи'!$S65</f>
        <v>7.8999999999999959E-2</v>
      </c>
      <c r="AI65" s="978">
        <f>IFERROR(('12. Разходи'!X65-'12. Разходи'!$S65)/'12. Разходи'!$S65,0)</f>
        <v>0.14821763602251398</v>
      </c>
      <c r="AJ65" s="1256">
        <f>'12. Разходи'!AA65</f>
        <v>0</v>
      </c>
      <c r="AK65" s="1233">
        <f>'12. Разходи'!AB65-'12. Разходи'!$AA65</f>
        <v>0</v>
      </c>
      <c r="AL65" s="964">
        <f>IFERROR(('12. Разходи'!AB65-'12. Разходи'!$AA65)/'12. Разходи'!$AA65,0)</f>
        <v>0</v>
      </c>
      <c r="AM65" s="1223">
        <f>'12. Разходи'!AC65-'12. Разходи'!$AA65</f>
        <v>1</v>
      </c>
      <c r="AN65" s="964">
        <f>IFERROR(('12. Разходи'!AC65-'12. Разходи'!$AA65)/'12. Разходи'!$AA65,0)</f>
        <v>0</v>
      </c>
      <c r="AO65" s="1223">
        <f>'12. Разходи'!AD65-'12. Разходи'!$AA65</f>
        <v>0.8</v>
      </c>
      <c r="AP65" s="964">
        <f>IFERROR(('12. Разходи'!AD65-'12. Разходи'!$AA65)/'12. Разходи'!$AA65,0)</f>
        <v>0</v>
      </c>
      <c r="AQ65" s="1223">
        <f>'12. Разходи'!AE65-'12. Разходи'!$AA65</f>
        <v>1</v>
      </c>
      <c r="AR65" s="973">
        <f>IFERROR(('12. Разходи'!AE65-'12. Разходи'!$AA65)/'12. Разходи'!$AA65,0)</f>
        <v>0</v>
      </c>
      <c r="AS65" s="1223">
        <f>'12. Разходи'!AF65-'12. Разходи'!$AA65</f>
        <v>1</v>
      </c>
      <c r="AT65" s="978">
        <f>IFERROR(('12. Разходи'!AF65-'12. Разходи'!$AA65)/'12. Разходи'!$AA65,0)</f>
        <v>0</v>
      </c>
      <c r="AU65" s="1256">
        <f>'12. Разходи'!AI65</f>
        <v>0</v>
      </c>
      <c r="AV65" s="1233">
        <f>'12. Разходи'!AJ65-'12. Разходи'!$AI65</f>
        <v>0</v>
      </c>
      <c r="AW65" s="964">
        <f>IFERROR(('12. Разходи'!AJ65-'12. Разходи'!$AI65)/'12. Разходи'!$AI65,0)</f>
        <v>0</v>
      </c>
      <c r="AX65" s="1223">
        <f>'12. Разходи'!AK65-'12. Разходи'!$AI65</f>
        <v>0</v>
      </c>
      <c r="AY65" s="964">
        <f>IFERROR(('12. Разходи'!AK65-'12. Разходи'!$AI65)/'12. Разходи'!$AI65,0)</f>
        <v>0</v>
      </c>
      <c r="AZ65" s="1223">
        <f>'12. Разходи'!AL65-'12. Разходи'!$AI65</f>
        <v>0</v>
      </c>
      <c r="BA65" s="964">
        <f>IFERROR(('12. Разходи'!AL65-'12. Разходи'!$AI65)/'12. Разходи'!$AI65,0)</f>
        <v>0</v>
      </c>
      <c r="BB65" s="1223">
        <f>'12. Разходи'!AM65-'12. Разходи'!$AI65</f>
        <v>0</v>
      </c>
      <c r="BC65" s="973">
        <f>IFERROR(('12. Разходи'!AM65-'12. Разходи'!$AI65)/'12. Разходи'!$AI65,0)</f>
        <v>0</v>
      </c>
      <c r="BD65" s="1223">
        <f>'12. Разходи'!AN65-'12. Разходи'!$AI65</f>
        <v>0</v>
      </c>
      <c r="BE65" s="978">
        <f>IFERROR(('12. Разходи'!AN65-'12. Разходи'!$AI65)/'12. Разходи'!$AI65,0)</f>
        <v>0</v>
      </c>
      <c r="BF65" s="747"/>
      <c r="BG65" s="747"/>
      <c r="BH65" s="747"/>
      <c r="BI65" s="747"/>
      <c r="BJ65" s="747"/>
      <c r="BK65" s="747"/>
      <c r="BL65" s="747"/>
      <c r="BM65" s="747"/>
      <c r="BN65" s="747"/>
    </row>
    <row r="66" spans="1:66" s="743" customFormat="1" ht="43.5" customHeight="1">
      <c r="A66" s="437" t="s">
        <v>86</v>
      </c>
      <c r="B66" s="988" t="s">
        <v>1849</v>
      </c>
      <c r="C66" s="1205">
        <f>'12. Разходи'!C66</f>
        <v>11.227</v>
      </c>
      <c r="D66" s="1233">
        <f>'12. Разходи'!D66-'12. Разходи'!$C66</f>
        <v>-11.227</v>
      </c>
      <c r="E66" s="964">
        <f>IFERROR(('12. Разходи'!D66-'12. Разходи'!$C66)/'12. Разходи'!$C66,0)</f>
        <v>-1</v>
      </c>
      <c r="F66" s="1223">
        <f>'12. Разходи'!E66-'12. Разходи'!$C66</f>
        <v>-11.227</v>
      </c>
      <c r="G66" s="964">
        <f>IFERROR(('12. Разходи'!E66-'12. Разходи'!$C66)/'12. Разходи'!$C66,0)</f>
        <v>-1</v>
      </c>
      <c r="H66" s="1223">
        <f>'12. Разходи'!F66-'12. Разходи'!$C66</f>
        <v>-11.227</v>
      </c>
      <c r="I66" s="964">
        <f>IFERROR(('12. Разходи'!F66-'12. Разходи'!$C66)/'12. Разходи'!$C66,0)</f>
        <v>-1</v>
      </c>
      <c r="J66" s="1223">
        <f>'12. Разходи'!G66-'12. Разходи'!$C66</f>
        <v>-11.227</v>
      </c>
      <c r="K66" s="973">
        <f>IFERROR(('12. Разходи'!G66-'12. Разходи'!$C66)/'12. Разходи'!$C66,0)</f>
        <v>-1</v>
      </c>
      <c r="L66" s="1223">
        <f>'12. Разходи'!H66-'12. Разходи'!$C66</f>
        <v>-11.227</v>
      </c>
      <c r="M66" s="973">
        <f>IFERROR(('12. Разходи'!H66-'12. Разходи'!$C66)/'12. Разходи'!$C66,0)</f>
        <v>-1</v>
      </c>
      <c r="N66" s="1256">
        <f>'12. Разходи'!K66</f>
        <v>2</v>
      </c>
      <c r="O66" s="1233">
        <f>'12. Разходи'!L66-'12. Разходи'!$K66</f>
        <v>-1.5</v>
      </c>
      <c r="P66" s="964">
        <f>IFERROR(('12. Разходи'!L66-'12. Разходи'!$K66)/'12. Разходи'!$K66,0)</f>
        <v>-0.75</v>
      </c>
      <c r="Q66" s="1223">
        <f>'12. Разходи'!M66-'12. Разходи'!$K66</f>
        <v>-1.5</v>
      </c>
      <c r="R66" s="964">
        <f>IFERROR(('12. Разходи'!M66-'12. Разходи'!$K66)/'12. Разходи'!$K66,0)</f>
        <v>-0.75</v>
      </c>
      <c r="S66" s="1223">
        <f>'12. Разходи'!N66-'12. Разходи'!$K66</f>
        <v>-1.5</v>
      </c>
      <c r="T66" s="964">
        <f>IFERROR(('12. Разходи'!N66-'12. Разходи'!$K66)/'12. Разходи'!$K66,0)</f>
        <v>-0.75</v>
      </c>
      <c r="U66" s="1223">
        <f>'12. Разходи'!O66-'12. Разходи'!$K66</f>
        <v>-1.5</v>
      </c>
      <c r="V66" s="973">
        <f>IFERROR(('12. Разходи'!O66-'12. Разходи'!$K66)/'12. Разходи'!$K66,0)</f>
        <v>-0.75</v>
      </c>
      <c r="W66" s="1223">
        <f>'12. Разходи'!P66-'12. Разходи'!$K66</f>
        <v>-1.5</v>
      </c>
      <c r="X66" s="978">
        <f>IFERROR(('12. Разходи'!P66-'12. Разходи'!$K66)/'12. Разходи'!$K66,0)</f>
        <v>-0.75</v>
      </c>
      <c r="Y66" s="1256">
        <f>'12. Разходи'!S66</f>
        <v>2</v>
      </c>
      <c r="Z66" s="1233">
        <f>'12. Разходи'!T66-'12. Разходи'!$S66</f>
        <v>-1</v>
      </c>
      <c r="AA66" s="964">
        <f>IFERROR(('12. Разходи'!T66-'12. Разходи'!$S66)/'12. Разходи'!$S66,0)</f>
        <v>-0.5</v>
      </c>
      <c r="AB66" s="1223">
        <f>'12. Разходи'!U66-'12. Разходи'!$S66</f>
        <v>-1</v>
      </c>
      <c r="AC66" s="964">
        <f>IFERROR(('12. Разходи'!U66-'12. Разходи'!$S66)/'12. Разходи'!$S66,0)</f>
        <v>-0.5</v>
      </c>
      <c r="AD66" s="1223">
        <f>'12. Разходи'!V66-'12. Разходи'!$S66</f>
        <v>-1</v>
      </c>
      <c r="AE66" s="964">
        <f>IFERROR(('12. Разходи'!V66-'12. Разходи'!$S66)/'12. Разходи'!$S66,0)</f>
        <v>-0.5</v>
      </c>
      <c r="AF66" s="1223">
        <f>'12. Разходи'!W66-'12. Разходи'!$S66</f>
        <v>-1</v>
      </c>
      <c r="AG66" s="973">
        <f>IFERROR(('12. Разходи'!W66-'12. Разходи'!$S66)/'12. Разходи'!$S66,0)</f>
        <v>-0.5</v>
      </c>
      <c r="AH66" s="1223">
        <f>'12. Разходи'!X66-'12. Разходи'!$S66</f>
        <v>-1</v>
      </c>
      <c r="AI66" s="978">
        <f>IFERROR(('12. Разходи'!X66-'12. Разходи'!$S66)/'12. Разходи'!$S66,0)</f>
        <v>-0.5</v>
      </c>
      <c r="AJ66" s="1256">
        <f>'12. Разходи'!AA66</f>
        <v>0</v>
      </c>
      <c r="AK66" s="1233">
        <f>'12. Разходи'!AB66-'12. Разходи'!$AA66</f>
        <v>0</v>
      </c>
      <c r="AL66" s="964">
        <f>IFERROR(('12. Разходи'!AB66-'12. Разходи'!$AA66)/'12. Разходи'!$AA66,0)</f>
        <v>0</v>
      </c>
      <c r="AM66" s="1223">
        <f>'12. Разходи'!AC66-'12. Разходи'!$AA66</f>
        <v>0</v>
      </c>
      <c r="AN66" s="964">
        <f>IFERROR(('12. Разходи'!AC66-'12. Разходи'!$AA66)/'12. Разходи'!$AA66,0)</f>
        <v>0</v>
      </c>
      <c r="AO66" s="1223">
        <f>'12. Разходи'!AD66-'12. Разходи'!$AA66</f>
        <v>0</v>
      </c>
      <c r="AP66" s="964">
        <f>IFERROR(('12. Разходи'!AD66-'12. Разходи'!$AA66)/'12. Разходи'!$AA66,0)</f>
        <v>0</v>
      </c>
      <c r="AQ66" s="1223">
        <f>'12. Разходи'!AE66-'12. Разходи'!$AA66</f>
        <v>0</v>
      </c>
      <c r="AR66" s="973">
        <f>IFERROR(('12. Разходи'!AE66-'12. Разходи'!$AA66)/'12. Разходи'!$AA66,0)</f>
        <v>0</v>
      </c>
      <c r="AS66" s="1223">
        <f>'12. Разходи'!AF66-'12. Разходи'!$AA66</f>
        <v>0</v>
      </c>
      <c r="AT66" s="978">
        <f>IFERROR(('12. Разходи'!AF66-'12. Разходи'!$AA66)/'12. Разходи'!$AA66,0)</f>
        <v>0</v>
      </c>
      <c r="AU66" s="1256">
        <f>'12. Разходи'!AI66</f>
        <v>0</v>
      </c>
      <c r="AV66" s="1233">
        <f>'12. Разходи'!AJ66-'12. Разходи'!$AI66</f>
        <v>0</v>
      </c>
      <c r="AW66" s="964">
        <f>IFERROR(('12. Разходи'!AJ66-'12. Разходи'!$AI66)/'12. Разходи'!$AI66,0)</f>
        <v>0</v>
      </c>
      <c r="AX66" s="1223">
        <f>'12. Разходи'!AK66-'12. Разходи'!$AI66</f>
        <v>0</v>
      </c>
      <c r="AY66" s="964">
        <f>IFERROR(('12. Разходи'!AK66-'12. Разходи'!$AI66)/'12. Разходи'!$AI66,0)</f>
        <v>0</v>
      </c>
      <c r="AZ66" s="1223">
        <f>'12. Разходи'!AL66-'12. Разходи'!$AI66</f>
        <v>0</v>
      </c>
      <c r="BA66" s="964">
        <f>IFERROR(('12. Разходи'!AL66-'12. Разходи'!$AI66)/'12. Разходи'!$AI66,0)</f>
        <v>0</v>
      </c>
      <c r="BB66" s="1223">
        <f>'12. Разходи'!AM66-'12. Разходи'!$AI66</f>
        <v>0</v>
      </c>
      <c r="BC66" s="973">
        <f>IFERROR(('12. Разходи'!AM66-'12. Разходи'!$AI66)/'12. Разходи'!$AI66,0)</f>
        <v>0</v>
      </c>
      <c r="BD66" s="1223">
        <f>'12. Разходи'!AN66-'12. Разходи'!$AI66</f>
        <v>0</v>
      </c>
      <c r="BE66" s="978">
        <f>IFERROR(('12. Разходи'!AN66-'12. Разходи'!$AI66)/'12. Разходи'!$AI66,0)</f>
        <v>0</v>
      </c>
      <c r="BF66" s="747"/>
      <c r="BG66" s="747"/>
      <c r="BH66" s="747"/>
      <c r="BI66" s="747"/>
      <c r="BJ66" s="747"/>
      <c r="BK66" s="747"/>
      <c r="BL66" s="747"/>
      <c r="BM66" s="747"/>
      <c r="BN66" s="747"/>
    </row>
    <row r="67" spans="1:66" ht="15.95" customHeight="1">
      <c r="A67" s="118" t="s">
        <v>87</v>
      </c>
      <c r="B67" s="988" t="s">
        <v>1334</v>
      </c>
      <c r="C67" s="1205">
        <f>'12. Разходи'!C67</f>
        <v>251.92024000000015</v>
      </c>
      <c r="D67" s="1231">
        <f>'12. Разходи'!D67-'12. Разходи'!$C67</f>
        <v>41.45975999999996</v>
      </c>
      <c r="E67" s="1211">
        <f>IFERROR(('12. Разходи'!D67-'12. Разходи'!$C67)/'12. Разходи'!$C67,0)</f>
        <v>0.16457494641954903</v>
      </c>
      <c r="F67" s="995">
        <f>'12. Разходи'!E67-'12. Разходи'!$C67</f>
        <v>90.45975999999996</v>
      </c>
      <c r="G67" s="1219">
        <f>IFERROR(('12. Разходи'!E67-'12. Разходи'!$C67)/'12. Разходи'!$C67,0)</f>
        <v>0.35908095355895148</v>
      </c>
      <c r="H67" s="995">
        <f>'12. Разходи'!F67-'12. Разходи'!$C67</f>
        <v>146.45975999999996</v>
      </c>
      <c r="I67" s="1219">
        <f>IFERROR(('12. Разходи'!F67-'12. Разходи'!$C67)/'12. Разходи'!$C67,0)</f>
        <v>0.58137353314683993</v>
      </c>
      <c r="J67" s="995">
        <f>'12. Разходи'!G67-'12. Разходи'!$C67</f>
        <v>211.45975999999996</v>
      </c>
      <c r="K67" s="1218">
        <f>IFERROR(('12. Разходи'!G67-'12. Разходи'!$C67)/'12. Разходи'!$C67,0)</f>
        <v>0.83939170588278189</v>
      </c>
      <c r="L67" s="1226">
        <f>'12. Разходи'!H67-'12. Разходи'!$C67</f>
        <v>284.45975999999996</v>
      </c>
      <c r="M67" s="1218">
        <f>IFERROR(('12. Разходи'!H67-'12. Разходи'!$C67)/'12. Разходи'!$C67,0)</f>
        <v>1.1291659614169938</v>
      </c>
      <c r="N67" s="1270">
        <f>'12. Разходи'!K67</f>
        <v>16.463629999999995</v>
      </c>
      <c r="O67" s="1231">
        <f>'12. Разходи'!L67-'12. Разходи'!$K67</f>
        <v>1.4813699999999983</v>
      </c>
      <c r="P67" s="1211">
        <f>IFERROR(('12. Разходи'!L67-'12. Разходи'!$K67)/'12. Разходи'!$K67,0)</f>
        <v>8.9978334061200274E-2</v>
      </c>
      <c r="Q67" s="995">
        <f>'12. Разходи'!M67-'12. Разходи'!$K67</f>
        <v>2.5813699999999997</v>
      </c>
      <c r="R67" s="1219">
        <f>IFERROR(('12. Разходи'!M67-'12. Разходи'!$K67)/'12. Разходи'!$K67,0)</f>
        <v>0.15679227485068606</v>
      </c>
      <c r="S67" s="995">
        <f>'12. Разходи'!N67-'12. Разходи'!$K67</f>
        <v>6.1813699999999976</v>
      </c>
      <c r="T67" s="1219">
        <f>IFERROR(('12. Разходи'!N67-'12. Разходи'!$K67)/'12. Разходи'!$K67,0)</f>
        <v>0.3754560810708209</v>
      </c>
      <c r="U67" s="995">
        <f>'12. Разходи'!O67-'12. Разходи'!$K67</f>
        <v>10.181369999999998</v>
      </c>
      <c r="V67" s="1218">
        <f>IFERROR(('12. Разходи'!O67-'12. Разходи'!$K67)/'12. Разходи'!$K67,0)</f>
        <v>0.61841586575985985</v>
      </c>
      <c r="W67" s="1226">
        <f>'12. Разходи'!P67-'12. Разходи'!$K67</f>
        <v>14.981369999999998</v>
      </c>
      <c r="X67" s="1276">
        <f>IFERROR(('12. Разходи'!P67-'12. Разходи'!$K67)/'12. Разходи'!$K67,0)</f>
        <v>0.90996760738670657</v>
      </c>
      <c r="Y67" s="1270">
        <f>'12. Разходи'!S67</f>
        <v>39.571089999999998</v>
      </c>
      <c r="Z67" s="1231">
        <f>'12. Разходи'!T67-'12. Разходи'!$S67</f>
        <v>2.2009100000000004</v>
      </c>
      <c r="AA67" s="1211">
        <f>IFERROR(('12. Разходи'!T67-'12. Разходи'!$S67)/'12. Разходи'!$S67,0)</f>
        <v>5.5619140134881312E-2</v>
      </c>
      <c r="AB67" s="995">
        <f>'12. Разходи'!U67-'12. Разходи'!$S67</f>
        <v>9.2009100000000004</v>
      </c>
      <c r="AC67" s="1219">
        <f>IFERROR(('12. Разходи'!U67-'12. Разходи'!$S67)/'12. Разходи'!$S67,0)</f>
        <v>0.23251596051561887</v>
      </c>
      <c r="AD67" s="995">
        <f>'12. Разходи'!V67-'12. Разходи'!$S67</f>
        <v>17.20091</v>
      </c>
      <c r="AE67" s="1219">
        <f>IFERROR(('12. Разходи'!V67-'12. Разходи'!$S67)/'12. Разходи'!$S67,0)</f>
        <v>0.4346837552364618</v>
      </c>
      <c r="AF67" s="995">
        <f>'12. Разходи'!W67-'12. Разходи'!$S67</f>
        <v>26.200910000000007</v>
      </c>
      <c r="AG67" s="1218">
        <f>IFERROR(('12. Разходи'!W67-'12. Разходи'!$S67)/'12. Разходи'!$S67,0)</f>
        <v>0.66212252429741025</v>
      </c>
      <c r="AH67" s="1226">
        <f>'12. Разходи'!X67-'12. Разходи'!$S67</f>
        <v>36.200910000000007</v>
      </c>
      <c r="AI67" s="1276">
        <f>IFERROR(('12. Разходи'!X67-'12. Разходи'!$S67)/'12. Разходи'!$S67,0)</f>
        <v>0.91483226769846393</v>
      </c>
      <c r="AJ67" s="1270">
        <f>'12. Разходи'!AA67</f>
        <v>1.4900000000000002</v>
      </c>
      <c r="AK67" s="1231">
        <f>'12. Разходи'!AB67-'12. Разходи'!$AA67</f>
        <v>-2.0000000000000018E-2</v>
      </c>
      <c r="AL67" s="1211">
        <f>IFERROR(('12. Разходи'!AB67-'12. Разходи'!$AA67)/'12. Разходи'!$AA67,0)</f>
        <v>-1.3422818791946319E-2</v>
      </c>
      <c r="AM67" s="995">
        <f>'12. Разходи'!AC67-'12. Разходи'!$AA67</f>
        <v>-0.6899999999999995</v>
      </c>
      <c r="AN67" s="1219">
        <f>IFERROR(('12. Разходи'!AC67-'12. Разходи'!$AA67)/'12. Разходи'!$AA67,0)</f>
        <v>-0.46308724832214726</v>
      </c>
      <c r="AO67" s="995">
        <f>'12. Разходи'!AD67-'12. Разходи'!$AA67</f>
        <v>-0.85499999999999932</v>
      </c>
      <c r="AP67" s="1219">
        <f>IFERROR(('12. Разходи'!AD67-'12. Разходи'!$AA67)/'12. Разходи'!$AA67,0)</f>
        <v>-0.57382550335570415</v>
      </c>
      <c r="AQ67" s="995">
        <f>'12. Разходи'!AE67-'12. Разходи'!$AA67</f>
        <v>-0.18899999999999828</v>
      </c>
      <c r="AR67" s="1218">
        <f>IFERROR(('12. Разходи'!AE67-'12. Разходи'!$AA67)/'12. Разходи'!$AA67,0)</f>
        <v>-0.12684563758389145</v>
      </c>
      <c r="AS67" s="1226">
        <f>'12. Разходи'!AF67-'12. Разходи'!$AA67</f>
        <v>0.50999999999999979</v>
      </c>
      <c r="AT67" s="1276">
        <f>IFERROR(('12. Разходи'!AF67-'12. Разходи'!$AA67)/'12. Разходи'!$AA67,0)</f>
        <v>0.34228187919463066</v>
      </c>
      <c r="AU67" s="1270">
        <f>'12. Разходи'!AI67</f>
        <v>0</v>
      </c>
      <c r="AV67" s="1231">
        <f>'12. Разходи'!AJ67-'12. Разходи'!$AI67</f>
        <v>0</v>
      </c>
      <c r="AW67" s="1211">
        <f>IFERROR(('12. Разходи'!AJ67-'12. Разходи'!$AI67)/'12. Разходи'!$AI67,0)</f>
        <v>0</v>
      </c>
      <c r="AX67" s="995">
        <f>'12. Разходи'!AK67-'12. Разходи'!$AI67</f>
        <v>0</v>
      </c>
      <c r="AY67" s="1219">
        <f>IFERROR(('12. Разходи'!AK67-'12. Разходи'!$AI67)/'12. Разходи'!$AI67,0)</f>
        <v>0</v>
      </c>
      <c r="AZ67" s="995">
        <f>'12. Разходи'!AL67-'12. Разходи'!$AI67</f>
        <v>0</v>
      </c>
      <c r="BA67" s="1219">
        <f>IFERROR(('12. Разходи'!AL67-'12. Разходи'!$AI67)/'12. Разходи'!$AI67,0)</f>
        <v>0</v>
      </c>
      <c r="BB67" s="995">
        <f>'12. Разходи'!AM67-'12. Разходи'!$AI67</f>
        <v>0</v>
      </c>
      <c r="BC67" s="1218">
        <f>IFERROR(('12. Разходи'!AM67-'12. Разходи'!$AI67)/'12. Разходи'!$AI67,0)</f>
        <v>0</v>
      </c>
      <c r="BD67" s="1226">
        <f>'12. Разходи'!AN67-'12. Разходи'!$AI67</f>
        <v>0</v>
      </c>
      <c r="BE67" s="1276">
        <f>IFERROR(('12. Разходи'!AN67-'12. Разходи'!$AI67)/'12. Разходи'!$AI67,0)</f>
        <v>0</v>
      </c>
    </row>
    <row r="68" spans="1:66" s="743" customFormat="1" ht="24">
      <c r="A68" s="437" t="s">
        <v>1305</v>
      </c>
      <c r="B68" s="988" t="s">
        <v>1335</v>
      </c>
      <c r="C68" s="1205">
        <f>'12. Разходи'!C68</f>
        <v>32.079759999999851</v>
      </c>
      <c r="D68" s="1231">
        <f>'12. Разходи'!D68-'12. Разходи'!$C68</f>
        <v>-0.4597599999999602</v>
      </c>
      <c r="E68" s="1211">
        <f>IFERROR(('12. Разходи'!D68-'12. Разходи'!$C68)/'12. Разходи'!$C68,0)</f>
        <v>-1.4331778043226082E-2</v>
      </c>
      <c r="F68" s="995">
        <f>'12. Разходи'!E68-'12. Разходи'!$C68</f>
        <v>-0.4597599999999602</v>
      </c>
      <c r="G68" s="1219">
        <f>IFERROR(('12. Разходи'!E68-'12. Разходи'!$C68)/'12. Разходи'!$C68,0)</f>
        <v>-1.4331778043226082E-2</v>
      </c>
      <c r="H68" s="995">
        <f>'12. Разходи'!F68-'12. Разходи'!$C68</f>
        <v>-0.4597599999999602</v>
      </c>
      <c r="I68" s="1219">
        <f>IFERROR(('12. Разходи'!F68-'12. Разходи'!$C68)/'12. Разходи'!$C68,0)</f>
        <v>-1.4331778043226082E-2</v>
      </c>
      <c r="J68" s="995">
        <f>'12. Разходи'!G68-'12. Разходи'!$C68</f>
        <v>-0.4597599999999602</v>
      </c>
      <c r="K68" s="1218">
        <f>IFERROR(('12. Разходи'!G68-'12. Разходи'!$C68)/'12. Разходи'!$C68,0)</f>
        <v>-1.4331778043226082E-2</v>
      </c>
      <c r="L68" s="1226">
        <f>'12. Разходи'!H68-'12. Разходи'!$C68</f>
        <v>-0.4597599999999602</v>
      </c>
      <c r="M68" s="1218">
        <f>IFERROR(('12. Разходи'!H68-'12. Разходи'!$C68)/'12. Разходи'!$C68,0)</f>
        <v>-1.4331778043226082E-2</v>
      </c>
      <c r="N68" s="1270">
        <f>'12. Разходи'!K68</f>
        <v>2.5363700000000051</v>
      </c>
      <c r="O68" s="1231">
        <f>'12. Разходи'!L68-'12. Разходи'!$K68</f>
        <v>0.5186300000000017</v>
      </c>
      <c r="P68" s="1211">
        <f>IFERROR(('12. Разходи'!L68-'12. Разходи'!$K68)/'12. Разходи'!$K68,0)</f>
        <v>0.20447726475238259</v>
      </c>
      <c r="Q68" s="995">
        <f>'12. Разходи'!M68-'12. Разходи'!$K68</f>
        <v>1.4186300000000021</v>
      </c>
      <c r="R68" s="1219">
        <f>IFERROR(('12. Разходи'!M68-'12. Разходи'!$K68)/'12. Разходи'!$K68,0)</f>
        <v>0.55931508415570252</v>
      </c>
      <c r="S68" s="995">
        <f>'12. Разходи'!N68-'12. Разходи'!$K68</f>
        <v>1.8186300000000015</v>
      </c>
      <c r="T68" s="1219">
        <f>IFERROR(('12. Разходи'!N68-'12. Разходи'!$K68)/'12. Разходи'!$K68,0)</f>
        <v>0.71702078166828886</v>
      </c>
      <c r="U68" s="995">
        <f>'12. Разходи'!O68-'12. Разходи'!$K68</f>
        <v>1.8186300000000024</v>
      </c>
      <c r="V68" s="1218">
        <f>IFERROR(('12. Разходи'!O68-'12. Разходи'!$K68)/'12. Разходи'!$K68,0)</f>
        <v>0.7170207816682892</v>
      </c>
      <c r="W68" s="1226">
        <f>'12. Разходи'!P68-'12. Разходи'!$K68</f>
        <v>1.0186300000000017</v>
      </c>
      <c r="X68" s="1276">
        <f>IFERROR(('12. Разходи'!P68-'12. Разходи'!$K68)/'12. Разходи'!$K68,0)</f>
        <v>0.4016093866431158</v>
      </c>
      <c r="Y68" s="1270">
        <f>'12. Разходи'!S68</f>
        <v>0.42891000000000001</v>
      </c>
      <c r="Z68" s="1231">
        <f>'12. Разходи'!T68-'12. Разходи'!$S68</f>
        <v>0.79908999999999974</v>
      </c>
      <c r="AA68" s="1211">
        <f>IFERROR(('12. Разходи'!T68-'12. Разходи'!$S68)/'12. Разходи'!$S68,0)</f>
        <v>1.8630715068429267</v>
      </c>
      <c r="AB68" s="995">
        <f>'12. Разходи'!U68-'12. Разходи'!$S68</f>
        <v>0.79908999999999974</v>
      </c>
      <c r="AC68" s="1219">
        <f>IFERROR(('12. Разходи'!U68-'12. Разходи'!$S68)/'12. Разходи'!$S68,0)</f>
        <v>1.8630715068429267</v>
      </c>
      <c r="AD68" s="995">
        <f>'12. Разходи'!V68-'12. Разходи'!$S68</f>
        <v>0.79908999999999974</v>
      </c>
      <c r="AE68" s="1219">
        <f>IFERROR(('12. Разходи'!V68-'12. Разходи'!$S68)/'12. Разходи'!$S68,0)</f>
        <v>1.8630715068429267</v>
      </c>
      <c r="AF68" s="995">
        <f>'12. Разходи'!W68-'12. Разходи'!$S68</f>
        <v>0.79908999999999974</v>
      </c>
      <c r="AG68" s="1218">
        <f>IFERROR(('12. Разходи'!W68-'12. Разходи'!$S68)/'12. Разходи'!$S68,0)</f>
        <v>1.8630715068429267</v>
      </c>
      <c r="AH68" s="1226">
        <f>'12. Разходи'!X68-'12. Разходи'!$S68</f>
        <v>0.79908999999999974</v>
      </c>
      <c r="AI68" s="1276">
        <f>IFERROR(('12. Разходи'!X68-'12. Разходи'!$S68)/'12. Разходи'!$S68,0)</f>
        <v>1.8630715068429267</v>
      </c>
      <c r="AJ68" s="1270">
        <f>'12. Разходи'!AA68</f>
        <v>0.13</v>
      </c>
      <c r="AK68" s="1231">
        <f>'12. Разходи'!AB68-'12. Разходи'!$AA68</f>
        <v>0</v>
      </c>
      <c r="AL68" s="1211">
        <f>IFERROR(('12. Разходи'!AB68-'12. Разходи'!$AA68)/'12. Разходи'!$AA68,0)</f>
        <v>0</v>
      </c>
      <c r="AM68" s="995">
        <f>'12. Разходи'!AC68-'12. Разходи'!$AA68</f>
        <v>1.0699999999999994</v>
      </c>
      <c r="AN68" s="1219">
        <f>IFERROR(('12. Разходи'!AC68-'12. Разходи'!$AA68)/'12. Разходи'!$AA68,0)</f>
        <v>8.2307692307692264</v>
      </c>
      <c r="AO68" s="995">
        <f>'12. Разходи'!AD68-'12. Разходи'!$AA68</f>
        <v>1.234999999999999</v>
      </c>
      <c r="AP68" s="1219">
        <f>IFERROR(('12. Разходи'!AD68-'12. Разходи'!$AA68)/'12. Разходи'!$AA68,0)</f>
        <v>9.4999999999999911</v>
      </c>
      <c r="AQ68" s="995">
        <f>'12. Разходи'!AE68-'12. Разходи'!$AA68</f>
        <v>0.56899999999999806</v>
      </c>
      <c r="AR68" s="1218">
        <f>IFERROR(('12. Разходи'!AE68-'12. Разходи'!$AA68)/'12. Разходи'!$AA68,0)</f>
        <v>4.3769230769230623</v>
      </c>
      <c r="AS68" s="1226">
        <f>'12. Разходи'!AF68-'12. Разходи'!$AA68</f>
        <v>0.87</v>
      </c>
      <c r="AT68" s="1276">
        <f>IFERROR(('12. Разходи'!AF68-'12. Разходи'!$AA68)/'12. Разходи'!$AA68,0)</f>
        <v>6.6923076923076916</v>
      </c>
      <c r="AU68" s="1270">
        <f>'12. Разходи'!AI68</f>
        <v>0</v>
      </c>
      <c r="AV68" s="1231">
        <f>'12. Разходи'!AJ68-'12. Разходи'!$AI68</f>
        <v>0</v>
      </c>
      <c r="AW68" s="1211">
        <f>IFERROR(('12. Разходи'!AJ68-'12. Разходи'!$AI68)/'12. Разходи'!$AI68,0)</f>
        <v>0</v>
      </c>
      <c r="AX68" s="995">
        <f>'12. Разходи'!AK68-'12. Разходи'!$AI68</f>
        <v>0</v>
      </c>
      <c r="AY68" s="1219">
        <f>IFERROR(('12. Разходи'!AK68-'12. Разходи'!$AI68)/'12. Разходи'!$AI68,0)</f>
        <v>0</v>
      </c>
      <c r="AZ68" s="995">
        <f>'12. Разходи'!AL68-'12. Разходи'!$AI68</f>
        <v>0</v>
      </c>
      <c r="BA68" s="1219">
        <f>IFERROR(('12. Разходи'!AL68-'12. Разходи'!$AI68)/'12. Разходи'!$AI68,0)</f>
        <v>0</v>
      </c>
      <c r="BB68" s="995">
        <f>'12. Разходи'!AM68-'12. Разходи'!$AI68</f>
        <v>0</v>
      </c>
      <c r="BC68" s="1218">
        <f>IFERROR(('12. Разходи'!AM68-'12. Разходи'!$AI68)/'12. Разходи'!$AI68,0)</f>
        <v>0</v>
      </c>
      <c r="BD68" s="1226">
        <f>'12. Разходи'!AN68-'12. Разходи'!$AI68</f>
        <v>0</v>
      </c>
      <c r="BE68" s="1276">
        <f>IFERROR(('12. Разходи'!AN68-'12. Разходи'!$AI68)/'12. Разходи'!$AI68,0)</f>
        <v>0</v>
      </c>
      <c r="BF68" s="747"/>
      <c r="BG68" s="747"/>
      <c r="BH68" s="747"/>
      <c r="BI68" s="747"/>
      <c r="BJ68" s="747"/>
      <c r="BK68" s="747"/>
      <c r="BL68" s="747"/>
      <c r="BM68" s="747"/>
      <c r="BN68" s="747"/>
    </row>
    <row r="69" spans="1:66" ht="41.25" customHeight="1" thickBot="1">
      <c r="A69" s="4717" t="s">
        <v>1306</v>
      </c>
      <c r="B69" s="987" t="s">
        <v>1850</v>
      </c>
      <c r="C69" s="1206">
        <f>'12. Разходи'!C69</f>
        <v>0</v>
      </c>
      <c r="D69" s="4718">
        <f>'12. Разходи'!D69-'12. Разходи'!$C69</f>
        <v>0</v>
      </c>
      <c r="E69" s="4719">
        <f>IFERROR(('12. Разходи'!D69-'12. Разходи'!$C69)/'12. Разходи'!$C69,0)</f>
        <v>0</v>
      </c>
      <c r="F69" s="4720">
        <f>'12. Разходи'!E69-'12. Разходи'!$C69</f>
        <v>0</v>
      </c>
      <c r="G69" s="4721">
        <f>IFERROR(('12. Разходи'!E69-'12. Разходи'!$C69)/'12. Разходи'!$C69,0)</f>
        <v>0</v>
      </c>
      <c r="H69" s="4720">
        <f>'12. Разходи'!F69-'12. Разходи'!$C69</f>
        <v>0</v>
      </c>
      <c r="I69" s="4721">
        <f>IFERROR(('12. Разходи'!F69-'12. Разходи'!$C69)/'12. Разходи'!$C69,0)</f>
        <v>0</v>
      </c>
      <c r="J69" s="4720">
        <f>'12. Разходи'!G69-'12. Разходи'!$C69</f>
        <v>0</v>
      </c>
      <c r="K69" s="4722">
        <f>IFERROR(('12. Разходи'!G69-'12. Разходи'!$C69)/'12. Разходи'!$C69,0)</f>
        <v>0</v>
      </c>
      <c r="L69" s="4350">
        <f>'12. Разходи'!H69-'12. Разходи'!$C69</f>
        <v>0</v>
      </c>
      <c r="M69" s="4722">
        <f>IFERROR(('12. Разходи'!H69-'12. Разходи'!$C69)/'12. Разходи'!$C69,0)</f>
        <v>0</v>
      </c>
      <c r="N69" s="1272">
        <f>'12. Разходи'!K69</f>
        <v>0</v>
      </c>
      <c r="O69" s="4718">
        <f>'12. Разходи'!L69-'12. Разходи'!$K69</f>
        <v>0</v>
      </c>
      <c r="P69" s="4719">
        <f>IFERROR(('12. Разходи'!L69-'12. Разходи'!$K69)/'12. Разходи'!$K69,0)</f>
        <v>0</v>
      </c>
      <c r="Q69" s="4720">
        <f>'12. Разходи'!M69-'12. Разходи'!$K69</f>
        <v>0</v>
      </c>
      <c r="R69" s="4721">
        <f>IFERROR(('12. Разходи'!M69-'12. Разходи'!$K69)/'12. Разходи'!$K69,0)</f>
        <v>0</v>
      </c>
      <c r="S69" s="4720">
        <f>'12. Разходи'!N69-'12. Разходи'!$K69</f>
        <v>0</v>
      </c>
      <c r="T69" s="4721">
        <f>IFERROR(('12. Разходи'!N69-'12. Разходи'!$K69)/'12. Разходи'!$K69,0)</f>
        <v>0</v>
      </c>
      <c r="U69" s="4720">
        <f>'12. Разходи'!O69-'12. Разходи'!$K69</f>
        <v>0</v>
      </c>
      <c r="V69" s="4722">
        <f>IFERROR(('12. Разходи'!O69-'12. Разходи'!$K69)/'12. Разходи'!$K69,0)</f>
        <v>0</v>
      </c>
      <c r="W69" s="4350">
        <f>'12. Разходи'!P69-'12. Разходи'!$K69</f>
        <v>0</v>
      </c>
      <c r="X69" s="4723">
        <f>IFERROR(('12. Разходи'!P69-'12. Разходи'!$K69)/'12. Разходи'!$K69,0)</f>
        <v>0</v>
      </c>
      <c r="Y69" s="1272">
        <f>'12. Разходи'!S69</f>
        <v>0</v>
      </c>
      <c r="Z69" s="4718">
        <f>'12. Разходи'!T69-'12. Разходи'!$S69</f>
        <v>0</v>
      </c>
      <c r="AA69" s="4719">
        <f>IFERROR(('12. Разходи'!T69-'12. Разходи'!$S69)/'12. Разходи'!$S69,0)</f>
        <v>0</v>
      </c>
      <c r="AB69" s="4720">
        <f>'12. Разходи'!U69-'12. Разходи'!$S69</f>
        <v>0</v>
      </c>
      <c r="AC69" s="4721">
        <f>IFERROR(('12. Разходи'!U69-'12. Разходи'!$S69)/'12. Разходи'!$S69,0)</f>
        <v>0</v>
      </c>
      <c r="AD69" s="4720">
        <f>'12. Разходи'!V69-'12. Разходи'!$S69</f>
        <v>0</v>
      </c>
      <c r="AE69" s="4721">
        <f>IFERROR(('12. Разходи'!V69-'12. Разходи'!$S69)/'12. Разходи'!$S69,0)</f>
        <v>0</v>
      </c>
      <c r="AF69" s="4720">
        <f>'12. Разходи'!W69-'12. Разходи'!$S69</f>
        <v>0</v>
      </c>
      <c r="AG69" s="4722">
        <f>IFERROR(('12. Разходи'!W69-'12. Разходи'!$S69)/'12. Разходи'!$S69,0)</f>
        <v>0</v>
      </c>
      <c r="AH69" s="4350">
        <f>'12. Разходи'!X69-'12. Разходи'!$S69</f>
        <v>0</v>
      </c>
      <c r="AI69" s="4723">
        <f>IFERROR(('12. Разходи'!X69-'12. Разходи'!$S69)/'12. Разходи'!$S69,0)</f>
        <v>0</v>
      </c>
      <c r="AJ69" s="1272">
        <f>'12. Разходи'!AA69</f>
        <v>0</v>
      </c>
      <c r="AK69" s="4718">
        <f>'12. Разходи'!AB69-'12. Разходи'!$AA69</f>
        <v>0</v>
      </c>
      <c r="AL69" s="4719">
        <f>IFERROR(('12. Разходи'!AB69-'12. Разходи'!$AA69)/'12. Разходи'!$AA69,0)</f>
        <v>0</v>
      </c>
      <c r="AM69" s="4720">
        <f>'12. Разходи'!AC69-'12. Разходи'!$AA69</f>
        <v>0</v>
      </c>
      <c r="AN69" s="4721">
        <f>IFERROR(('12. Разходи'!AC69-'12. Разходи'!$AA69)/'12. Разходи'!$AA69,0)</f>
        <v>0</v>
      </c>
      <c r="AO69" s="4720">
        <f>'12. Разходи'!AD69-'12. Разходи'!$AA69</f>
        <v>0</v>
      </c>
      <c r="AP69" s="4721">
        <f>IFERROR(('12. Разходи'!AD69-'12. Разходи'!$AA69)/'12. Разходи'!$AA69,0)</f>
        <v>0</v>
      </c>
      <c r="AQ69" s="4720">
        <f>'12. Разходи'!AE69-'12. Разходи'!$AA69</f>
        <v>0</v>
      </c>
      <c r="AR69" s="4722">
        <f>IFERROR(('12. Разходи'!AE69-'12. Разходи'!$AA69)/'12. Разходи'!$AA69,0)</f>
        <v>0</v>
      </c>
      <c r="AS69" s="4350">
        <f>'12. Разходи'!AF69-'12. Разходи'!$AA69</f>
        <v>0</v>
      </c>
      <c r="AT69" s="4723">
        <f>IFERROR(('12. Разходи'!AF69-'12. Разходи'!$AA69)/'12. Разходи'!$AA69,0)</f>
        <v>0</v>
      </c>
      <c r="AU69" s="1272">
        <f>'12. Разходи'!AI69</f>
        <v>0</v>
      </c>
      <c r="AV69" s="4718">
        <f>'12. Разходи'!AJ69-'12. Разходи'!$AI69</f>
        <v>0</v>
      </c>
      <c r="AW69" s="4719">
        <f>IFERROR(('12. Разходи'!AJ69-'12. Разходи'!$AI69)/'12. Разходи'!$AI69,0)</f>
        <v>0</v>
      </c>
      <c r="AX69" s="4720">
        <f>'12. Разходи'!AK69-'12. Разходи'!$AI69</f>
        <v>0</v>
      </c>
      <c r="AY69" s="4721">
        <f>IFERROR(('12. Разходи'!AK69-'12. Разходи'!$AI69)/'12. Разходи'!$AI69,0)</f>
        <v>0</v>
      </c>
      <c r="AZ69" s="4720">
        <f>'12. Разходи'!AL69-'12. Разходи'!$AI69</f>
        <v>0</v>
      </c>
      <c r="BA69" s="4721">
        <f>IFERROR(('12. Разходи'!AL69-'12. Разходи'!$AI69)/'12. Разходи'!$AI69,0)</f>
        <v>0</v>
      </c>
      <c r="BB69" s="4720">
        <f>'12. Разходи'!AM69-'12. Разходи'!$AI69</f>
        <v>0</v>
      </c>
      <c r="BC69" s="4722">
        <f>IFERROR(('12. Разходи'!AM69-'12. Разходи'!$AI69)/'12. Разходи'!$AI69,0)</f>
        <v>0</v>
      </c>
      <c r="BD69" s="4350">
        <f>'12. Разходи'!AN69-'12. Разходи'!$AI69</f>
        <v>0</v>
      </c>
      <c r="BE69" s="4723">
        <f>IFERROR(('12. Разходи'!AN69-'12. Разходи'!$AI69)/'12. Разходи'!$AI69,0)</f>
        <v>0</v>
      </c>
    </row>
    <row r="70" spans="1:66" s="1250" customFormat="1" ht="15.95" customHeight="1" thickBot="1">
      <c r="A70" s="120">
        <v>6</v>
      </c>
      <c r="B70" s="984" t="s">
        <v>455</v>
      </c>
      <c r="C70" s="1200">
        <f>'12. Разходи'!C70</f>
        <v>670</v>
      </c>
      <c r="D70" s="1238">
        <f>'12. Разходи'!D70-'12. Разходи'!$C70</f>
        <v>-178.11200000000002</v>
      </c>
      <c r="E70" s="962">
        <f>IFERROR(('12. Разходи'!D70-'12. Разходи'!$C70)/'12. Разходи'!$C70,0)</f>
        <v>-0.26583880597014931</v>
      </c>
      <c r="F70" s="1237">
        <f>'12. Разходи'!E70-'12. Разходи'!$C70</f>
        <v>-307.49092969129094</v>
      </c>
      <c r="G70" s="962">
        <f>IFERROR(('12. Разходи'!E70-'12. Разходи'!$C70)/'12. Разходи'!$C70,0)</f>
        <v>-0.4589416861064044</v>
      </c>
      <c r="H70" s="1237">
        <f>'12. Разходи'!F70-'12. Разходи'!$C70</f>
        <v>-362.35701655604583</v>
      </c>
      <c r="I70" s="962">
        <f>IFERROR(('12. Разходи'!F70-'12. Разходи'!$C70)/'12. Разходи'!$C70,0)</f>
        <v>-0.54083136799409826</v>
      </c>
      <c r="J70" s="1237">
        <f>'12. Разходи'!G70-'12. Разходи'!$C70</f>
        <v>-394.02310342079949</v>
      </c>
      <c r="K70" s="975">
        <f>IFERROR(('12. Разходи'!G70-'12. Разходи'!$C70)/'12. Разходи'!$C70,0)</f>
        <v>-0.58809418421014847</v>
      </c>
      <c r="L70" s="1237">
        <f>'12. Разходи'!H70-'12. Разходи'!$C70</f>
        <v>-416.16775232262779</v>
      </c>
      <c r="M70" s="975">
        <f>IFERROR(('12. Разходи'!H70-'12. Разходи'!$C70)/'12. Разходи'!$C70,0)</f>
        <v>-0.62114589898899675</v>
      </c>
      <c r="N70" s="1254">
        <f>'12. Разходи'!K70</f>
        <v>9</v>
      </c>
      <c r="O70" s="1238">
        <f>'12. Разходи'!L70-'12. Разходи'!$K70</f>
        <v>0.39999999999999858</v>
      </c>
      <c r="P70" s="962">
        <f>IFERROR(('12. Разходи'!L70-'12. Разходи'!$K70)/'12. Разходи'!$K70,0)</f>
        <v>4.4444444444444287E-2</v>
      </c>
      <c r="Q70" s="1237">
        <f>'12. Разходи'!M70-'12. Разходи'!$K70</f>
        <v>0.39999999999999858</v>
      </c>
      <c r="R70" s="962">
        <f>IFERROR(('12. Разходи'!M70-'12. Разходи'!$K70)/'12. Разходи'!$K70,0)</f>
        <v>4.4444444444444287E-2</v>
      </c>
      <c r="S70" s="1237">
        <f>'12. Разходи'!N70-'12. Разходи'!$K70</f>
        <v>0.39999999999999858</v>
      </c>
      <c r="T70" s="962">
        <f>IFERROR(('12. Разходи'!N70-'12. Разходи'!$K70)/'12. Разходи'!$K70,0)</f>
        <v>4.4444444444444287E-2</v>
      </c>
      <c r="U70" s="1237">
        <f>'12. Разходи'!O70-'12. Разходи'!$K70</f>
        <v>0.39999999999999858</v>
      </c>
      <c r="V70" s="975">
        <f>IFERROR(('12. Разходи'!O70-'12. Разходи'!$K70)/'12. Разходи'!$K70,0)</f>
        <v>4.4444444444444287E-2</v>
      </c>
      <c r="W70" s="1237">
        <f>'12. Разходи'!P70-'12. Разходи'!$K70</f>
        <v>0.39999999999999858</v>
      </c>
      <c r="X70" s="977">
        <f>IFERROR(('12. Разходи'!P70-'12. Разходи'!$K70)/'12. Разходи'!$K70,0)</f>
        <v>4.4444444444444287E-2</v>
      </c>
      <c r="Y70" s="1254">
        <f>'12. Разходи'!S70</f>
        <v>30.4</v>
      </c>
      <c r="Z70" s="1238">
        <f>'12. Разходи'!T70-'12. Разходи'!$S70</f>
        <v>8.0570000000000022</v>
      </c>
      <c r="AA70" s="962">
        <f>IFERROR(('12. Разходи'!T70-'12. Разходи'!$S70)/'12. Разходи'!$S70,0)</f>
        <v>0.26503289473684216</v>
      </c>
      <c r="AB70" s="1237">
        <f>'12. Разходи'!U70-'12. Разходи'!$S70</f>
        <v>8.0260000000000034</v>
      </c>
      <c r="AC70" s="962">
        <f>IFERROR(('12. Разходи'!U70-'12. Разходи'!$S70)/'12. Разходи'!$S70,0)</f>
        <v>0.26401315789473695</v>
      </c>
      <c r="AD70" s="1237">
        <f>'12. Разходи'!V70-'12. Разходи'!$S70</f>
        <v>16.422000000000004</v>
      </c>
      <c r="AE70" s="962">
        <f>IFERROR(('12. Разходи'!V70-'12. Разходи'!$S70)/'12. Разходи'!$S70,0)</f>
        <v>0.54019736842105281</v>
      </c>
      <c r="AF70" s="1237">
        <f>'12. Разходи'!W70-'12. Разходи'!$S70</f>
        <v>16.023000000000003</v>
      </c>
      <c r="AG70" s="975">
        <f>IFERROR(('12. Разходи'!W70-'12. Разходи'!$S70)/'12. Разходи'!$S70,0)</f>
        <v>0.52707236842105276</v>
      </c>
      <c r="AH70" s="1237">
        <f>'12. Разходи'!X70-'12. Разходи'!$S70</f>
        <v>15.597000000000008</v>
      </c>
      <c r="AI70" s="977">
        <f>IFERROR(('12. Разходи'!X70-'12. Разходи'!$S70)/'12. Разходи'!$S70,0)</f>
        <v>0.51305921052631609</v>
      </c>
      <c r="AJ70" s="1254">
        <f>'12. Разходи'!AA70</f>
        <v>0.13</v>
      </c>
      <c r="AK70" s="1238">
        <f>'12. Разходи'!AB70-'12. Разходи'!$AA70</f>
        <v>0.36</v>
      </c>
      <c r="AL70" s="962">
        <f>IFERROR(('12. Разходи'!AB70-'12. Разходи'!$AA70)/'12. Разходи'!$AA70,0)</f>
        <v>2.7692307692307692</v>
      </c>
      <c r="AM70" s="1237">
        <f>'12. Разходи'!AC70-'12. Разходи'!$AA70</f>
        <v>67.37700000000001</v>
      </c>
      <c r="AN70" s="962">
        <f>IFERROR(('12. Разходи'!AC70-'12. Разходи'!$AA70)/'12. Разходи'!$AA70,0)</f>
        <v>518.28461538461545</v>
      </c>
      <c r="AO70" s="1237">
        <f>'12. Разходи'!AD70-'12. Разходи'!$AA70</f>
        <v>66.588000000000008</v>
      </c>
      <c r="AP70" s="962">
        <f>IFERROR(('12. Разходи'!AD70-'12. Разходи'!$AA70)/'12. Разходи'!$AA70,0)</f>
        <v>512.21538461538466</v>
      </c>
      <c r="AQ70" s="1237">
        <f>'12. Разходи'!AE70-'12. Разходи'!$AA70</f>
        <v>65.800000000000011</v>
      </c>
      <c r="AR70" s="975">
        <f>IFERROR(('12. Разходи'!AE70-'12. Разходи'!$AA70)/'12. Разходи'!$AA70,0)</f>
        <v>506.15384615384625</v>
      </c>
      <c r="AS70" s="1237">
        <f>'12. Разходи'!AF70-'12. Разходи'!$AA70</f>
        <v>65.021000000000015</v>
      </c>
      <c r="AT70" s="977">
        <f>IFERROR(('12. Разходи'!AF70-'12. Разходи'!$AA70)/'12. Разходи'!$AA70,0)</f>
        <v>500.16153846153856</v>
      </c>
      <c r="AU70" s="1254">
        <f>'12. Разходи'!AI70</f>
        <v>0</v>
      </c>
      <c r="AV70" s="1238">
        <f>'12. Разходи'!AJ70-'12. Разходи'!$AI70</f>
        <v>0</v>
      </c>
      <c r="AW70" s="962">
        <f>IFERROR(('12. Разходи'!AJ70-'12. Разходи'!$AI70)/'12. Разходи'!$AI70,0)</f>
        <v>0</v>
      </c>
      <c r="AX70" s="1237">
        <f>'12. Разходи'!AK70-'12. Разходи'!$AI70</f>
        <v>0</v>
      </c>
      <c r="AY70" s="962">
        <f>IFERROR(('12. Разходи'!AK70-'12. Разходи'!$AI70)/'12. Разходи'!$AI70,0)</f>
        <v>0</v>
      </c>
      <c r="AZ70" s="1237">
        <f>'12. Разходи'!AL70-'12. Разходи'!$AI70</f>
        <v>0</v>
      </c>
      <c r="BA70" s="962">
        <f>IFERROR(('12. Разходи'!AL70-'12. Разходи'!$AI70)/'12. Разходи'!$AI70,0)</f>
        <v>0</v>
      </c>
      <c r="BB70" s="1237">
        <f>'12. Разходи'!AM70-'12. Разходи'!$AI70</f>
        <v>0</v>
      </c>
      <c r="BC70" s="975">
        <f>IFERROR(('12. Разходи'!AM70-'12. Разходи'!$AI70)/'12. Разходи'!$AI70,0)</f>
        <v>0</v>
      </c>
      <c r="BD70" s="1237">
        <f>'12. Разходи'!AN70-'12. Разходи'!$AI70</f>
        <v>0</v>
      </c>
      <c r="BE70" s="977">
        <f>IFERROR(('12. Разходи'!AN70-'12. Разходи'!$AI70)/'12. Разходи'!$AI70,0)</f>
        <v>0</v>
      </c>
      <c r="BF70" s="760"/>
      <c r="BG70" s="760"/>
      <c r="BH70" s="760"/>
      <c r="BI70" s="760"/>
      <c r="BJ70" s="760"/>
      <c r="BK70" s="760"/>
      <c r="BL70" s="760"/>
      <c r="BM70" s="760"/>
      <c r="BN70" s="760"/>
    </row>
    <row r="71" spans="1:66" ht="15.95" customHeight="1">
      <c r="A71" s="118" t="s">
        <v>273</v>
      </c>
      <c r="B71" s="982" t="s">
        <v>456</v>
      </c>
      <c r="C71" s="1201">
        <f>'12. Разходи'!C71</f>
        <v>32</v>
      </c>
      <c r="D71" s="1231">
        <f>'12. Разходи'!D71-'12. Разходи'!$C71</f>
        <v>3.2000000000000028</v>
      </c>
      <c r="E71" s="1211">
        <f>IFERROR(('12. Разходи'!D71-'12. Разходи'!$C71)/'12. Разходи'!$C71,0)</f>
        <v>0.10000000000000009</v>
      </c>
      <c r="F71" s="995">
        <f>'12. Разходи'!E71-'12. Разходи'!$C71</f>
        <v>3.2000000000000028</v>
      </c>
      <c r="G71" s="1219">
        <f>IFERROR(('12. Разходи'!E71-'12. Разходи'!$C71)/'12. Разходи'!$C71,0)</f>
        <v>0.10000000000000009</v>
      </c>
      <c r="H71" s="995">
        <f>'12. Разходи'!F71-'12. Разходи'!$C71</f>
        <v>3.2000000000000028</v>
      </c>
      <c r="I71" s="1219">
        <f>IFERROR(('12. Разходи'!F71-'12. Разходи'!$C71)/'12. Разходи'!$C71,0)</f>
        <v>0.10000000000000009</v>
      </c>
      <c r="J71" s="995">
        <f>'12. Разходи'!G71-'12. Разходи'!$C71</f>
        <v>3.2000000000000028</v>
      </c>
      <c r="K71" s="1218">
        <f>IFERROR(('12. Разходи'!G71-'12. Разходи'!$C71)/'12. Разходи'!$C71,0)</f>
        <v>0.10000000000000009</v>
      </c>
      <c r="L71" s="1226">
        <f>'12. Разходи'!H71-'12. Разходи'!$C71</f>
        <v>3.2000000000000028</v>
      </c>
      <c r="M71" s="1218">
        <f>IFERROR(('12. Разходи'!H71-'12. Разходи'!$C71)/'12. Разходи'!$C71,0)</f>
        <v>0.10000000000000009</v>
      </c>
      <c r="N71" s="1270">
        <f>'12. Разходи'!K71</f>
        <v>0</v>
      </c>
      <c r="O71" s="1231">
        <f>'12. Разходи'!L71-'12. Разходи'!$K71</f>
        <v>0</v>
      </c>
      <c r="P71" s="1211">
        <f>IFERROR(('12. Разходи'!L71-'12. Разходи'!$K71)/'12. Разходи'!$K71,0)</f>
        <v>0</v>
      </c>
      <c r="Q71" s="995">
        <f>'12. Разходи'!M71-'12. Разходи'!$K71</f>
        <v>0</v>
      </c>
      <c r="R71" s="1219">
        <f>IFERROR(('12. Разходи'!M71-'12. Разходи'!$K71)/'12. Разходи'!$K71,0)</f>
        <v>0</v>
      </c>
      <c r="S71" s="995">
        <f>'12. Разходи'!N71-'12. Разходи'!$K71</f>
        <v>0</v>
      </c>
      <c r="T71" s="1219">
        <f>IFERROR(('12. Разходи'!N71-'12. Разходи'!$K71)/'12. Разходи'!$K71,0)</f>
        <v>0</v>
      </c>
      <c r="U71" s="995">
        <f>'12. Разходи'!O71-'12. Разходи'!$K71</f>
        <v>0</v>
      </c>
      <c r="V71" s="1218">
        <f>IFERROR(('12. Разходи'!O71-'12. Разходи'!$K71)/'12. Разходи'!$K71,0)</f>
        <v>0</v>
      </c>
      <c r="W71" s="1226">
        <f>'12. Разходи'!P71-'12. Разходи'!$K71</f>
        <v>0</v>
      </c>
      <c r="X71" s="1276">
        <f>IFERROR(('12. Разходи'!P71-'12. Разходи'!$K71)/'12. Разходи'!$K71,0)</f>
        <v>0</v>
      </c>
      <c r="Y71" s="1270">
        <f>'12. Разходи'!S71</f>
        <v>0.7</v>
      </c>
      <c r="Z71" s="1231">
        <f>'12. Разходи'!T71-'12. Разходи'!$S71</f>
        <v>0</v>
      </c>
      <c r="AA71" s="1211">
        <f>IFERROR(('12. Разходи'!T71-'12. Разходи'!$S71)/'12. Разходи'!$S71,0)</f>
        <v>0</v>
      </c>
      <c r="AB71" s="995">
        <f>'12. Разходи'!U71-'12. Разходи'!$S71</f>
        <v>0</v>
      </c>
      <c r="AC71" s="1219">
        <f>IFERROR(('12. Разходи'!U71-'12. Разходи'!$S71)/'12. Разходи'!$S71,0)</f>
        <v>0</v>
      </c>
      <c r="AD71" s="995">
        <f>'12. Разходи'!V71-'12. Разходи'!$S71</f>
        <v>0</v>
      </c>
      <c r="AE71" s="1219">
        <f>IFERROR(('12. Разходи'!V71-'12. Разходи'!$S71)/'12. Разходи'!$S71,0)</f>
        <v>0</v>
      </c>
      <c r="AF71" s="995">
        <f>'12. Разходи'!W71-'12. Разходи'!$S71</f>
        <v>0</v>
      </c>
      <c r="AG71" s="1218">
        <f>IFERROR(('12. Разходи'!W71-'12. Разходи'!$S71)/'12. Разходи'!$S71,0)</f>
        <v>0</v>
      </c>
      <c r="AH71" s="1226">
        <f>'12. Разходи'!X71-'12. Разходи'!$S71</f>
        <v>0</v>
      </c>
      <c r="AI71" s="1276">
        <f>IFERROR(('12. Разходи'!X71-'12. Разходи'!$S71)/'12. Разходи'!$S71,0)</f>
        <v>0</v>
      </c>
      <c r="AJ71" s="1270">
        <f>'12. Разходи'!AA71</f>
        <v>0.04</v>
      </c>
      <c r="AK71" s="1231">
        <f>'12. Разходи'!AB71-'12. Разходи'!$AA71</f>
        <v>0.36000000000000004</v>
      </c>
      <c r="AL71" s="1211">
        <f>IFERROR(('12. Разходи'!AB71-'12. Разходи'!$AA71)/'12. Разходи'!$AA71,0)</f>
        <v>9</v>
      </c>
      <c r="AM71" s="995">
        <f>'12. Разходи'!AC71-'12. Разходи'!$AA71</f>
        <v>0</v>
      </c>
      <c r="AN71" s="1219">
        <f>IFERROR(('12. Разходи'!AC71-'12. Разходи'!$AA71)/'12. Разходи'!$AA71,0)</f>
        <v>0</v>
      </c>
      <c r="AO71" s="995">
        <f>'12. Разходи'!AD71-'12. Разходи'!$AA71</f>
        <v>0</v>
      </c>
      <c r="AP71" s="1219">
        <f>IFERROR(('12. Разходи'!AD71-'12. Разходи'!$AA71)/'12. Разходи'!$AA71,0)</f>
        <v>0</v>
      </c>
      <c r="AQ71" s="995">
        <f>'12. Разходи'!AE71-'12. Разходи'!$AA71</f>
        <v>0</v>
      </c>
      <c r="AR71" s="1218">
        <f>IFERROR(('12. Разходи'!AE71-'12. Разходи'!$AA71)/'12. Разходи'!$AA71,0)</f>
        <v>0</v>
      </c>
      <c r="AS71" s="1226">
        <f>'12. Разходи'!AF71-'12. Разходи'!$AA71</f>
        <v>0</v>
      </c>
      <c r="AT71" s="1276">
        <f>IFERROR(('12. Разходи'!AF71-'12. Разходи'!$AA71)/'12. Разходи'!$AA71,0)</f>
        <v>0</v>
      </c>
      <c r="AU71" s="1270">
        <f>'12. Разходи'!AI71</f>
        <v>0</v>
      </c>
      <c r="AV71" s="1231">
        <f>'12. Разходи'!AJ71-'12. Разходи'!$AI71</f>
        <v>0</v>
      </c>
      <c r="AW71" s="1211">
        <f>IFERROR(('12. Разходи'!AJ71-'12. Разходи'!$AI71)/'12. Разходи'!$AI71,0)</f>
        <v>0</v>
      </c>
      <c r="AX71" s="995">
        <f>'12. Разходи'!AK71-'12. Разходи'!$AI71</f>
        <v>0</v>
      </c>
      <c r="AY71" s="1219">
        <f>IFERROR(('12. Разходи'!AK71-'12. Разходи'!$AI71)/'12. Разходи'!$AI71,0)</f>
        <v>0</v>
      </c>
      <c r="AZ71" s="995">
        <f>'12. Разходи'!AL71-'12. Разходи'!$AI71</f>
        <v>0</v>
      </c>
      <c r="BA71" s="1219">
        <f>IFERROR(('12. Разходи'!AL71-'12. Разходи'!$AI71)/'12. Разходи'!$AI71,0)</f>
        <v>0</v>
      </c>
      <c r="BB71" s="995">
        <f>'12. Разходи'!AM71-'12. Разходи'!$AI71</f>
        <v>0</v>
      </c>
      <c r="BC71" s="1218">
        <f>IFERROR(('12. Разходи'!AM71-'12. Разходи'!$AI71)/'12. Разходи'!$AI71,0)</f>
        <v>0</v>
      </c>
      <c r="BD71" s="1226">
        <f>'12. Разходи'!AN71-'12. Разходи'!$AI71</f>
        <v>0</v>
      </c>
      <c r="BE71" s="1276">
        <f>IFERROR(('12. Разходи'!AN71-'12. Разходи'!$AI71)/'12. Разходи'!$AI71,0)</f>
        <v>0</v>
      </c>
    </row>
    <row r="72" spans="1:66" ht="15.95" customHeight="1">
      <c r="A72" s="118" t="s">
        <v>275</v>
      </c>
      <c r="B72" s="989" t="s">
        <v>457</v>
      </c>
      <c r="C72" s="1202">
        <f>'12. Разходи'!C72</f>
        <v>24</v>
      </c>
      <c r="D72" s="1231">
        <f>'12. Разходи'!D72-'12. Разходи'!$C72</f>
        <v>-1.3030000000000008</v>
      </c>
      <c r="E72" s="1211">
        <f>IFERROR(('12. Разходи'!D72-'12. Разходи'!$C72)/'12. Разходи'!$C72,0)</f>
        <v>-5.4291666666666703E-2</v>
      </c>
      <c r="F72" s="995">
        <f>'12. Разходи'!E72-'12. Разходи'!$C72</f>
        <v>-1</v>
      </c>
      <c r="G72" s="1219">
        <f>IFERROR(('12. Разходи'!E72-'12. Разходи'!$C72)/'12. Разходи'!$C72,0)</f>
        <v>-4.1666666666666664E-2</v>
      </c>
      <c r="H72" s="995">
        <f>'12. Разходи'!F72-'12. Разходи'!$C72</f>
        <v>-1</v>
      </c>
      <c r="I72" s="1219">
        <f>IFERROR(('12. Разходи'!F72-'12. Разходи'!$C72)/'12. Разходи'!$C72,0)</f>
        <v>-4.1666666666666664E-2</v>
      </c>
      <c r="J72" s="995">
        <f>'12. Разходи'!G72-'12. Разходи'!$C72</f>
        <v>-1</v>
      </c>
      <c r="K72" s="1218">
        <f>IFERROR(('12. Разходи'!G72-'12. Разходи'!$C72)/'12. Разходи'!$C72,0)</f>
        <v>-4.1666666666666664E-2</v>
      </c>
      <c r="L72" s="1226">
        <f>'12. Разходи'!H72-'12. Разходи'!$C72</f>
        <v>-1</v>
      </c>
      <c r="M72" s="1218">
        <f>IFERROR(('12. Разходи'!H72-'12. Разходи'!$C72)/'12. Разходи'!$C72,0)</f>
        <v>-4.1666666666666664E-2</v>
      </c>
      <c r="N72" s="1270">
        <f>'12. Разходи'!K72</f>
        <v>1</v>
      </c>
      <c r="O72" s="1231">
        <f>'12. Разходи'!L72-'12. Разходи'!$K72</f>
        <v>0.10000000000000009</v>
      </c>
      <c r="P72" s="1211">
        <f>IFERROR(('12. Разходи'!L72-'12. Разходи'!$K72)/'12. Разходи'!$K72,0)</f>
        <v>0.10000000000000009</v>
      </c>
      <c r="Q72" s="995">
        <f>'12. Разходи'!M72-'12. Разходи'!$K72</f>
        <v>0.10000000000000009</v>
      </c>
      <c r="R72" s="1219">
        <f>IFERROR(('12. Разходи'!M72-'12. Разходи'!$K72)/'12. Разходи'!$K72,0)</f>
        <v>0.10000000000000009</v>
      </c>
      <c r="S72" s="995">
        <f>'12. Разходи'!N72-'12. Разходи'!$K72</f>
        <v>0.10000000000000009</v>
      </c>
      <c r="T72" s="1219">
        <f>IFERROR(('12. Разходи'!N72-'12. Разходи'!$K72)/'12. Разходи'!$K72,0)</f>
        <v>0.10000000000000009</v>
      </c>
      <c r="U72" s="995">
        <f>'12. Разходи'!O72-'12. Разходи'!$K72</f>
        <v>0.10000000000000009</v>
      </c>
      <c r="V72" s="1218">
        <f>IFERROR(('12. Разходи'!O72-'12. Разходи'!$K72)/'12. Разходи'!$K72,0)</f>
        <v>0.10000000000000009</v>
      </c>
      <c r="W72" s="1226">
        <f>'12. Разходи'!P72-'12. Разходи'!$K72</f>
        <v>0.10000000000000009</v>
      </c>
      <c r="X72" s="1276">
        <f>IFERROR(('12. Разходи'!P72-'12. Разходи'!$K72)/'12. Разходи'!$K72,0)</f>
        <v>0.10000000000000009</v>
      </c>
      <c r="Y72" s="1270">
        <f>'12. Разходи'!S72</f>
        <v>3</v>
      </c>
      <c r="Z72" s="1231">
        <f>'12. Разходи'!T72-'12. Разходи'!$S72</f>
        <v>0</v>
      </c>
      <c r="AA72" s="1211">
        <f>IFERROR(('12. Разходи'!T72-'12. Разходи'!$S72)/'12. Разходи'!$S72,0)</f>
        <v>0</v>
      </c>
      <c r="AB72" s="995">
        <f>'12. Разходи'!U72-'12. Разходи'!$S72</f>
        <v>0</v>
      </c>
      <c r="AC72" s="1219">
        <f>IFERROR(('12. Разходи'!U72-'12. Разходи'!$S72)/'12. Разходи'!$S72,0)</f>
        <v>0</v>
      </c>
      <c r="AD72" s="995">
        <f>'12. Разходи'!V72-'12. Разходи'!$S72</f>
        <v>0</v>
      </c>
      <c r="AE72" s="1219">
        <f>IFERROR(('12. Разходи'!V72-'12. Разходи'!$S72)/'12. Разходи'!$S72,0)</f>
        <v>0</v>
      </c>
      <c r="AF72" s="995">
        <f>'12. Разходи'!W72-'12. Разходи'!$S72</f>
        <v>0</v>
      </c>
      <c r="AG72" s="1218">
        <f>IFERROR(('12. Разходи'!W72-'12. Разходи'!$S72)/'12. Разходи'!$S72,0)</f>
        <v>0</v>
      </c>
      <c r="AH72" s="1226">
        <f>'12. Разходи'!X72-'12. Разходи'!$S72</f>
        <v>0</v>
      </c>
      <c r="AI72" s="1276">
        <f>IFERROR(('12. Разходи'!X72-'12. Разходи'!$S72)/'12. Разходи'!$S72,0)</f>
        <v>0</v>
      </c>
      <c r="AJ72" s="3505"/>
      <c r="AK72" s="3506"/>
      <c r="AL72" s="3411"/>
      <c r="AM72" s="3507"/>
      <c r="AN72" s="3411"/>
      <c r="AO72" s="3507"/>
      <c r="AP72" s="3411"/>
      <c r="AQ72" s="3507"/>
      <c r="AR72" s="3508"/>
      <c r="AS72" s="3507"/>
      <c r="AT72" s="3509"/>
      <c r="AU72" s="3505"/>
      <c r="AV72" s="3506"/>
      <c r="AW72" s="3411"/>
      <c r="AX72" s="3507"/>
      <c r="AY72" s="3411"/>
      <c r="AZ72" s="3507"/>
      <c r="BA72" s="3411"/>
      <c r="BB72" s="3507"/>
      <c r="BC72" s="3508"/>
      <c r="BD72" s="3507"/>
      <c r="BE72" s="3509"/>
    </row>
    <row r="73" spans="1:66" ht="15.95" customHeight="1">
      <c r="A73" s="118" t="s">
        <v>277</v>
      </c>
      <c r="B73" s="983" t="s">
        <v>458</v>
      </c>
      <c r="C73" s="1202">
        <f>'12. Разходи'!C73</f>
        <v>514</v>
      </c>
      <c r="D73" s="1231">
        <f>'12. Разходи'!D73-'12. Разходи'!$C73</f>
        <v>-83.514999999999986</v>
      </c>
      <c r="E73" s="1211">
        <f>IFERROR(('12. Разходи'!D73-'12. Разходи'!$C73)/'12. Разходи'!$C73,0)</f>
        <v>-0.16248054474708168</v>
      </c>
      <c r="F73" s="995">
        <f>'12. Разходи'!E73-'12. Разходи'!$C73</f>
        <v>-213.19092969129093</v>
      </c>
      <c r="G73" s="1219">
        <f>IFERROR(('12. Разходи'!E73-'12. Разходи'!$C73)/'12. Разходи'!$C73,0)</f>
        <v>-0.41476834570290066</v>
      </c>
      <c r="H73" s="995">
        <f>'12. Разходи'!F73-'12. Разходи'!$C73</f>
        <v>-268.05701655604582</v>
      </c>
      <c r="I73" s="1219">
        <f>IFERROR(('12. Разходи'!F73-'12. Разходи'!$C73)/'12. Разходи'!$C73,0)</f>
        <v>-0.5215117053619569</v>
      </c>
      <c r="J73" s="995">
        <f>'12. Разходи'!G73-'12. Разходи'!$C73</f>
        <v>-299.72310342079948</v>
      </c>
      <c r="K73" s="1218">
        <f>IFERROR(('12. Разходи'!G73-'12. Разходи'!$C73)/'12. Разходи'!$C73,0)</f>
        <v>-0.58311887825058262</v>
      </c>
      <c r="L73" s="1226">
        <f>'12. Разходи'!H73-'12. Разходи'!$C73</f>
        <v>-321.86775232262778</v>
      </c>
      <c r="M73" s="1218">
        <f>IFERROR(('12. Разходи'!H73-'12. Разходи'!$C73)/'12. Разходи'!$C73,0)</f>
        <v>-0.6262018527677583</v>
      </c>
      <c r="N73" s="3505"/>
      <c r="O73" s="3506"/>
      <c r="P73" s="3411"/>
      <c r="Q73" s="3507"/>
      <c r="R73" s="3411"/>
      <c r="S73" s="3507"/>
      <c r="T73" s="3411"/>
      <c r="U73" s="3507"/>
      <c r="V73" s="3508"/>
      <c r="W73" s="3507"/>
      <c r="X73" s="3509"/>
      <c r="Y73" s="3505"/>
      <c r="Z73" s="3506"/>
      <c r="AA73" s="3411"/>
      <c r="AB73" s="3507"/>
      <c r="AC73" s="3411"/>
      <c r="AD73" s="3507"/>
      <c r="AE73" s="3411"/>
      <c r="AF73" s="3507"/>
      <c r="AG73" s="3508"/>
      <c r="AH73" s="3507"/>
      <c r="AI73" s="3509"/>
      <c r="AJ73" s="3510">
        <f>'12. Разходи'!AA73</f>
        <v>0</v>
      </c>
      <c r="AK73" s="1231">
        <f>'12. Разходи'!AB73-'12. Разходи'!$AA73</f>
        <v>0</v>
      </c>
      <c r="AL73" s="1211">
        <f>IFERROR(('12. Разходи'!AB73-'12. Разходи'!$AA73)/'12. Разходи'!$AA73,0)</f>
        <v>0</v>
      </c>
      <c r="AM73" s="995">
        <f>'12. Разходи'!AC73-'12. Разходи'!$AA73</f>
        <v>67.376999999999995</v>
      </c>
      <c r="AN73" s="1219">
        <f>IFERROR(('12. Разходи'!AC73-'12. Разходи'!$AA73)/'12. Разходи'!$AA73,0)</f>
        <v>0</v>
      </c>
      <c r="AO73" s="995">
        <f>'12. Разходи'!AD73-'12. Разходи'!$AA73</f>
        <v>66.587999999999994</v>
      </c>
      <c r="AP73" s="1219">
        <f>IFERROR(('12. Разходи'!AD73-'12. Разходи'!$AA73)/'12. Разходи'!$AA73,0)</f>
        <v>0</v>
      </c>
      <c r="AQ73" s="995">
        <f>'12. Разходи'!AE73-'12. Разходи'!$AA73</f>
        <v>65.8</v>
      </c>
      <c r="AR73" s="1218">
        <f>IFERROR(('12. Разходи'!AE73-'12. Разходи'!$AA73)/'12. Разходи'!$AA73,0)</f>
        <v>0</v>
      </c>
      <c r="AS73" s="1226">
        <f>'12. Разходи'!AF73-'12. Разходи'!$AA73</f>
        <v>65.021000000000001</v>
      </c>
      <c r="AT73" s="1276">
        <f>IFERROR(('12. Разходи'!AF73-'12. Разходи'!$AA73)/'12. Разходи'!$AA73,0)</f>
        <v>0</v>
      </c>
      <c r="AU73" s="1270">
        <f>'12. Разходи'!AI73</f>
        <v>0</v>
      </c>
      <c r="AV73" s="1231">
        <f>'12. Разходи'!AJ73-'12. Разходи'!$AI73</f>
        <v>0</v>
      </c>
      <c r="AW73" s="1211">
        <f>IFERROR(('12. Разходи'!AJ73-'12. Разходи'!$AI73)/'12. Разходи'!$AI73,0)</f>
        <v>0</v>
      </c>
      <c r="AX73" s="995">
        <f>'12. Разходи'!AK73-'12. Разходи'!$AI73</f>
        <v>0</v>
      </c>
      <c r="AY73" s="1219">
        <f>IFERROR(('12. Разходи'!AK73-'12. Разходи'!$AI73)/'12. Разходи'!$AI73,0)</f>
        <v>0</v>
      </c>
      <c r="AZ73" s="995">
        <f>'12. Разходи'!AL73-'12. Разходи'!$AI73</f>
        <v>0</v>
      </c>
      <c r="BA73" s="1219">
        <f>IFERROR(('12. Разходи'!AL73-'12. Разходи'!$AI73)/'12. Разходи'!$AI73,0)</f>
        <v>0</v>
      </c>
      <c r="BB73" s="995">
        <f>'12. Разходи'!AM73-'12. Разходи'!$AI73</f>
        <v>0</v>
      </c>
      <c r="BC73" s="1218">
        <f>IFERROR(('12. Разходи'!AM73-'12. Разходи'!$AI73)/'12. Разходи'!$AI73,0)</f>
        <v>0</v>
      </c>
      <c r="BD73" s="1226">
        <f>'12. Разходи'!AN73-'12. Разходи'!$AI73</f>
        <v>0</v>
      </c>
      <c r="BE73" s="1276">
        <f>IFERROR(('12. Разходи'!AN73-'12. Разходи'!$AI73)/'12. Разходи'!$AI73,0)</f>
        <v>0</v>
      </c>
    </row>
    <row r="74" spans="1:66" ht="15.95" customHeight="1">
      <c r="A74" s="118" t="s">
        <v>279</v>
      </c>
      <c r="B74" s="983" t="s">
        <v>1370</v>
      </c>
      <c r="C74" s="3505"/>
      <c r="D74" s="3506"/>
      <c r="E74" s="3411"/>
      <c r="F74" s="3507"/>
      <c r="G74" s="3411"/>
      <c r="H74" s="3507"/>
      <c r="I74" s="3411"/>
      <c r="J74" s="3507"/>
      <c r="K74" s="3508"/>
      <c r="L74" s="3507"/>
      <c r="M74" s="3508"/>
      <c r="N74" s="3510">
        <f>'12. Разходи'!K74</f>
        <v>5</v>
      </c>
      <c r="O74" s="1231">
        <f>'12. Разходи'!L74-'12. Разходи'!$K74</f>
        <v>0</v>
      </c>
      <c r="P74" s="1211">
        <f>IFERROR(('12. Разходи'!L74-'12. Разходи'!$K74)/'12. Разходи'!$K74,0)</f>
        <v>0</v>
      </c>
      <c r="Q74" s="995">
        <f>'12. Разходи'!M74-'12. Разходи'!$K74</f>
        <v>0</v>
      </c>
      <c r="R74" s="1219">
        <f>IFERROR(('12. Разходи'!M74-'12. Разходи'!$K74)/'12. Разходи'!$K74,0)</f>
        <v>0</v>
      </c>
      <c r="S74" s="995">
        <f>'12. Разходи'!N74-'12. Разходи'!$K74</f>
        <v>0</v>
      </c>
      <c r="T74" s="1219">
        <f>IFERROR(('12. Разходи'!N74-'12. Разходи'!$K74)/'12. Разходи'!$K74,0)</f>
        <v>0</v>
      </c>
      <c r="U74" s="995">
        <f>'12. Разходи'!O74-'12. Разходи'!$K74</f>
        <v>0</v>
      </c>
      <c r="V74" s="1218">
        <f>IFERROR(('12. Разходи'!O74-'12. Разходи'!$K74)/'12. Разходи'!$K74,0)</f>
        <v>0</v>
      </c>
      <c r="W74" s="1226">
        <f>'12. Разходи'!P74-'12. Разходи'!$K74</f>
        <v>0</v>
      </c>
      <c r="X74" s="1276">
        <f>IFERROR(('12. Разходи'!P74-'12. Разходи'!$K74)/'12. Разходи'!$K74,0)</f>
        <v>0</v>
      </c>
      <c r="Y74" s="1270">
        <f>'12. Разходи'!S74</f>
        <v>26</v>
      </c>
      <c r="Z74" s="1231">
        <f>'12. Разходи'!T74-'12. Разходи'!$S74</f>
        <v>7.9570000000000007</v>
      </c>
      <c r="AA74" s="1211">
        <f>IFERROR(('12. Разходи'!T74-'12. Разходи'!$S74)/'12. Разходи'!$S74,0)</f>
        <v>0.30603846153846159</v>
      </c>
      <c r="AB74" s="995">
        <f>'12. Разходи'!U74-'12. Разходи'!$S74</f>
        <v>7.9260000000000019</v>
      </c>
      <c r="AC74" s="1219">
        <f>IFERROR(('12. Разходи'!U74-'12. Разходи'!$S74)/'12. Разходи'!$S74,0)</f>
        <v>0.30484615384615393</v>
      </c>
      <c r="AD74" s="995">
        <f>'12. Разходи'!V74-'12. Разходи'!$S74</f>
        <v>16.322000000000003</v>
      </c>
      <c r="AE74" s="1219">
        <f>IFERROR(('12. Разходи'!V74-'12. Разходи'!$S74)/'12. Разходи'!$S74,0)</f>
        <v>0.62776923076923086</v>
      </c>
      <c r="AF74" s="995">
        <f>'12. Разходи'!W74-'12. Разходи'!$S74</f>
        <v>15.923000000000002</v>
      </c>
      <c r="AG74" s="1218">
        <f>IFERROR(('12. Разходи'!W74-'12. Разходи'!$S74)/'12. Разходи'!$S74,0)</f>
        <v>0.61242307692307696</v>
      </c>
      <c r="AH74" s="1226">
        <f>'12. Разходи'!X74-'12. Разходи'!$S74</f>
        <v>15.527000000000001</v>
      </c>
      <c r="AI74" s="1276">
        <f>IFERROR(('12. Разходи'!X74-'12. Разходи'!$S74)/'12. Разходи'!$S74,0)</f>
        <v>0.59719230769230769</v>
      </c>
      <c r="AJ74" s="3505"/>
      <c r="AK74" s="3506"/>
      <c r="AL74" s="3411"/>
      <c r="AM74" s="3507"/>
      <c r="AN74" s="3411"/>
      <c r="AO74" s="3507"/>
      <c r="AP74" s="3411"/>
      <c r="AQ74" s="3507"/>
      <c r="AR74" s="3508"/>
      <c r="AS74" s="3507"/>
      <c r="AT74" s="3509"/>
      <c r="AU74" s="3505"/>
      <c r="AV74" s="3506"/>
      <c r="AW74" s="3411"/>
      <c r="AX74" s="3507"/>
      <c r="AY74" s="3411"/>
      <c r="AZ74" s="3507"/>
      <c r="BA74" s="3411"/>
      <c r="BB74" s="3507"/>
      <c r="BC74" s="3508"/>
      <c r="BD74" s="3507"/>
      <c r="BE74" s="3509"/>
    </row>
    <row r="75" spans="1:66" ht="15.95" customHeight="1" thickBot="1">
      <c r="A75" s="118" t="s">
        <v>281</v>
      </c>
      <c r="B75" s="146" t="s">
        <v>460</v>
      </c>
      <c r="C75" s="1207">
        <f>'12. Разходи'!C75</f>
        <v>100</v>
      </c>
      <c r="D75" s="1231">
        <f>'12. Разходи'!D75-'12. Разходи'!$C75</f>
        <v>-96.494</v>
      </c>
      <c r="E75" s="1211">
        <f>IFERROR(('12. Разходи'!D75-'12. Разходи'!$C75)/'12. Разходи'!$C75,0)</f>
        <v>-0.96494000000000002</v>
      </c>
      <c r="F75" s="995">
        <f>'12. Разходи'!E75-'12. Разходи'!$C75</f>
        <v>-96.5</v>
      </c>
      <c r="G75" s="1219">
        <f>IFERROR(('12. Разходи'!E75-'12. Разходи'!$C75)/'12. Разходи'!$C75,0)</f>
        <v>-0.96499999999999997</v>
      </c>
      <c r="H75" s="995">
        <f>'12. Разходи'!F75-'12. Разходи'!$C75</f>
        <v>-96.5</v>
      </c>
      <c r="I75" s="1219">
        <f>IFERROR(('12. Разходи'!F75-'12. Разходи'!$C75)/'12. Разходи'!$C75,0)</f>
        <v>-0.96499999999999997</v>
      </c>
      <c r="J75" s="995">
        <f>'12. Разходи'!G75-'12. Разходи'!$C75</f>
        <v>-96.5</v>
      </c>
      <c r="K75" s="1218">
        <f>IFERROR(('12. Разходи'!G75-'12. Разходи'!$C75)/'12. Разходи'!$C75,0)</f>
        <v>-0.96499999999999997</v>
      </c>
      <c r="L75" s="1226">
        <f>'12. Разходи'!H75-'12. Разходи'!$C75</f>
        <v>-96.5</v>
      </c>
      <c r="M75" s="1218">
        <f>IFERROR(('12. Разходи'!H75-'12. Разходи'!$C75)/'12. Разходи'!$C75,0)</f>
        <v>-0.96499999999999997</v>
      </c>
      <c r="N75" s="1270">
        <f>'12. Разходи'!K75</f>
        <v>3</v>
      </c>
      <c r="O75" s="1231">
        <f>'12. Разходи'!L75-'12. Разходи'!$K75</f>
        <v>0.29999999999999982</v>
      </c>
      <c r="P75" s="1211">
        <f>IFERROR(('12. Разходи'!L75-'12. Разходи'!$K75)/'12. Разходи'!$K75,0)</f>
        <v>9.9999999999999936E-2</v>
      </c>
      <c r="Q75" s="995">
        <f>'12. Разходи'!M75-'12. Разходи'!$K75</f>
        <v>0.29999999999999982</v>
      </c>
      <c r="R75" s="1219">
        <f>IFERROR(('12. Разходи'!M75-'12. Разходи'!$K75)/'12. Разходи'!$K75,0)</f>
        <v>9.9999999999999936E-2</v>
      </c>
      <c r="S75" s="995">
        <f>'12. Разходи'!N75-'12. Разходи'!$K75</f>
        <v>0.29999999999999982</v>
      </c>
      <c r="T75" s="1219">
        <f>IFERROR(('12. Разходи'!N75-'12. Разходи'!$K75)/'12. Разходи'!$K75,0)</f>
        <v>9.9999999999999936E-2</v>
      </c>
      <c r="U75" s="995">
        <f>'12. Разходи'!O75-'12. Разходи'!$K75</f>
        <v>0.29999999999999982</v>
      </c>
      <c r="V75" s="1218">
        <f>IFERROR(('12. Разходи'!O75-'12. Разходи'!$K75)/'12. Разходи'!$K75,0)</f>
        <v>9.9999999999999936E-2</v>
      </c>
      <c r="W75" s="1226">
        <f>'12. Разходи'!P75-'12. Разходи'!$K75</f>
        <v>0.29999999999999982</v>
      </c>
      <c r="X75" s="1276">
        <f>IFERROR(('12. Разходи'!P75-'12. Разходи'!$K75)/'12. Разходи'!$K75,0)</f>
        <v>9.9999999999999936E-2</v>
      </c>
      <c r="Y75" s="1270">
        <f>'12. Разходи'!S75</f>
        <v>0.7</v>
      </c>
      <c r="Z75" s="1231">
        <f>'12. Разходи'!T75-'12. Разходи'!$S75</f>
        <v>0.10000000000000009</v>
      </c>
      <c r="AA75" s="1211">
        <f>IFERROR(('12. Разходи'!T75-'12. Разходи'!$S75)/'12. Разходи'!$S75,0)</f>
        <v>0.14285714285714299</v>
      </c>
      <c r="AB75" s="995">
        <f>'12. Разходи'!U75-'12. Разходи'!$S75</f>
        <v>0.10000000000000009</v>
      </c>
      <c r="AC75" s="1219">
        <f>IFERROR(('12. Разходи'!U75-'12. Разходи'!$S75)/'12. Разходи'!$S75,0)</f>
        <v>0.14285714285714299</v>
      </c>
      <c r="AD75" s="995">
        <f>'12. Разходи'!V75-'12. Разходи'!$S75</f>
        <v>0.10000000000000009</v>
      </c>
      <c r="AE75" s="1219">
        <f>IFERROR(('12. Разходи'!V75-'12. Разходи'!$S75)/'12. Разходи'!$S75,0)</f>
        <v>0.14285714285714299</v>
      </c>
      <c r="AF75" s="995">
        <f>'12. Разходи'!W75-'12. Разходи'!$S75</f>
        <v>0.10000000000000009</v>
      </c>
      <c r="AG75" s="1218">
        <f>IFERROR(('12. Разходи'!W75-'12. Разходи'!$S75)/'12. Разходи'!$S75,0)</f>
        <v>0.14285714285714299</v>
      </c>
      <c r="AH75" s="1226">
        <f>'12. Разходи'!X75-'12. Разходи'!$S75</f>
        <v>7.0000000000000062E-2</v>
      </c>
      <c r="AI75" s="1276">
        <f>IFERROR(('12. Разходи'!X75-'12. Разходи'!$S75)/'12. Разходи'!$S75,0)</f>
        <v>0.10000000000000009</v>
      </c>
      <c r="AJ75" s="1270">
        <f>'12. Разходи'!AA75</f>
        <v>0.09</v>
      </c>
      <c r="AK75" s="1231">
        <f>'12. Разходи'!AB75-'12. Разходи'!$AA75</f>
        <v>0</v>
      </c>
      <c r="AL75" s="1211">
        <f>IFERROR(('12. Разходи'!AB75-'12. Разходи'!$AA75)/'12. Разходи'!$AA75,0)</f>
        <v>0</v>
      </c>
      <c r="AM75" s="995">
        <f>'12. Разходи'!AC75-'12. Разходи'!$AA75</f>
        <v>0</v>
      </c>
      <c r="AN75" s="1219">
        <f>IFERROR(('12. Разходи'!AC75-'12. Разходи'!$AA75)/'12. Разходи'!$AA75,0)</f>
        <v>0</v>
      </c>
      <c r="AO75" s="995">
        <f>'12. Разходи'!AD75-'12. Разходи'!$AA75</f>
        <v>0</v>
      </c>
      <c r="AP75" s="1219">
        <f>IFERROR(('12. Разходи'!AD75-'12. Разходи'!$AA75)/'12. Разходи'!$AA75,0)</f>
        <v>0</v>
      </c>
      <c r="AQ75" s="995">
        <f>'12. Разходи'!AE75-'12. Разходи'!$AA75</f>
        <v>0</v>
      </c>
      <c r="AR75" s="1218">
        <f>IFERROR(('12. Разходи'!AE75-'12. Разходи'!$AA75)/'12. Разходи'!$AA75,0)</f>
        <v>0</v>
      </c>
      <c r="AS75" s="1226">
        <f>'12. Разходи'!AF75-'12. Разходи'!$AA75</f>
        <v>0</v>
      </c>
      <c r="AT75" s="1276">
        <f>IFERROR(('12. Разходи'!AF75-'12. Разходи'!$AA75)/'12. Разходи'!$AA75,0)</f>
        <v>0</v>
      </c>
      <c r="AU75" s="1270">
        <f>'12. Разходи'!AI75</f>
        <v>0</v>
      </c>
      <c r="AV75" s="1231">
        <f>'12. Разходи'!AJ75-'12. Разходи'!$AI75</f>
        <v>0</v>
      </c>
      <c r="AW75" s="1211">
        <f>IFERROR(('12. Разходи'!AJ75-'12. Разходи'!$AI75)/'12. Разходи'!$AI75,0)</f>
        <v>0</v>
      </c>
      <c r="AX75" s="995">
        <f>'12. Разходи'!AK75-'12. Разходи'!$AI75</f>
        <v>0</v>
      </c>
      <c r="AY75" s="1219">
        <f>IFERROR(('12. Разходи'!AK75-'12. Разходи'!$AI75)/'12. Разходи'!$AI75,0)</f>
        <v>0</v>
      </c>
      <c r="AZ75" s="995">
        <f>'12. Разходи'!AL75-'12. Разходи'!$AI75</f>
        <v>0</v>
      </c>
      <c r="BA75" s="1219">
        <f>IFERROR(('12. Разходи'!AL75-'12. Разходи'!$AI75)/'12. Разходи'!$AI75,0)</f>
        <v>0</v>
      </c>
      <c r="BB75" s="995">
        <f>'12. Разходи'!AM75-'12. Разходи'!$AI75</f>
        <v>0</v>
      </c>
      <c r="BC75" s="1218">
        <f>IFERROR(('12. Разходи'!AM75-'12. Разходи'!$AI75)/'12. Разходи'!$AI75,0)</f>
        <v>0</v>
      </c>
      <c r="BD75" s="1226">
        <f>'12. Разходи'!AN75-'12. Разходи'!$AI75</f>
        <v>0</v>
      </c>
      <c r="BE75" s="1276">
        <f>IFERROR(('12. Разходи'!AN75-'12. Разходи'!$AI75)/'12. Разходи'!$AI75,0)</f>
        <v>0</v>
      </c>
    </row>
    <row r="76" spans="1:66" s="1250" customFormat="1" ht="15.95" customHeight="1" thickBot="1">
      <c r="A76" s="120">
        <v>7</v>
      </c>
      <c r="B76" s="984" t="s">
        <v>272</v>
      </c>
      <c r="C76" s="1200">
        <f>'12. Разходи'!C76</f>
        <v>48</v>
      </c>
      <c r="D76" s="1238">
        <f>'12. Разходи'!D76-'12. Разходи'!$C76</f>
        <v>3</v>
      </c>
      <c r="E76" s="962">
        <f>IFERROR(('12. Разходи'!D76-'12. Разходи'!$C76)/'12. Разходи'!$C76,0)</f>
        <v>6.25E-2</v>
      </c>
      <c r="F76" s="1237">
        <f>'12. Разходи'!E76-'12. Разходи'!$C76</f>
        <v>3</v>
      </c>
      <c r="G76" s="962">
        <f>IFERROR(('12. Разходи'!E76-'12. Разходи'!$C76)/'12. Разходи'!$C76,0)</f>
        <v>6.25E-2</v>
      </c>
      <c r="H76" s="1237">
        <f>'12. Разходи'!F76-'12. Разходи'!$C76</f>
        <v>3</v>
      </c>
      <c r="I76" s="962">
        <f>IFERROR(('12. Разходи'!F76-'12. Разходи'!$C76)/'12. Разходи'!$C76,0)</f>
        <v>6.25E-2</v>
      </c>
      <c r="J76" s="1237">
        <f>'12. Разходи'!G76-'12. Разходи'!$C76</f>
        <v>3</v>
      </c>
      <c r="K76" s="975">
        <f>IFERROR(('12. Разходи'!G76-'12. Разходи'!$C76)/'12. Разходи'!$C76,0)</f>
        <v>6.25E-2</v>
      </c>
      <c r="L76" s="1237">
        <f>'12. Разходи'!H76-'12. Разходи'!$C76</f>
        <v>3.2000000000000028</v>
      </c>
      <c r="M76" s="975">
        <f>IFERROR(('12. Разходи'!H76-'12. Разходи'!$C76)/'12. Разходи'!$C76,0)</f>
        <v>6.6666666666666721E-2</v>
      </c>
      <c r="N76" s="1254">
        <f>'12. Разходи'!K76</f>
        <v>6.9830000000000005</v>
      </c>
      <c r="O76" s="1238">
        <f>'12. Разходи'!L76-'12. Разходи'!$K76</f>
        <v>2.1169999999999991</v>
      </c>
      <c r="P76" s="962">
        <f>IFERROR(('12. Разходи'!L76-'12. Разходи'!$K76)/'12. Разходи'!$K76,0)</f>
        <v>0.30316482887011298</v>
      </c>
      <c r="Q76" s="1237">
        <f>'12. Разходи'!M76-'12. Разходи'!$K76</f>
        <v>2.1169999999999991</v>
      </c>
      <c r="R76" s="962">
        <f>IFERROR(('12. Разходи'!M76-'12. Разходи'!$K76)/'12. Разходи'!$K76,0)</f>
        <v>0.30316482887011298</v>
      </c>
      <c r="S76" s="1237">
        <f>'12. Разходи'!N76-'12. Разходи'!$K76</f>
        <v>1.9169999999999998</v>
      </c>
      <c r="T76" s="962">
        <f>IFERROR(('12. Разходи'!N76-'12. Разходи'!$K76)/'12. Разходи'!$K76,0)</f>
        <v>0.27452384362022048</v>
      </c>
      <c r="U76" s="1237">
        <f>'12. Разходи'!O76-'12. Разходи'!$K76</f>
        <v>1.7169999999999987</v>
      </c>
      <c r="V76" s="975">
        <f>IFERROR(('12. Разходи'!O76-'12. Разходи'!$K76)/'12. Разходи'!$K76,0)</f>
        <v>0.24588285837032775</v>
      </c>
      <c r="W76" s="1237">
        <f>'12. Разходи'!P76-'12. Разходи'!$K76</f>
        <v>1.6369999999999987</v>
      </c>
      <c r="X76" s="977">
        <f>IFERROR(('12. Разходи'!P76-'12. Разходи'!$K76)/'12. Разходи'!$K76,0)</f>
        <v>0.2344264642703707</v>
      </c>
      <c r="Y76" s="1254">
        <f>'12. Разходи'!S76</f>
        <v>8</v>
      </c>
      <c r="Z76" s="1238">
        <f>'12. Разходи'!T76-'12. Разходи'!$S76</f>
        <v>3.5</v>
      </c>
      <c r="AA76" s="962">
        <f>IFERROR(('12. Разходи'!T76-'12. Разходи'!$S76)/'12. Разходи'!$S76,0)</f>
        <v>0.4375</v>
      </c>
      <c r="AB76" s="1237">
        <f>'12. Разходи'!U76-'12. Разходи'!$S76</f>
        <v>3.5</v>
      </c>
      <c r="AC76" s="962">
        <f>IFERROR(('12. Разходи'!U76-'12. Разходи'!$S76)/'12. Разходи'!$S76,0)</f>
        <v>0.4375</v>
      </c>
      <c r="AD76" s="1237">
        <f>'12. Разходи'!V76-'12. Разходи'!$S76</f>
        <v>3.3000000000000007</v>
      </c>
      <c r="AE76" s="962">
        <f>IFERROR(('12. Разходи'!V76-'12. Разходи'!$S76)/'12. Разходи'!$S76,0)</f>
        <v>0.41250000000000009</v>
      </c>
      <c r="AF76" s="1237">
        <f>'12. Разходи'!W76-'12. Разходи'!$S76</f>
        <v>3.5</v>
      </c>
      <c r="AG76" s="975">
        <f>IFERROR(('12. Разходи'!W76-'12. Разходи'!$S76)/'12. Разходи'!$S76,0)</f>
        <v>0.4375</v>
      </c>
      <c r="AH76" s="1237">
        <f>'12. Разходи'!X76-'12. Разходи'!$S76</f>
        <v>3.6999999999999993</v>
      </c>
      <c r="AI76" s="977">
        <f>IFERROR(('12. Разходи'!X76-'12. Разходи'!$S76)/'12. Разходи'!$S76,0)</f>
        <v>0.46249999999999991</v>
      </c>
      <c r="AJ76" s="1254">
        <f>'12. Разходи'!AA76</f>
        <v>0.55000000000000004</v>
      </c>
      <c r="AK76" s="1238">
        <f>'12. Разходи'!AB76-'12. Разходи'!$AA76</f>
        <v>1.32</v>
      </c>
      <c r="AL76" s="962">
        <f>IFERROR(('12. Разходи'!AB76-'12. Разходи'!$AA76)/'12. Разходи'!$AA76,0)</f>
        <v>2.4</v>
      </c>
      <c r="AM76" s="1237">
        <f>'12. Разходи'!AC76-'12. Разходи'!$AA76</f>
        <v>1.32</v>
      </c>
      <c r="AN76" s="962">
        <f>IFERROR(('12. Разходи'!AC76-'12. Разходи'!$AA76)/'12. Разходи'!$AA76,0)</f>
        <v>2.4</v>
      </c>
      <c r="AO76" s="1237">
        <f>'12. Разходи'!AD76-'12. Разходи'!$AA76</f>
        <v>1.32</v>
      </c>
      <c r="AP76" s="962">
        <f>IFERROR(('12. Разходи'!AD76-'12. Разходи'!$AA76)/'12. Разходи'!$AA76,0)</f>
        <v>2.4</v>
      </c>
      <c r="AQ76" s="1237">
        <f>'12. Разходи'!AE76-'12. Разходи'!$AA76</f>
        <v>1.32</v>
      </c>
      <c r="AR76" s="975">
        <f>IFERROR(('12. Разходи'!AE76-'12. Разходи'!$AA76)/'12. Разходи'!$AA76,0)</f>
        <v>2.4</v>
      </c>
      <c r="AS76" s="1237">
        <f>'12. Разходи'!AF76-'12. Разходи'!$AA76</f>
        <v>1.32</v>
      </c>
      <c r="AT76" s="977">
        <f>IFERROR(('12. Разходи'!AF76-'12. Разходи'!$AA76)/'12. Разходи'!$AA76,0)</f>
        <v>2.4</v>
      </c>
      <c r="AU76" s="1254">
        <f>'12. Разходи'!AI76</f>
        <v>0</v>
      </c>
      <c r="AV76" s="1238">
        <f>'12. Разходи'!AJ76-'12. Разходи'!$AI76</f>
        <v>0</v>
      </c>
      <c r="AW76" s="962">
        <f>IFERROR(('12. Разходи'!AJ76-'12. Разходи'!$AI76)/'12. Разходи'!$AI76,0)</f>
        <v>0</v>
      </c>
      <c r="AX76" s="1237">
        <f>'12. Разходи'!AK76-'12. Разходи'!$AI76</f>
        <v>0</v>
      </c>
      <c r="AY76" s="962">
        <f>IFERROR(('12. Разходи'!AK76-'12. Разходи'!$AI76)/'12. Разходи'!$AI76,0)</f>
        <v>0</v>
      </c>
      <c r="AZ76" s="1237">
        <f>'12. Разходи'!AL76-'12. Разходи'!$AI76</f>
        <v>0</v>
      </c>
      <c r="BA76" s="962">
        <f>IFERROR(('12. Разходи'!AL76-'12. Разходи'!$AI76)/'12. Разходи'!$AI76,0)</f>
        <v>0</v>
      </c>
      <c r="BB76" s="1237">
        <f>'12. Разходи'!AM76-'12. Разходи'!$AI76</f>
        <v>0</v>
      </c>
      <c r="BC76" s="975">
        <f>IFERROR(('12. Разходи'!AM76-'12. Разходи'!$AI76)/'12. Разходи'!$AI76,0)</f>
        <v>0</v>
      </c>
      <c r="BD76" s="1237">
        <f>'12. Разходи'!AN76-'12. Разходи'!$AI76</f>
        <v>0</v>
      </c>
      <c r="BE76" s="977">
        <f>IFERROR(('12. Разходи'!AN76-'12. Разходи'!$AI76)/'12. Разходи'!$AI76,0)</f>
        <v>0</v>
      </c>
      <c r="BF76" s="760"/>
      <c r="BG76" s="760"/>
      <c r="BH76" s="760"/>
      <c r="BI76" s="760"/>
      <c r="BJ76" s="760"/>
      <c r="BK76" s="760"/>
      <c r="BL76" s="760"/>
      <c r="BM76" s="760"/>
      <c r="BN76" s="760"/>
    </row>
    <row r="77" spans="1:66" ht="15.95" customHeight="1">
      <c r="A77" s="118" t="s">
        <v>180</v>
      </c>
      <c r="B77" s="982" t="s">
        <v>274</v>
      </c>
      <c r="C77" s="1201">
        <f>'12. Разходи'!C77</f>
        <v>2</v>
      </c>
      <c r="D77" s="1231">
        <f>'12. Разходи'!D77-'12. Разходи'!$C77</f>
        <v>0</v>
      </c>
      <c r="E77" s="1211">
        <f>IFERROR(('12. Разходи'!D77-'12. Разходи'!$C77)/'12. Разходи'!$C77,0)</f>
        <v>0</v>
      </c>
      <c r="F77" s="995">
        <f>'12. Разходи'!E77-'12. Разходи'!$C77</f>
        <v>0</v>
      </c>
      <c r="G77" s="1219">
        <f>IFERROR(('12. Разходи'!E77-'12. Разходи'!$C77)/'12. Разходи'!$C77,0)</f>
        <v>0</v>
      </c>
      <c r="H77" s="995">
        <f>'12. Разходи'!F77-'12. Разходи'!$C77</f>
        <v>0</v>
      </c>
      <c r="I77" s="1219">
        <f>IFERROR(('12. Разходи'!F77-'12. Разходи'!$C77)/'12. Разходи'!$C77,0)</f>
        <v>0</v>
      </c>
      <c r="J77" s="995">
        <f>'12. Разходи'!G77-'12. Разходи'!$C77</f>
        <v>0</v>
      </c>
      <c r="K77" s="1218">
        <f>IFERROR(('12. Разходи'!G77-'12. Разходи'!$C77)/'12. Разходи'!$C77,0)</f>
        <v>0</v>
      </c>
      <c r="L77" s="1226">
        <f>'12. Разходи'!H77-'12. Разходи'!$C77</f>
        <v>0.20000000000000018</v>
      </c>
      <c r="M77" s="1218">
        <f>IFERROR(('12. Разходи'!H77-'12. Разходи'!$C77)/'12. Разходи'!$C77,0)</f>
        <v>0.10000000000000009</v>
      </c>
      <c r="N77" s="1270">
        <f>'12. Разходи'!K77</f>
        <v>4.5830000000000002</v>
      </c>
      <c r="O77" s="1231">
        <f>'12. Разходи'!L77-'12. Разходи'!$K77</f>
        <v>0.41699999999999982</v>
      </c>
      <c r="P77" s="1211">
        <f>IFERROR(('12. Разходи'!L77-'12. Разходи'!$K77)/'12. Разходи'!$K77,0)</f>
        <v>9.0988435522583413E-2</v>
      </c>
      <c r="Q77" s="995">
        <f>'12. Разходи'!M77-'12. Разходи'!$K77</f>
        <v>0.41699999999999982</v>
      </c>
      <c r="R77" s="1219">
        <f>IFERROR(('12. Разходи'!M77-'12. Разходи'!$K77)/'12. Разходи'!$K77,0)</f>
        <v>9.0988435522583413E-2</v>
      </c>
      <c r="S77" s="995">
        <f>'12. Разходи'!N77-'12. Разходи'!$K77</f>
        <v>0.41699999999999982</v>
      </c>
      <c r="T77" s="1219">
        <f>IFERROR(('12. Разходи'!N77-'12. Разходи'!$K77)/'12. Разходи'!$K77,0)</f>
        <v>9.0988435522583413E-2</v>
      </c>
      <c r="U77" s="995">
        <f>'12. Разходи'!O77-'12. Разходи'!$K77</f>
        <v>0.41699999999999982</v>
      </c>
      <c r="V77" s="1218">
        <f>IFERROR(('12. Разходи'!O77-'12. Разходи'!$K77)/'12. Разходи'!$K77,0)</f>
        <v>9.0988435522583413E-2</v>
      </c>
      <c r="W77" s="1226">
        <f>'12. Разходи'!P77-'12. Разходи'!$K77</f>
        <v>0.41699999999999982</v>
      </c>
      <c r="X77" s="1276">
        <f>IFERROR(('12. Разходи'!P77-'12. Разходи'!$K77)/'12. Разходи'!$K77,0)</f>
        <v>9.0988435522583413E-2</v>
      </c>
      <c r="Y77" s="1270">
        <f>'12. Разходи'!S77</f>
        <v>0</v>
      </c>
      <c r="Z77" s="1231">
        <f>'12. Разходи'!T77-'12. Разходи'!$S77</f>
        <v>2</v>
      </c>
      <c r="AA77" s="1211">
        <f>IFERROR(('12. Разходи'!T77-'12. Разходи'!$S77)/'12. Разходи'!$S77,0)</f>
        <v>0</v>
      </c>
      <c r="AB77" s="995">
        <f>'12. Разходи'!U77-'12. Разходи'!$S77</f>
        <v>2</v>
      </c>
      <c r="AC77" s="1219">
        <f>IFERROR(('12. Разходи'!U77-'12. Разходи'!$S77)/'12. Разходи'!$S77,0)</f>
        <v>0</v>
      </c>
      <c r="AD77" s="995">
        <f>'12. Разходи'!V77-'12. Разходи'!$S77</f>
        <v>1.8</v>
      </c>
      <c r="AE77" s="1219">
        <f>IFERROR(('12. Разходи'!V77-'12. Разходи'!$S77)/'12. Разходи'!$S77,0)</f>
        <v>0</v>
      </c>
      <c r="AF77" s="995">
        <f>'12. Разходи'!W77-'12. Разходи'!$S77</f>
        <v>2</v>
      </c>
      <c r="AG77" s="1218">
        <f>IFERROR(('12. Разходи'!W77-'12. Разходи'!$S77)/'12. Разходи'!$S77,0)</f>
        <v>0</v>
      </c>
      <c r="AH77" s="1226">
        <f>'12. Разходи'!X77-'12. Разходи'!$S77</f>
        <v>2.2000000000000002</v>
      </c>
      <c r="AI77" s="1276">
        <f>IFERROR(('12. Разходи'!X77-'12. Разходи'!$S77)/'12. Разходи'!$S77,0)</f>
        <v>0</v>
      </c>
      <c r="AJ77" s="1270">
        <f>'12. Разходи'!AA77</f>
        <v>0.2</v>
      </c>
      <c r="AK77" s="1231">
        <f>'12. Разходи'!AB77-'12. Разходи'!$AA77</f>
        <v>0</v>
      </c>
      <c r="AL77" s="1211">
        <f>IFERROR(('12. Разходи'!AB77-'12. Разходи'!$AA77)/'12. Разходи'!$AA77,0)</f>
        <v>0</v>
      </c>
      <c r="AM77" s="995">
        <f>'12. Разходи'!AC77-'12. Разходи'!$AA77</f>
        <v>0</v>
      </c>
      <c r="AN77" s="1219">
        <f>IFERROR(('12. Разходи'!AC77-'12. Разходи'!$AA77)/'12. Разходи'!$AA77,0)</f>
        <v>0</v>
      </c>
      <c r="AO77" s="995">
        <f>'12. Разходи'!AD77-'12. Разходи'!$AA77</f>
        <v>0</v>
      </c>
      <c r="AP77" s="1219">
        <f>IFERROR(('12. Разходи'!AD77-'12. Разходи'!$AA77)/'12. Разходи'!$AA77,0)</f>
        <v>0</v>
      </c>
      <c r="AQ77" s="995">
        <f>'12. Разходи'!AE77-'12. Разходи'!$AA77</f>
        <v>0</v>
      </c>
      <c r="AR77" s="1218">
        <f>IFERROR(('12. Разходи'!AE77-'12. Разходи'!$AA77)/'12. Разходи'!$AA77,0)</f>
        <v>0</v>
      </c>
      <c r="AS77" s="1226">
        <f>'12. Разходи'!AF77-'12. Разходи'!$AA77</f>
        <v>0</v>
      </c>
      <c r="AT77" s="1276">
        <f>IFERROR(('12. Разходи'!AF77-'12. Разходи'!$AA77)/'12. Разходи'!$AA77,0)</f>
        <v>0</v>
      </c>
      <c r="AU77" s="1270">
        <f>'12. Разходи'!AI77</f>
        <v>0</v>
      </c>
      <c r="AV77" s="1231">
        <f>'12. Разходи'!AJ77-'12. Разходи'!$AI77</f>
        <v>0</v>
      </c>
      <c r="AW77" s="1211">
        <f>IFERROR(('12. Разходи'!AJ77-'12. Разходи'!$AI77)/'12. Разходи'!$AI77,0)</f>
        <v>0</v>
      </c>
      <c r="AX77" s="995">
        <f>'12. Разходи'!AK77-'12. Разходи'!$AI77</f>
        <v>0</v>
      </c>
      <c r="AY77" s="1219">
        <f>IFERROR(('12. Разходи'!AK77-'12. Разходи'!$AI77)/'12. Разходи'!$AI77,0)</f>
        <v>0</v>
      </c>
      <c r="AZ77" s="995">
        <f>'12. Разходи'!AL77-'12. Разходи'!$AI77</f>
        <v>0</v>
      </c>
      <c r="BA77" s="1219">
        <f>IFERROR(('12. Разходи'!AL77-'12. Разходи'!$AI77)/'12. Разходи'!$AI77,0)</f>
        <v>0</v>
      </c>
      <c r="BB77" s="995">
        <f>'12. Разходи'!AM77-'12. Разходи'!$AI77</f>
        <v>0</v>
      </c>
      <c r="BC77" s="1218">
        <f>IFERROR(('12. Разходи'!AM77-'12. Разходи'!$AI77)/'12. Разходи'!$AI77,0)</f>
        <v>0</v>
      </c>
      <c r="BD77" s="1226">
        <f>'12. Разходи'!AN77-'12. Разходи'!$AI77</f>
        <v>0</v>
      </c>
      <c r="BE77" s="1276">
        <f>IFERROR(('12. Разходи'!AN77-'12. Разходи'!$AI77)/'12. Разходи'!$AI77,0)</f>
        <v>0</v>
      </c>
    </row>
    <row r="78" spans="1:66" ht="15.95" customHeight="1">
      <c r="A78" s="118" t="s">
        <v>182</v>
      </c>
      <c r="B78" s="990" t="s">
        <v>276</v>
      </c>
      <c r="C78" s="1207">
        <f>'12. Разходи'!C78</f>
        <v>19</v>
      </c>
      <c r="D78" s="1231">
        <f>'12. Разходи'!D78-'12. Разходи'!$C78</f>
        <v>1</v>
      </c>
      <c r="E78" s="1211">
        <f>IFERROR(('12. Разходи'!D78-'12. Разходи'!$C78)/'12. Разходи'!$C78,0)</f>
        <v>5.2631578947368418E-2</v>
      </c>
      <c r="F78" s="995">
        <f>'12. Разходи'!E78-'12. Разходи'!$C78</f>
        <v>1</v>
      </c>
      <c r="G78" s="1219">
        <f>IFERROR(('12. Разходи'!E78-'12. Разходи'!$C78)/'12. Разходи'!$C78,0)</f>
        <v>5.2631578947368418E-2</v>
      </c>
      <c r="H78" s="995">
        <f>'12. Разходи'!F78-'12. Разходи'!$C78</f>
        <v>1</v>
      </c>
      <c r="I78" s="1219">
        <f>IFERROR(('12. Разходи'!F78-'12. Разходи'!$C78)/'12. Разходи'!$C78,0)</f>
        <v>5.2631578947368418E-2</v>
      </c>
      <c r="J78" s="995">
        <f>'12. Разходи'!G78-'12. Разходи'!$C78</f>
        <v>1</v>
      </c>
      <c r="K78" s="1218">
        <f>IFERROR(('12. Разходи'!G78-'12. Разходи'!$C78)/'12. Разходи'!$C78,0)</f>
        <v>5.2631578947368418E-2</v>
      </c>
      <c r="L78" s="1226">
        <f>'12. Разходи'!H78-'12. Разходи'!$C78</f>
        <v>1</v>
      </c>
      <c r="M78" s="1218">
        <f>IFERROR(('12. Разходи'!H78-'12. Разходи'!$C78)/'12. Разходи'!$C78,0)</f>
        <v>5.2631578947368418E-2</v>
      </c>
      <c r="N78" s="1270">
        <f>'12. Разходи'!K78</f>
        <v>1.4</v>
      </c>
      <c r="O78" s="1231">
        <f>'12. Разходи'!L78-'12. Разходи'!$K78</f>
        <v>0.60000000000000009</v>
      </c>
      <c r="P78" s="1211">
        <f>IFERROR(('12. Разходи'!L78-'12. Разходи'!$K78)/'12. Разходи'!$K78,0)</f>
        <v>0.42857142857142866</v>
      </c>
      <c r="Q78" s="995">
        <f>'12. Разходи'!M78-'12. Разходи'!$K78</f>
        <v>0.60000000000000009</v>
      </c>
      <c r="R78" s="1219">
        <f>IFERROR(('12. Разходи'!M78-'12. Разходи'!$K78)/'12. Разходи'!$K78,0)</f>
        <v>0.42857142857142866</v>
      </c>
      <c r="S78" s="995">
        <f>'12. Разходи'!N78-'12. Разходи'!$K78</f>
        <v>0.40000000000000013</v>
      </c>
      <c r="T78" s="1219">
        <f>IFERROR(('12. Разходи'!N78-'12. Разходи'!$K78)/'12. Разходи'!$K78,0)</f>
        <v>0.28571428571428581</v>
      </c>
      <c r="U78" s="995">
        <f>'12. Разходи'!O78-'12. Разходи'!$K78</f>
        <v>0.20000000000000018</v>
      </c>
      <c r="V78" s="1218">
        <f>IFERROR(('12. Разходи'!O78-'12. Разходи'!$K78)/'12. Разходи'!$K78,0)</f>
        <v>0.14285714285714299</v>
      </c>
      <c r="W78" s="1226">
        <f>'12. Разходи'!P78-'12. Разходи'!$K78</f>
        <v>0.12000000000000011</v>
      </c>
      <c r="X78" s="1276">
        <f>IFERROR(('12. Разходи'!P78-'12. Разходи'!$K78)/'12. Разходи'!$K78,0)</f>
        <v>8.5714285714285798E-2</v>
      </c>
      <c r="Y78" s="1270">
        <f>'12. Разходи'!S78</f>
        <v>5</v>
      </c>
      <c r="Z78" s="1231">
        <f>'12. Разходи'!T78-'12. Разходи'!$S78</f>
        <v>0.5</v>
      </c>
      <c r="AA78" s="1211">
        <f>IFERROR(('12. Разходи'!T78-'12. Разходи'!$S78)/'12. Разходи'!$S78,0)</f>
        <v>0.1</v>
      </c>
      <c r="AB78" s="995">
        <f>'12. Разходи'!U78-'12. Разходи'!$S78</f>
        <v>0.5</v>
      </c>
      <c r="AC78" s="1219">
        <f>IFERROR(('12. Разходи'!U78-'12. Разходи'!$S78)/'12. Разходи'!$S78,0)</f>
        <v>0.1</v>
      </c>
      <c r="AD78" s="995">
        <f>'12. Разходи'!V78-'12. Разходи'!$S78</f>
        <v>0.5</v>
      </c>
      <c r="AE78" s="1219">
        <f>IFERROR(('12. Разходи'!V78-'12. Разходи'!$S78)/'12. Разходи'!$S78,0)</f>
        <v>0.1</v>
      </c>
      <c r="AF78" s="995">
        <f>'12. Разходи'!W78-'12. Разходи'!$S78</f>
        <v>0.5</v>
      </c>
      <c r="AG78" s="1218">
        <f>IFERROR(('12. Разходи'!W78-'12. Разходи'!$S78)/'12. Разходи'!$S78,0)</f>
        <v>0.1</v>
      </c>
      <c r="AH78" s="1226">
        <f>'12. Разходи'!X78-'12. Разходи'!$S78</f>
        <v>0.5</v>
      </c>
      <c r="AI78" s="1276">
        <f>IFERROR(('12. Разходи'!X78-'12. Разходи'!$S78)/'12. Разходи'!$S78,0)</f>
        <v>0.1</v>
      </c>
      <c r="AJ78" s="1270">
        <f>'12. Разходи'!AA78</f>
        <v>0.14000000000000001</v>
      </c>
      <c r="AK78" s="1231">
        <f>'12. Разходи'!AB78-'12. Разходи'!$AA78</f>
        <v>0.36</v>
      </c>
      <c r="AL78" s="1211">
        <f>IFERROR(('12. Разходи'!AB78-'12. Разходи'!$AA78)/'12. Разходи'!$AA78,0)</f>
        <v>2.5714285714285712</v>
      </c>
      <c r="AM78" s="995">
        <f>'12. Разходи'!AC78-'12. Разходи'!$AA78</f>
        <v>0.36</v>
      </c>
      <c r="AN78" s="1219">
        <f>IFERROR(('12. Разходи'!AC78-'12. Разходи'!$AA78)/'12. Разходи'!$AA78,0)</f>
        <v>2.5714285714285712</v>
      </c>
      <c r="AO78" s="995">
        <f>'12. Разходи'!AD78-'12. Разходи'!$AA78</f>
        <v>0.36</v>
      </c>
      <c r="AP78" s="1219">
        <f>IFERROR(('12. Разходи'!AD78-'12. Разходи'!$AA78)/'12. Разходи'!$AA78,0)</f>
        <v>2.5714285714285712</v>
      </c>
      <c r="AQ78" s="995">
        <f>'12. Разходи'!AE78-'12. Разходи'!$AA78</f>
        <v>0.36</v>
      </c>
      <c r="AR78" s="1218">
        <f>IFERROR(('12. Разходи'!AE78-'12. Разходи'!$AA78)/'12. Разходи'!$AA78,0)</f>
        <v>2.5714285714285712</v>
      </c>
      <c r="AS78" s="1226">
        <f>'12. Разходи'!AF78-'12. Разходи'!$AA78</f>
        <v>0.36</v>
      </c>
      <c r="AT78" s="1276">
        <f>IFERROR(('12. Разходи'!AF78-'12. Разходи'!$AA78)/'12. Разходи'!$AA78,0)</f>
        <v>2.5714285714285712</v>
      </c>
      <c r="AU78" s="1270">
        <f>'12. Разходи'!AI78</f>
        <v>0</v>
      </c>
      <c r="AV78" s="1231">
        <f>'12. Разходи'!AJ78-'12. Разходи'!$AI78</f>
        <v>0</v>
      </c>
      <c r="AW78" s="1211">
        <f>IFERROR(('12. Разходи'!AJ78-'12. Разходи'!$AI78)/'12. Разходи'!$AI78,0)</f>
        <v>0</v>
      </c>
      <c r="AX78" s="995">
        <f>'12. Разходи'!AK78-'12. Разходи'!$AI78</f>
        <v>0</v>
      </c>
      <c r="AY78" s="1219">
        <f>IFERROR(('12. Разходи'!AK78-'12. Разходи'!$AI78)/'12. Разходи'!$AI78,0)</f>
        <v>0</v>
      </c>
      <c r="AZ78" s="995">
        <f>'12. Разходи'!AL78-'12. Разходи'!$AI78</f>
        <v>0</v>
      </c>
      <c r="BA78" s="1219">
        <f>IFERROR(('12. Разходи'!AL78-'12. Разходи'!$AI78)/'12. Разходи'!$AI78,0)</f>
        <v>0</v>
      </c>
      <c r="BB78" s="995">
        <f>'12. Разходи'!AM78-'12. Разходи'!$AI78</f>
        <v>0</v>
      </c>
      <c r="BC78" s="1218">
        <f>IFERROR(('12. Разходи'!AM78-'12. Разходи'!$AI78)/'12. Разходи'!$AI78,0)</f>
        <v>0</v>
      </c>
      <c r="BD78" s="1226">
        <f>'12. Разходи'!AN78-'12. Разходи'!$AI78</f>
        <v>0</v>
      </c>
      <c r="BE78" s="1276">
        <f>IFERROR(('12. Разходи'!AN78-'12. Разходи'!$AI78)/'12. Разходи'!$AI78,0)</f>
        <v>0</v>
      </c>
    </row>
    <row r="79" spans="1:66" ht="15.95" customHeight="1">
      <c r="A79" s="118" t="s">
        <v>461</v>
      </c>
      <c r="B79" s="146" t="s">
        <v>271</v>
      </c>
      <c r="C79" s="1207">
        <f>'12. Разходи'!C79</f>
        <v>0</v>
      </c>
      <c r="D79" s="1231">
        <f>'12. Разходи'!D79-'12. Разходи'!$C79</f>
        <v>0</v>
      </c>
      <c r="E79" s="1211">
        <f>IFERROR(('12. Разходи'!D79-'12. Разходи'!$C79)/'12. Разходи'!$C79,0)</f>
        <v>0</v>
      </c>
      <c r="F79" s="995">
        <f>'12. Разходи'!E79-'12. Разходи'!$C79</f>
        <v>0</v>
      </c>
      <c r="G79" s="1219">
        <f>IFERROR(('12. Разходи'!E79-'12. Разходи'!$C79)/'12. Разходи'!$C79,0)</f>
        <v>0</v>
      </c>
      <c r="H79" s="995">
        <f>'12. Разходи'!F79-'12. Разходи'!$C79</f>
        <v>0</v>
      </c>
      <c r="I79" s="1219">
        <f>IFERROR(('12. Разходи'!F79-'12. Разходи'!$C79)/'12. Разходи'!$C79,0)</f>
        <v>0</v>
      </c>
      <c r="J79" s="995">
        <f>'12. Разходи'!G79-'12. Разходи'!$C79</f>
        <v>0</v>
      </c>
      <c r="K79" s="1218">
        <f>IFERROR(('12. Разходи'!G79-'12. Разходи'!$C79)/'12. Разходи'!$C79,0)</f>
        <v>0</v>
      </c>
      <c r="L79" s="1226">
        <f>'12. Разходи'!H79-'12. Разходи'!$C79</f>
        <v>0</v>
      </c>
      <c r="M79" s="1218">
        <f>IFERROR(('12. Разходи'!H79-'12. Разходи'!$C79)/'12. Разходи'!$C79,0)</f>
        <v>0</v>
      </c>
      <c r="N79" s="1270">
        <f>'12. Разходи'!K79</f>
        <v>0</v>
      </c>
      <c r="O79" s="1231">
        <f>'12. Разходи'!L79-'12. Разходи'!$K79</f>
        <v>0</v>
      </c>
      <c r="P79" s="1211">
        <f>IFERROR(('12. Разходи'!L79-'12. Разходи'!$K79)/'12. Разходи'!$K79,0)</f>
        <v>0</v>
      </c>
      <c r="Q79" s="995">
        <f>'12. Разходи'!M79-'12. Разходи'!$K79</f>
        <v>0</v>
      </c>
      <c r="R79" s="1219">
        <f>IFERROR(('12. Разходи'!M79-'12. Разходи'!$K79)/'12. Разходи'!$K79,0)</f>
        <v>0</v>
      </c>
      <c r="S79" s="995">
        <f>'12. Разходи'!N79-'12. Разходи'!$K79</f>
        <v>0</v>
      </c>
      <c r="T79" s="1219">
        <f>IFERROR(('12. Разходи'!N79-'12. Разходи'!$K79)/'12. Разходи'!$K79,0)</f>
        <v>0</v>
      </c>
      <c r="U79" s="995">
        <f>'12. Разходи'!O79-'12. Разходи'!$K79</f>
        <v>0</v>
      </c>
      <c r="V79" s="1218">
        <f>IFERROR(('12. Разходи'!O79-'12. Разходи'!$K79)/'12. Разходи'!$K79,0)</f>
        <v>0</v>
      </c>
      <c r="W79" s="1226">
        <f>'12. Разходи'!P79-'12. Разходи'!$K79</f>
        <v>0</v>
      </c>
      <c r="X79" s="1276">
        <f>IFERROR(('12. Разходи'!P79-'12. Разходи'!$K79)/'12. Разходи'!$K79,0)</f>
        <v>0</v>
      </c>
      <c r="Y79" s="1270">
        <f>'12. Разходи'!S79</f>
        <v>0</v>
      </c>
      <c r="Z79" s="1231">
        <f>'12. Разходи'!T79-'12. Разходи'!$S79</f>
        <v>0</v>
      </c>
      <c r="AA79" s="1211">
        <f>IFERROR(('12. Разходи'!T79-'12. Разходи'!$S79)/'12. Разходи'!$S79,0)</f>
        <v>0</v>
      </c>
      <c r="AB79" s="995">
        <f>'12. Разходи'!U79-'12. Разходи'!$S79</f>
        <v>0</v>
      </c>
      <c r="AC79" s="1219">
        <f>IFERROR(('12. Разходи'!U79-'12. Разходи'!$S79)/'12. Разходи'!$S79,0)</f>
        <v>0</v>
      </c>
      <c r="AD79" s="995">
        <f>'12. Разходи'!V79-'12. Разходи'!$S79</f>
        <v>0</v>
      </c>
      <c r="AE79" s="1219">
        <f>IFERROR(('12. Разходи'!V79-'12. Разходи'!$S79)/'12. Разходи'!$S79,0)</f>
        <v>0</v>
      </c>
      <c r="AF79" s="995">
        <f>'12. Разходи'!W79-'12. Разходи'!$S79</f>
        <v>0</v>
      </c>
      <c r="AG79" s="1218">
        <f>IFERROR(('12. Разходи'!W79-'12. Разходи'!$S79)/'12. Разходи'!$S79,0)</f>
        <v>0</v>
      </c>
      <c r="AH79" s="1226">
        <f>'12. Разходи'!X79-'12. Разходи'!$S79</f>
        <v>0</v>
      </c>
      <c r="AI79" s="1276">
        <f>IFERROR(('12. Разходи'!X79-'12. Разходи'!$S79)/'12. Разходи'!$S79,0)</f>
        <v>0</v>
      </c>
      <c r="AJ79" s="1270">
        <f>'12. Разходи'!AA79</f>
        <v>0</v>
      </c>
      <c r="AK79" s="1231">
        <f>'12. Разходи'!AB79-'12. Разходи'!$AA79</f>
        <v>0</v>
      </c>
      <c r="AL79" s="1211">
        <f>IFERROR(('12. Разходи'!AB79-'12. Разходи'!$AA79)/'12. Разходи'!$AA79,0)</f>
        <v>0</v>
      </c>
      <c r="AM79" s="995">
        <f>'12. Разходи'!AC79-'12. Разходи'!$AA79</f>
        <v>0</v>
      </c>
      <c r="AN79" s="1219">
        <f>IFERROR(('12. Разходи'!AC79-'12. Разходи'!$AA79)/'12. Разходи'!$AA79,0)</f>
        <v>0</v>
      </c>
      <c r="AO79" s="995">
        <f>'12. Разходи'!AD79-'12. Разходи'!$AA79</f>
        <v>0</v>
      </c>
      <c r="AP79" s="1219">
        <f>IFERROR(('12. Разходи'!AD79-'12. Разходи'!$AA79)/'12. Разходи'!$AA79,0)</f>
        <v>0</v>
      </c>
      <c r="AQ79" s="995">
        <f>'12. Разходи'!AE79-'12. Разходи'!$AA79</f>
        <v>0</v>
      </c>
      <c r="AR79" s="1218">
        <f>IFERROR(('12. Разходи'!AE79-'12. Разходи'!$AA79)/'12. Разходи'!$AA79,0)</f>
        <v>0</v>
      </c>
      <c r="AS79" s="1226">
        <f>'12. Разходи'!AF79-'12. Разходи'!$AA79</f>
        <v>0</v>
      </c>
      <c r="AT79" s="1276">
        <f>IFERROR(('12. Разходи'!AF79-'12. Разходи'!$AA79)/'12. Разходи'!$AA79,0)</f>
        <v>0</v>
      </c>
      <c r="AU79" s="1270">
        <f>'12. Разходи'!AI79</f>
        <v>0</v>
      </c>
      <c r="AV79" s="1231">
        <f>'12. Разходи'!AJ79-'12. Разходи'!$AI79</f>
        <v>0</v>
      </c>
      <c r="AW79" s="1211">
        <f>IFERROR(('12. Разходи'!AJ79-'12. Разходи'!$AI79)/'12. Разходи'!$AI79,0)</f>
        <v>0</v>
      </c>
      <c r="AX79" s="995">
        <f>'12. Разходи'!AK79-'12. Разходи'!$AI79</f>
        <v>0</v>
      </c>
      <c r="AY79" s="1219">
        <f>IFERROR(('12. Разходи'!AK79-'12. Разходи'!$AI79)/'12. Разходи'!$AI79,0)</f>
        <v>0</v>
      </c>
      <c r="AZ79" s="995">
        <f>'12. Разходи'!AL79-'12. Разходи'!$AI79</f>
        <v>0</v>
      </c>
      <c r="BA79" s="1219">
        <f>IFERROR(('12. Разходи'!AL79-'12. Разходи'!$AI79)/'12. Разходи'!$AI79,0)</f>
        <v>0</v>
      </c>
      <c r="BB79" s="995">
        <f>'12. Разходи'!AM79-'12. Разходи'!$AI79</f>
        <v>0</v>
      </c>
      <c r="BC79" s="1218">
        <f>IFERROR(('12. Разходи'!AM79-'12. Разходи'!$AI79)/'12. Разходи'!$AI79,0)</f>
        <v>0</v>
      </c>
      <c r="BD79" s="1226">
        <f>'12. Разходи'!AN79-'12. Разходи'!$AI79</f>
        <v>0</v>
      </c>
      <c r="BE79" s="1276">
        <f>IFERROR(('12. Разходи'!AN79-'12. Разходи'!$AI79)/'12. Разходи'!$AI79,0)</f>
        <v>0</v>
      </c>
    </row>
    <row r="80" spans="1:66" ht="15.95" customHeight="1">
      <c r="A80" s="118" t="s">
        <v>462</v>
      </c>
      <c r="B80" s="982" t="s">
        <v>278</v>
      </c>
      <c r="C80" s="1201">
        <f>'12. Разходи'!C80</f>
        <v>4</v>
      </c>
      <c r="D80" s="1231">
        <f>'12. Разходи'!D80-'12. Разходи'!$C80</f>
        <v>2</v>
      </c>
      <c r="E80" s="1211">
        <f>IFERROR(('12. Разходи'!D80-'12. Разходи'!$C80)/'12. Разходи'!$C80,0)</f>
        <v>0.5</v>
      </c>
      <c r="F80" s="995">
        <f>'12. Разходи'!E80-'12. Разходи'!$C80</f>
        <v>2</v>
      </c>
      <c r="G80" s="1219">
        <f>IFERROR(('12. Разходи'!E80-'12. Разходи'!$C80)/'12. Разходи'!$C80,0)</f>
        <v>0.5</v>
      </c>
      <c r="H80" s="995">
        <f>'12. Разходи'!F80-'12. Разходи'!$C80</f>
        <v>2</v>
      </c>
      <c r="I80" s="1219">
        <f>IFERROR(('12. Разходи'!F80-'12. Разходи'!$C80)/'12. Разходи'!$C80,0)</f>
        <v>0.5</v>
      </c>
      <c r="J80" s="995">
        <f>'12. Разходи'!G80-'12. Разходи'!$C80</f>
        <v>2</v>
      </c>
      <c r="K80" s="1218">
        <f>IFERROR(('12. Разходи'!G80-'12. Разходи'!$C80)/'12. Разходи'!$C80,0)</f>
        <v>0.5</v>
      </c>
      <c r="L80" s="1226">
        <f>'12. Разходи'!H80-'12. Разходи'!$C80</f>
        <v>2</v>
      </c>
      <c r="M80" s="1218">
        <f>IFERROR(('12. Разходи'!H80-'12. Разходи'!$C80)/'12. Разходи'!$C80,0)</f>
        <v>0.5</v>
      </c>
      <c r="N80" s="1270">
        <f>'12. Разходи'!K80</f>
        <v>0</v>
      </c>
      <c r="O80" s="1231">
        <f>'12. Разходи'!L80-'12. Разходи'!$K80</f>
        <v>1</v>
      </c>
      <c r="P80" s="1211">
        <f>IFERROR(('12. Разходи'!L80-'12. Разходи'!$K80)/'12. Разходи'!$K80,0)</f>
        <v>0</v>
      </c>
      <c r="Q80" s="995">
        <f>'12. Разходи'!M80-'12. Разходи'!$K80</f>
        <v>1</v>
      </c>
      <c r="R80" s="1219">
        <f>IFERROR(('12. Разходи'!M80-'12. Разходи'!$K80)/'12. Разходи'!$K80,0)</f>
        <v>0</v>
      </c>
      <c r="S80" s="995">
        <f>'12. Разходи'!N80-'12. Разходи'!$K80</f>
        <v>1</v>
      </c>
      <c r="T80" s="1219">
        <f>IFERROR(('12. Разходи'!N80-'12. Разходи'!$K80)/'12. Разходи'!$K80,0)</f>
        <v>0</v>
      </c>
      <c r="U80" s="995">
        <f>'12. Разходи'!O80-'12. Разходи'!$K80</f>
        <v>1</v>
      </c>
      <c r="V80" s="1218">
        <f>IFERROR(('12. Разходи'!O80-'12. Разходи'!$K80)/'12. Разходи'!$K80,0)</f>
        <v>0</v>
      </c>
      <c r="W80" s="1226">
        <f>'12. Разходи'!P80-'12. Разходи'!$K80</f>
        <v>1</v>
      </c>
      <c r="X80" s="1276">
        <f>IFERROR(('12. Разходи'!P80-'12. Разходи'!$K80)/'12. Разходи'!$K80,0)</f>
        <v>0</v>
      </c>
      <c r="Y80" s="1270">
        <f>'12. Разходи'!S80</f>
        <v>0</v>
      </c>
      <c r="Z80" s="1231">
        <f>'12. Разходи'!T80-'12. Разходи'!$S80</f>
        <v>1</v>
      </c>
      <c r="AA80" s="1211">
        <f>IFERROR(('12. Разходи'!T80-'12. Разходи'!$S80)/'12. Разходи'!$S80,0)</f>
        <v>0</v>
      </c>
      <c r="AB80" s="995">
        <f>'12. Разходи'!U80-'12. Разходи'!$S80</f>
        <v>1</v>
      </c>
      <c r="AC80" s="1219">
        <f>IFERROR(('12. Разходи'!U80-'12. Разходи'!$S80)/'12. Разходи'!$S80,0)</f>
        <v>0</v>
      </c>
      <c r="AD80" s="995">
        <f>'12. Разходи'!V80-'12. Разходи'!$S80</f>
        <v>1</v>
      </c>
      <c r="AE80" s="1219">
        <f>IFERROR(('12. Разходи'!V80-'12. Разходи'!$S80)/'12. Разходи'!$S80,0)</f>
        <v>0</v>
      </c>
      <c r="AF80" s="995">
        <f>'12. Разходи'!W80-'12. Разходи'!$S80</f>
        <v>1</v>
      </c>
      <c r="AG80" s="1218">
        <f>IFERROR(('12. Разходи'!W80-'12. Разходи'!$S80)/'12. Разходи'!$S80,0)</f>
        <v>0</v>
      </c>
      <c r="AH80" s="1226">
        <f>'12. Разходи'!X80-'12. Разходи'!$S80</f>
        <v>1</v>
      </c>
      <c r="AI80" s="1276">
        <f>IFERROR(('12. Разходи'!X80-'12. Разходи'!$S80)/'12. Разходи'!$S80,0)</f>
        <v>0</v>
      </c>
      <c r="AJ80" s="1270">
        <f>'12. Разходи'!AA80</f>
        <v>0.03</v>
      </c>
      <c r="AK80" s="1231">
        <f>'12. Разходи'!AB80-'12. Разходи'!$AA80</f>
        <v>0.97</v>
      </c>
      <c r="AL80" s="1211">
        <f>IFERROR(('12. Разходи'!AB80-'12. Разходи'!$AA80)/'12. Разходи'!$AA80,0)</f>
        <v>32.333333333333336</v>
      </c>
      <c r="AM80" s="995">
        <f>'12. Разходи'!AC80-'12. Разходи'!$AA80</f>
        <v>0.97</v>
      </c>
      <c r="AN80" s="1219">
        <f>IFERROR(('12. Разходи'!AC80-'12. Разходи'!$AA80)/'12. Разходи'!$AA80,0)</f>
        <v>32.333333333333336</v>
      </c>
      <c r="AO80" s="995">
        <f>'12. Разходи'!AD80-'12. Разходи'!$AA80</f>
        <v>0.97</v>
      </c>
      <c r="AP80" s="1219">
        <f>IFERROR(('12. Разходи'!AD80-'12. Разходи'!$AA80)/'12. Разходи'!$AA80,0)</f>
        <v>32.333333333333336</v>
      </c>
      <c r="AQ80" s="995">
        <f>'12. Разходи'!AE80-'12. Разходи'!$AA80</f>
        <v>0.97</v>
      </c>
      <c r="AR80" s="1218">
        <f>IFERROR(('12. Разходи'!AE80-'12. Разходи'!$AA80)/'12. Разходи'!$AA80,0)</f>
        <v>32.333333333333336</v>
      </c>
      <c r="AS80" s="1226">
        <f>'12. Разходи'!AF80-'12. Разходи'!$AA80</f>
        <v>0.97</v>
      </c>
      <c r="AT80" s="1276">
        <f>IFERROR(('12. Разходи'!AF80-'12. Разходи'!$AA80)/'12. Разходи'!$AA80,0)</f>
        <v>32.333333333333336</v>
      </c>
      <c r="AU80" s="1270">
        <f>'12. Разходи'!AI80</f>
        <v>0</v>
      </c>
      <c r="AV80" s="1231">
        <f>'12. Разходи'!AJ80-'12. Разходи'!$AI80</f>
        <v>0</v>
      </c>
      <c r="AW80" s="1211">
        <f>IFERROR(('12. Разходи'!AJ80-'12. Разходи'!$AI80)/'12. Разходи'!$AI80,0)</f>
        <v>0</v>
      </c>
      <c r="AX80" s="995">
        <f>'12. Разходи'!AK80-'12. Разходи'!$AI80</f>
        <v>0</v>
      </c>
      <c r="AY80" s="1219">
        <f>IFERROR(('12. Разходи'!AK80-'12. Разходи'!$AI80)/'12. Разходи'!$AI80,0)</f>
        <v>0</v>
      </c>
      <c r="AZ80" s="995">
        <f>'12. Разходи'!AL80-'12. Разходи'!$AI80</f>
        <v>0</v>
      </c>
      <c r="BA80" s="1219">
        <f>IFERROR(('12. Разходи'!AL80-'12. Разходи'!$AI80)/'12. Разходи'!$AI80,0)</f>
        <v>0</v>
      </c>
      <c r="BB80" s="995">
        <f>'12. Разходи'!AM80-'12. Разходи'!$AI80</f>
        <v>0</v>
      </c>
      <c r="BC80" s="1218">
        <f>IFERROR(('12. Разходи'!AM80-'12. Разходи'!$AI80)/'12. Разходи'!$AI80,0)</f>
        <v>0</v>
      </c>
      <c r="BD80" s="1226">
        <f>'12. Разходи'!AN80-'12. Разходи'!$AI80</f>
        <v>0</v>
      </c>
      <c r="BE80" s="1276">
        <f>IFERROR(('12. Разходи'!AN80-'12. Разходи'!$AI80)/'12. Разходи'!$AI80,0)</f>
        <v>0</v>
      </c>
    </row>
    <row r="81" spans="1:66" ht="15.95" customHeight="1">
      <c r="A81" s="118" t="s">
        <v>463</v>
      </c>
      <c r="B81" s="146" t="s">
        <v>280</v>
      </c>
      <c r="C81" s="1207">
        <f>'12. Разходи'!C81</f>
        <v>5</v>
      </c>
      <c r="D81" s="1231">
        <f>'12. Разходи'!D81-'12. Разходи'!$C81</f>
        <v>0</v>
      </c>
      <c r="E81" s="1211">
        <f>IFERROR(('12. Разходи'!D81-'12. Разходи'!$C81)/'12. Разходи'!$C81,0)</f>
        <v>0</v>
      </c>
      <c r="F81" s="995">
        <f>'12. Разходи'!E81-'12. Разходи'!$C81</f>
        <v>0</v>
      </c>
      <c r="G81" s="1219">
        <f>IFERROR(('12. Разходи'!E81-'12. Разходи'!$C81)/'12. Разходи'!$C81,0)</f>
        <v>0</v>
      </c>
      <c r="H81" s="995">
        <f>'12. Разходи'!F81-'12. Разходи'!$C81</f>
        <v>0</v>
      </c>
      <c r="I81" s="1219">
        <f>IFERROR(('12. Разходи'!F81-'12. Разходи'!$C81)/'12. Разходи'!$C81,0)</f>
        <v>0</v>
      </c>
      <c r="J81" s="995">
        <f>'12. Разходи'!G81-'12. Разходи'!$C81</f>
        <v>0</v>
      </c>
      <c r="K81" s="1218">
        <f>IFERROR(('12. Разходи'!G81-'12. Разходи'!$C81)/'12. Разходи'!$C81,0)</f>
        <v>0</v>
      </c>
      <c r="L81" s="1226">
        <f>'12. Разходи'!H81-'12. Разходи'!$C81</f>
        <v>0</v>
      </c>
      <c r="M81" s="1218">
        <f>IFERROR(('12. Разходи'!H81-'12. Разходи'!$C81)/'12. Разходи'!$C81,0)</f>
        <v>0</v>
      </c>
      <c r="N81" s="1270">
        <f>'12. Разходи'!K81</f>
        <v>1</v>
      </c>
      <c r="O81" s="1231">
        <f>'12. Разходи'!L81-'12. Разходи'!$K81</f>
        <v>0.10000000000000009</v>
      </c>
      <c r="P81" s="1211">
        <f>IFERROR(('12. Разходи'!L81-'12. Разходи'!$K81)/'12. Разходи'!$K81,0)</f>
        <v>0.10000000000000009</v>
      </c>
      <c r="Q81" s="995">
        <f>'12. Разходи'!M81-'12. Разходи'!$K81</f>
        <v>0.10000000000000009</v>
      </c>
      <c r="R81" s="1219">
        <f>IFERROR(('12. Разходи'!M81-'12. Разходи'!$K81)/'12. Разходи'!$K81,0)</f>
        <v>0.10000000000000009</v>
      </c>
      <c r="S81" s="995">
        <f>'12. Разходи'!N81-'12. Разходи'!$K81</f>
        <v>0.10000000000000009</v>
      </c>
      <c r="T81" s="1219">
        <f>IFERROR(('12. Разходи'!N81-'12. Разходи'!$K81)/'12. Разходи'!$K81,0)</f>
        <v>0.10000000000000009</v>
      </c>
      <c r="U81" s="995">
        <f>'12. Разходи'!O81-'12. Разходи'!$K81</f>
        <v>0.10000000000000009</v>
      </c>
      <c r="V81" s="1218">
        <f>IFERROR(('12. Разходи'!O81-'12. Разходи'!$K81)/'12. Разходи'!$K81,0)</f>
        <v>0.10000000000000009</v>
      </c>
      <c r="W81" s="1226">
        <f>'12. Разходи'!P81-'12. Разходи'!$K81</f>
        <v>0.10000000000000009</v>
      </c>
      <c r="X81" s="1276">
        <f>IFERROR(('12. Разходи'!P81-'12. Разходи'!$K81)/'12. Разходи'!$K81,0)</f>
        <v>0.10000000000000009</v>
      </c>
      <c r="Y81" s="1270">
        <f>'12. Разходи'!S81</f>
        <v>1</v>
      </c>
      <c r="Z81" s="1231">
        <f>'12. Разходи'!T81-'12. Разходи'!$S81</f>
        <v>0</v>
      </c>
      <c r="AA81" s="1211">
        <f>IFERROR(('12. Разходи'!T81-'12. Разходи'!$S81)/'12. Разходи'!$S81,0)</f>
        <v>0</v>
      </c>
      <c r="AB81" s="995">
        <f>'12. Разходи'!U81-'12. Разходи'!$S81</f>
        <v>0</v>
      </c>
      <c r="AC81" s="1219">
        <f>IFERROR(('12. Разходи'!U81-'12. Разходи'!$S81)/'12. Разходи'!$S81,0)</f>
        <v>0</v>
      </c>
      <c r="AD81" s="995">
        <f>'12. Разходи'!V81-'12. Разходи'!$S81</f>
        <v>0</v>
      </c>
      <c r="AE81" s="1219">
        <f>IFERROR(('12. Разходи'!V81-'12. Разходи'!$S81)/'12. Разходи'!$S81,0)</f>
        <v>0</v>
      </c>
      <c r="AF81" s="995">
        <f>'12. Разходи'!W81-'12. Разходи'!$S81</f>
        <v>0</v>
      </c>
      <c r="AG81" s="1218">
        <f>IFERROR(('12. Разходи'!W81-'12. Разходи'!$S81)/'12. Разходи'!$S81,0)</f>
        <v>0</v>
      </c>
      <c r="AH81" s="1226">
        <f>'12. Разходи'!X81-'12. Разходи'!$S81</f>
        <v>0</v>
      </c>
      <c r="AI81" s="1276">
        <f>IFERROR(('12. Разходи'!X81-'12. Разходи'!$S81)/'12. Разходи'!$S81,0)</f>
        <v>0</v>
      </c>
      <c r="AJ81" s="1270">
        <f>'12. Разходи'!AA81</f>
        <v>0.04</v>
      </c>
      <c r="AK81" s="1231">
        <f>'12. Разходи'!AB81-'12. Разходи'!$AA81</f>
        <v>0</v>
      </c>
      <c r="AL81" s="1211">
        <f>IFERROR(('12. Разходи'!AB81-'12. Разходи'!$AA81)/'12. Разходи'!$AA81,0)</f>
        <v>0</v>
      </c>
      <c r="AM81" s="995">
        <f>'12. Разходи'!AC81-'12. Разходи'!$AA81</f>
        <v>0</v>
      </c>
      <c r="AN81" s="1219">
        <f>IFERROR(('12. Разходи'!AC81-'12. Разходи'!$AA81)/'12. Разходи'!$AA81,0)</f>
        <v>0</v>
      </c>
      <c r="AO81" s="995">
        <f>'12. Разходи'!AD81-'12. Разходи'!$AA81</f>
        <v>0</v>
      </c>
      <c r="AP81" s="1219">
        <f>IFERROR(('12. Разходи'!AD81-'12. Разходи'!$AA81)/'12. Разходи'!$AA81,0)</f>
        <v>0</v>
      </c>
      <c r="AQ81" s="995">
        <f>'12. Разходи'!AE81-'12. Разходи'!$AA81</f>
        <v>0</v>
      </c>
      <c r="AR81" s="1218">
        <f>IFERROR(('12. Разходи'!AE81-'12. Разходи'!$AA81)/'12. Разходи'!$AA81,0)</f>
        <v>0</v>
      </c>
      <c r="AS81" s="1226">
        <f>'12. Разходи'!AF81-'12. Разходи'!$AA81</f>
        <v>0</v>
      </c>
      <c r="AT81" s="1276">
        <f>IFERROR(('12. Разходи'!AF81-'12. Разходи'!$AA81)/'12. Разходи'!$AA81,0)</f>
        <v>0</v>
      </c>
      <c r="AU81" s="1270">
        <f>'12. Разходи'!AI81</f>
        <v>0</v>
      </c>
      <c r="AV81" s="1231">
        <f>'12. Разходи'!AJ81-'12. Разходи'!$AI81</f>
        <v>0</v>
      </c>
      <c r="AW81" s="1211">
        <f>IFERROR(('12. Разходи'!AJ81-'12. Разходи'!$AI81)/'12. Разходи'!$AI81,0)</f>
        <v>0</v>
      </c>
      <c r="AX81" s="995">
        <f>'12. Разходи'!AK81-'12. Разходи'!$AI81</f>
        <v>0</v>
      </c>
      <c r="AY81" s="1219">
        <f>IFERROR(('12. Разходи'!AK81-'12. Разходи'!$AI81)/'12. Разходи'!$AI81,0)</f>
        <v>0</v>
      </c>
      <c r="AZ81" s="995">
        <f>'12. Разходи'!AL81-'12. Разходи'!$AI81</f>
        <v>0</v>
      </c>
      <c r="BA81" s="1219">
        <f>IFERROR(('12. Разходи'!AL81-'12. Разходи'!$AI81)/'12. Разходи'!$AI81,0)</f>
        <v>0</v>
      </c>
      <c r="BB81" s="995">
        <f>'12. Разходи'!AM81-'12. Разходи'!$AI81</f>
        <v>0</v>
      </c>
      <c r="BC81" s="1218">
        <f>IFERROR(('12. Разходи'!AM81-'12. Разходи'!$AI81)/'12. Разходи'!$AI81,0)</f>
        <v>0</v>
      </c>
      <c r="BD81" s="1226">
        <f>'12. Разходи'!AN81-'12. Разходи'!$AI81</f>
        <v>0</v>
      </c>
      <c r="BE81" s="1276">
        <f>IFERROR(('12. Разходи'!AN81-'12. Разходи'!$AI81)/'12. Разходи'!$AI81,0)</f>
        <v>0</v>
      </c>
    </row>
    <row r="82" spans="1:66" ht="15.95" customHeight="1">
      <c r="A82" s="118" t="s">
        <v>464</v>
      </c>
      <c r="B82" s="270" t="s">
        <v>266</v>
      </c>
      <c r="C82" s="1208">
        <f>'12. Разходи'!C82</f>
        <v>1</v>
      </c>
      <c r="D82" s="1231">
        <f>'12. Разходи'!D82-'12. Разходи'!$C82</f>
        <v>0</v>
      </c>
      <c r="E82" s="1211">
        <f>IFERROR(('12. Разходи'!D82-'12. Разходи'!$C82)/'12. Разходи'!$C82,0)</f>
        <v>0</v>
      </c>
      <c r="F82" s="995">
        <f>'12. Разходи'!E82-'12. Разходи'!$C82</f>
        <v>0</v>
      </c>
      <c r="G82" s="1219">
        <f>IFERROR(('12. Разходи'!E82-'12. Разходи'!$C82)/'12. Разходи'!$C82,0)</f>
        <v>0</v>
      </c>
      <c r="H82" s="995">
        <f>'12. Разходи'!F82-'12. Разходи'!$C82</f>
        <v>0</v>
      </c>
      <c r="I82" s="1219">
        <f>IFERROR(('12. Разходи'!F82-'12. Разходи'!$C82)/'12. Разходи'!$C82,0)</f>
        <v>0</v>
      </c>
      <c r="J82" s="995">
        <f>'12. Разходи'!G82-'12. Разходи'!$C82</f>
        <v>0</v>
      </c>
      <c r="K82" s="1218">
        <f>IFERROR(('12. Разходи'!G82-'12. Разходи'!$C82)/'12. Разходи'!$C82,0)</f>
        <v>0</v>
      </c>
      <c r="L82" s="1226">
        <f>'12. Разходи'!H82-'12. Разходи'!$C82</f>
        <v>0</v>
      </c>
      <c r="M82" s="1218">
        <f>IFERROR(('12. Разходи'!H82-'12. Разходи'!$C82)/'12. Разходи'!$C82,0)</f>
        <v>0</v>
      </c>
      <c r="N82" s="1270">
        <f>'12. Разходи'!K82</f>
        <v>0</v>
      </c>
      <c r="O82" s="1231">
        <f>'12. Разходи'!L82-'12. Разходи'!$K82</f>
        <v>0</v>
      </c>
      <c r="P82" s="1211">
        <f>IFERROR(('12. Разходи'!L82-'12. Разходи'!$K82)/'12. Разходи'!$K82,0)</f>
        <v>0</v>
      </c>
      <c r="Q82" s="995">
        <f>'12. Разходи'!M82-'12. Разходи'!$K82</f>
        <v>0</v>
      </c>
      <c r="R82" s="1219">
        <f>IFERROR(('12. Разходи'!M82-'12. Разходи'!$K82)/'12. Разходи'!$K82,0)</f>
        <v>0</v>
      </c>
      <c r="S82" s="995">
        <f>'12. Разходи'!N82-'12. Разходи'!$K82</f>
        <v>0</v>
      </c>
      <c r="T82" s="1219">
        <f>IFERROR(('12. Разходи'!N82-'12. Разходи'!$K82)/'12. Разходи'!$K82,0)</f>
        <v>0</v>
      </c>
      <c r="U82" s="995">
        <f>'12. Разходи'!O82-'12. Разходи'!$K82</f>
        <v>0</v>
      </c>
      <c r="V82" s="1218">
        <f>IFERROR(('12. Разходи'!O82-'12. Разходи'!$K82)/'12. Разходи'!$K82,0)</f>
        <v>0</v>
      </c>
      <c r="W82" s="1226">
        <f>'12. Разходи'!P82-'12. Разходи'!$K82</f>
        <v>0</v>
      </c>
      <c r="X82" s="1276">
        <f>IFERROR(('12. Разходи'!P82-'12. Разходи'!$K82)/'12. Разходи'!$K82,0)</f>
        <v>0</v>
      </c>
      <c r="Y82" s="1270">
        <f>'12. Разходи'!S82</f>
        <v>0</v>
      </c>
      <c r="Z82" s="1231">
        <f>'12. Разходи'!T82-'12. Разходи'!$S82</f>
        <v>0</v>
      </c>
      <c r="AA82" s="1211">
        <f>IFERROR(('12. Разходи'!T82-'12. Разходи'!$S82)/'12. Разходи'!$S82,0)</f>
        <v>0</v>
      </c>
      <c r="AB82" s="995">
        <f>'12. Разходи'!U82-'12. Разходи'!$S82</f>
        <v>0</v>
      </c>
      <c r="AC82" s="1219">
        <f>IFERROR(('12. Разходи'!U82-'12. Разходи'!$S82)/'12. Разходи'!$S82,0)</f>
        <v>0</v>
      </c>
      <c r="AD82" s="995">
        <f>'12. Разходи'!V82-'12. Разходи'!$S82</f>
        <v>0</v>
      </c>
      <c r="AE82" s="1219">
        <f>IFERROR(('12. Разходи'!V82-'12. Разходи'!$S82)/'12. Разходи'!$S82,0)</f>
        <v>0</v>
      </c>
      <c r="AF82" s="995">
        <f>'12. Разходи'!W82-'12. Разходи'!$S82</f>
        <v>0</v>
      </c>
      <c r="AG82" s="1218">
        <f>IFERROR(('12. Разходи'!W82-'12. Разходи'!$S82)/'12. Разходи'!$S82,0)</f>
        <v>0</v>
      </c>
      <c r="AH82" s="1226">
        <f>'12. Разходи'!X82-'12. Разходи'!$S82</f>
        <v>0</v>
      </c>
      <c r="AI82" s="1276">
        <f>IFERROR(('12. Разходи'!X82-'12. Разходи'!$S82)/'12. Разходи'!$S82,0)</f>
        <v>0</v>
      </c>
      <c r="AJ82" s="1270">
        <f>'12. Разходи'!AA82</f>
        <v>0.01</v>
      </c>
      <c r="AK82" s="1231">
        <f>'12. Разходи'!AB82-'12. Разходи'!$AA82</f>
        <v>-0.01</v>
      </c>
      <c r="AL82" s="1211">
        <f>IFERROR(('12. Разходи'!AB82-'12. Разходи'!$AA82)/'12. Разходи'!$AA82,0)</f>
        <v>-1</v>
      </c>
      <c r="AM82" s="995">
        <f>'12. Разходи'!AC82-'12. Разходи'!$AA82</f>
        <v>-0.01</v>
      </c>
      <c r="AN82" s="1219">
        <f>IFERROR(('12. Разходи'!AC82-'12. Разходи'!$AA82)/'12. Разходи'!$AA82,0)</f>
        <v>-1</v>
      </c>
      <c r="AO82" s="995">
        <f>'12. Разходи'!AD82-'12. Разходи'!$AA82</f>
        <v>-0.01</v>
      </c>
      <c r="AP82" s="1219">
        <f>IFERROR(('12. Разходи'!AD82-'12. Разходи'!$AA82)/'12. Разходи'!$AA82,0)</f>
        <v>-1</v>
      </c>
      <c r="AQ82" s="995">
        <f>'12. Разходи'!AE82-'12. Разходи'!$AA82</f>
        <v>-0.01</v>
      </c>
      <c r="AR82" s="1218">
        <f>IFERROR(('12. Разходи'!AE82-'12. Разходи'!$AA82)/'12. Разходи'!$AA82,0)</f>
        <v>-1</v>
      </c>
      <c r="AS82" s="1226">
        <f>'12. Разходи'!AF82-'12. Разходи'!$AA82</f>
        <v>-0.01</v>
      </c>
      <c r="AT82" s="1276">
        <f>IFERROR(('12. Разходи'!AF82-'12. Разходи'!$AA82)/'12. Разходи'!$AA82,0)</f>
        <v>-1</v>
      </c>
      <c r="AU82" s="1270">
        <f>'12. Разходи'!AI82</f>
        <v>0</v>
      </c>
      <c r="AV82" s="1231">
        <f>'12. Разходи'!AJ82-'12. Разходи'!$AI82</f>
        <v>0</v>
      </c>
      <c r="AW82" s="1211">
        <f>IFERROR(('12. Разходи'!AJ82-'12. Разходи'!$AI82)/'12. Разходи'!$AI82,0)</f>
        <v>0</v>
      </c>
      <c r="AX82" s="995">
        <f>'12. Разходи'!AK82-'12. Разходи'!$AI82</f>
        <v>0</v>
      </c>
      <c r="AY82" s="1219">
        <f>IFERROR(('12. Разходи'!AK82-'12. Разходи'!$AI82)/'12. Разходи'!$AI82,0)</f>
        <v>0</v>
      </c>
      <c r="AZ82" s="995">
        <f>'12. Разходи'!AL82-'12. Разходи'!$AI82</f>
        <v>0</v>
      </c>
      <c r="BA82" s="1219">
        <f>IFERROR(('12. Разходи'!AL82-'12. Разходи'!$AI82)/'12. Разходи'!$AI82,0)</f>
        <v>0</v>
      </c>
      <c r="BB82" s="995">
        <f>'12. Разходи'!AM82-'12. Разходи'!$AI82</f>
        <v>0</v>
      </c>
      <c r="BC82" s="1218">
        <f>IFERROR(('12. Разходи'!AM82-'12. Разходи'!$AI82)/'12. Разходи'!$AI82,0)</f>
        <v>0</v>
      </c>
      <c r="BD82" s="1226">
        <f>'12. Разходи'!AN82-'12. Разходи'!$AI82</f>
        <v>0</v>
      </c>
      <c r="BE82" s="1276">
        <f>IFERROR(('12. Разходи'!AN82-'12. Разходи'!$AI82)/'12. Разходи'!$AI82,0)</f>
        <v>0</v>
      </c>
    </row>
    <row r="83" spans="1:66" ht="15.95" customHeight="1">
      <c r="A83" s="118" t="s">
        <v>465</v>
      </c>
      <c r="B83" s="146" t="s">
        <v>243</v>
      </c>
      <c r="C83" s="1278">
        <f>'12. Разходи'!C83</f>
        <v>17</v>
      </c>
      <c r="D83" s="1232">
        <f>'12. Разходи'!D83-'12. Разходи'!$C83</f>
        <v>0</v>
      </c>
      <c r="E83" s="965">
        <f>IFERROR(('12. Разходи'!D83-'12. Разходи'!$C83)/'12. Разходи'!$C83,0)</f>
        <v>0</v>
      </c>
      <c r="F83" s="1225">
        <f>'12. Разходи'!E83-'12. Разходи'!$C83</f>
        <v>0</v>
      </c>
      <c r="G83" s="965">
        <f>IFERROR(('12. Разходи'!E83-'12. Разходи'!$C83)/'12. Разходи'!$C83,0)</f>
        <v>0</v>
      </c>
      <c r="H83" s="1225">
        <f>'12. Разходи'!F83-'12. Разходи'!$C83</f>
        <v>0</v>
      </c>
      <c r="I83" s="965">
        <f>IFERROR(('12. Разходи'!F83-'12. Разходи'!$C83)/'12. Разходи'!$C83,0)</f>
        <v>0</v>
      </c>
      <c r="J83" s="1225">
        <f>'12. Разходи'!G83-'12. Разходи'!$C83</f>
        <v>0</v>
      </c>
      <c r="K83" s="972">
        <f>IFERROR(('12. Разходи'!G83-'12. Разходи'!$C83)/'12. Разходи'!$C83,0)</f>
        <v>0</v>
      </c>
      <c r="L83" s="1225">
        <f>'12. Разходи'!H83-'12. Разходи'!$C83</f>
        <v>0</v>
      </c>
      <c r="M83" s="972">
        <f>IFERROR(('12. Разходи'!H83-'12. Разходи'!$C83)/'12. Разходи'!$C83,0)</f>
        <v>0</v>
      </c>
      <c r="N83" s="1257">
        <f>'12. Разходи'!K83</f>
        <v>0</v>
      </c>
      <c r="O83" s="1232">
        <f>'12. Разходи'!L83-'12. Разходи'!$K83</f>
        <v>0</v>
      </c>
      <c r="P83" s="965">
        <f>IFERROR(('12. Разходи'!L83-'12. Разходи'!$K83)/'12. Разходи'!$K83,0)</f>
        <v>0</v>
      </c>
      <c r="Q83" s="1225">
        <f>'12. Разходи'!M83-'12. Разходи'!$K83</f>
        <v>0</v>
      </c>
      <c r="R83" s="965">
        <f>IFERROR(('12. Разходи'!M83-'12. Разходи'!$K83)/'12. Разходи'!$K83,0)</f>
        <v>0</v>
      </c>
      <c r="S83" s="1225">
        <f>'12. Разходи'!N83-'12. Разходи'!$K83</f>
        <v>0</v>
      </c>
      <c r="T83" s="965">
        <f>IFERROR(('12. Разходи'!N83-'12. Разходи'!$K83)/'12. Разходи'!$K83,0)</f>
        <v>0</v>
      </c>
      <c r="U83" s="1225">
        <f>'12. Разходи'!O83-'12. Разходи'!$K83</f>
        <v>0</v>
      </c>
      <c r="V83" s="972">
        <f>IFERROR(('12. Разходи'!O83-'12. Разходи'!$K83)/'12. Разходи'!$K83,0)</f>
        <v>0</v>
      </c>
      <c r="W83" s="1225">
        <f>'12. Разходи'!P83-'12. Разходи'!$K83</f>
        <v>0</v>
      </c>
      <c r="X83" s="784">
        <f>IFERROR(('12. Разходи'!P83-'12. Разходи'!$K83)/'12. Разходи'!$K83,0)</f>
        <v>0</v>
      </c>
      <c r="Y83" s="1257">
        <f>'12. Разходи'!S83</f>
        <v>2</v>
      </c>
      <c r="Z83" s="1232">
        <f>'12. Разходи'!T83-'12. Разходи'!$S83</f>
        <v>0</v>
      </c>
      <c r="AA83" s="965">
        <f>IFERROR(('12. Разходи'!T83-'12. Разходи'!$S83)/'12. Разходи'!$S83,0)</f>
        <v>0</v>
      </c>
      <c r="AB83" s="1225">
        <f>'12. Разходи'!U83-'12. Разходи'!$S83</f>
        <v>0</v>
      </c>
      <c r="AC83" s="965">
        <f>IFERROR(('12. Разходи'!U83-'12. Разходи'!$S83)/'12. Разходи'!$S83,0)</f>
        <v>0</v>
      </c>
      <c r="AD83" s="1225">
        <f>'12. Разходи'!V83-'12. Разходи'!$S83</f>
        <v>0</v>
      </c>
      <c r="AE83" s="965">
        <f>IFERROR(('12. Разходи'!V83-'12. Разходи'!$S83)/'12. Разходи'!$S83,0)</f>
        <v>0</v>
      </c>
      <c r="AF83" s="1225">
        <f>'12. Разходи'!W83-'12. Разходи'!$S83</f>
        <v>0</v>
      </c>
      <c r="AG83" s="972">
        <f>IFERROR(('12. Разходи'!W83-'12. Разходи'!$S83)/'12. Разходи'!$S83,0)</f>
        <v>0</v>
      </c>
      <c r="AH83" s="1225">
        <f>'12. Разходи'!X83-'12. Разходи'!$S83</f>
        <v>0</v>
      </c>
      <c r="AI83" s="784">
        <f>IFERROR(('12. Разходи'!X83-'12. Разходи'!$S83)/'12. Разходи'!$S83,0)</f>
        <v>0</v>
      </c>
      <c r="AJ83" s="1257">
        <f>'12. Разходи'!AA83</f>
        <v>0.13</v>
      </c>
      <c r="AK83" s="1232">
        <f>'12. Разходи'!AB83-'12. Разходи'!$AA83</f>
        <v>0</v>
      </c>
      <c r="AL83" s="965">
        <f>IFERROR(('12. Разходи'!AB83-'12. Разходи'!$AA83)/'12. Разходи'!$AA83,0)</f>
        <v>0</v>
      </c>
      <c r="AM83" s="1225">
        <f>'12. Разходи'!AC83-'12. Разходи'!$AA83</f>
        <v>0</v>
      </c>
      <c r="AN83" s="965">
        <f>IFERROR(('12. Разходи'!AC83-'12. Разходи'!$AA83)/'12. Разходи'!$AA83,0)</f>
        <v>0</v>
      </c>
      <c r="AO83" s="1225">
        <f>'12. Разходи'!AD83-'12. Разходи'!$AA83</f>
        <v>0</v>
      </c>
      <c r="AP83" s="965">
        <f>IFERROR(('12. Разходи'!AD83-'12. Разходи'!$AA83)/'12. Разходи'!$AA83,0)</f>
        <v>0</v>
      </c>
      <c r="AQ83" s="1225">
        <f>'12. Разходи'!AE83-'12. Разходи'!$AA83</f>
        <v>0</v>
      </c>
      <c r="AR83" s="972">
        <f>IFERROR(('12. Разходи'!AE83-'12. Разходи'!$AA83)/'12. Разходи'!$AA83,0)</f>
        <v>0</v>
      </c>
      <c r="AS83" s="1225">
        <f>'12. Разходи'!AF83-'12. Разходи'!$AA83</f>
        <v>0</v>
      </c>
      <c r="AT83" s="1280">
        <f>IFERROR(('12. Разходи'!AF83-'12. Разходи'!$AA83)/'12. Разходи'!$AA83,0)</f>
        <v>0</v>
      </c>
      <c r="AU83" s="1257">
        <f>'12. Разходи'!AI83</f>
        <v>0</v>
      </c>
      <c r="AV83" s="1232">
        <f>'12. Разходи'!AJ83-'12. Разходи'!$AI83</f>
        <v>0</v>
      </c>
      <c r="AW83" s="965">
        <f>IFERROR(('12. Разходи'!AJ83-'12. Разходи'!$AI83)/'12. Разходи'!$AI83,0)</f>
        <v>0</v>
      </c>
      <c r="AX83" s="1225">
        <f>'12. Разходи'!AK83-'12. Разходи'!$AI83</f>
        <v>0</v>
      </c>
      <c r="AY83" s="965">
        <f>IFERROR(('12. Разходи'!AK83-'12. Разходи'!$AI83)/'12. Разходи'!$AI83,0)</f>
        <v>0</v>
      </c>
      <c r="AZ83" s="1225">
        <f>'12. Разходи'!AL83-'12. Разходи'!$AI83</f>
        <v>0</v>
      </c>
      <c r="BA83" s="965">
        <f>IFERROR(('12. Разходи'!AL83-'12. Разходи'!$AI83)/'12. Разходи'!$AI83,0)</f>
        <v>0</v>
      </c>
      <c r="BB83" s="1225">
        <f>'12. Разходи'!AM83-'12. Разходи'!$AI83</f>
        <v>0</v>
      </c>
      <c r="BC83" s="972">
        <f>IFERROR(('12. Разходи'!AM83-'12. Разходи'!$AI83)/'12. Разходи'!$AI83,0)</f>
        <v>0</v>
      </c>
      <c r="BD83" s="1225">
        <f>'12. Разходи'!AN83-'12. Разходи'!$AI83</f>
        <v>0</v>
      </c>
      <c r="BE83" s="1280">
        <f>IFERROR(('12. Разходи'!AN83-'12. Разходи'!$AI83)/'12. Разходи'!$AI83,0)</f>
        <v>0</v>
      </c>
    </row>
    <row r="84" spans="1:66" s="737" customFormat="1" ht="15.95" customHeight="1">
      <c r="A84" s="917" t="s">
        <v>639</v>
      </c>
      <c r="B84" s="3497">
        <f>'12. Разходи'!B84</f>
        <v>0</v>
      </c>
      <c r="C84" s="3498">
        <f>'12. Разходи'!C84</f>
        <v>17</v>
      </c>
      <c r="D84" s="1231">
        <f>'12. Разходи'!D84-'12. Разходи'!$C84</f>
        <v>0</v>
      </c>
      <c r="E84" s="1211">
        <f>IFERROR(('12. Разходи'!D84-'12. Разходи'!$C84)/'12. Разходи'!$C84,0)</f>
        <v>0</v>
      </c>
      <c r="F84" s="995">
        <f>'12. Разходи'!E84-'12. Разходи'!$C84</f>
        <v>0</v>
      </c>
      <c r="G84" s="1219">
        <f>IFERROR(('12. Разходи'!E84-'12. Разходи'!$C84)/'12. Разходи'!$C84,0)</f>
        <v>0</v>
      </c>
      <c r="H84" s="995">
        <f>'12. Разходи'!F84-'12. Разходи'!$C84</f>
        <v>0</v>
      </c>
      <c r="I84" s="1219">
        <f>IFERROR(('12. Разходи'!F84-'12. Разходи'!$C84)/'12. Разходи'!$C84,0)</f>
        <v>0</v>
      </c>
      <c r="J84" s="995">
        <f>'12. Разходи'!G84-'12. Разходи'!$C84</f>
        <v>0</v>
      </c>
      <c r="K84" s="1218">
        <f>IFERROR(('12. Разходи'!G84-'12. Разходи'!$C84)/'12. Разходи'!$C84,0)</f>
        <v>0</v>
      </c>
      <c r="L84" s="1226">
        <f>'12. Разходи'!H84-'12. Разходи'!$C84</f>
        <v>0</v>
      </c>
      <c r="M84" s="1218">
        <f>IFERROR(('12. Разходи'!H84-'12. Разходи'!$C84)/'12. Разходи'!$C84,0)</f>
        <v>0</v>
      </c>
      <c r="N84" s="1270">
        <f>'12. Разходи'!K84</f>
        <v>0</v>
      </c>
      <c r="O84" s="1231">
        <f>'12. Разходи'!L84-'12. Разходи'!$K84</f>
        <v>0</v>
      </c>
      <c r="P84" s="1211">
        <f>IFERROR(('12. Разходи'!L84-'12. Разходи'!$K84)/'12. Разходи'!$K84,0)</f>
        <v>0</v>
      </c>
      <c r="Q84" s="995">
        <f>'12. Разходи'!M84-'12. Разходи'!$K84</f>
        <v>0</v>
      </c>
      <c r="R84" s="1219">
        <f>IFERROR(('12. Разходи'!M84-'12. Разходи'!$K84)/'12. Разходи'!$K84,0)</f>
        <v>0</v>
      </c>
      <c r="S84" s="995">
        <f>'12. Разходи'!N84-'12. Разходи'!$K84</f>
        <v>0</v>
      </c>
      <c r="T84" s="1219">
        <f>IFERROR(('12. Разходи'!N84-'12. Разходи'!$K84)/'12. Разходи'!$K84,0)</f>
        <v>0</v>
      </c>
      <c r="U84" s="995">
        <f>'12. Разходи'!O84-'12. Разходи'!$K84</f>
        <v>0</v>
      </c>
      <c r="V84" s="1218">
        <f>IFERROR(('12. Разходи'!O84-'12. Разходи'!$K84)/'12. Разходи'!$K84,0)</f>
        <v>0</v>
      </c>
      <c r="W84" s="1226">
        <f>'12. Разходи'!P84-'12. Разходи'!$K84</f>
        <v>0</v>
      </c>
      <c r="X84" s="1276">
        <f>IFERROR(('12. Разходи'!P84-'12. Разходи'!$K84)/'12. Разходи'!$K84,0)</f>
        <v>0</v>
      </c>
      <c r="Y84" s="1270">
        <f>'12. Разходи'!S84</f>
        <v>2</v>
      </c>
      <c r="Z84" s="1231">
        <f>'12. Разходи'!T84-'12. Разходи'!$S84</f>
        <v>0</v>
      </c>
      <c r="AA84" s="1211">
        <f>IFERROR(('12. Разходи'!T84-'12. Разходи'!$S84)/'12. Разходи'!$S84,0)</f>
        <v>0</v>
      </c>
      <c r="AB84" s="995">
        <f>'12. Разходи'!U84-'12. Разходи'!$S84</f>
        <v>0</v>
      </c>
      <c r="AC84" s="1219">
        <f>IFERROR(('12. Разходи'!U84-'12. Разходи'!$S84)/'12. Разходи'!$S84,0)</f>
        <v>0</v>
      </c>
      <c r="AD84" s="995">
        <f>'12. Разходи'!V84-'12. Разходи'!$S84</f>
        <v>0</v>
      </c>
      <c r="AE84" s="1219">
        <f>IFERROR(('12. Разходи'!V84-'12. Разходи'!$S84)/'12. Разходи'!$S84,0)</f>
        <v>0</v>
      </c>
      <c r="AF84" s="995">
        <f>'12. Разходи'!W84-'12. Разходи'!$S84</f>
        <v>0</v>
      </c>
      <c r="AG84" s="1218">
        <f>IFERROR(('12. Разходи'!W84-'12. Разходи'!$S84)/'12. Разходи'!$S84,0)</f>
        <v>0</v>
      </c>
      <c r="AH84" s="1226">
        <f>'12. Разходи'!X84-'12. Разходи'!$S84</f>
        <v>0</v>
      </c>
      <c r="AI84" s="1276">
        <f>IFERROR(('12. Разходи'!X84-'12. Разходи'!$S84)/'12. Разходи'!$S84,0)</f>
        <v>0</v>
      </c>
      <c r="AJ84" s="1270">
        <f>'12. Разходи'!AA84</f>
        <v>0.13</v>
      </c>
      <c r="AK84" s="1231">
        <f>'12. Разходи'!AB84-'12. Разходи'!$AA84</f>
        <v>0</v>
      </c>
      <c r="AL84" s="1211">
        <f>IFERROR(('12. Разходи'!AB84-'12. Разходи'!$AA84)/'12. Разходи'!$AA84,0)</f>
        <v>0</v>
      </c>
      <c r="AM84" s="995">
        <f>'12. Разходи'!AC84-'12. Разходи'!$AA84</f>
        <v>0</v>
      </c>
      <c r="AN84" s="1219">
        <f>IFERROR(('12. Разходи'!AC84-'12. Разходи'!$AA84)/'12. Разходи'!$AA84,0)</f>
        <v>0</v>
      </c>
      <c r="AO84" s="995">
        <f>'12. Разходи'!AD84-'12. Разходи'!$AA84</f>
        <v>0</v>
      </c>
      <c r="AP84" s="1219">
        <f>IFERROR(('12. Разходи'!AD84-'12. Разходи'!$AA84)/'12. Разходи'!$AA84,0)</f>
        <v>0</v>
      </c>
      <c r="AQ84" s="995">
        <f>'12. Разходи'!AE84-'12. Разходи'!$AA84</f>
        <v>0</v>
      </c>
      <c r="AR84" s="1218">
        <f>IFERROR(('12. Разходи'!AE84-'12. Разходи'!$AA84)/'12. Разходи'!$AA84,0)</f>
        <v>0</v>
      </c>
      <c r="AS84" s="1226">
        <f>'12. Разходи'!AF84-'12. Разходи'!$AA84</f>
        <v>0</v>
      </c>
      <c r="AT84" s="1276">
        <f>IFERROR(('12. Разходи'!AF84-'12. Разходи'!$AA84)/'12. Разходи'!$AA84,0)</f>
        <v>0</v>
      </c>
      <c r="AU84" s="1270">
        <f>'12. Разходи'!AI84</f>
        <v>0</v>
      </c>
      <c r="AV84" s="1231">
        <f>'12. Разходи'!AJ84-'12. Разходи'!$AI84</f>
        <v>0</v>
      </c>
      <c r="AW84" s="1211">
        <f>IFERROR(('12. Разходи'!AJ84-'12. Разходи'!$AI84)/'12. Разходи'!$AI84,0)</f>
        <v>0</v>
      </c>
      <c r="AX84" s="995">
        <f>'12. Разходи'!AK84-'12. Разходи'!$AI84</f>
        <v>0</v>
      </c>
      <c r="AY84" s="1219">
        <f>IFERROR(('12. Разходи'!AK84-'12. Разходи'!$AI84)/'12. Разходи'!$AI84,0)</f>
        <v>0</v>
      </c>
      <c r="AZ84" s="995">
        <f>'12. Разходи'!AL84-'12. Разходи'!$AI84</f>
        <v>0</v>
      </c>
      <c r="BA84" s="1219">
        <f>IFERROR(('12. Разходи'!AL84-'12. Разходи'!$AI84)/'12. Разходи'!$AI84,0)</f>
        <v>0</v>
      </c>
      <c r="BB84" s="995">
        <f>'12. Разходи'!AM84-'12. Разходи'!$AI84</f>
        <v>0</v>
      </c>
      <c r="BC84" s="1218">
        <f>IFERROR(('12. Разходи'!AM84-'12. Разходи'!$AI84)/'12. Разходи'!$AI84,0)</f>
        <v>0</v>
      </c>
      <c r="BD84" s="1226">
        <f>'12. Разходи'!AN84-'12. Разходи'!$AI84</f>
        <v>0</v>
      </c>
      <c r="BE84" s="1276">
        <f>IFERROR(('12. Разходи'!AN84-'12. Разходи'!$AI84)/'12. Разходи'!$AI84,0)</f>
        <v>0</v>
      </c>
      <c r="BF84" s="736"/>
      <c r="BG84" s="736"/>
      <c r="BH84" s="736"/>
      <c r="BI84" s="736"/>
      <c r="BJ84" s="736"/>
      <c r="BK84" s="736"/>
      <c r="BL84" s="736"/>
      <c r="BM84" s="736"/>
      <c r="BN84" s="736"/>
    </row>
    <row r="85" spans="1:66" s="737" customFormat="1" ht="15.95" customHeight="1">
      <c r="A85" s="917" t="s">
        <v>640</v>
      </c>
      <c r="B85" s="3497">
        <f>'12. Разходи'!B85</f>
        <v>0</v>
      </c>
      <c r="C85" s="3498">
        <f>'12. Разходи'!C85</f>
        <v>0</v>
      </c>
      <c r="D85" s="1231">
        <f>'12. Разходи'!D85-'12. Разходи'!$C85</f>
        <v>0</v>
      </c>
      <c r="E85" s="1211">
        <f>IFERROR(('12. Разходи'!D85-'12. Разходи'!$C85)/'12. Разходи'!$C85,0)</f>
        <v>0</v>
      </c>
      <c r="F85" s="995">
        <f>'12. Разходи'!E85-'12. Разходи'!$C85</f>
        <v>0</v>
      </c>
      <c r="G85" s="1219">
        <f>IFERROR(('12. Разходи'!E85-'12. Разходи'!$C85)/'12. Разходи'!$C85,0)</f>
        <v>0</v>
      </c>
      <c r="H85" s="995">
        <f>'12. Разходи'!F85-'12. Разходи'!$C85</f>
        <v>0</v>
      </c>
      <c r="I85" s="1219">
        <f>IFERROR(('12. Разходи'!F85-'12. Разходи'!$C85)/'12. Разходи'!$C85,0)</f>
        <v>0</v>
      </c>
      <c r="J85" s="995">
        <f>'12. Разходи'!G85-'12. Разходи'!$C85</f>
        <v>0</v>
      </c>
      <c r="K85" s="1218">
        <f>IFERROR(('12. Разходи'!G85-'12. Разходи'!$C85)/'12. Разходи'!$C85,0)</f>
        <v>0</v>
      </c>
      <c r="L85" s="1226">
        <f>'12. Разходи'!H85-'12. Разходи'!$C85</f>
        <v>0</v>
      </c>
      <c r="M85" s="1218">
        <f>IFERROR(('12. Разходи'!H85-'12. Разходи'!$C85)/'12. Разходи'!$C85,0)</f>
        <v>0</v>
      </c>
      <c r="N85" s="1270">
        <f>'12. Разходи'!K85</f>
        <v>0</v>
      </c>
      <c r="O85" s="1231">
        <f>'12. Разходи'!L85-'12. Разходи'!$K85</f>
        <v>0</v>
      </c>
      <c r="P85" s="1211">
        <f>IFERROR(('12. Разходи'!L85-'12. Разходи'!$K85)/'12. Разходи'!$K85,0)</f>
        <v>0</v>
      </c>
      <c r="Q85" s="995">
        <f>'12. Разходи'!M85-'12. Разходи'!$K85</f>
        <v>0</v>
      </c>
      <c r="R85" s="1219">
        <f>IFERROR(('12. Разходи'!M85-'12. Разходи'!$K85)/'12. Разходи'!$K85,0)</f>
        <v>0</v>
      </c>
      <c r="S85" s="995">
        <f>'12. Разходи'!N85-'12. Разходи'!$K85</f>
        <v>0</v>
      </c>
      <c r="T85" s="1219">
        <f>IFERROR(('12. Разходи'!N85-'12. Разходи'!$K85)/'12. Разходи'!$K85,0)</f>
        <v>0</v>
      </c>
      <c r="U85" s="995">
        <f>'12. Разходи'!O85-'12. Разходи'!$K85</f>
        <v>0</v>
      </c>
      <c r="V85" s="1218">
        <f>IFERROR(('12. Разходи'!O85-'12. Разходи'!$K85)/'12. Разходи'!$K85,0)</f>
        <v>0</v>
      </c>
      <c r="W85" s="1226">
        <f>'12. Разходи'!P85-'12. Разходи'!$K85</f>
        <v>0</v>
      </c>
      <c r="X85" s="1276">
        <f>IFERROR(('12. Разходи'!P85-'12. Разходи'!$K85)/'12. Разходи'!$K85,0)</f>
        <v>0</v>
      </c>
      <c r="Y85" s="1270">
        <f>'12. Разходи'!S85</f>
        <v>0</v>
      </c>
      <c r="Z85" s="1231">
        <f>'12. Разходи'!T85-'12. Разходи'!$S85</f>
        <v>0</v>
      </c>
      <c r="AA85" s="1211">
        <f>IFERROR(('12. Разходи'!T85-'12. Разходи'!$S85)/'12. Разходи'!$S85,0)</f>
        <v>0</v>
      </c>
      <c r="AB85" s="995">
        <f>'12. Разходи'!U85-'12. Разходи'!$S85</f>
        <v>0</v>
      </c>
      <c r="AC85" s="1219">
        <f>IFERROR(('12. Разходи'!U85-'12. Разходи'!$S85)/'12. Разходи'!$S85,0)</f>
        <v>0</v>
      </c>
      <c r="AD85" s="995">
        <f>'12. Разходи'!V85-'12. Разходи'!$S85</f>
        <v>0</v>
      </c>
      <c r="AE85" s="1219">
        <f>IFERROR(('12. Разходи'!V85-'12. Разходи'!$S85)/'12. Разходи'!$S85,0)</f>
        <v>0</v>
      </c>
      <c r="AF85" s="995">
        <f>'12. Разходи'!W85-'12. Разходи'!$S85</f>
        <v>0</v>
      </c>
      <c r="AG85" s="1218">
        <f>IFERROR(('12. Разходи'!W85-'12. Разходи'!$S85)/'12. Разходи'!$S85,0)</f>
        <v>0</v>
      </c>
      <c r="AH85" s="1226">
        <f>'12. Разходи'!X85-'12. Разходи'!$S85</f>
        <v>0</v>
      </c>
      <c r="AI85" s="1276">
        <f>IFERROR(('12. Разходи'!X85-'12. Разходи'!$S85)/'12. Разходи'!$S85,0)</f>
        <v>0</v>
      </c>
      <c r="AJ85" s="1270">
        <f>'12. Разходи'!AA85</f>
        <v>0</v>
      </c>
      <c r="AK85" s="1231">
        <f>'12. Разходи'!AB85-'12. Разходи'!$AA85</f>
        <v>0</v>
      </c>
      <c r="AL85" s="1211">
        <f>IFERROR(('12. Разходи'!AB85-'12. Разходи'!$AA85)/'12. Разходи'!$AA85,0)</f>
        <v>0</v>
      </c>
      <c r="AM85" s="995">
        <f>'12. Разходи'!AC85-'12. Разходи'!$AA85</f>
        <v>0</v>
      </c>
      <c r="AN85" s="1219">
        <f>IFERROR(('12. Разходи'!AC85-'12. Разходи'!$AA85)/'12. Разходи'!$AA85,0)</f>
        <v>0</v>
      </c>
      <c r="AO85" s="995">
        <f>'12. Разходи'!AD85-'12. Разходи'!$AA85</f>
        <v>0</v>
      </c>
      <c r="AP85" s="1219">
        <f>IFERROR(('12. Разходи'!AD85-'12. Разходи'!$AA85)/'12. Разходи'!$AA85,0)</f>
        <v>0</v>
      </c>
      <c r="AQ85" s="995">
        <f>'12. Разходи'!AE85-'12. Разходи'!$AA85</f>
        <v>0</v>
      </c>
      <c r="AR85" s="1218">
        <f>IFERROR(('12. Разходи'!AE85-'12. Разходи'!$AA85)/'12. Разходи'!$AA85,0)</f>
        <v>0</v>
      </c>
      <c r="AS85" s="1226">
        <f>'12. Разходи'!AF85-'12. Разходи'!$AA85</f>
        <v>0</v>
      </c>
      <c r="AT85" s="1276">
        <f>IFERROR(('12. Разходи'!AF85-'12. Разходи'!$AA85)/'12. Разходи'!$AA85,0)</f>
        <v>0</v>
      </c>
      <c r="AU85" s="1270">
        <f>'12. Разходи'!AI85</f>
        <v>0</v>
      </c>
      <c r="AV85" s="1231">
        <f>'12. Разходи'!AJ85-'12. Разходи'!$AI85</f>
        <v>0</v>
      </c>
      <c r="AW85" s="1211">
        <f>IFERROR(('12. Разходи'!AJ85-'12. Разходи'!$AI85)/'12. Разходи'!$AI85,0)</f>
        <v>0</v>
      </c>
      <c r="AX85" s="995">
        <f>'12. Разходи'!AK85-'12. Разходи'!$AI85</f>
        <v>0</v>
      </c>
      <c r="AY85" s="1219">
        <f>IFERROR(('12. Разходи'!AK85-'12. Разходи'!$AI85)/'12. Разходи'!$AI85,0)</f>
        <v>0</v>
      </c>
      <c r="AZ85" s="995">
        <f>'12. Разходи'!AL85-'12. Разходи'!$AI85</f>
        <v>0</v>
      </c>
      <c r="BA85" s="1219">
        <f>IFERROR(('12. Разходи'!AL85-'12. Разходи'!$AI85)/'12. Разходи'!$AI85,0)</f>
        <v>0</v>
      </c>
      <c r="BB85" s="995">
        <f>'12. Разходи'!AM85-'12. Разходи'!$AI85</f>
        <v>0</v>
      </c>
      <c r="BC85" s="1218">
        <f>IFERROR(('12. Разходи'!AM85-'12. Разходи'!$AI85)/'12. Разходи'!$AI85,0)</f>
        <v>0</v>
      </c>
      <c r="BD85" s="1226">
        <f>'12. Разходи'!AN85-'12. Разходи'!$AI85</f>
        <v>0</v>
      </c>
      <c r="BE85" s="1276">
        <f>IFERROR(('12. Разходи'!AN85-'12. Разходи'!$AI85)/'12. Разходи'!$AI85,0)</f>
        <v>0</v>
      </c>
      <c r="BF85" s="736"/>
      <c r="BG85" s="736"/>
      <c r="BH85" s="736"/>
      <c r="BI85" s="736"/>
      <c r="BJ85" s="736"/>
      <c r="BK85" s="736"/>
      <c r="BL85" s="736"/>
      <c r="BM85" s="736"/>
      <c r="BN85" s="736"/>
    </row>
    <row r="86" spans="1:66" s="737" customFormat="1" ht="15.95" customHeight="1">
      <c r="A86" s="917" t="s">
        <v>641</v>
      </c>
      <c r="B86" s="3497">
        <f>'12. Разходи'!B86</f>
        <v>0</v>
      </c>
      <c r="C86" s="3498">
        <f>'12. Разходи'!C86</f>
        <v>0</v>
      </c>
      <c r="D86" s="1231">
        <f>'12. Разходи'!D86-'12. Разходи'!$C86</f>
        <v>0</v>
      </c>
      <c r="E86" s="1211">
        <f>IFERROR(('12. Разходи'!D86-'12. Разходи'!$C86)/'12. Разходи'!$C86,0)</f>
        <v>0</v>
      </c>
      <c r="F86" s="995">
        <f>'12. Разходи'!E86-'12. Разходи'!$C86</f>
        <v>0</v>
      </c>
      <c r="G86" s="1219">
        <f>IFERROR(('12. Разходи'!E86-'12. Разходи'!$C86)/'12. Разходи'!$C86,0)</f>
        <v>0</v>
      </c>
      <c r="H86" s="995">
        <f>'12. Разходи'!F86-'12. Разходи'!$C86</f>
        <v>0</v>
      </c>
      <c r="I86" s="1219">
        <f>IFERROR(('12. Разходи'!F86-'12. Разходи'!$C86)/'12. Разходи'!$C86,0)</f>
        <v>0</v>
      </c>
      <c r="J86" s="995">
        <f>'12. Разходи'!G86-'12. Разходи'!$C86</f>
        <v>0</v>
      </c>
      <c r="K86" s="1218">
        <f>IFERROR(('12. Разходи'!G86-'12. Разходи'!$C86)/'12. Разходи'!$C86,0)</f>
        <v>0</v>
      </c>
      <c r="L86" s="1226">
        <f>'12. Разходи'!H86-'12. Разходи'!$C86</f>
        <v>0</v>
      </c>
      <c r="M86" s="1218">
        <f>IFERROR(('12. Разходи'!H86-'12. Разходи'!$C86)/'12. Разходи'!$C86,0)</f>
        <v>0</v>
      </c>
      <c r="N86" s="1270">
        <f>'12. Разходи'!K86</f>
        <v>0</v>
      </c>
      <c r="O86" s="1231">
        <f>'12. Разходи'!L86-'12. Разходи'!$K86</f>
        <v>0</v>
      </c>
      <c r="P86" s="1211">
        <f>IFERROR(('12. Разходи'!L86-'12. Разходи'!$K86)/'12. Разходи'!$K86,0)</f>
        <v>0</v>
      </c>
      <c r="Q86" s="995">
        <f>'12. Разходи'!M86-'12. Разходи'!$K86</f>
        <v>0</v>
      </c>
      <c r="R86" s="1219">
        <f>IFERROR(('12. Разходи'!M86-'12. Разходи'!$K86)/'12. Разходи'!$K86,0)</f>
        <v>0</v>
      </c>
      <c r="S86" s="995">
        <f>'12. Разходи'!N86-'12. Разходи'!$K86</f>
        <v>0</v>
      </c>
      <c r="T86" s="1219">
        <f>IFERROR(('12. Разходи'!N86-'12. Разходи'!$K86)/'12. Разходи'!$K86,0)</f>
        <v>0</v>
      </c>
      <c r="U86" s="995">
        <f>'12. Разходи'!O86-'12. Разходи'!$K86</f>
        <v>0</v>
      </c>
      <c r="V86" s="1218">
        <f>IFERROR(('12. Разходи'!O86-'12. Разходи'!$K86)/'12. Разходи'!$K86,0)</f>
        <v>0</v>
      </c>
      <c r="W86" s="1226">
        <f>'12. Разходи'!P86-'12. Разходи'!$K86</f>
        <v>0</v>
      </c>
      <c r="X86" s="1276">
        <f>IFERROR(('12. Разходи'!P86-'12. Разходи'!$K86)/'12. Разходи'!$K86,0)</f>
        <v>0</v>
      </c>
      <c r="Y86" s="1270">
        <f>'12. Разходи'!S86</f>
        <v>0</v>
      </c>
      <c r="Z86" s="1231">
        <f>'12. Разходи'!T86-'12. Разходи'!$S86</f>
        <v>0</v>
      </c>
      <c r="AA86" s="1211">
        <f>IFERROR(('12. Разходи'!T86-'12. Разходи'!$S86)/'12. Разходи'!$S86,0)</f>
        <v>0</v>
      </c>
      <c r="AB86" s="995">
        <f>'12. Разходи'!U86-'12. Разходи'!$S86</f>
        <v>0</v>
      </c>
      <c r="AC86" s="1219">
        <f>IFERROR(('12. Разходи'!U86-'12. Разходи'!$S86)/'12. Разходи'!$S86,0)</f>
        <v>0</v>
      </c>
      <c r="AD86" s="995">
        <f>'12. Разходи'!V86-'12. Разходи'!$S86</f>
        <v>0</v>
      </c>
      <c r="AE86" s="1219">
        <f>IFERROR(('12. Разходи'!V86-'12. Разходи'!$S86)/'12. Разходи'!$S86,0)</f>
        <v>0</v>
      </c>
      <c r="AF86" s="995">
        <f>'12. Разходи'!W86-'12. Разходи'!$S86</f>
        <v>0</v>
      </c>
      <c r="AG86" s="1218">
        <f>IFERROR(('12. Разходи'!W86-'12. Разходи'!$S86)/'12. Разходи'!$S86,0)</f>
        <v>0</v>
      </c>
      <c r="AH86" s="1226">
        <f>'12. Разходи'!X86-'12. Разходи'!$S86</f>
        <v>0</v>
      </c>
      <c r="AI86" s="1276">
        <f>IFERROR(('12. Разходи'!X86-'12. Разходи'!$S86)/'12. Разходи'!$S86,0)</f>
        <v>0</v>
      </c>
      <c r="AJ86" s="1270">
        <f>'12. Разходи'!AA86</f>
        <v>0</v>
      </c>
      <c r="AK86" s="1231">
        <f>'12. Разходи'!AB86-'12. Разходи'!$AA86</f>
        <v>0</v>
      </c>
      <c r="AL86" s="1211">
        <f>IFERROR(('12. Разходи'!AB86-'12. Разходи'!$AA86)/'12. Разходи'!$AA86,0)</f>
        <v>0</v>
      </c>
      <c r="AM86" s="995">
        <f>'12. Разходи'!AC86-'12. Разходи'!$AA86</f>
        <v>0</v>
      </c>
      <c r="AN86" s="1219">
        <f>IFERROR(('12. Разходи'!AC86-'12. Разходи'!$AA86)/'12. Разходи'!$AA86,0)</f>
        <v>0</v>
      </c>
      <c r="AO86" s="995">
        <f>'12. Разходи'!AD86-'12. Разходи'!$AA86</f>
        <v>0</v>
      </c>
      <c r="AP86" s="1219">
        <f>IFERROR(('12. Разходи'!AD86-'12. Разходи'!$AA86)/'12. Разходи'!$AA86,0)</f>
        <v>0</v>
      </c>
      <c r="AQ86" s="995">
        <f>'12. Разходи'!AE86-'12. Разходи'!$AA86</f>
        <v>0</v>
      </c>
      <c r="AR86" s="1218">
        <f>IFERROR(('12. Разходи'!AE86-'12. Разходи'!$AA86)/'12. Разходи'!$AA86,0)</f>
        <v>0</v>
      </c>
      <c r="AS86" s="1226">
        <f>'12. Разходи'!AF86-'12. Разходи'!$AA86</f>
        <v>0</v>
      </c>
      <c r="AT86" s="1276">
        <f>IFERROR(('12. Разходи'!AF86-'12. Разходи'!$AA86)/'12. Разходи'!$AA86,0)</f>
        <v>0</v>
      </c>
      <c r="AU86" s="1270">
        <f>'12. Разходи'!AI86</f>
        <v>0</v>
      </c>
      <c r="AV86" s="1231">
        <f>'12. Разходи'!AJ86-'12. Разходи'!$AI86</f>
        <v>0</v>
      </c>
      <c r="AW86" s="1211">
        <f>IFERROR(('12. Разходи'!AJ86-'12. Разходи'!$AI86)/'12. Разходи'!$AI86,0)</f>
        <v>0</v>
      </c>
      <c r="AX86" s="995">
        <f>'12. Разходи'!AK86-'12. Разходи'!$AI86</f>
        <v>0</v>
      </c>
      <c r="AY86" s="1219">
        <f>IFERROR(('12. Разходи'!AK86-'12. Разходи'!$AI86)/'12. Разходи'!$AI86,0)</f>
        <v>0</v>
      </c>
      <c r="AZ86" s="995">
        <f>'12. Разходи'!AL86-'12. Разходи'!$AI86</f>
        <v>0</v>
      </c>
      <c r="BA86" s="1219">
        <f>IFERROR(('12. Разходи'!AL86-'12. Разходи'!$AI86)/'12. Разходи'!$AI86,0)</f>
        <v>0</v>
      </c>
      <c r="BB86" s="995">
        <f>'12. Разходи'!AM86-'12. Разходи'!$AI86</f>
        <v>0</v>
      </c>
      <c r="BC86" s="1218">
        <f>IFERROR(('12. Разходи'!AM86-'12. Разходи'!$AI86)/'12. Разходи'!$AI86,0)</f>
        <v>0</v>
      </c>
      <c r="BD86" s="1226">
        <f>'12. Разходи'!AN86-'12. Разходи'!$AI86</f>
        <v>0</v>
      </c>
      <c r="BE86" s="1276">
        <f>IFERROR(('12. Разходи'!AN86-'12. Разходи'!$AI86)/'12. Разходи'!$AI86,0)</f>
        <v>0</v>
      </c>
      <c r="BF86" s="736"/>
      <c r="BG86" s="736"/>
      <c r="BH86" s="736"/>
      <c r="BI86" s="736"/>
      <c r="BJ86" s="736"/>
      <c r="BK86" s="736"/>
      <c r="BL86" s="736"/>
      <c r="BM86" s="736"/>
      <c r="BN86" s="736"/>
    </row>
    <row r="87" spans="1:66" s="737" customFormat="1" ht="15.95" customHeight="1" thickBot="1">
      <c r="A87" s="919" t="s">
        <v>642</v>
      </c>
      <c r="B87" s="3497">
        <f>'12. Разходи'!B87</f>
        <v>0</v>
      </c>
      <c r="C87" s="3498">
        <f>'12. Разходи'!C87</f>
        <v>0</v>
      </c>
      <c r="D87" s="1231">
        <f>'12. Разходи'!D87-'12. Разходи'!$C87</f>
        <v>0</v>
      </c>
      <c r="E87" s="1211">
        <f>IFERROR(('12. Разходи'!D87-'12. Разходи'!$C87)/'12. Разходи'!$C87,0)</f>
        <v>0</v>
      </c>
      <c r="F87" s="995">
        <f>'12. Разходи'!E87-'12. Разходи'!$C87</f>
        <v>0</v>
      </c>
      <c r="G87" s="1219">
        <f>IFERROR(('12. Разходи'!E87-'12. Разходи'!$C87)/'12. Разходи'!$C87,0)</f>
        <v>0</v>
      </c>
      <c r="H87" s="995">
        <f>'12. Разходи'!F87-'12. Разходи'!$C87</f>
        <v>0</v>
      </c>
      <c r="I87" s="1219">
        <f>IFERROR(('12. Разходи'!F87-'12. Разходи'!$C87)/'12. Разходи'!$C87,0)</f>
        <v>0</v>
      </c>
      <c r="J87" s="995">
        <f>'12. Разходи'!G87-'12. Разходи'!$C87</f>
        <v>0</v>
      </c>
      <c r="K87" s="1218">
        <f>IFERROR(('12. Разходи'!G87-'12. Разходи'!$C87)/'12. Разходи'!$C87,0)</f>
        <v>0</v>
      </c>
      <c r="L87" s="1226">
        <f>'12. Разходи'!H87-'12. Разходи'!$C87</f>
        <v>0</v>
      </c>
      <c r="M87" s="1218">
        <f>IFERROR(('12. Разходи'!H87-'12. Разходи'!$C87)/'12. Разходи'!$C87,0)</f>
        <v>0</v>
      </c>
      <c r="N87" s="1270">
        <f>'12. Разходи'!K87</f>
        <v>0</v>
      </c>
      <c r="O87" s="1231">
        <f>'12. Разходи'!L87-'12. Разходи'!$K87</f>
        <v>0</v>
      </c>
      <c r="P87" s="1211">
        <f>IFERROR(('12. Разходи'!L87-'12. Разходи'!$K87)/'12. Разходи'!$K87,0)</f>
        <v>0</v>
      </c>
      <c r="Q87" s="995">
        <f>'12. Разходи'!M87-'12. Разходи'!$K87</f>
        <v>0</v>
      </c>
      <c r="R87" s="1219">
        <f>IFERROR(('12. Разходи'!M87-'12. Разходи'!$K87)/'12. Разходи'!$K87,0)</f>
        <v>0</v>
      </c>
      <c r="S87" s="995">
        <f>'12. Разходи'!N87-'12. Разходи'!$K87</f>
        <v>0</v>
      </c>
      <c r="T87" s="1219">
        <f>IFERROR(('12. Разходи'!N87-'12. Разходи'!$K87)/'12. Разходи'!$K87,0)</f>
        <v>0</v>
      </c>
      <c r="U87" s="995">
        <f>'12. Разходи'!O87-'12. Разходи'!$K87</f>
        <v>0</v>
      </c>
      <c r="V87" s="1218">
        <f>IFERROR(('12. Разходи'!O87-'12. Разходи'!$K87)/'12. Разходи'!$K87,0)</f>
        <v>0</v>
      </c>
      <c r="W87" s="1226">
        <f>'12. Разходи'!P87-'12. Разходи'!$K87</f>
        <v>0</v>
      </c>
      <c r="X87" s="1276">
        <f>IFERROR(('12. Разходи'!P87-'12. Разходи'!$K87)/'12. Разходи'!$K87,0)</f>
        <v>0</v>
      </c>
      <c r="Y87" s="1270">
        <f>'12. Разходи'!S87</f>
        <v>0</v>
      </c>
      <c r="Z87" s="1231">
        <f>'12. Разходи'!T87-'12. Разходи'!$S87</f>
        <v>0</v>
      </c>
      <c r="AA87" s="1211">
        <f>IFERROR(('12. Разходи'!T87-'12. Разходи'!$S87)/'12. Разходи'!$S87,0)</f>
        <v>0</v>
      </c>
      <c r="AB87" s="995">
        <f>'12. Разходи'!U87-'12. Разходи'!$S87</f>
        <v>0</v>
      </c>
      <c r="AC87" s="1219">
        <f>IFERROR(('12. Разходи'!U87-'12. Разходи'!$S87)/'12. Разходи'!$S87,0)</f>
        <v>0</v>
      </c>
      <c r="AD87" s="995">
        <f>'12. Разходи'!V87-'12. Разходи'!$S87</f>
        <v>0</v>
      </c>
      <c r="AE87" s="1219">
        <f>IFERROR(('12. Разходи'!V87-'12. Разходи'!$S87)/'12. Разходи'!$S87,0)</f>
        <v>0</v>
      </c>
      <c r="AF87" s="995">
        <f>'12. Разходи'!W87-'12. Разходи'!$S87</f>
        <v>0</v>
      </c>
      <c r="AG87" s="1218">
        <f>IFERROR(('12. Разходи'!W87-'12. Разходи'!$S87)/'12. Разходи'!$S87,0)</f>
        <v>0</v>
      </c>
      <c r="AH87" s="1226">
        <f>'12. Разходи'!X87-'12. Разходи'!$S87</f>
        <v>0</v>
      </c>
      <c r="AI87" s="1276">
        <f>IFERROR(('12. Разходи'!X87-'12. Разходи'!$S87)/'12. Разходи'!$S87,0)</f>
        <v>0</v>
      </c>
      <c r="AJ87" s="1270">
        <f>'12. Разходи'!AA87</f>
        <v>0</v>
      </c>
      <c r="AK87" s="1231">
        <f>'12. Разходи'!AB87-'12. Разходи'!$AA87</f>
        <v>0</v>
      </c>
      <c r="AL87" s="1211">
        <f>IFERROR(('12. Разходи'!AB87-'12. Разходи'!$AA87)/'12. Разходи'!$AA87,0)</f>
        <v>0</v>
      </c>
      <c r="AM87" s="995">
        <f>'12. Разходи'!AC87-'12. Разходи'!$AA87</f>
        <v>0</v>
      </c>
      <c r="AN87" s="1219">
        <f>IFERROR(('12. Разходи'!AC87-'12. Разходи'!$AA87)/'12. Разходи'!$AA87,0)</f>
        <v>0</v>
      </c>
      <c r="AO87" s="995">
        <f>'12. Разходи'!AD87-'12. Разходи'!$AA87</f>
        <v>0</v>
      </c>
      <c r="AP87" s="1219">
        <f>IFERROR(('12. Разходи'!AD87-'12. Разходи'!$AA87)/'12. Разходи'!$AA87,0)</f>
        <v>0</v>
      </c>
      <c r="AQ87" s="995">
        <f>'12. Разходи'!AE87-'12. Разходи'!$AA87</f>
        <v>0</v>
      </c>
      <c r="AR87" s="1218">
        <f>IFERROR(('12. Разходи'!AE87-'12. Разходи'!$AA87)/'12. Разходи'!$AA87,0)</f>
        <v>0</v>
      </c>
      <c r="AS87" s="1226">
        <f>'12. Разходи'!AF87-'12. Разходи'!$AA87</f>
        <v>0</v>
      </c>
      <c r="AT87" s="1276">
        <f>IFERROR(('12. Разходи'!AF87-'12. Разходи'!$AA87)/'12. Разходи'!$AA87,0)</f>
        <v>0</v>
      </c>
      <c r="AU87" s="1270">
        <f>'12. Разходи'!AI87</f>
        <v>0</v>
      </c>
      <c r="AV87" s="1231">
        <f>'12. Разходи'!AJ87-'12. Разходи'!$AI87</f>
        <v>0</v>
      </c>
      <c r="AW87" s="1211">
        <f>IFERROR(('12. Разходи'!AJ87-'12. Разходи'!$AI87)/'12. Разходи'!$AI87,0)</f>
        <v>0</v>
      </c>
      <c r="AX87" s="995">
        <f>'12. Разходи'!AK87-'12. Разходи'!$AI87</f>
        <v>0</v>
      </c>
      <c r="AY87" s="1219">
        <f>IFERROR(('12. Разходи'!AK87-'12. Разходи'!$AI87)/'12. Разходи'!$AI87,0)</f>
        <v>0</v>
      </c>
      <c r="AZ87" s="995">
        <f>'12. Разходи'!AL87-'12. Разходи'!$AI87</f>
        <v>0</v>
      </c>
      <c r="BA87" s="1219">
        <f>IFERROR(('12. Разходи'!AL87-'12. Разходи'!$AI87)/'12. Разходи'!$AI87,0)</f>
        <v>0</v>
      </c>
      <c r="BB87" s="995">
        <f>'12. Разходи'!AM87-'12. Разходи'!$AI87</f>
        <v>0</v>
      </c>
      <c r="BC87" s="1218">
        <f>IFERROR(('12. Разходи'!AM87-'12. Разходи'!$AI87)/'12. Разходи'!$AI87,0)</f>
        <v>0</v>
      </c>
      <c r="BD87" s="1226">
        <f>'12. Разходи'!AN87-'12. Разходи'!$AI87</f>
        <v>0</v>
      </c>
      <c r="BE87" s="1276">
        <f>IFERROR(('12. Разходи'!AN87-'12. Разходи'!$AI87)/'12. Разходи'!$AI87,0)</f>
        <v>0</v>
      </c>
      <c r="BF87" s="736"/>
      <c r="BG87" s="736"/>
      <c r="BH87" s="736"/>
      <c r="BI87" s="736"/>
      <c r="BJ87" s="736"/>
      <c r="BK87" s="736"/>
      <c r="BL87" s="736"/>
      <c r="BM87" s="736"/>
      <c r="BN87" s="736"/>
    </row>
    <row r="88" spans="1:66" s="1250" customFormat="1" ht="15.95" customHeight="1" thickBot="1">
      <c r="A88" s="5439" t="s">
        <v>282</v>
      </c>
      <c r="B88" s="5440"/>
      <c r="C88" s="1200">
        <f>'12. Разходи'!C88</f>
        <v>11436.093000000001</v>
      </c>
      <c r="D88" s="1238">
        <f>'12. Разходи'!D88-'12. Разходи'!$C88</f>
        <v>-677.32072767255522</v>
      </c>
      <c r="E88" s="962">
        <f>IFERROR(('12. Разходи'!D88-'12. Разходи'!$C88)/'12. Разходи'!$C88,0)</f>
        <v>-5.9226584435134899E-2</v>
      </c>
      <c r="F88" s="1237">
        <f>'12. Разходи'!E88-'12. Разходи'!$C88</f>
        <v>-661.73557365276247</v>
      </c>
      <c r="G88" s="962">
        <f>IFERROR(('12. Разходи'!E88-'12. Разходи'!$C88)/'12. Разходи'!$C88,0)</f>
        <v>-5.7863780370862886E-2</v>
      </c>
      <c r="H88" s="1237">
        <f>'12. Разходи'!F88-'12. Разходи'!$C88</f>
        <v>-177.7668592448772</v>
      </c>
      <c r="I88" s="971">
        <f>IFERROR(('12. Разходи'!F88-'12. Разходи'!$C88)/'12. Разходи'!$C88,0)</f>
        <v>-1.55443698512138E-2</v>
      </c>
      <c r="J88" s="1240">
        <f>'12. Разходи'!G88-'12. Разходи'!$C88</f>
        <v>550.78983846972369</v>
      </c>
      <c r="K88" s="971">
        <f>IFERROR(('12. Разходи'!G88-'12. Разходи'!$C88)/'12. Разходи'!$C88,0)</f>
        <v>4.8162413375767724E-2</v>
      </c>
      <c r="L88" s="1237">
        <f>'12. Разходи'!H88-'12. Разходи'!$C88</f>
        <v>752.21126791885763</v>
      </c>
      <c r="M88" s="975">
        <f>IFERROR(('12. Разходи'!H88-'12. Разходи'!$C88)/'12. Разходи'!$C88,0)</f>
        <v>6.5775196819303369E-2</v>
      </c>
      <c r="N88" s="1254">
        <f>'12. Разходи'!K88</f>
        <v>460.87500000000006</v>
      </c>
      <c r="O88" s="1238">
        <f>'12. Разходи'!L88-'12. Разходи'!$K88</f>
        <v>235.92738381462851</v>
      </c>
      <c r="P88" s="962">
        <f>IFERROR(('12. Разходи'!L88-'12. Разходи'!$K88)/'12. Разходи'!$K88,0)</f>
        <v>0.51191187158042528</v>
      </c>
      <c r="Q88" s="1237">
        <f>'12. Разходи'!M88-'12. Разходи'!$K88</f>
        <v>326.39924856464012</v>
      </c>
      <c r="R88" s="962">
        <f>IFERROR(('12. Разходи'!M88-'12. Разходи'!$K88)/'12. Разходи'!$K88,0)</f>
        <v>0.70821643301250903</v>
      </c>
      <c r="S88" s="1237">
        <f>'12. Разходи'!N88-'12. Разходи'!$K88</f>
        <v>652.75016840450212</v>
      </c>
      <c r="T88" s="971">
        <f>IFERROR(('12. Разходи'!N88-'12. Разходи'!$K88)/'12. Разходи'!$K88,0)</f>
        <v>1.4163280030474685</v>
      </c>
      <c r="U88" s="1240">
        <f>'12. Разходи'!O88-'12. Разходи'!$K88</f>
        <v>896.90791769874363</v>
      </c>
      <c r="V88" s="971">
        <f>IFERROR(('12. Разходи'!O88-'12. Разходи'!$K88)/'12. Разходи'!$K88,0)</f>
        <v>1.946098004228356</v>
      </c>
      <c r="W88" s="1237">
        <f>'12. Разходи'!P88-'12. Разходи'!$K88</f>
        <v>933.11038300561495</v>
      </c>
      <c r="X88" s="977">
        <f>IFERROR(('12. Разходи'!P88-'12. Разходи'!$K88)/'12. Разходи'!$K88,0)</f>
        <v>2.0246495969744829</v>
      </c>
      <c r="Y88" s="1254">
        <f>'12. Разходи'!S88</f>
        <v>1402.4610000000002</v>
      </c>
      <c r="Z88" s="1238">
        <f>'12. Разходи'!T88-'12. Разходи'!$S88</f>
        <v>240.84942495044515</v>
      </c>
      <c r="AA88" s="962">
        <f>IFERROR(('12. Разходи'!T88-'12. Разходи'!$S88)/'12. Разходи'!$S88,0)</f>
        <v>0.17173342071575973</v>
      </c>
      <c r="AB88" s="1237">
        <f>'12. Разходи'!U88-'12. Разходи'!$S88</f>
        <v>468.53980914726753</v>
      </c>
      <c r="AC88" s="962">
        <f>IFERROR(('12. Разходи'!U88-'12. Разходи'!$S88)/'12. Разходи'!$S88,0)</f>
        <v>0.33408402026670792</v>
      </c>
      <c r="AD88" s="1237">
        <f>'12. Разходи'!V88-'12. Разходи'!$S88</f>
        <v>770.74519003188107</v>
      </c>
      <c r="AE88" s="971">
        <f>IFERROR(('12. Разходи'!V88-'12. Разходи'!$S88)/'12. Разходи'!$S88,0)</f>
        <v>0.54956621968944652</v>
      </c>
      <c r="AF88" s="1240">
        <f>'12. Разходи'!W88-'12. Разходи'!$S88</f>
        <v>921.10396030323045</v>
      </c>
      <c r="AG88" s="971">
        <f>IFERROR(('12. Разходи'!W88-'12. Разходи'!$S88)/'12. Разходи'!$S88,0)</f>
        <v>0.65677688028631831</v>
      </c>
      <c r="AH88" s="1237">
        <f>'12. Разходи'!X88-'12. Разходи'!$S88</f>
        <v>963.10278793454427</v>
      </c>
      <c r="AI88" s="977">
        <f>IFERROR(('12. Разходи'!X88-'12. Разходи'!$S88)/'12. Разходи'!$S88,0)</f>
        <v>0.68672340117446695</v>
      </c>
      <c r="AJ88" s="1254">
        <f>'12. Разходи'!AA88</f>
        <v>28.377999999999997</v>
      </c>
      <c r="AK88" s="1238">
        <f>'12. Разходи'!AB88-'12. Разходи'!$AA88</f>
        <v>147.76688261600006</v>
      </c>
      <c r="AL88" s="962">
        <f>IFERROR(('12. Разходи'!AB88-'12. Разходи'!$AA88)/'12. Разходи'!$AA88,0)</f>
        <v>5.2070929105645245</v>
      </c>
      <c r="AM88" s="1237">
        <f>'12. Разходи'!AC88-'12. Разходи'!$AA88</f>
        <v>216.36429233600003</v>
      </c>
      <c r="AN88" s="962">
        <f>IFERROR(('12. Разходи'!AC88-'12. Разходи'!$AA88)/'12. Разходи'!$AA88,0)</f>
        <v>7.6243671976883522</v>
      </c>
      <c r="AO88" s="1237">
        <f>'12. Разходи'!AD88-'12. Разходи'!$AA88</f>
        <v>213.58867517800002</v>
      </c>
      <c r="AP88" s="962">
        <f>IFERROR(('12. Разходи'!AD88-'12. Разходи'!$AA88)/'12. Разходи'!$AA88,0)</f>
        <v>7.5265584318133785</v>
      </c>
      <c r="AQ88" s="1237">
        <f>'12. Разходи'!AE88-'12. Разходи'!$AA88</f>
        <v>211.13843779600003</v>
      </c>
      <c r="AR88" s="975">
        <f>IFERROR(('12. Разходи'!AE88-'12. Разходи'!$AA88)/'12. Разходи'!$AA88,0)</f>
        <v>7.4402155823525291</v>
      </c>
      <c r="AS88" s="1237">
        <f>'12. Разходи'!AF88-'12. Разходи'!$AA88</f>
        <v>208.67105646600004</v>
      </c>
      <c r="AT88" s="977">
        <f>IFERROR(('12. Разходи'!AF88-'12. Разходи'!$AA88)/'12. Разходи'!$AA88,0)</f>
        <v>7.3532686047642564</v>
      </c>
      <c r="AU88" s="1254">
        <f>'12. Разходи'!AI88</f>
        <v>0</v>
      </c>
      <c r="AV88" s="1238">
        <f>'12. Разходи'!AJ88-'12. Разходи'!$AI88</f>
        <v>0</v>
      </c>
      <c r="AW88" s="962">
        <f>IFERROR(('12. Разходи'!AJ88-'12. Разходи'!$AI88)/'12. Разходи'!$AI88,0)</f>
        <v>0</v>
      </c>
      <c r="AX88" s="1237">
        <f>'12. Разходи'!AK88-'12. Разходи'!$AI88</f>
        <v>0</v>
      </c>
      <c r="AY88" s="962">
        <f>IFERROR(('12. Разходи'!AK88-'12. Разходи'!$AI88)/'12. Разходи'!$AI88,0)</f>
        <v>0</v>
      </c>
      <c r="AZ88" s="1237">
        <f>'12. Разходи'!AL88-'12. Разходи'!$AI88</f>
        <v>0</v>
      </c>
      <c r="BA88" s="962">
        <f>IFERROR(('12. Разходи'!AL88-'12. Разходи'!$AI88)/'12. Разходи'!$AI88,0)</f>
        <v>0</v>
      </c>
      <c r="BB88" s="1237">
        <f>'12. Разходи'!AM88-'12. Разходи'!$AI88</f>
        <v>0</v>
      </c>
      <c r="BC88" s="975">
        <f>IFERROR(('12. Разходи'!AM88-'12. Разходи'!$AI88)/'12. Разходи'!$AI88,0)</f>
        <v>0</v>
      </c>
      <c r="BD88" s="1237">
        <f>'12. Разходи'!AN88-'12. Разходи'!$AI88</f>
        <v>0</v>
      </c>
      <c r="BE88" s="977">
        <f>IFERROR(('12. Разходи'!AN88-'12. Разходи'!$AI88)/'12. Разходи'!$AI88,0)</f>
        <v>0</v>
      </c>
      <c r="BF88" s="760"/>
      <c r="BG88" s="760"/>
      <c r="BH88" s="760"/>
      <c r="BI88" s="760"/>
      <c r="BJ88" s="760"/>
      <c r="BK88" s="760"/>
      <c r="BL88" s="760"/>
      <c r="BM88" s="760"/>
      <c r="BN88" s="760"/>
    </row>
    <row r="89" spans="1:66" s="1311" customFormat="1" ht="15.95" customHeight="1" thickBot="1">
      <c r="A89" s="271"/>
      <c r="B89" s="272" t="s">
        <v>1252</v>
      </c>
      <c r="C89" s="1209">
        <f>'12. Разходи'!C89</f>
        <v>3826.6379999999999</v>
      </c>
      <c r="D89" s="1243">
        <f>'12. Разходи'!D89-'12. Разходи'!$C89</f>
        <v>-543.74466416836731</v>
      </c>
      <c r="E89" s="970">
        <f>IFERROR(('12. Разходи'!D89-'12. Разходи'!$C89)/'12. Разходи'!$C89,0)</f>
        <v>-0.14209461782597865</v>
      </c>
      <c r="F89" s="1244">
        <f>'12. Разходи'!E89-'12. Разходи'!$C89</f>
        <v>-1359.4148358626221</v>
      </c>
      <c r="G89" s="970">
        <f>IFERROR(('12. Разходи'!E89-'12. Разходи'!$C89)/'12. Разходи'!$C89,0)</f>
        <v>-0.35525044069039774</v>
      </c>
      <c r="H89" s="1244">
        <f>'12. Разходи'!F89-'12. Разходи'!$C89</f>
        <v>-1712.4255610832101</v>
      </c>
      <c r="I89" s="970">
        <f>IFERROR(('12. Разходи'!F89-'12. Разходи'!$C89)/'12. Разходи'!$C89,0)</f>
        <v>-0.44750132128599834</v>
      </c>
      <c r="J89" s="1244">
        <f>'12. Разходи'!G89-'12. Разходи'!$C89</f>
        <v>-1911.1167949779849</v>
      </c>
      <c r="K89" s="976">
        <f>IFERROR(('12. Разходи'!G89-'12. Разходи'!$C89)/'12. Разходи'!$C89,0)</f>
        <v>-0.49942450657156096</v>
      </c>
      <c r="L89" s="1244">
        <f>'12. Разходи'!H89-'12. Разходи'!$C89</f>
        <v>-2026.4570586497241</v>
      </c>
      <c r="M89" s="976">
        <f>IFERROR(('12. Разходи'!H89-'12. Разходи'!$C89)/'12. Разходи'!$C89,0)</f>
        <v>-0.52956591625592075</v>
      </c>
      <c r="N89" s="1259">
        <f>'12. Разходи'!K89</f>
        <v>6.3</v>
      </c>
      <c r="O89" s="1243">
        <f>'12. Разходи'!L89-'12. Разходи'!$K89</f>
        <v>9.9999999999999645E-2</v>
      </c>
      <c r="P89" s="970">
        <f>IFERROR(('12. Разходи'!L89-'12. Разходи'!$K89)/'12. Разходи'!$K89,0)</f>
        <v>1.5873015873015817E-2</v>
      </c>
      <c r="Q89" s="1244">
        <f>'12. Разходи'!M89-'12. Разходи'!$K89</f>
        <v>9.9999999999999645E-2</v>
      </c>
      <c r="R89" s="970">
        <f>IFERROR(('12. Разходи'!M89-'12. Разходи'!$K89)/'12. Разходи'!$K89,0)</f>
        <v>1.5873015873015817E-2</v>
      </c>
      <c r="S89" s="1244">
        <f>'12. Разходи'!N89-'12. Разходи'!$K89</f>
        <v>226.406740558</v>
      </c>
      <c r="T89" s="970">
        <f>IFERROR(('12. Разходи'!N89-'12. Разходи'!$K89)/'12. Разходи'!$K89,0)</f>
        <v>35.937577866349208</v>
      </c>
      <c r="U89" s="1244">
        <f>'12. Разходи'!O89-'12. Разходи'!$K89</f>
        <v>226.406740558</v>
      </c>
      <c r="V89" s="976">
        <f>IFERROR(('12. Разходи'!O89-'12. Разходи'!$K89)/'12. Разходи'!$K89,0)</f>
        <v>35.937577866349208</v>
      </c>
      <c r="W89" s="1244">
        <f>'12. Разходи'!P89-'12. Разходи'!$K89</f>
        <v>226.406740558</v>
      </c>
      <c r="X89" s="905">
        <f>IFERROR(('12. Разходи'!P89-'12. Разходи'!$K89)/'12. Разходи'!$K89,0)</f>
        <v>35.937577866349208</v>
      </c>
      <c r="Y89" s="1259">
        <f>'12. Разходи'!S89</f>
        <v>422.15</v>
      </c>
      <c r="Z89" s="1243">
        <f>'12. Разходи'!T89-'12. Разходи'!$S89</f>
        <v>-27.823794739113623</v>
      </c>
      <c r="AA89" s="970">
        <f>IFERROR(('12. Разходи'!T89-'12. Разходи'!$S89)/'12. Разходи'!$S89,0)</f>
        <v>-6.5909735257879007E-2</v>
      </c>
      <c r="AB89" s="1244">
        <f>'12. Разходи'!U89-'12. Разходи'!$S89</f>
        <v>-5.640230078231923</v>
      </c>
      <c r="AC89" s="970">
        <f>IFERROR(('12. Разходи'!U89-'12. Разходи'!$S89)/'12. Разходи'!$S89,0)</f>
        <v>-1.3360725046149291E-2</v>
      </c>
      <c r="AD89" s="1244">
        <f>'12. Разходи'!V89-'12. Разходи'!$S89</f>
        <v>567.75666971671524</v>
      </c>
      <c r="AE89" s="970">
        <f>IFERROR(('12. Разходи'!V89-'12. Разходи'!$S89)/'12. Разходи'!$S89,0)</f>
        <v>1.3449169009042172</v>
      </c>
      <c r="AF89" s="1244">
        <f>'12. Разходи'!W89-'12. Разходи'!$S89</f>
        <v>506.24612089168397</v>
      </c>
      <c r="AG89" s="976">
        <f>IFERROR(('12. Разходи'!W89-'12. Разходи'!$S89)/'12. Разходи'!$S89,0)</f>
        <v>1.1992090984050314</v>
      </c>
      <c r="AH89" s="1244">
        <f>'12. Разходи'!X89-'12. Разходи'!$S89</f>
        <v>418.94710695074104</v>
      </c>
      <c r="AI89" s="905">
        <f>IFERROR(('12. Разходи'!X89-'12. Разходи'!$S89)/'12. Разходи'!$S89,0)</f>
        <v>0.99241290287987938</v>
      </c>
      <c r="AJ89" s="1259">
        <f>'12. Разходи'!AA89</f>
        <v>0</v>
      </c>
      <c r="AK89" s="1243">
        <f>'12. Разходи'!AB89-'12. Разходи'!$AA89</f>
        <v>117.50975261600001</v>
      </c>
      <c r="AL89" s="970">
        <f>IFERROR(('12. Разходи'!AB89-'12. Разходи'!$AA89)/'12. Разходи'!$AA89,0)</f>
        <v>0</v>
      </c>
      <c r="AM89" s="1244">
        <f>'12. Разходи'!AC89-'12. Разходи'!$AA89</f>
        <v>174.11516233600003</v>
      </c>
      <c r="AN89" s="970">
        <f>IFERROR(('12. Разходи'!AC89-'12. Разходи'!$AA89)/'12. Разходи'!$AA89,0)</f>
        <v>0</v>
      </c>
      <c r="AO89" s="1244">
        <f>'12. Разходи'!AD89-'12. Разходи'!$AA89</f>
        <v>159.225545178</v>
      </c>
      <c r="AP89" s="970">
        <f>IFERROR(('12. Разходи'!AD89-'12. Разходи'!$AA89)/'12. Разходи'!$AA89,0)</f>
        <v>0</v>
      </c>
      <c r="AQ89" s="1244">
        <f>'12. Разходи'!AE89-'12. Разходи'!$AA89</f>
        <v>149.92230779599998</v>
      </c>
      <c r="AR89" s="976">
        <f>IFERROR(('12. Разходи'!AE89-'12. Разходи'!$AA89)/'12. Разходи'!$AA89,0)</f>
        <v>0</v>
      </c>
      <c r="AS89" s="1244">
        <f>'12. Разходи'!AF89-'12. Разходи'!$AA89</f>
        <v>143.29592646600003</v>
      </c>
      <c r="AT89" s="1309">
        <f>IFERROR(('12. Разходи'!AF89-'12. Разходи'!$AA89)/'12. Разходи'!$AA89,0)</f>
        <v>0</v>
      </c>
      <c r="AU89" s="1259">
        <f>'12. Разходи'!AI89</f>
        <v>0</v>
      </c>
      <c r="AV89" s="1243">
        <f>'12. Разходи'!AJ89-'12. Разходи'!$AI89</f>
        <v>0</v>
      </c>
      <c r="AW89" s="970">
        <f>IFERROR(('12. Разходи'!AJ89-'12. Разходи'!$AI89)/'12. Разходи'!$AI89,0)</f>
        <v>0</v>
      </c>
      <c r="AX89" s="1244">
        <f>'12. Разходи'!AK89-'12. Разходи'!$AI89</f>
        <v>0</v>
      </c>
      <c r="AY89" s="970">
        <f>IFERROR(('12. Разходи'!AK89-'12. Разходи'!$AI89)/'12. Разходи'!$AI89,0)</f>
        <v>0</v>
      </c>
      <c r="AZ89" s="1244">
        <f>'12. Разходи'!AL89-'12. Разходи'!$AI89</f>
        <v>0</v>
      </c>
      <c r="BA89" s="970">
        <f>IFERROR(('12. Разходи'!AL89-'12. Разходи'!$AI89)/'12. Разходи'!$AI89,0)</f>
        <v>0</v>
      </c>
      <c r="BB89" s="1244">
        <f>'12. Разходи'!AM89-'12. Разходи'!$AI89</f>
        <v>0</v>
      </c>
      <c r="BC89" s="976">
        <f>IFERROR(('12. Разходи'!AM89-'12. Разходи'!$AI89)/'12. Разходи'!$AI89,0)</f>
        <v>0</v>
      </c>
      <c r="BD89" s="1244">
        <f>'12. Разходи'!AN89-'12. Разходи'!$AI89</f>
        <v>0</v>
      </c>
      <c r="BE89" s="1309">
        <f>IFERROR(('12. Разходи'!AN89-'12. Разходи'!$AI89)/'12. Разходи'!$AI89,0)</f>
        <v>0</v>
      </c>
      <c r="BF89" s="1310"/>
      <c r="BG89" s="1310"/>
      <c r="BH89" s="1310"/>
      <c r="BI89" s="1310"/>
      <c r="BJ89" s="1310"/>
      <c r="BK89" s="1310"/>
      <c r="BL89" s="1310"/>
      <c r="BM89" s="1310"/>
      <c r="BN89" s="1310"/>
    </row>
    <row r="90" spans="1:66" s="1312" customFormat="1" ht="15.95" customHeight="1" thickBot="1">
      <c r="A90" s="271"/>
      <c r="B90" s="272" t="s">
        <v>643</v>
      </c>
      <c r="C90" s="1209">
        <f>'12. Разходи'!C90</f>
        <v>1904.0797599999999</v>
      </c>
      <c r="D90" s="1245">
        <f>'12. Разходи'!D90-'12. Разходи'!$C90</f>
        <v>200.54024000000004</v>
      </c>
      <c r="E90" s="970">
        <f>IFERROR(('12. Разходи'!D90-'12. Разходи'!$C90)/'12. Разходи'!$C90,0)</f>
        <v>0.10532134431175302</v>
      </c>
      <c r="F90" s="1246">
        <f>'12. Разходи'!E90-'12. Разходи'!$C90</f>
        <v>248.54024000000004</v>
      </c>
      <c r="G90" s="970">
        <f>IFERROR(('12. Разходи'!E90-'12. Разходи'!$C90)/'12. Разходи'!$C90,0)</f>
        <v>0.13053037232011755</v>
      </c>
      <c r="H90" s="1246">
        <f>'12. Разходи'!F90-'12. Разходи'!$C90</f>
        <v>309.54024000000004</v>
      </c>
      <c r="I90" s="970">
        <f>IFERROR(('12. Разходи'!F90-'12. Разходи'!$C90)/'12. Разходи'!$C90,0)</f>
        <v>0.16256684541408079</v>
      </c>
      <c r="J90" s="1246">
        <f>'12. Разходи'!G90-'12. Разходи'!$C90</f>
        <v>381.54024000000004</v>
      </c>
      <c r="K90" s="976">
        <f>IFERROR(('12. Разходи'!G90-'12. Разходи'!$C90)/'12. Разходи'!$C90,0)</f>
        <v>0.20038038742662759</v>
      </c>
      <c r="L90" s="1246">
        <f>'12. Разходи'!H90-'12. Разходи'!$C90</f>
        <v>381.54024000000004</v>
      </c>
      <c r="M90" s="976">
        <f>IFERROR(('12. Разходи'!H90-'12. Разходи'!$C90)/'12. Разходи'!$C90,0)</f>
        <v>0.20038038742662759</v>
      </c>
      <c r="N90" s="1259">
        <f>'12. Разходи'!K90</f>
        <v>94.536370000000005</v>
      </c>
      <c r="O90" s="1245">
        <f>'12. Разходи'!L90-'12. Разходи'!$K90</f>
        <v>203.01863</v>
      </c>
      <c r="P90" s="970">
        <f>IFERROR(('12. Разходи'!L90-'12. Разходи'!$K90)/'12. Разходи'!$K90,0)</f>
        <v>2.1475187803381917</v>
      </c>
      <c r="Q90" s="1246">
        <f>'12. Разходи'!M90-'12. Разходи'!$K90</f>
        <v>209.01863</v>
      </c>
      <c r="R90" s="970">
        <f>IFERROR(('12. Разходи'!M90-'12. Разходи'!$K90)/'12. Разходи'!$K90,0)</f>
        <v>2.2109864171852589</v>
      </c>
      <c r="S90" s="1246">
        <f>'12. Разходи'!N90-'12. Разходи'!$K90</f>
        <v>213.01863</v>
      </c>
      <c r="T90" s="970">
        <f>IFERROR(('12. Разходи'!N90-'12. Разходи'!$K90)/'12. Разходи'!$K90,0)</f>
        <v>2.2532981750833039</v>
      </c>
      <c r="U90" s="1246">
        <f>'12. Разходи'!O90-'12. Разходи'!$K90</f>
        <v>219.01863</v>
      </c>
      <c r="V90" s="976">
        <f>IFERROR(('12. Разходи'!O90-'12. Разходи'!$K90)/'12. Разходи'!$K90,0)</f>
        <v>2.3167658119303711</v>
      </c>
      <c r="W90" s="1246">
        <f>'12. Разходи'!P90-'12. Разходи'!$K90</f>
        <v>223.01863</v>
      </c>
      <c r="X90" s="905">
        <f>IFERROR(('12. Разходи'!P90-'12. Разходи'!$K90)/'12. Разходи'!$K90,0)</f>
        <v>2.3590775698284161</v>
      </c>
      <c r="Y90" s="1259">
        <f>'12. Разходи'!S90</f>
        <v>24.60191</v>
      </c>
      <c r="Z90" s="1245">
        <f>'12. Разходи'!T90-'12. Разходи'!$S90</f>
        <v>5.3980899999999998</v>
      </c>
      <c r="AA90" s="970">
        <f>IFERROR(('12. Разходи'!T90-'12. Разходи'!$S90)/'12. Разходи'!$S90,0)</f>
        <v>0.2194175167700394</v>
      </c>
      <c r="AB90" s="1246">
        <f>'12. Разходи'!U90-'12. Разходи'!$S90</f>
        <v>5.3980899999999998</v>
      </c>
      <c r="AC90" s="970">
        <f>IFERROR(('12. Разходи'!U90-'12. Разходи'!$S90)/'12. Разходи'!$S90,0)</f>
        <v>0.2194175167700394</v>
      </c>
      <c r="AD90" s="1246">
        <f>'12. Разходи'!V90-'12. Разходи'!$S90</f>
        <v>5.3980899999999998</v>
      </c>
      <c r="AE90" s="970">
        <f>IFERROR(('12. Разходи'!V90-'12. Разходи'!$S90)/'12. Разходи'!$S90,0)</f>
        <v>0.2194175167700394</v>
      </c>
      <c r="AF90" s="1246">
        <f>'12. Разходи'!W90-'12. Разходи'!$S90</f>
        <v>5.3980899999999998</v>
      </c>
      <c r="AG90" s="976">
        <f>IFERROR(('12. Разходи'!W90-'12. Разходи'!$S90)/'12. Разходи'!$S90,0)</f>
        <v>0.2194175167700394</v>
      </c>
      <c r="AH90" s="1246">
        <f>'12. Разходи'!X90-'12. Разходи'!$S90</f>
        <v>5.3980899999999998</v>
      </c>
      <c r="AI90" s="905">
        <f>IFERROR(('12. Разходи'!X90-'12. Разходи'!$S90)/'12. Разходи'!$S90,0)</f>
        <v>0.2194175167700394</v>
      </c>
      <c r="AJ90" s="1259">
        <f>'12. Разходи'!AA90</f>
        <v>1</v>
      </c>
      <c r="AK90" s="1245">
        <f>'12. Разходи'!AB90-'12. Разходи'!$AA90</f>
        <v>0</v>
      </c>
      <c r="AL90" s="970">
        <f>IFERROR(('12. Разходи'!AB90-'12. Разходи'!$AA90)/'12. Разходи'!$AA90,0)</f>
        <v>0</v>
      </c>
      <c r="AM90" s="1246">
        <f>'12. Разходи'!AC90-'12. Разходи'!$AA90</f>
        <v>12.2</v>
      </c>
      <c r="AN90" s="970">
        <f>IFERROR(('12. Разходи'!AC90-'12. Разходи'!$AA90)/'12. Разходи'!$AA90,0)</f>
        <v>12.2</v>
      </c>
      <c r="AO90" s="1246">
        <f>'12. Разходи'!AD90-'12. Разходи'!$AA90</f>
        <v>21.265000000000001</v>
      </c>
      <c r="AP90" s="970">
        <f>IFERROR(('12. Разходи'!AD90-'12. Разходи'!$AA90)/'12. Разходи'!$AA90,0)</f>
        <v>21.265000000000001</v>
      </c>
      <c r="AQ90" s="1246">
        <f>'12. Разходи'!AE90-'12. Разходи'!$AA90</f>
        <v>27.698999999999998</v>
      </c>
      <c r="AR90" s="976">
        <f>IFERROR(('12. Разходи'!AE90-'12. Разходи'!$AA90)/'12. Разходи'!$AA90,0)</f>
        <v>27.698999999999998</v>
      </c>
      <c r="AS90" s="1246">
        <f>'12. Разходи'!AF90-'12. Разходи'!$AA90</f>
        <v>21</v>
      </c>
      <c r="AT90" s="1309">
        <f>IFERROR(('12. Разходи'!AF90-'12. Разходи'!$AA90)/'12. Разходи'!$AA90,0)</f>
        <v>21</v>
      </c>
      <c r="AU90" s="1259">
        <f>'12. Разходи'!AI90</f>
        <v>0</v>
      </c>
      <c r="AV90" s="1245">
        <f>'12. Разходи'!AJ90-'12. Разходи'!$AI90</f>
        <v>0</v>
      </c>
      <c r="AW90" s="970">
        <f>IFERROR(('12. Разходи'!AJ90-'12. Разходи'!$AI90)/'12. Разходи'!$AI90,0)</f>
        <v>0</v>
      </c>
      <c r="AX90" s="1246">
        <f>'12. Разходи'!AK90-'12. Разходи'!$AI90</f>
        <v>0</v>
      </c>
      <c r="AY90" s="970">
        <f>IFERROR(('12. Разходи'!AK90-'12. Разходи'!$AI90)/'12. Разходи'!$AI90,0)</f>
        <v>0</v>
      </c>
      <c r="AZ90" s="1246">
        <f>'12. Разходи'!AL90-'12. Разходи'!$AI90</f>
        <v>0</v>
      </c>
      <c r="BA90" s="970">
        <f>IFERROR(('12. Разходи'!AL90-'12. Разходи'!$AI90)/'12. Разходи'!$AI90,0)</f>
        <v>0</v>
      </c>
      <c r="BB90" s="1246">
        <f>'12. Разходи'!AM90-'12. Разходи'!$AI90</f>
        <v>0</v>
      </c>
      <c r="BC90" s="976">
        <f>IFERROR(('12. Разходи'!AM90-'12. Разходи'!$AI90)/'12. Разходи'!$AI90,0)</f>
        <v>0</v>
      </c>
      <c r="BD90" s="1246">
        <f>'12. Разходи'!AN90-'12. Разходи'!$AI90</f>
        <v>0</v>
      </c>
      <c r="BE90" s="1309">
        <f>IFERROR(('12. Разходи'!AN90-'12. Разходи'!$AI90)/'12. Разходи'!$AI90,0)</f>
        <v>0</v>
      </c>
      <c r="BF90" s="760"/>
      <c r="BG90" s="760"/>
      <c r="BH90" s="760"/>
      <c r="BI90" s="760"/>
      <c r="BJ90" s="760"/>
      <c r="BK90" s="760"/>
      <c r="BL90" s="760"/>
      <c r="BM90" s="760"/>
      <c r="BN90" s="760"/>
    </row>
    <row r="91" spans="1:66" s="1312" customFormat="1" ht="15.95" customHeight="1" thickBot="1">
      <c r="A91" s="271"/>
      <c r="B91" s="272" t="s">
        <v>1250</v>
      </c>
      <c r="C91" s="1209">
        <f>'12. Разходи'!C91</f>
        <v>10801.653</v>
      </c>
      <c r="D91" s="1243">
        <f>'12. Разходи'!D91-'12. Разходи'!$C91</f>
        <v>-624.60866416836689</v>
      </c>
      <c r="E91" s="970">
        <f>IFERROR(('12. Разходи'!D91-'12. Разходи'!$C91)/'12. Разходи'!$C91,0)</f>
        <v>-5.7825285090010468E-2</v>
      </c>
      <c r="F91" s="1244">
        <f>'12. Разходи'!E91-'12. Разходи'!$C91</f>
        <v>-635.84983586262206</v>
      </c>
      <c r="G91" s="970">
        <f>IFERROR(('12. Разходи'!E91-'12. Разходи'!$C91)/'12. Разходи'!$C91,0)</f>
        <v>-5.8865975037581939E-2</v>
      </c>
      <c r="H91" s="1244">
        <f>'12. Разходи'!F91-'12. Разходи'!$C91</f>
        <v>-212.06056108320809</v>
      </c>
      <c r="I91" s="970">
        <f>IFERROR(('12. Разходи'!F91-'12. Разходи'!$C91)/'12. Разходи'!$C91,0)</f>
        <v>-1.9632232315110295E-2</v>
      </c>
      <c r="J91" s="1244">
        <f>'12. Разходи'!G91-'12. Разходи'!$C91</f>
        <v>482.54820502201437</v>
      </c>
      <c r="K91" s="976">
        <f>IFERROR(('12. Разходи'!G91-'12. Разходи'!$C91)/'12. Разходи'!$C91,0)</f>
        <v>4.467355181859798E-2</v>
      </c>
      <c r="L91" s="1244">
        <f>'12. Разходи'!H91-'12. Разходи'!$C91</f>
        <v>658.60794135027754</v>
      </c>
      <c r="M91" s="976">
        <f>IFERROR(('12. Разходи'!H91-'12. Разходи'!$C91)/'12. Разходи'!$C91,0)</f>
        <v>6.0972884552973283E-2</v>
      </c>
      <c r="N91" s="1259">
        <f>'12. Разходи'!K91</f>
        <v>351.58500000000004</v>
      </c>
      <c r="O91" s="1243">
        <f>'12. Разходи'!L91-'12. Разходи'!$K91</f>
        <v>247.71499999999992</v>
      </c>
      <c r="P91" s="970">
        <f>IFERROR(('12. Разходи'!L91-'12. Разходи'!$K91)/'12. Разходи'!$K91,0)</f>
        <v>0.70456646330190398</v>
      </c>
      <c r="Q91" s="1244">
        <f>'12. Разходи'!M91-'12. Разходи'!$K91</f>
        <v>298.34399999999994</v>
      </c>
      <c r="R91" s="970">
        <f>IFERROR(('12. Разходи'!M91-'12. Разходи'!$K91)/'12. Разходи'!$K91,0)</f>
        <v>0.84856862494133678</v>
      </c>
      <c r="S91" s="1244">
        <f>'12. Разходи'!N91-'12. Разходи'!$K91</f>
        <v>572.87074055800008</v>
      </c>
      <c r="T91" s="970">
        <f>IFERROR(('12. Разходи'!N91-'12. Разходи'!$K91)/'12. Разходи'!$K91,0)</f>
        <v>1.6293947141032752</v>
      </c>
      <c r="U91" s="1244">
        <f>'12. Разходи'!O91-'12. Разходи'!$K91</f>
        <v>623.00074055800007</v>
      </c>
      <c r="V91" s="976">
        <f>IFERROR(('12. Разходи'!O91-'12. Разходи'!$K91)/'12. Разходи'!$K91,0)</f>
        <v>1.7719775887992946</v>
      </c>
      <c r="W91" s="1244">
        <f>'12. Разходи'!P91-'12. Разходи'!$K91</f>
        <v>661.63074055800007</v>
      </c>
      <c r="X91" s="905">
        <f>IFERROR(('12. Разходи'!P91-'12. Разходи'!$K91)/'12. Разходи'!$K91,0)</f>
        <v>1.881851445761338</v>
      </c>
      <c r="Y91" s="1259">
        <f>'12. Разходи'!S91</f>
        <v>1368.0810000000001</v>
      </c>
      <c r="Z91" s="1243">
        <f>'12. Разходи'!T91-'12. Разходи'!$S91</f>
        <v>230.67920526088619</v>
      </c>
      <c r="AA91" s="970">
        <f>IFERROR(('12. Разходи'!T91-'12. Разходи'!$S91)/'12. Разходи'!$S91,0)</f>
        <v>0.16861516625176884</v>
      </c>
      <c r="AB91" s="1244">
        <f>'12. Разходи'!U91-'12. Разходи'!$S91</f>
        <v>408.04176992176781</v>
      </c>
      <c r="AC91" s="970">
        <f>IFERROR(('12. Разходи'!U91-'12. Разходи'!$S91)/'12. Разходи'!$S91,0)</f>
        <v>0.29825848756160472</v>
      </c>
      <c r="AD91" s="1244">
        <f>'12. Разходи'!V91-'12. Разходи'!$S91</f>
        <v>685.98566971671517</v>
      </c>
      <c r="AE91" s="970">
        <f>IFERROR(('12. Разходи'!V91-'12. Разходи'!$S91)/'12. Разходи'!$S91,0)</f>
        <v>0.50142182350073938</v>
      </c>
      <c r="AF91" s="1244">
        <f>'12. Разходи'!W91-'12. Разходи'!$S91</f>
        <v>752.57512089168358</v>
      </c>
      <c r="AG91" s="976">
        <f>IFERROR(('12. Разходи'!W91-'12. Разходи'!$S91)/'12. Разходи'!$S91,0)</f>
        <v>0.5500954409071418</v>
      </c>
      <c r="AH91" s="1244">
        <f>'12. Разходи'!X91-'12. Разходи'!$S91</f>
        <v>794.14610695074043</v>
      </c>
      <c r="AI91" s="905">
        <f>IFERROR(('12. Разходи'!X91-'12. Разходи'!$S91)/'12. Разходи'!$S91,0)</f>
        <v>0.58048178941944251</v>
      </c>
      <c r="AJ91" s="1259">
        <f>'12. Разходи'!AA91</f>
        <v>27.577999999999996</v>
      </c>
      <c r="AK91" s="1243">
        <f>'12. Разходи'!AB91-'12. Разходи'!$AA91</f>
        <v>147.69375261600004</v>
      </c>
      <c r="AL91" s="970">
        <f>IFERROR(('12. Разходи'!AB91-'12. Разходи'!$AA91)/'12. Разходи'!$AA91,0)</f>
        <v>5.3554917911378661</v>
      </c>
      <c r="AM91" s="1244">
        <f>'12. Разходи'!AC91-'12. Разходи'!$AA91</f>
        <v>216.19116233600002</v>
      </c>
      <c r="AN91" s="970">
        <f>IFERROR(('12. Разходи'!AC91-'12. Разходи'!$AA91)/'12. Разходи'!$AA91,0)</f>
        <v>7.8392618150699853</v>
      </c>
      <c r="AO91" s="1244">
        <f>'12. Разходи'!AD91-'12. Разходи'!$AA91</f>
        <v>214.165545178</v>
      </c>
      <c r="AP91" s="970">
        <f>IFERROR(('12. Разходи'!AD91-'12. Разходи'!$AA91)/'12. Разходи'!$AA91,0)</f>
        <v>7.7658113415766206</v>
      </c>
      <c r="AQ91" s="1244">
        <f>'12. Разходи'!AE91-'12. Разходи'!$AA91</f>
        <v>211.71530779600002</v>
      </c>
      <c r="AR91" s="976">
        <f>IFERROR(('12. Разходи'!AE91-'12. Разходи'!$AA91)/'12. Разходи'!$AA91,0)</f>
        <v>7.6769638043367916</v>
      </c>
      <c r="AS91" s="1244">
        <f>'12. Разходи'!AF91-'12. Разходи'!$AA91</f>
        <v>209.24792646600002</v>
      </c>
      <c r="AT91" s="1309">
        <f>IFERROR(('12. Разходи'!AF91-'12. Разходи'!$AA91)/'12. Разходи'!$AA91,0)</f>
        <v>7.5874946140401791</v>
      </c>
      <c r="AU91" s="1259">
        <f>'12. Разходи'!AI91</f>
        <v>0</v>
      </c>
      <c r="AV91" s="1243">
        <f>'12. Разходи'!AJ91-'12. Разходи'!$AI91</f>
        <v>0</v>
      </c>
      <c r="AW91" s="970">
        <f>IFERROR(('12. Разходи'!AJ91-'12. Разходи'!$AI91)/'12. Разходи'!$AI91,0)</f>
        <v>0</v>
      </c>
      <c r="AX91" s="1244">
        <f>'12. Разходи'!AK91-'12. Разходи'!$AI91</f>
        <v>0</v>
      </c>
      <c r="AY91" s="970">
        <f>IFERROR(('12. Разходи'!AK91-'12. Разходи'!$AI91)/'12. Разходи'!$AI91,0)</f>
        <v>0</v>
      </c>
      <c r="AZ91" s="1244">
        <f>'12. Разходи'!AL91-'12. Разходи'!$AI91</f>
        <v>0</v>
      </c>
      <c r="BA91" s="970">
        <f>IFERROR(('12. Разходи'!AL91-'12. Разходи'!$AI91)/'12. Разходи'!$AI91,0)</f>
        <v>0</v>
      </c>
      <c r="BB91" s="1244">
        <f>'12. Разходи'!AM91-'12. Разходи'!$AI91</f>
        <v>0</v>
      </c>
      <c r="BC91" s="976">
        <f>IFERROR(('12. Разходи'!AM91-'12. Разходи'!$AI91)/'12. Разходи'!$AI91,0)</f>
        <v>0</v>
      </c>
      <c r="BD91" s="1244">
        <f>'12. Разходи'!AN91-'12. Разходи'!$AI91</f>
        <v>0</v>
      </c>
      <c r="BE91" s="1309">
        <f>IFERROR(('12. Разходи'!AN91-'12. Разходи'!$AI91)/'12. Разходи'!$AI91,0)</f>
        <v>0</v>
      </c>
      <c r="BF91" s="760"/>
      <c r="BG91" s="760"/>
      <c r="BH91" s="760"/>
      <c r="BI91" s="760"/>
      <c r="BJ91" s="760"/>
      <c r="BK91" s="760"/>
      <c r="BL91" s="760"/>
      <c r="BM91" s="760"/>
      <c r="BN91" s="760"/>
    </row>
    <row r="92" spans="1:66" s="1318" customFormat="1" ht="15.95" customHeight="1">
      <c r="A92" s="862"/>
      <c r="B92" s="863" t="s">
        <v>1592</v>
      </c>
      <c r="C92" s="1210">
        <f>'12. Разходи'!C92</f>
        <v>6438</v>
      </c>
      <c r="D92" s="1247">
        <f>'12. Разходи'!D92-'12. Разходи'!$C92</f>
        <v>1037</v>
      </c>
      <c r="E92" s="1313">
        <f>IFERROR(('12. Разходи'!D92-'12. Разходи'!$C92)/'12. Разходи'!$C92,0)</f>
        <v>0.16107486797141971</v>
      </c>
      <c r="F92" s="1248">
        <f>'12. Разходи'!E92-'12. Разходи'!$C92</f>
        <v>1080</v>
      </c>
      <c r="G92" s="1314">
        <f>IFERROR(('12. Разходи'!E92-'12. Разходи'!$C92)/'12. Разходи'!$C92,0)</f>
        <v>0.16775396085740912</v>
      </c>
      <c r="H92" s="1248">
        <f>'12. Разходи'!F92-'12. Разходи'!$C92</f>
        <v>1331</v>
      </c>
      <c r="I92" s="1314">
        <f>IFERROR(('12. Разходи'!F92-'12. Разходи'!$C92)/'12. Разходи'!$C92,0)</f>
        <v>0.20674122398260331</v>
      </c>
      <c r="J92" s="1248">
        <f>'12. Разходи'!G92-'12. Разходи'!$C92</f>
        <v>1754</v>
      </c>
      <c r="K92" s="1315">
        <f>IFERROR(('12. Разходи'!G92-'12. Разходи'!$C92)/'12. Разходи'!$C92,0)</f>
        <v>0.27244485865175522</v>
      </c>
      <c r="L92" s="1249">
        <f>'12. Разходи'!H92-'12. Разходи'!$C92</f>
        <v>1902</v>
      </c>
      <c r="M92" s="1315">
        <f>IFERROR(('12. Разходи'!H92-'12. Разходи'!$C92)/'12. Разходи'!$C92,0)</f>
        <v>0.29543336439888163</v>
      </c>
      <c r="N92" s="1260">
        <f>'12. Разходи'!K92</f>
        <v>250</v>
      </c>
      <c r="O92" s="1247">
        <f>'12. Разходи'!L92-'12. Разходи'!$K92</f>
        <v>2</v>
      </c>
      <c r="P92" s="1313">
        <f>IFERROR(('12. Разходи'!L92-'12. Разходи'!$K92)/'12. Разходи'!$K92,0)</f>
        <v>8.0000000000000002E-3</v>
      </c>
      <c r="Q92" s="1248">
        <f>'12. Разходи'!M92-'12. Разходи'!$K92</f>
        <v>76</v>
      </c>
      <c r="R92" s="1314">
        <f>IFERROR(('12. Разходи'!M92-'12. Разходи'!$K92)/'12. Разходи'!$K92,0)</f>
        <v>0.30399999999999999</v>
      </c>
      <c r="S92" s="1248">
        <f>'12. Разходи'!N92-'12. Разходи'!$K92</f>
        <v>334</v>
      </c>
      <c r="T92" s="1314">
        <f>IFERROR(('12. Разходи'!N92-'12. Разходи'!$K92)/'12. Разходи'!$K92,0)</f>
        <v>1.3360000000000001</v>
      </c>
      <c r="U92" s="1248">
        <f>'12. Разходи'!O92-'12. Разходи'!$K92</f>
        <v>351</v>
      </c>
      <c r="V92" s="1315">
        <f>IFERROR(('12. Разходи'!O92-'12. Разходи'!$K92)/'12. Разходи'!$K92,0)</f>
        <v>1.4039999999999999</v>
      </c>
      <c r="W92" s="1249">
        <f>'12. Разходи'!P92-'12. Разходи'!$K92</f>
        <v>386</v>
      </c>
      <c r="X92" s="1316">
        <f>IFERROR(('12. Разходи'!P92-'12. Разходи'!$K92)/'12. Разходи'!$K92,0)</f>
        <v>1.544</v>
      </c>
      <c r="Y92" s="1317">
        <f>'12. Разходи'!S92</f>
        <v>798</v>
      </c>
      <c r="Z92" s="1247">
        <f>'12. Разходи'!T92-'12. Разходи'!$S92</f>
        <v>220</v>
      </c>
      <c r="AA92" s="1313">
        <f>IFERROR(('12. Разходи'!T92-'12. Разходи'!$S92)/'12. Разходи'!$S92,0)</f>
        <v>0.27568922305764409</v>
      </c>
      <c r="AB92" s="1248">
        <f>'12. Разходи'!U92-'12. Разходи'!$S92</f>
        <v>522</v>
      </c>
      <c r="AC92" s="1314">
        <f>IFERROR(('12. Разходи'!U92-'12. Разходи'!$S92)/'12. Разходи'!$S92,0)</f>
        <v>0.65413533834586468</v>
      </c>
      <c r="AD92" s="1248">
        <f>'12. Разходи'!V92-'12. Разходи'!$S92</f>
        <v>947</v>
      </c>
      <c r="AE92" s="1314">
        <f>IFERROR(('12. Разходи'!V92-'12. Разходи'!$S92)/'12. Разходи'!$S92,0)</f>
        <v>1.1867167919799499</v>
      </c>
      <c r="AF92" s="1248">
        <f>'12. Разходи'!W92-'12. Разходи'!$S92</f>
        <v>1039</v>
      </c>
      <c r="AG92" s="1315">
        <f>IFERROR(('12. Разходи'!W92-'12. Разходи'!$S92)/'12. Разходи'!$S92,0)</f>
        <v>1.3020050125313283</v>
      </c>
      <c r="AH92" s="1249">
        <f>'12. Разходи'!X92-'12. Разходи'!$S92</f>
        <v>1096</v>
      </c>
      <c r="AI92" s="1316">
        <f>IFERROR(('12. Разходи'!X92-'12. Разходи'!$S92)/'12. Разходи'!$S92,0)</f>
        <v>1.3734335839598997</v>
      </c>
      <c r="AJ92" s="1317">
        <f>'12. Разходи'!AA92</f>
        <v>3</v>
      </c>
      <c r="AK92" s="1247">
        <f>'12. Разходи'!AB92-'12. Разходи'!$AA92</f>
        <v>6</v>
      </c>
      <c r="AL92" s="1313">
        <f>IFERROR(('12. Разходи'!AB92-'12. Разходи'!$AA92)/'12. Разходи'!$AA92,0)</f>
        <v>2</v>
      </c>
      <c r="AM92" s="1248">
        <f>'12. Разходи'!AC92-'12. Разходи'!$AA92</f>
        <v>22</v>
      </c>
      <c r="AN92" s="1314">
        <f>IFERROR(('12. Разходи'!AC92-'12. Разходи'!$AA92)/'12. Разходи'!$AA92,0)</f>
        <v>7.333333333333333</v>
      </c>
      <c r="AO92" s="1248">
        <f>'12. Разходи'!AD92-'12. Разходи'!$AA92</f>
        <v>22</v>
      </c>
      <c r="AP92" s="1314">
        <f>IFERROR(('12. Разходи'!AD92-'12. Разходи'!$AA92)/'12. Разходи'!$AA92,0)</f>
        <v>7.333333333333333</v>
      </c>
      <c r="AQ92" s="1248">
        <f>'12. Разходи'!AE92-'12. Разходи'!$AA92</f>
        <v>22</v>
      </c>
      <c r="AR92" s="1315">
        <f>IFERROR(('12. Разходи'!AE92-'12. Разходи'!$AA92)/'12. Разходи'!$AA92,0)</f>
        <v>7.333333333333333</v>
      </c>
      <c r="AS92" s="1249">
        <f>'12. Разходи'!AF92-'12. Разходи'!$AA92</f>
        <v>22</v>
      </c>
      <c r="AT92" s="1316">
        <f>IFERROR(('12. Разходи'!AF92-'12. Разходи'!$AA92)/'12. Разходи'!$AA92,0)</f>
        <v>7.333333333333333</v>
      </c>
      <c r="AU92" s="1317">
        <f>'12. Разходи'!AI92</f>
        <v>0</v>
      </c>
      <c r="AV92" s="1247">
        <f>'12. Разходи'!AJ92-'12. Разходи'!$AI92</f>
        <v>0</v>
      </c>
      <c r="AW92" s="1313">
        <f>IFERROR(('12. Разходи'!AJ92-'12. Разходи'!$AI92)/'12. Разходи'!$AI92,0)</f>
        <v>0</v>
      </c>
      <c r="AX92" s="1248">
        <f>'12. Разходи'!AK92-'12. Разходи'!$AI92</f>
        <v>0</v>
      </c>
      <c r="AY92" s="1314">
        <f>IFERROR(('12. Разходи'!AK92-'12. Разходи'!$AI92)/'12. Разходи'!$AI92,0)</f>
        <v>0</v>
      </c>
      <c r="AZ92" s="1248">
        <f>'12. Разходи'!AL92-'12. Разходи'!$AI92</f>
        <v>0</v>
      </c>
      <c r="BA92" s="1314">
        <f>IFERROR(('12. Разходи'!AL92-'12. Разходи'!$AI92)/'12. Разходи'!$AI92,0)</f>
        <v>0</v>
      </c>
      <c r="BB92" s="1248">
        <f>'12. Разходи'!AM92-'12. Разходи'!$AI92</f>
        <v>0</v>
      </c>
      <c r="BC92" s="1315">
        <f>IFERROR(('12. Разходи'!AM92-'12. Разходи'!$AI92)/'12. Разходи'!$AI92,0)</f>
        <v>0</v>
      </c>
      <c r="BD92" s="1249">
        <f>'12. Разходи'!AN92-'12. Разходи'!$AI92</f>
        <v>0</v>
      </c>
      <c r="BE92" s="1316">
        <f>IFERROR(('12. Разходи'!AN92-'12. Разходи'!$AI92)/'12. Разходи'!$AI92,0)</f>
        <v>0</v>
      </c>
      <c r="BF92" s="1310"/>
      <c r="BG92" s="1310"/>
      <c r="BH92" s="1310"/>
      <c r="BI92" s="1310"/>
      <c r="BJ92" s="1310"/>
      <c r="BK92" s="1310"/>
      <c r="BL92" s="1310"/>
      <c r="BM92" s="1310"/>
      <c r="BN92" s="1310"/>
    </row>
    <row r="93" spans="1:66" s="1320" customFormat="1" ht="15.95" customHeight="1">
      <c r="A93" s="3908"/>
      <c r="B93" s="3907" t="s">
        <v>1594</v>
      </c>
      <c r="C93" s="3909">
        <f>'12. Разходи'!C93</f>
        <v>4363.6530000000002</v>
      </c>
      <c r="D93" s="1247">
        <f>'12. Разходи'!D93-'12. Разходи'!$C93</f>
        <v>-1661.6086641683669</v>
      </c>
      <c r="E93" s="1313">
        <f>IFERROR(('12. Разходи'!D93-'12. Разходи'!$C93)/'12. Разходи'!$C93,0)</f>
        <v>-0.38078386713342394</v>
      </c>
      <c r="F93" s="1248">
        <f>'12. Разходи'!E93-'12. Разходи'!$C93</f>
        <v>-1715.8498358626221</v>
      </c>
      <c r="G93" s="1314">
        <f>IFERROR(('12. Разходи'!E93-'12. Разходи'!$C93)/'12. Разходи'!$C93,0)</f>
        <v>-0.39321408825647275</v>
      </c>
      <c r="H93" s="1248">
        <f>'12. Разходи'!F93-'12. Разходи'!$C93</f>
        <v>-1543.0605610832081</v>
      </c>
      <c r="I93" s="1314">
        <f>IFERROR(('12. Разходи'!F93-'12. Разходи'!$C93)/'12. Разходи'!$C93,0)</f>
        <v>-0.35361669708457755</v>
      </c>
      <c r="J93" s="1248">
        <f>'12. Разходи'!G93-'12. Разходи'!$C93</f>
        <v>-1271.4517949779856</v>
      </c>
      <c r="K93" s="1315">
        <f>IFERROR(('12. Разходи'!G93-'12. Разходи'!$C93)/'12. Разходи'!$C93,0)</f>
        <v>-0.29137325882190579</v>
      </c>
      <c r="L93" s="1249">
        <f>'12. Разходи'!H93-'12. Разходи'!$C93</f>
        <v>-1243.3920586497225</v>
      </c>
      <c r="M93" s="1315">
        <f>IFERROR(('12. Разходи'!H93-'12. Разходи'!$C93)/'12. Разходи'!$C93,0)</f>
        <v>-0.28494292709565183</v>
      </c>
      <c r="N93" s="1260">
        <f>'12. Разходи'!K93</f>
        <v>101.58500000000004</v>
      </c>
      <c r="O93" s="1247">
        <f>'12. Разходи'!L93-'12. Разходи'!$K93</f>
        <v>245.71499999999992</v>
      </c>
      <c r="P93" s="1313">
        <f>IFERROR(('12. Разходи'!L93-'12. Разходи'!$K93)/'12. Разходи'!$K93,0)</f>
        <v>2.4188118324555772</v>
      </c>
      <c r="Q93" s="1248">
        <f>'12. Разходи'!M93-'12. Разходи'!$K93</f>
        <v>222.34399999999994</v>
      </c>
      <c r="R93" s="1314">
        <f>IFERROR(('12. Разходи'!M93-'12. Разходи'!$K93)/'12. Разходи'!$K93,0)</f>
        <v>2.1887483388295501</v>
      </c>
      <c r="S93" s="1248">
        <f>'12. Разходи'!N93-'12. Разходи'!$K93</f>
        <v>238.87074055800008</v>
      </c>
      <c r="T93" s="1314">
        <f>IFERROR(('12. Разходи'!N93-'12. Разходи'!$K93)/'12. Разходи'!$K93,0)</f>
        <v>2.3514371271152235</v>
      </c>
      <c r="U93" s="1248">
        <f>'12. Разходи'!O93-'12. Разходи'!$K93</f>
        <v>272.00074055800007</v>
      </c>
      <c r="V93" s="1315">
        <f>IFERROR(('12. Разходи'!O93-'12. Разходи'!$K93)/'12. Разходи'!$K93,0)</f>
        <v>2.6775679535167591</v>
      </c>
      <c r="W93" s="1249">
        <f>'12. Разходи'!P93-'12. Разходи'!$K93</f>
        <v>275.63074055800007</v>
      </c>
      <c r="X93" s="1316">
        <f>IFERROR(('12. Разходи'!P93-'12. Разходи'!$K93)/'12. Разходи'!$K93,0)</f>
        <v>2.7133015756066348</v>
      </c>
      <c r="Y93" s="1317">
        <f>'12. Разходи'!S93</f>
        <v>570.08100000000013</v>
      </c>
      <c r="Z93" s="1247">
        <f>'12. Разходи'!T93-'12. Разходи'!$S93</f>
        <v>10.679205260886192</v>
      </c>
      <c r="AA93" s="1313">
        <f>IFERROR(('12. Разходи'!T93-'12. Разходи'!$S93)/'12. Разходи'!$S93,0)</f>
        <v>1.8732785798660525E-2</v>
      </c>
      <c r="AB93" s="1248">
        <f>'12. Разходи'!U93-'12. Разходи'!$S93</f>
        <v>-113.95823007823219</v>
      </c>
      <c r="AC93" s="1314">
        <f>IFERROR(('12. Разходи'!U93-'12. Разходи'!$S93)/'12. Разходи'!$S93,0)</f>
        <v>-0.19989831283314505</v>
      </c>
      <c r="AD93" s="1248">
        <f>'12. Разходи'!V93-'12. Разходи'!$S93</f>
        <v>-261.01433028328483</v>
      </c>
      <c r="AE93" s="1314">
        <f>IFERROR(('12. Разходи'!V93-'12. Разходи'!$S93)/'12. Разходи'!$S93,0)</f>
        <v>-0.45785481411112594</v>
      </c>
      <c r="AF93" s="1248">
        <f>'12. Разходи'!W93-'12. Разходи'!$S93</f>
        <v>-286.42487910831642</v>
      </c>
      <c r="AG93" s="1315">
        <f>IFERROR(('12. Разходи'!W93-'12. Разходи'!$S93)/'12. Разходи'!$S93,0)</f>
        <v>-0.50242839019072083</v>
      </c>
      <c r="AH93" s="1249">
        <f>'12. Разходи'!X93-'12. Разходи'!$S93</f>
        <v>-301.85389304925957</v>
      </c>
      <c r="AI93" s="1316">
        <f>IFERROR(('12. Разходи'!X93-'12. Разходи'!$S93)/'12. Разходи'!$S93,0)</f>
        <v>-0.52949298967911484</v>
      </c>
      <c r="AJ93" s="1317">
        <f>'12. Разходи'!AA93</f>
        <v>24.577999999999996</v>
      </c>
      <c r="AK93" s="1247">
        <f>'12. Разходи'!AB93-'12. Разходи'!$AA93</f>
        <v>141.69375261600004</v>
      </c>
      <c r="AL93" s="1313">
        <f>IFERROR(('12. Разходи'!AB93-'12. Разходи'!$AA93)/'12. Разходи'!$AA93,0)</f>
        <v>5.7650643915696991</v>
      </c>
      <c r="AM93" s="1248">
        <f>'12. Разходи'!AC93-'12. Разходи'!$AA93</f>
        <v>194.19116233600002</v>
      </c>
      <c r="AN93" s="1314">
        <f>IFERROR(('12. Разходи'!AC93-'12. Разходи'!$AA93)/'12. Разходи'!$AA93,0)</f>
        <v>7.9010156373993023</v>
      </c>
      <c r="AO93" s="1248">
        <f>'12. Разходи'!AD93-'12. Разходи'!$AA93</f>
        <v>192.165545178</v>
      </c>
      <c r="AP93" s="1314">
        <f>IFERROR(('12. Разходи'!AD93-'12. Разходи'!$AA93)/'12. Разходи'!$AA93,0)</f>
        <v>7.8185997712588504</v>
      </c>
      <c r="AQ93" s="1248">
        <f>'12. Разходи'!AE93-'12. Разходи'!$AA93</f>
        <v>189.71530779600002</v>
      </c>
      <c r="AR93" s="1315">
        <f>IFERROR(('12. Разходи'!AE93-'12. Разходи'!$AA93)/'12. Разходи'!$AA93,0)</f>
        <v>7.7189074699324616</v>
      </c>
      <c r="AS93" s="1249">
        <f>'12. Разходи'!AF93-'12. Разходи'!$AA93</f>
        <v>187.24792646600002</v>
      </c>
      <c r="AT93" s="1316">
        <f>IFERROR(('12. Разходи'!AF93-'12. Разходи'!$AA93)/'12. Разходи'!$AA93,0)</f>
        <v>7.618517636341446</v>
      </c>
      <c r="AU93" s="1317">
        <f>'12. Разходи'!AI93</f>
        <v>0</v>
      </c>
      <c r="AV93" s="1247">
        <f>'12. Разходи'!AJ93-'12. Разходи'!$AI93</f>
        <v>0</v>
      </c>
      <c r="AW93" s="1313">
        <f>IFERROR(('12. Разходи'!AJ93-'12. Разходи'!$AI93)/'12. Разходи'!$AI93,0)</f>
        <v>0</v>
      </c>
      <c r="AX93" s="1248">
        <f>'12. Разходи'!AK93-'12. Разходи'!$AI93</f>
        <v>0</v>
      </c>
      <c r="AY93" s="1314">
        <f>IFERROR(('12. Разходи'!AK93-'12. Разходи'!$AI93)/'12. Разходи'!$AI93,0)</f>
        <v>0</v>
      </c>
      <c r="AZ93" s="1248">
        <f>'12. Разходи'!AL93-'12. Разходи'!$AI93</f>
        <v>0</v>
      </c>
      <c r="BA93" s="1314">
        <f>IFERROR(('12. Разходи'!AL93-'12. Разходи'!$AI93)/'12. Разходи'!$AI93,0)</f>
        <v>0</v>
      </c>
      <c r="BB93" s="1248">
        <f>'12. Разходи'!AM93-'12. Разходи'!$AI93</f>
        <v>0</v>
      </c>
      <c r="BC93" s="1315">
        <f>IFERROR(('12. Разходи'!AM93-'12. Разходи'!$AI93)/'12. Разходи'!$AI93,0)</f>
        <v>0</v>
      </c>
      <c r="BD93" s="1249">
        <f>'12. Разходи'!AN93-'12. Разходи'!$AI93</f>
        <v>0</v>
      </c>
      <c r="BE93" s="1316">
        <f>IFERROR(('12. Разходи'!AN93-'12. Разходи'!$AI93)/'12. Разходи'!$AI93,0)</f>
        <v>0</v>
      </c>
      <c r="BF93" s="1319"/>
      <c r="BG93" s="1319"/>
      <c r="BH93" s="1319"/>
      <c r="BI93" s="1319"/>
      <c r="BJ93" s="1319"/>
      <c r="BK93" s="1319"/>
      <c r="BL93" s="1319"/>
      <c r="BM93" s="1319"/>
      <c r="BN93" s="1319"/>
    </row>
    <row r="94" spans="1:66" s="1320" customFormat="1" ht="15.95" customHeight="1" thickBot="1">
      <c r="A94" s="920"/>
      <c r="B94" s="1198" t="s">
        <v>1530</v>
      </c>
      <c r="C94" s="3909">
        <f>'12. Разходи'!C94</f>
        <v>3074</v>
      </c>
      <c r="D94" s="1247">
        <f>'12. Разходи'!D94-'12. Разходи'!$C94</f>
        <v>-1770</v>
      </c>
      <c r="E94" s="1313">
        <f>IFERROR(('12. Разходи'!D94-'12. Разходи'!$C94)/'12. Разходи'!$C94,0)</f>
        <v>-0.57579700715679893</v>
      </c>
      <c r="F94" s="1248">
        <f>'12. Разходи'!E94-'12. Разходи'!$C94</f>
        <v>-1558</v>
      </c>
      <c r="G94" s="1314">
        <f>IFERROR(('12. Разходи'!E94-'12. Разходи'!$C94)/'12. Разходи'!$C94,0)</f>
        <v>-0.5068314899154196</v>
      </c>
      <c r="H94" s="1248">
        <f>'12. Разходи'!F94-'12. Разходи'!$C94</f>
        <v>-1757</v>
      </c>
      <c r="I94" s="1314">
        <f>IFERROR(('12. Разходи'!F94-'12. Разходи'!$C94)/'12. Разходи'!$C94,0)</f>
        <v>-0.57156798959011057</v>
      </c>
      <c r="J94" s="1248">
        <f>'12. Разходи'!G94-'12. Разходи'!$C94</f>
        <v>-1795</v>
      </c>
      <c r="K94" s="1315">
        <f>IFERROR(('12. Разходи'!G94-'12. Разходи'!$C94)/'12. Разходи'!$C94,0)</f>
        <v>-0.58392973324658426</v>
      </c>
      <c r="L94" s="1249">
        <f>'12. Разходи'!H94-'12. Разходи'!$C94</f>
        <v>-1742</v>
      </c>
      <c r="M94" s="1315">
        <f>IFERROR(('12. Разходи'!H94-'12. Разходи'!$C94)/'12. Разходи'!$C94,0)</f>
        <v>-0.5666883539362394</v>
      </c>
      <c r="N94" s="1260">
        <f>'12. Разходи'!K94</f>
        <v>120</v>
      </c>
      <c r="O94" s="1247">
        <f>'12. Разходи'!L94-'12. Разходи'!$K94</f>
        <v>-76</v>
      </c>
      <c r="P94" s="1313">
        <f>IFERROR(('12. Разходи'!L94-'12. Разходи'!$K94)/'12. Разходи'!$K94,0)</f>
        <v>-0.6333333333333333</v>
      </c>
      <c r="Q94" s="1248">
        <f>'12. Разходи'!M94-'12. Разходи'!$K94</f>
        <v>-54</v>
      </c>
      <c r="R94" s="1314">
        <f>IFERROR(('12. Разходи'!M94-'12. Разходи'!$K94)/'12. Разходи'!$K94,0)</f>
        <v>-0.45</v>
      </c>
      <c r="S94" s="1248">
        <f>'12. Разходи'!N94-'12. Разходи'!$K94</f>
        <v>-21</v>
      </c>
      <c r="T94" s="1314">
        <f>IFERROR(('12. Разходи'!N94-'12. Разходи'!$K94)/'12. Разходи'!$K94,0)</f>
        <v>-0.17499999999999999</v>
      </c>
      <c r="U94" s="1248">
        <f>'12. Разходи'!O94-'12. Разходи'!$K94</f>
        <v>-26</v>
      </c>
      <c r="V94" s="1315">
        <f>IFERROR(('12. Разходи'!O94-'12. Разходи'!$K94)/'12. Разходи'!$K94,0)</f>
        <v>-0.21666666666666667</v>
      </c>
      <c r="W94" s="1249">
        <f>'12. Разходи'!P94-'12. Разходи'!$K94</f>
        <v>-18</v>
      </c>
      <c r="X94" s="1316">
        <f>IFERROR(('12. Разходи'!P94-'12. Разходи'!$K94)/'12. Разходи'!$K94,0)</f>
        <v>-0.15</v>
      </c>
      <c r="Y94" s="1317">
        <f>'12. Разходи'!S94</f>
        <v>384</v>
      </c>
      <c r="Z94" s="1247">
        <f>'12. Разходи'!T94-'12. Разходи'!$S94</f>
        <v>-206</v>
      </c>
      <c r="AA94" s="1313">
        <f>IFERROR(('12. Разходи'!T94-'12. Разходи'!$S94)/'12. Разходи'!$S94,0)</f>
        <v>-0.53645833333333337</v>
      </c>
      <c r="AB94" s="1248">
        <f>'12. Разходи'!U94-'12. Разходи'!$S94</f>
        <v>-118</v>
      </c>
      <c r="AC94" s="1314">
        <f>IFERROR(('12. Разходи'!U94-'12. Разходи'!$S94)/'12. Разходи'!$S94,0)</f>
        <v>-0.30729166666666669</v>
      </c>
      <c r="AD94" s="1248">
        <f>'12. Разходи'!V94-'12. Разходи'!$S94</f>
        <v>-88</v>
      </c>
      <c r="AE94" s="1314">
        <f>IFERROR(('12. Разходи'!V94-'12. Разходи'!$S94)/'12. Разходи'!$S94,0)</f>
        <v>-0.22916666666666666</v>
      </c>
      <c r="AF94" s="1248">
        <f>'12. Разходи'!W94-'12. Разходи'!$S94</f>
        <v>-197</v>
      </c>
      <c r="AG94" s="1315">
        <f>IFERROR(('12. Разходи'!W94-'12. Разходи'!$S94)/'12. Разходи'!$S94,0)</f>
        <v>-0.51302083333333337</v>
      </c>
      <c r="AH94" s="1249">
        <f>'12. Разходи'!X94-'12. Разходи'!$S94</f>
        <v>-81</v>
      </c>
      <c r="AI94" s="1316">
        <f>IFERROR(('12. Разходи'!X94-'12. Разходи'!$S94)/'12. Разходи'!$S94,0)</f>
        <v>-0.2109375</v>
      </c>
      <c r="AJ94" s="1317">
        <f>'12. Разходи'!AA94</f>
        <v>26</v>
      </c>
      <c r="AK94" s="1247">
        <f>'12. Разходи'!AB94-'12. Разходи'!$AA94</f>
        <v>-24</v>
      </c>
      <c r="AL94" s="1313">
        <f>IFERROR(('12. Разходи'!AB94-'12. Разходи'!$AA94)/'12. Разходи'!$AA94,0)</f>
        <v>-0.92307692307692313</v>
      </c>
      <c r="AM94" s="1248">
        <f>'12. Разходи'!AC94-'12. Разходи'!$AA94</f>
        <v>-21</v>
      </c>
      <c r="AN94" s="1314">
        <f>IFERROR(('12. Разходи'!AC94-'12. Разходи'!$AA94)/'12. Разходи'!$AA94,0)</f>
        <v>-0.80769230769230771</v>
      </c>
      <c r="AO94" s="1248">
        <f>'12. Разходи'!AD94-'12. Разходи'!$AA94</f>
        <v>-22</v>
      </c>
      <c r="AP94" s="1314">
        <f>IFERROR(('12. Разходи'!AD94-'12. Разходи'!$AA94)/'12. Разходи'!$AA94,0)</f>
        <v>-0.84615384615384615</v>
      </c>
      <c r="AQ94" s="1248">
        <f>'12. Разходи'!AE94-'12. Разходи'!$AA94</f>
        <v>-22</v>
      </c>
      <c r="AR94" s="1315">
        <f>IFERROR(('12. Разходи'!AE94-'12. Разходи'!$AA94)/'12. Разходи'!$AA94,0)</f>
        <v>-0.84615384615384615</v>
      </c>
      <c r="AS94" s="1249">
        <f>'12. Разходи'!AF94-'12. Разходи'!$AA94</f>
        <v>-22</v>
      </c>
      <c r="AT94" s="1316">
        <f>IFERROR(('12. Разходи'!AF94-'12. Разходи'!$AA94)/'12. Разходи'!$AA94,0)</f>
        <v>-0.84615384615384615</v>
      </c>
      <c r="AU94" s="1317">
        <f>'12. Разходи'!AI94</f>
        <v>0</v>
      </c>
      <c r="AV94" s="1247">
        <f>'12. Разходи'!AJ94-'12. Разходи'!$AI94</f>
        <v>0</v>
      </c>
      <c r="AW94" s="1313">
        <f>IFERROR(('12. Разходи'!AJ94-'12. Разходи'!$AI94)/'12. Разходи'!$AI94,0)</f>
        <v>0</v>
      </c>
      <c r="AX94" s="1248">
        <f>'12. Разходи'!AK94-'12. Разходи'!$AI94</f>
        <v>0</v>
      </c>
      <c r="AY94" s="1314">
        <f>IFERROR(('12. Разходи'!AK94-'12. Разходи'!$AI94)/'12. Разходи'!$AI94,0)</f>
        <v>0</v>
      </c>
      <c r="AZ94" s="1248">
        <f>'12. Разходи'!AL94-'12. Разходи'!$AI94</f>
        <v>0</v>
      </c>
      <c r="BA94" s="1314">
        <f>IFERROR(('12. Разходи'!AL94-'12. Разходи'!$AI94)/'12. Разходи'!$AI94,0)</f>
        <v>0</v>
      </c>
      <c r="BB94" s="1248">
        <f>'12. Разходи'!AM94-'12. Разходи'!$AI94</f>
        <v>0</v>
      </c>
      <c r="BC94" s="1315">
        <f>IFERROR(('12. Разходи'!AM94-'12. Разходи'!$AI94)/'12. Разходи'!$AI94,0)</f>
        <v>0</v>
      </c>
      <c r="BD94" s="1249">
        <f>'12. Разходи'!AN94-'12. Разходи'!$AI94</f>
        <v>0</v>
      </c>
      <c r="BE94" s="1316">
        <f>IFERROR(('12. Разходи'!AN94-'12. Разходи'!$AI94)/'12. Разходи'!$AI94,0)</f>
        <v>0</v>
      </c>
      <c r="BF94" s="1319"/>
      <c r="BG94" s="1319"/>
      <c r="BH94" s="1319"/>
      <c r="BI94" s="1319"/>
      <c r="BJ94" s="1319"/>
      <c r="BK94" s="1319"/>
      <c r="BL94" s="1319"/>
      <c r="BM94" s="1319"/>
      <c r="BN94" s="1319"/>
    </row>
    <row r="95" spans="1:66" s="1312" customFormat="1" ht="24.75" thickBot="1">
      <c r="A95" s="271"/>
      <c r="B95" s="272" t="s">
        <v>1251</v>
      </c>
      <c r="C95" s="1209">
        <f>'12. Разходи'!C95</f>
        <v>11039.653</v>
      </c>
      <c r="D95" s="1243">
        <f>'12. Разходи'!D95-'12. Разходи'!$C95</f>
        <v>-505.86072767255428</v>
      </c>
      <c r="E95" s="970">
        <f>IFERROR(('12. Разходи'!D95-'12. Разходи'!$C95)/'12. Разходи'!$C95,0)</f>
        <v>-4.5822158329845535E-2</v>
      </c>
      <c r="F95" s="1244">
        <f>'12. Разходи'!E95-'12. Разходи'!$C95</f>
        <v>-454.6355736527621</v>
      </c>
      <c r="G95" s="970">
        <f>IFERROR(('12. Разходи'!E95-'12. Разходи'!$C95)/'12. Разходи'!$C95,0)</f>
        <v>-4.1182052882709458E-2</v>
      </c>
      <c r="H95" s="1244">
        <f>'12. Разходи'!F95-'12. Разходи'!$C95</f>
        <v>12.723140755122586</v>
      </c>
      <c r="I95" s="970">
        <f>IFERROR(('12. Разходи'!F95-'12. Разходи'!$C95)/'12. Разходи'!$C95,0)</f>
        <v>1.1524946259744383E-3</v>
      </c>
      <c r="J95" s="1244">
        <f>'12. Разходи'!G95-'12. Разходи'!$C95</f>
        <v>717.42983846972493</v>
      </c>
      <c r="K95" s="976">
        <f>IFERROR(('12. Разходи'!G95-'12. Разходи'!$C95)/'12. Разходи'!$C95,0)</f>
        <v>6.4986629423019443E-2</v>
      </c>
      <c r="L95" s="1244">
        <f>'12. Разходи'!H95-'12. Разходи'!$C95</f>
        <v>923.97126791885785</v>
      </c>
      <c r="M95" s="976">
        <f>IFERROR(('12. Разходи'!H95-'12. Разходи'!$C95)/'12. Разходи'!$C95,0)</f>
        <v>8.3695680282601076E-2</v>
      </c>
      <c r="N95" s="1259">
        <f>'12. Разходи'!K95</f>
        <v>422.58500000000004</v>
      </c>
      <c r="O95" s="1243">
        <f>'12. Разходи'!L95-'12. Разходи'!$K95</f>
        <v>263.32738381462855</v>
      </c>
      <c r="P95" s="970">
        <f>IFERROR(('12. Разходи'!L95-'12. Разходи'!$K95)/'12. Разходи'!$K95,0)</f>
        <v>0.62313471565395961</v>
      </c>
      <c r="Q95" s="1244">
        <f>'12. Разходи'!M95-'12. Разходи'!$K95</f>
        <v>363.94924856464013</v>
      </c>
      <c r="R95" s="970">
        <f>IFERROR(('12. Разходи'!M95-'12. Разходи'!$K95)/'12. Разходи'!$K95,0)</f>
        <v>0.86124507155871621</v>
      </c>
      <c r="S95" s="1244">
        <f>'12. Разходи'!N95-'12. Разходи'!$K95</f>
        <v>678.5201684045021</v>
      </c>
      <c r="T95" s="970">
        <f>IFERROR(('12. Разходи'!N95-'12. Разходи'!$K95)/'12. Разходи'!$K95,0)</f>
        <v>1.6056418670906494</v>
      </c>
      <c r="U95" s="1244">
        <f>'12. Разходи'!O95-'12. Разходи'!$K95</f>
        <v>712.5479176987435</v>
      </c>
      <c r="V95" s="976">
        <f>IFERROR(('12. Разходи'!O95-'12. Разходи'!$K95)/'12. Разходи'!$K95,0)</f>
        <v>1.6861647188109929</v>
      </c>
      <c r="W95" s="1244">
        <f>'12. Разходи'!P95-'12. Разходи'!$K95</f>
        <v>749.29038300561479</v>
      </c>
      <c r="X95" s="905">
        <f>IFERROR(('12. Разходи'!P95-'12. Разходи'!$K95)/'12. Разходи'!$K95,0)</f>
        <v>1.7731116414582031</v>
      </c>
      <c r="Y95" s="1259">
        <f>'12. Разходи'!S95</f>
        <v>1387.1810000000003</v>
      </c>
      <c r="Z95" s="1243">
        <f>'12. Разходи'!T95-'12. Разходи'!$S95</f>
        <v>255.5494249504452</v>
      </c>
      <c r="AA95" s="970">
        <f>IFERROR(('12. Разходи'!T95-'12. Разходи'!$S95)/'12. Разходи'!$S95,0)</f>
        <v>0.18422212022111401</v>
      </c>
      <c r="AB95" s="1244">
        <f>'12. Разходи'!U95-'12. Разходи'!$S95</f>
        <v>483.54980914726752</v>
      </c>
      <c r="AC95" s="970">
        <f>IFERROR(('12. Разходи'!U95-'12. Разходи'!$S95)/'12. Разходи'!$S95,0)</f>
        <v>0.34858450998627249</v>
      </c>
      <c r="AD95" s="1244">
        <f>'12. Разходи'!V95-'12. Разходи'!$S95</f>
        <v>785.52519003188104</v>
      </c>
      <c r="AE95" s="970">
        <f>IFERROR(('12. Разходи'!V95-'12. Разходи'!$S95)/'12. Разходи'!$S95,0)</f>
        <v>0.56627447321717994</v>
      </c>
      <c r="AF95" s="1244">
        <f>'12. Разходи'!W95-'12. Разходи'!$S95</f>
        <v>851.45396030323059</v>
      </c>
      <c r="AG95" s="976">
        <f>IFERROR(('12. Разходи'!W95-'12. Разходи'!$S95)/'12. Разходи'!$S95,0)</f>
        <v>0.61380163100794372</v>
      </c>
      <c r="AH95" s="1244">
        <f>'12. Разходи'!X95-'12. Разходи'!$S95</f>
        <v>893.98278793454415</v>
      </c>
      <c r="AI95" s="905">
        <f>IFERROR(('12. Разходи'!X95-'12. Разходи'!$S95)/'12. Разходи'!$S95,0)</f>
        <v>0.64446008699264479</v>
      </c>
      <c r="AJ95" s="1259">
        <f>'12. Разходи'!AA95</f>
        <v>28.377999999999997</v>
      </c>
      <c r="AK95" s="1243">
        <f>'12. Разходи'!AB95-'12. Разходи'!$AA95</f>
        <v>147.76688261600006</v>
      </c>
      <c r="AL95" s="970">
        <f>IFERROR(('12. Разходи'!AB95-'12. Разходи'!$AA95)/'12. Разходи'!$AA95,0)</f>
        <v>5.2070929105645245</v>
      </c>
      <c r="AM95" s="1244">
        <f>'12. Разходи'!AC95-'12. Разходи'!$AA95</f>
        <v>216.36429233600003</v>
      </c>
      <c r="AN95" s="970">
        <f>IFERROR(('12. Разходи'!AC95-'12. Разходи'!$AA95)/'12. Разходи'!$AA95,0)</f>
        <v>7.6243671976883522</v>
      </c>
      <c r="AO95" s="1244">
        <f>'12. Разходи'!AD95-'12. Разходи'!$AA95</f>
        <v>213.58867517800002</v>
      </c>
      <c r="AP95" s="970">
        <f>IFERROR(('12. Разходи'!AD95-'12. Разходи'!$AA95)/'12. Разходи'!$AA95,0)</f>
        <v>7.5265584318133785</v>
      </c>
      <c r="AQ95" s="1244">
        <f>'12. Разходи'!AE95-'12. Разходи'!$AA95</f>
        <v>211.13843779600003</v>
      </c>
      <c r="AR95" s="976">
        <f>IFERROR(('12. Разходи'!AE95-'12. Разходи'!$AA95)/'12. Разходи'!$AA95,0)</f>
        <v>7.4402155823525291</v>
      </c>
      <c r="AS95" s="1244">
        <f>'12. Разходи'!AF95-'12. Разходи'!$AA95</f>
        <v>208.67105646600004</v>
      </c>
      <c r="AT95" s="1309">
        <f>IFERROR(('12. Разходи'!AF95-'12. Разходи'!$AA95)/'12. Разходи'!$AA95,0)</f>
        <v>7.3532686047642564</v>
      </c>
      <c r="AU95" s="1259">
        <f>'12. Разходи'!AI95</f>
        <v>0</v>
      </c>
      <c r="AV95" s="1243">
        <f>'12. Разходи'!AJ95-'12. Разходи'!$AI95</f>
        <v>0</v>
      </c>
      <c r="AW95" s="970">
        <f>IFERROR(('12. Разходи'!AJ95-'12. Разходи'!$AI95)/'12. Разходи'!$AI95,0)</f>
        <v>0</v>
      </c>
      <c r="AX95" s="1244">
        <f>'12. Разходи'!AK95-'12. Разходи'!$AI95</f>
        <v>0</v>
      </c>
      <c r="AY95" s="970">
        <f>IFERROR(('12. Разходи'!AK95-'12. Разходи'!$AI95)/'12. Разходи'!$AI95,0)</f>
        <v>0</v>
      </c>
      <c r="AZ95" s="1244">
        <f>'12. Разходи'!AL95-'12. Разходи'!$AI95</f>
        <v>0</v>
      </c>
      <c r="BA95" s="970">
        <f>IFERROR(('12. Разходи'!AL95-'12. Разходи'!$AI95)/'12. Разходи'!$AI95,0)</f>
        <v>0</v>
      </c>
      <c r="BB95" s="1244">
        <f>'12. Разходи'!AM95-'12. Разходи'!$AI95</f>
        <v>0</v>
      </c>
      <c r="BC95" s="976">
        <f>IFERROR(('12. Разходи'!AM95-'12. Разходи'!$AI95)/'12. Разходи'!$AI95,0)</f>
        <v>0</v>
      </c>
      <c r="BD95" s="1244">
        <f>'12. Разходи'!AN95-'12. Разходи'!$AI95</f>
        <v>0</v>
      </c>
      <c r="BE95" s="1309">
        <f>IFERROR(('12. Разходи'!AN95-'12. Разходи'!$AI95)/'12. Разходи'!$AI95,0)</f>
        <v>0</v>
      </c>
      <c r="BF95" s="760"/>
      <c r="BG95" s="760"/>
      <c r="BH95" s="760"/>
      <c r="BI95" s="760"/>
      <c r="BJ95" s="760"/>
      <c r="BK95" s="760"/>
      <c r="BL95" s="760"/>
      <c r="BM95" s="760"/>
      <c r="BN95" s="760"/>
    </row>
    <row r="96" spans="1:66" s="750" customFormat="1" ht="15.75" thickBot="1">
      <c r="A96" s="1261"/>
      <c r="B96" s="1261"/>
      <c r="C96" s="1261"/>
      <c r="D96" s="1262"/>
      <c r="E96" s="1263"/>
      <c r="F96" s="1262"/>
      <c r="G96" s="1263"/>
      <c r="H96" s="1262"/>
      <c r="I96" s="1263"/>
      <c r="J96" s="1262"/>
      <c r="K96" s="1263"/>
      <c r="L96" s="1262"/>
      <c r="M96" s="1263"/>
      <c r="N96" s="1263"/>
      <c r="O96" s="1264"/>
      <c r="P96" s="1265"/>
      <c r="Q96" s="1264"/>
      <c r="R96" s="1265"/>
      <c r="S96" s="1264"/>
      <c r="T96" s="1265"/>
      <c r="U96" s="1264"/>
      <c r="V96" s="1265"/>
      <c r="W96" s="1264"/>
      <c r="X96" s="1265"/>
      <c r="Y96" s="1265"/>
      <c r="Z96" s="1266"/>
      <c r="AA96" s="1265"/>
      <c r="AB96" s="1266"/>
      <c r="AC96" s="1265"/>
      <c r="AD96" s="1266"/>
      <c r="AE96" s="1265"/>
      <c r="AF96" s="1266"/>
      <c r="AG96" s="1263"/>
      <c r="AH96" s="1267"/>
      <c r="AI96" s="1263"/>
      <c r="AJ96" s="2944"/>
      <c r="AK96" s="2944"/>
      <c r="AL96" s="2944"/>
      <c r="AM96" s="1266"/>
      <c r="AN96" s="1265"/>
      <c r="AO96" s="1266"/>
      <c r="AP96" s="1265"/>
      <c r="AQ96" s="1266"/>
      <c r="AR96" s="1265"/>
      <c r="AS96" s="1267"/>
      <c r="AT96" s="1263"/>
      <c r="AU96" s="1263"/>
      <c r="AV96" s="1266"/>
      <c r="AW96" s="1265"/>
      <c r="AX96" s="1266"/>
      <c r="AY96" s="1265"/>
      <c r="AZ96" s="1266"/>
      <c r="BA96" s="1265"/>
      <c r="BB96" s="1266"/>
      <c r="BC96" s="1265"/>
      <c r="BD96" s="1267"/>
      <c r="BE96" s="1263"/>
      <c r="BF96" s="749"/>
      <c r="BG96" s="749"/>
      <c r="BH96" s="749"/>
      <c r="BI96" s="749"/>
      <c r="BJ96" s="749"/>
      <c r="BK96" s="749"/>
      <c r="BL96" s="749"/>
      <c r="BM96" s="749"/>
      <c r="BN96" s="749"/>
    </row>
    <row r="97" spans="1:57" s="49" customFormat="1" ht="15" customHeight="1" thickBot="1">
      <c r="A97" s="5376" t="s">
        <v>1483</v>
      </c>
      <c r="B97" s="5378"/>
      <c r="C97" s="5463" t="str">
        <f>C8</f>
        <v>Доставяне на вода на потребителите</v>
      </c>
      <c r="D97" s="5464"/>
      <c r="E97" s="5464"/>
      <c r="F97" s="5464"/>
      <c r="G97" s="5464"/>
      <c r="H97" s="5464"/>
      <c r="I97" s="5464"/>
      <c r="J97" s="5464"/>
      <c r="K97" s="5464"/>
      <c r="L97" s="5464"/>
      <c r="M97" s="5465"/>
      <c r="N97" s="5466" t="s">
        <v>213</v>
      </c>
      <c r="O97" s="5467"/>
      <c r="P97" s="5467"/>
      <c r="Q97" s="5467"/>
      <c r="R97" s="5467"/>
      <c r="S97" s="5467"/>
      <c r="T97" s="5467"/>
      <c r="U97" s="5467"/>
      <c r="V97" s="5467"/>
      <c r="W97" s="5467"/>
      <c r="X97" s="5468"/>
      <c r="Y97" s="5453" t="s">
        <v>214</v>
      </c>
      <c r="Z97" s="5454"/>
      <c r="AA97" s="5454"/>
      <c r="AB97" s="5454"/>
      <c r="AC97" s="5454"/>
      <c r="AD97" s="5454"/>
      <c r="AE97" s="5454"/>
      <c r="AF97" s="5454"/>
      <c r="AG97" s="5454"/>
      <c r="AH97" s="5454"/>
      <c r="AI97" s="5455"/>
      <c r="AJ97" s="2944"/>
      <c r="AK97" s="2944"/>
      <c r="AL97" s="2944"/>
      <c r="AM97" s="1269"/>
      <c r="AN97" s="1268"/>
      <c r="AO97" s="1269"/>
      <c r="AP97" s="1268"/>
      <c r="AQ97" s="1269"/>
      <c r="AR97" s="1268"/>
      <c r="AS97" s="1269"/>
      <c r="AT97" s="1268"/>
      <c r="AU97" s="1268"/>
      <c r="AV97" s="1269"/>
      <c r="AW97" s="1268"/>
      <c r="AX97" s="1269"/>
      <c r="AY97" s="1268"/>
      <c r="AZ97" s="1269"/>
      <c r="BA97" s="1268"/>
      <c r="BB97" s="1269"/>
      <c r="BC97" s="1268"/>
      <c r="BD97" s="1269"/>
      <c r="BE97" s="1268"/>
    </row>
    <row r="98" spans="1:57" s="49" customFormat="1" ht="15.75" thickBot="1">
      <c r="A98" s="5394"/>
      <c r="B98" s="5396"/>
      <c r="C98" s="1733"/>
      <c r="D98" s="5485" t="s">
        <v>1072</v>
      </c>
      <c r="E98" s="5486"/>
      <c r="F98" s="5486" t="s">
        <v>1073</v>
      </c>
      <c r="G98" s="5486"/>
      <c r="H98" s="5486" t="s">
        <v>1074</v>
      </c>
      <c r="I98" s="5486"/>
      <c r="J98" s="5461" t="s">
        <v>1075</v>
      </c>
      <c r="K98" s="5486"/>
      <c r="L98" s="5461" t="s">
        <v>1076</v>
      </c>
      <c r="M98" s="5462"/>
      <c r="N98" s="1734"/>
      <c r="O98" s="5485" t="s">
        <v>1072</v>
      </c>
      <c r="P98" s="5486"/>
      <c r="Q98" s="5486" t="s">
        <v>1073</v>
      </c>
      <c r="R98" s="5486"/>
      <c r="S98" s="5486" t="s">
        <v>1074</v>
      </c>
      <c r="T98" s="5486"/>
      <c r="U98" s="5461" t="s">
        <v>1075</v>
      </c>
      <c r="V98" s="5486"/>
      <c r="W98" s="5461" t="s">
        <v>1076</v>
      </c>
      <c r="X98" s="5462"/>
      <c r="Y98" s="1735"/>
      <c r="Z98" s="5490" t="s">
        <v>1072</v>
      </c>
      <c r="AA98" s="5491"/>
      <c r="AB98" s="5492" t="s">
        <v>1073</v>
      </c>
      <c r="AC98" s="5491"/>
      <c r="AD98" s="5492" t="s">
        <v>1074</v>
      </c>
      <c r="AE98" s="5491"/>
      <c r="AF98" s="5493" t="s">
        <v>1075</v>
      </c>
      <c r="AG98" s="5491"/>
      <c r="AH98" s="5493" t="s">
        <v>1076</v>
      </c>
      <c r="AI98" s="5494"/>
      <c r="AJ98" s="2944"/>
      <c r="AK98" s="3511" t="str">
        <f>'Приложение '!B81</f>
        <v>Дата: 24 юни 2021 година</v>
      </c>
      <c r="AL98" s="2944"/>
      <c r="AM98" s="1269"/>
      <c r="AN98" s="1268"/>
      <c r="AO98" s="1269"/>
      <c r="AP98" s="1268"/>
      <c r="AQ98" s="1269"/>
      <c r="AR98" s="1268"/>
      <c r="AS98" s="1269"/>
      <c r="AT98" s="1268"/>
      <c r="AU98" s="1268"/>
      <c r="AV98" s="1269"/>
      <c r="AW98" s="1268"/>
      <c r="AX98" s="1269"/>
      <c r="AY98" s="1268"/>
      <c r="AZ98" s="1269"/>
      <c r="BA98" s="1268"/>
      <c r="BB98" s="1269"/>
      <c r="BC98" s="1268"/>
      <c r="BD98" s="1269"/>
      <c r="BE98" s="1268"/>
    </row>
    <row r="99" spans="1:57" s="49" customFormat="1" ht="60.75" thickBot="1">
      <c r="A99" s="5487"/>
      <c r="B99" s="5488"/>
      <c r="C99" s="1738"/>
      <c r="D99" s="1530" t="s">
        <v>1481</v>
      </c>
      <c r="E99" s="1531" t="s">
        <v>1482</v>
      </c>
      <c r="F99" s="1531" t="s">
        <v>1481</v>
      </c>
      <c r="G99" s="1531" t="s">
        <v>1482</v>
      </c>
      <c r="H99" s="1531" t="s">
        <v>1481</v>
      </c>
      <c r="I99" s="1531" t="s">
        <v>1482</v>
      </c>
      <c r="J99" s="1531" t="s">
        <v>1481</v>
      </c>
      <c r="K99" s="1531" t="s">
        <v>1482</v>
      </c>
      <c r="L99" s="1531" t="s">
        <v>1481</v>
      </c>
      <c r="M99" s="1532" t="s">
        <v>1482</v>
      </c>
      <c r="N99" s="1533"/>
      <c r="O99" s="1530" t="s">
        <v>1481</v>
      </c>
      <c r="P99" s="1531" t="s">
        <v>1482</v>
      </c>
      <c r="Q99" s="1531" t="s">
        <v>1481</v>
      </c>
      <c r="R99" s="1531" t="s">
        <v>1482</v>
      </c>
      <c r="S99" s="1531" t="s">
        <v>1481</v>
      </c>
      <c r="T99" s="1531" t="s">
        <v>1482</v>
      </c>
      <c r="U99" s="1531" t="s">
        <v>1481</v>
      </c>
      <c r="V99" s="1531" t="s">
        <v>1482</v>
      </c>
      <c r="W99" s="1531" t="s">
        <v>1481</v>
      </c>
      <c r="X99" s="1532" t="s">
        <v>1482</v>
      </c>
      <c r="Y99" s="1739"/>
      <c r="Z99" s="1552" t="s">
        <v>1481</v>
      </c>
      <c r="AA99" s="1553" t="s">
        <v>1482</v>
      </c>
      <c r="AB99" s="1553" t="s">
        <v>1481</v>
      </c>
      <c r="AC99" s="1553" t="s">
        <v>1482</v>
      </c>
      <c r="AD99" s="1554" t="s">
        <v>1481</v>
      </c>
      <c r="AE99" s="1553" t="s">
        <v>1482</v>
      </c>
      <c r="AF99" s="1553" t="s">
        <v>1481</v>
      </c>
      <c r="AG99" s="1553" t="s">
        <v>1482</v>
      </c>
      <c r="AH99" s="1551" t="s">
        <v>1481</v>
      </c>
      <c r="AI99" s="1531" t="s">
        <v>1482</v>
      </c>
      <c r="AJ99" s="2944"/>
      <c r="AK99" s="2944"/>
      <c r="AL99" s="2944"/>
      <c r="AM99" s="1269"/>
      <c r="AN99" s="1268"/>
      <c r="AU99" s="1268"/>
      <c r="AV99" s="1269"/>
      <c r="AW99" s="1268"/>
      <c r="AX99" s="1269"/>
      <c r="AY99" s="1268"/>
      <c r="AZ99" s="1269"/>
      <c r="BA99" s="1268"/>
      <c r="BB99" s="1269"/>
      <c r="BC99" s="1268"/>
      <c r="BD99" s="1269"/>
      <c r="BE99" s="1268"/>
    </row>
    <row r="100" spans="1:57" s="49" customFormat="1">
      <c r="A100" s="5482" t="s">
        <v>1253</v>
      </c>
      <c r="B100" s="1330" t="s">
        <v>231</v>
      </c>
      <c r="C100" s="1334"/>
      <c r="D100" s="994">
        <f>'12.2.Нови дейности или обекти'!C22+'12.2.Нови дейности или обекти'!I22+'12.2.Нови дейности или обекти'!O22+'12.2.Нови дейности или обекти'!U22+'12.2.Нови дейности или обекти'!AA22+'12.2.Нови дейности или обекти'!C45+'12.2.Нови дейности или обекти'!I45+'12.2.Нови дейности или обекти'!O45+'12.2.Нови дейности или обекти'!U45+'12.2.Нови дейности или обекти'!AA45</f>
        <v>0</v>
      </c>
      <c r="E100" s="994">
        <f>D11-D100</f>
        <v>-421.95866416836725</v>
      </c>
      <c r="F100" s="1323">
        <f>'12.2.Нови дейности или обекти'!D22+'12.2.Нови дейности или обекти'!J22+'12.2.Нови дейности или обекти'!P22+'12.2.Нови дейности или обекти'!V22+'12.2.Нови дейности или обекти'!AB22++'12.2.Нови дейности или обекти'!D45+'12.2.Нови дейности или обекти'!J45+'12.2.Нови дейности или обекти'!P45+'12.2.Нови дейности или обекти'!V45+'12.2.Нови дейности или обекти'!AB45</f>
        <v>0</v>
      </c>
      <c r="G100" s="1323">
        <f>F11-F100</f>
        <v>-1150.3239061713311</v>
      </c>
      <c r="H100" s="1323">
        <f>'12.2.Нови дейности или обекти'!E22+'12.2.Нови дейности или обекти'!K22+'12.2.Нови дейности или обекти'!Q22+'12.2.Нови дейности или обекти'!W22+'12.2.Нови дейности или обекти'!AC22+'12.2.Нови дейности или обекти'!E45+'12.2.Нови дейности или обекти'!K45+'12.2.Нови дейности или обекти'!Q45+'12.2.Нови дейности или обекти'!W45+'12.2.Нови дейности или обекти'!AC45</f>
        <v>0</v>
      </c>
      <c r="I100" s="1323">
        <f>H11-H100</f>
        <v>-1449.368544527164</v>
      </c>
      <c r="J100" s="1323">
        <f>'12.2.Нови дейности или обекти'!F22+'12.2.Нови дейности или обекти'!L22+'12.2.Нови дейности или обекти'!R22+'12.2.Нови дейности или обекти'!X22+'12.2.Нови дейности или обекти'!AD22+'12.2.Нови дейности или обекти'!F45+'12.2.Нови дейности или обекти'!L45+'12.2.Нови дейности или обекти'!R45+'12.2.Нови дейности или обекти'!X45+'12.2.Нови дейности или обекти'!AD45</f>
        <v>0</v>
      </c>
      <c r="K100" s="1323">
        <f>IF(J100=0,0,J11-J100)</f>
        <v>0</v>
      </c>
      <c r="L100" s="1323">
        <f>'12.2.Нови дейности или обекти'!G22+'12.2.Нови дейности или обекти'!M22+'12.2.Нови дейности или обекти'!S22+'12.2.Нови дейности или обекти'!Y22+'12.2.Нови дейности или обекти'!AE22+'12.2.Нови дейности или обекти'!G45+'12.2.Нови дейности или обекти'!M45+'12.2.Нови дейности или обекти'!S45+'12.2.Нови дейности или обекти'!Y45+'12.2.Нови дейности или обекти'!AE45</f>
        <v>0</v>
      </c>
      <c r="M100" s="1324">
        <f>IF(L100=0,0,L11-L100)</f>
        <v>0</v>
      </c>
      <c r="N100" s="1334"/>
      <c r="O100" s="1329">
        <f>'12.2.Нови дейности или обекти'!C69+'12.2.Нови дейности или обекти'!I69+'12.2.Нови дейности или обекти'!O69+'12.2.Нови дейности или обекти'!U69+'12.2.Нови дейности или обекти'!AA69+'12.2.Нови дейности или обекти'!C92+'12.2.Нови дейности или обекти'!I92+'12.2.Нови дейности или обекти'!O92+'12.2.Нови дейности или обекти'!U92+'12.2.Нови дейности или обекти'!AA92</f>
        <v>0</v>
      </c>
      <c r="P100" s="1323">
        <f>O11-O100</f>
        <v>59.249999999999972</v>
      </c>
      <c r="Q100" s="1323">
        <f>'12.2.Нови дейности или обекти'!D69+'12.2.Нови дейности или обекти'!J69+'12.2.Нови дейности или обекти'!P69+'12.2.Нови дейности или обекти'!V69+'12.2.Нови дейности или обекти'!AB69+'12.2.Нови дейности или обекти'!D92+'12.2.Нови дейности или обекти'!J92+'12.2.Нови дейности или обекти'!P92+'12.2.Нови дейности или обекти'!V92+'12.2.Нови дейности или обекти'!AB92</f>
        <v>0</v>
      </c>
      <c r="R100" s="1323">
        <f>Q11-Q100</f>
        <v>59.249999999999972</v>
      </c>
      <c r="S100" s="1323">
        <f>'12.2.Нови дейности или обекти'!E69+'12.2.Нови дейности или обекти'!K69+'12.2.Нови дейности или обекти'!Q69+'12.2.Нови дейности или обекти'!W69+'12.2.Нови дейности или обекти'!AC69+'12.2.Нови дейности или обекти'!E92+'12.2.Нови дейности или обекти'!K92+'12.2.Нови дейности или обекти'!Q92+'12.2.Нови дейности или обекти'!W92+'12.2.Нови дейности или обекти'!AC92</f>
        <v>226.306740558</v>
      </c>
      <c r="T100" s="1323">
        <f>S11-S100</f>
        <v>59.25</v>
      </c>
      <c r="U100" s="1323">
        <f>'12.2.Нови дейности или обекти'!F69+'12.2.Нови дейности или обекти'!L69+'12.2.Нови дейности или обекти'!R69+'12.2.Нови дейности или обекти'!X69+'12.2.Нови дейности или обекти'!AD69+'12.2.Нови дейности или обекти'!F92+'12.2.Нови дейности или обекти'!L92+'12.2.Нови дейности или обекти'!R92+'12.2.Нови дейности или обекти'!X92+'12.2.Нови дейности или обекти'!AD92</f>
        <v>226.306740558</v>
      </c>
      <c r="V100" s="1323">
        <f>IF(U100=0,0,U11-U100)</f>
        <v>59.25</v>
      </c>
      <c r="W100" s="1323">
        <f>'12.2.Нови дейности или обекти'!G69+'12.2.Нови дейности или обекти'!M69+'12.2.Нови дейности или обекти'!S69+'12.2.Нови дейности или обекти'!Y69+'12.2.Нови дейности или обекти'!AE69+'12.2.Нови дейности или обекти'!G92+'12.2.Нови дейности или обекти'!M92+'12.2.Нови дейности или обекти'!S92+'12.2.Нови дейности или обекти'!Y92+'12.2.Нови дейности или обекти'!AE92</f>
        <v>226.306740558</v>
      </c>
      <c r="X100" s="1324">
        <f>IF(W100=0,0,W11-W100)</f>
        <v>59.25</v>
      </c>
      <c r="Y100" s="1334"/>
      <c r="Z100" s="1329">
        <f>'12.2.Нови дейности или обекти'!C116+'12.2.Нови дейности или обекти'!I116+'12.2.Нови дейности или обекти'!O116+'12.2.Нови дейности или обекти'!U116+'12.2.Нови дейности или обекти'!AA116+'12.2.Нови дейности или обекти'!C139+'12.2.Нови дейности или обекти'!I139+'12.2.Нови дейности или обекти'!O139+'12.2.Нови дейности или обекти'!U139+'12.2.Нови дейности или обекти'!AA139</f>
        <v>0</v>
      </c>
      <c r="AA100" s="1323">
        <f>Z11-Z100</f>
        <v>-35.796794739113579</v>
      </c>
      <c r="AB100" s="1323">
        <f>'12.2.Нови дейности или обекти'!D116+'12.2.Нови дейности или обекти'!J116+'12.2.Нови дейности или обекти'!P116+'12.2.Нови дейности или обекти'!V116+'12.2.Нови дейности или обекти'!AB116+'12.2.Нови дейности или обекти'!D139+'12.2.Нови дейности или обекти'!J139+'12.2.Нови дейности или обекти'!P139+'12.2.Нови дейности или обекти'!V139+'12.2.Нови дейности или обекти'!AB139</f>
        <v>29.316741048000001</v>
      </c>
      <c r="AC100" s="1323">
        <f>AB11-AB100</f>
        <v>-77.278971126231866</v>
      </c>
      <c r="AD100" s="1323">
        <f>'12.2.Нови дейности или обекти'!E116+'12.2.Нови дейности или обекти'!K116+'12.2.Нови дейности или обекти'!Q116+'12.2.Нови дейности или обекти'!W116+'12.2.Нови дейности или обекти'!AC116+'12.2.Нови дейности или обекти'!E139+'12.2.Нови дейности или обекти'!K139+'12.2.Нови дейности или обекти'!Q139+'12.2.Нови дейности или обекти'!W139+'12.2.Нови дейности или обекти'!AC139</f>
        <v>877.0574635979998</v>
      </c>
      <c r="AE100" s="1323">
        <f>AD11-AD100</f>
        <v>-390.98279388128464</v>
      </c>
      <c r="AF100" s="1323">
        <f>'12.2.Нови дейности или обекти'!F116+'12.2.Нови дейности или обекти'!L116+'12.2.Нови дейности или обекти'!R116+'12.2.Нови дейности или обекти'!X116+'12.2.Нови дейности или обекти'!AD116+'12.2.Нови дейности или обекти'!F139+'12.2.Нови дейности или обекти'!L139+'12.2.Нови дейности или обекти'!R139+'12.2.Нови дейности или обекти'!X139+'12.2.Нови дейности или обекти'!AD139</f>
        <v>812.12060916600001</v>
      </c>
      <c r="AG100" s="1323">
        <f>IF(AF100=0,0,AF11-AF100)</f>
        <v>-390.98148827431606</v>
      </c>
      <c r="AH100" s="1323">
        <f>'12.2.Нови дейности или обекти'!G116+'12.2.Нови дейности или обекти'!M116+'12.2.Нови дейности или обекти'!S116+'12.2.Нови дейности или обекти'!Y116+'12.2.Нови дейности или обекти'!AE116+'12.2.Нови дейности или обекти'!G139+'12.2.Нови дейности или обекти'!M139+'12.2.Нови дейности или обекти'!S139+'12.2.Нови дейности или обекти'!Y139+'12.2.Нови дейности или обекти'!AE139</f>
        <v>783.44501930399997</v>
      </c>
      <c r="AI100" s="1324">
        <f>IF(AH100=0,0,AH11-AH100)</f>
        <v>-390.98091235325904</v>
      </c>
      <c r="AJ100" s="2944"/>
      <c r="AK100" s="2944"/>
      <c r="AL100" s="2944"/>
      <c r="AM100" s="1269"/>
      <c r="AN100" s="1268"/>
      <c r="AO100" s="3391"/>
      <c r="AP100" s="3391"/>
      <c r="AQ100" s="3514" t="str">
        <f>'Приложение '!C81</f>
        <v xml:space="preserve">Гл. счетоводител/Фин.директор: </v>
      </c>
      <c r="AR100" s="3515" t="str">
        <f>'Приложение '!D81</f>
        <v>..............................................</v>
      </c>
      <c r="AS100" s="3354"/>
      <c r="AT100" s="3353"/>
      <c r="AU100" s="1268"/>
      <c r="AV100" s="1269"/>
      <c r="AW100" s="1268"/>
      <c r="AX100" s="1269"/>
      <c r="AY100" s="1268"/>
      <c r="AZ100" s="1269"/>
      <c r="BA100" s="1268"/>
      <c r="BB100" s="1269"/>
      <c r="BC100" s="1268"/>
      <c r="BD100" s="1269"/>
      <c r="BE100" s="1268"/>
    </row>
    <row r="101" spans="1:57" s="49" customFormat="1">
      <c r="A101" s="5483"/>
      <c r="B101" s="1331" t="s">
        <v>244</v>
      </c>
      <c r="C101" s="1334"/>
      <c r="D101" s="996">
        <f>'12.2.Нови дейности или обекти'!C27+'12.2.Нови дейности или обекти'!I27+'12.2.Нови дейности или обекти'!O27+'12.2.Нови дейности или обекти'!U27+'12.2.Нови дейности или обекти'!AA27+'12.2.Нови дейности или обекти'!C50+'12.2.Нови дейности или обекти'!I50+'12.2.Нови дейности или обекти'!O50+'12.2.Нови дейности или обекти'!U50+'12.2.Нови дейности или обекти'!AA50</f>
        <v>0</v>
      </c>
      <c r="E101" s="1321">
        <f>D29-D101</f>
        <v>-510.77300000000014</v>
      </c>
      <c r="F101" s="1321">
        <f>'12.2.Нови дейности или обекти'!D23+'12.2.Нови дейности или обекти'!J23+'12.2.Нови дейности или обекти'!P23+'12.2.Нови дейности или обекти'!V23+'12.2.Нови дейности или обекти'!AB23++'12.2.Нови дейности или обекти'!D46+'12.2.Нови дейности или обекти'!J46+'12.2.Нови дейности или обекти'!P46+'12.2.Нови дейности или обекти'!V46+'12.2.Нови дейности или обекти'!AB46</f>
        <v>0</v>
      </c>
      <c r="G101" s="1321">
        <f>F29-F101</f>
        <v>-345.42000000000007</v>
      </c>
      <c r="H101" s="1321">
        <f>'12.2.Нови дейности или обекти'!E23+'12.2.Нови дейности или обекти'!K23+'12.2.Нови дейности или обекти'!Q23+'12.2.Нови дейности или обекти'!W23+'12.2.Нови дейности или обекти'!AC23+'12.2.Нови дейности или обекти'!E46+'12.2.Нови дейности или обекти'!K46+'12.2.Нови дейности или обекти'!Q46+'12.2.Нови дейности или обекти'!W46+'12.2.Нови дейности или обекти'!AC46</f>
        <v>0</v>
      </c>
      <c r="I101" s="1321">
        <f>H29-H101</f>
        <v>-344.52</v>
      </c>
      <c r="J101" s="1321">
        <f>'12.2.Нови дейности или обекти'!F23+'12.2.Нови дейности или обекти'!L23+'12.2.Нови дейности или обекти'!R23+'12.2.Нови дейности или обекти'!X23+'12.2.Нови дейности или обекти'!AD23+'12.2.Нови дейности или обекти'!F46+'12.2.Нови дейности или обекти'!L46+'12.2.Нови дейности или обекти'!R46+'12.2.Нови дейности или обекти'!X46+'12.2.Нови дейности или обекти'!AD46</f>
        <v>0</v>
      </c>
      <c r="K101" s="1321">
        <f>J29-J101</f>
        <v>-332.52</v>
      </c>
      <c r="L101" s="1321">
        <f>'12.2.Нови дейности или обекти'!G23+'12.2.Нови дейности или обекти'!M23+'12.2.Нови дейности или обекти'!S23+'12.2.Нови дейности или обекти'!Y23+'12.2.Нови дейности или обекти'!AE23+'12.2.Нови дейности или обекти'!G46+'12.2.Нови дейности или обекти'!M46+'12.2.Нови дейности или обекти'!S46+'12.2.Нови дейности или обекти'!Y46+'12.2.Нови дейности или обекти'!AE46</f>
        <v>0</v>
      </c>
      <c r="M101" s="1326">
        <f>L29-L101</f>
        <v>-309.52</v>
      </c>
      <c r="N101" s="1334"/>
      <c r="O101" s="1325">
        <f>'12.2.Нови дейности или обекти'!C74+'12.2.Нови дейности или обекти'!I74+'12.2.Нови дейности или обекти'!O74+'12.2.Нови дейности или обекти'!U74+'12.2.Нови дейности или обекти'!AA74+'12.2.Нови дейности или обекти'!C97+'12.2.Нови дейности или обекти'!I97+'12.2.Нови дейности или обекти'!O97+'12.2.Нови дейности или обекти'!U97+'12.2.Нови дейности или обекти'!AA97</f>
        <v>0</v>
      </c>
      <c r="P101" s="1321">
        <f>O29-O101</f>
        <v>164.26000000000002</v>
      </c>
      <c r="Q101" s="1321">
        <f>'12.2.Нови дейности или обекти'!D74+'12.2.Нови дейности или обекти'!J74+'12.2.Нови дейности или обекти'!P74+'12.2.Нови дейности или обекти'!V74+'12.2.Нови дейности или обекти'!AB74+'12.2.Нови дейности или обекти'!D97+'12.2.Нови дейности или обекти'!J97+'12.2.Нови дейности или обекти'!P97+'12.2.Нови дейности или обекти'!V97+'12.2.Нови дейности или обекти'!AB97</f>
        <v>0</v>
      </c>
      <c r="R101" s="1321">
        <f>Q29-Q101</f>
        <v>178.38899999999998</v>
      </c>
      <c r="S101" s="1321">
        <f>'12.2.Нови дейности или обекти'!E74+'12.2.Нови дейности или обекти'!K74+'12.2.Нови дейности или обекти'!Q74+'12.2.Нови дейности или обекти'!W74+'12.2.Нови дейности или обекти'!AC74+'12.2.Нови дейности или обекти'!E97+'12.2.Нови дейности или обекти'!K97+'12.2.Нови дейности или обекти'!Q97+'12.2.Нови дейности или обекти'!W97+'12.2.Нови дейности или обекти'!AC97</f>
        <v>0</v>
      </c>
      <c r="T101" s="1321">
        <f>S29-S101</f>
        <v>180.739</v>
      </c>
      <c r="U101" s="1321">
        <f>'12.2.Нови дейности или обекти'!F74+'12.2.Нови дейности или обекти'!L74+'12.2.Нови дейности или обекти'!R74+'12.2.Нови дейности или обекти'!X74+'12.2.Нови дейности или обекти'!AD74+'12.2.Нови дейности или обекти'!F97+'12.2.Нови дейности или обекти'!L97+'12.2.Нови дейности или обекти'!R97+'12.2.Нови дейности или обекти'!X97+'12.2.Нови дейности или обекти'!AD97</f>
        <v>0</v>
      </c>
      <c r="V101" s="1321">
        <f>U29-U101</f>
        <v>180.739</v>
      </c>
      <c r="W101" s="1321">
        <f>'12.2.Нови дейности или обекти'!G74+'12.2.Нови дейности или обекти'!M74+'12.2.Нови дейности или обекти'!S74+'12.2.Нови дейности или обекти'!Y74+'12.2.Нови дейности или обекти'!AE74+'12.2.Нови дейности или обекти'!G97+'12.2.Нови дейности или обекти'!M97+'12.2.Нови дейности или обекти'!S97+'12.2.Нови дейности или обекти'!Y97+'12.2.Нови дейности или обекти'!AE97</f>
        <v>0</v>
      </c>
      <c r="X101" s="1326">
        <f>W29-W101</f>
        <v>180.739</v>
      </c>
      <c r="Y101" s="1334"/>
      <c r="Z101" s="1325">
        <f>'12.2.Нови дейности или обекти'!C121+'12.2.Нови дейности или обекти'!I121+'12.2.Нови дейности или обекти'!O121+'12.2.Нови дейности или обекти'!U121+'12.2.Нови дейности или обекти'!AA121+'12.2.Нови дейности или обекти'!C144+'12.2.Нови дейности или обекти'!I144+'12.2.Нови дейности или обекти'!O144+'12.2.Нови дейности или обекти'!U144+'12.2.Нови дейности или обекти'!AA144</f>
        <v>0</v>
      </c>
      <c r="AA101" s="1321">
        <f>Z29-Z101</f>
        <v>185.21699999999987</v>
      </c>
      <c r="AB101" s="1321">
        <f>'12.2.Нови дейности или обекти'!D121+'12.2.Нови дейности или обекти'!J121+'12.2.Нови дейности или обекти'!P121+'12.2.Нови дейности или обекти'!V121+'12.2.Нови дейности или обекти'!AB121+'12.2.Нови дейности или обекти'!D144+'12.2.Нови дейности или обекти'!J144+'12.2.Нови дейности или обекти'!P144+'12.2.Нови дейности или обекти'!V144+'12.2.Нови дейности или обекти'!AB144</f>
        <v>0</v>
      </c>
      <c r="AC101" s="1321">
        <f>AB29-AB101</f>
        <v>277.99599999999998</v>
      </c>
      <c r="AD101" s="1321">
        <f>'12.2.Нови дейности или обекти'!E121+'12.2.Нови дейности или обекти'!K121+'12.2.Нови дейности или обекти'!Q121+'12.2.Нови дейности или обекти'!W121+'12.2.Нови дейности или обекти'!AC121+'12.2.Нови дейности или обекти'!E144+'12.2.Нови дейности или обекти'!K144+'12.2.Нови дейности или обекти'!Q144+'12.2.Нови дейности или обекти'!W144+'12.2.Нови дейности или обекти'!AC144</f>
        <v>158.505</v>
      </c>
      <c r="AE101" s="1321">
        <f>AD29-AD101</f>
        <v>-252.81800000000007</v>
      </c>
      <c r="AF101" s="1321">
        <f>'12.2.Нови дейности или обекти'!F121+'12.2.Нови дейности или обекти'!L121+'12.2.Нови дейности или обекти'!R121+'12.2.Нови дейности или обекти'!X121+'12.2.Нови дейности или обекти'!AD121+'12.2.Нови дейности или обекти'!F144+'12.2.Нови дейности или обекти'!L144+'12.2.Нови дейности или обекти'!R144+'12.2.Нови дейности или обекти'!X144+'12.2.Нови дейности или обекти'!AD144</f>
        <v>158.505</v>
      </c>
      <c r="AG101" s="1321">
        <f>AF29-AF101</f>
        <v>-248.99400000000006</v>
      </c>
      <c r="AH101" s="1321">
        <f>'12.2.Нови дейности или обекти'!G121+'12.2.Нови дейности или обекти'!M121+'12.2.Нови дейности или обекти'!S121+'12.2.Нови дейности или обекти'!Y121+'12.2.Нови дейности или обекти'!AE121+'12.2.Нови дейности или обекти'!G144+'12.2.Нови дейности или обекти'!M144+'12.2.Нови дейности или обекти'!S144+'12.2.Нови дейности или обекти'!Y144+'12.2.Нови дейности или обекти'!AE144</f>
        <v>158.505</v>
      </c>
      <c r="AI101" s="1326">
        <f>AH29-AH101</f>
        <v>-307.32200000000006</v>
      </c>
      <c r="AJ101" s="2944"/>
      <c r="AK101" s="2944"/>
      <c r="AL101" s="2944"/>
      <c r="AM101" s="1269"/>
      <c r="AN101" s="1268"/>
      <c r="AO101" s="3391"/>
      <c r="AP101" s="3391"/>
      <c r="AQ101" s="3514"/>
      <c r="AR101" s="3517" t="str">
        <f>'Приложение '!D82</f>
        <v>(подпис)</v>
      </c>
      <c r="AS101" s="3518"/>
      <c r="AT101" s="2951"/>
      <c r="AU101" s="1268"/>
      <c r="AV101" s="1269"/>
      <c r="AW101" s="1268"/>
      <c r="AX101" s="1269"/>
      <c r="AY101" s="1268"/>
      <c r="AZ101" s="1269"/>
      <c r="BA101" s="1268"/>
      <c r="BB101" s="1269"/>
      <c r="BC101" s="1268"/>
      <c r="BD101" s="1269"/>
      <c r="BE101" s="1268"/>
    </row>
    <row r="102" spans="1:57" s="49" customFormat="1">
      <c r="A102" s="5483"/>
      <c r="B102" s="1331" t="s">
        <v>453</v>
      </c>
      <c r="C102" s="1334"/>
      <c r="D102" s="996">
        <f>'12.2.Нови дейности или обекти'!C28+'12.2.Нови дейности или обекти'!I28+'12.2.Нови дейности или обекти'!O28+'12.2.Нови дейности или обекти'!U28+'12.2.Нови дейности или обекти'!AA28+'12.2.Нови дейности или обекти'!C51+'12.2.Нови дейности или обекти'!I51+'12.2.Нови дейности или обекти'!O51+'12.2.Нови дейности или обекти'!U51+'12.2.Нови дейности или обекти'!AA51</f>
        <v>0</v>
      </c>
      <c r="E102" s="1321">
        <f>D59-D102</f>
        <v>361.46199999999999</v>
      </c>
      <c r="F102" s="1321">
        <f>'12.2.Нови дейности или обекти'!D24+'12.2.Нови дейности или обекти'!J24+'12.2.Нови дейности или обекти'!P24+'12.2.Нови дейности или обекти'!V24+'12.2.Нови дейности или обекти'!AB24++'12.2.Нови дейности или обекти'!D47+'12.2.Нови дейности или обекти'!J47+'12.2.Нови дейности или обекти'!P47+'12.2.Нови дейности или обекти'!V47+'12.2.Нови дейности или обекти'!AB47</f>
        <v>0</v>
      </c>
      <c r="G102" s="1321">
        <f>F59-F102</f>
        <v>878.61200000000008</v>
      </c>
      <c r="H102" s="1321">
        <f>'12.2.Нови дейности или обекти'!E24+'12.2.Нови дейности или обекти'!K24+'12.2.Нови дейности или обекти'!Q24+'12.2.Нови дейности или обекти'!W24+'12.2.Нови дейности или обекти'!AC24+'12.2.Нови дейности или обекти'!E47+'12.2.Нови дейности или обекти'!K47+'12.2.Нови дейности или обекти'!Q47+'12.2.Нови дейности или обекти'!W47+'12.2.Нови дейности или обекти'!AC47</f>
        <v>0</v>
      </c>
      <c r="I102" s="1321">
        <f>H59-H102</f>
        <v>1472.4119999999998</v>
      </c>
      <c r="J102" s="1321">
        <f>'12.2.Нови дейности или обекти'!F24+'12.2.Нови дейности или обекти'!L24+'12.2.Нови дейности или обекти'!R24+'12.2.Нови дейности или обекти'!X24+'12.2.Нови дейности или обекти'!AD24+'12.2.Нови дейности или обекти'!F47+'12.2.Нови дейности или обекти'!L47+'12.2.Нови дейности или обекти'!R47+'12.2.Нови дейности или обекти'!X47+'12.2.Нови дейности или обекти'!AD47</f>
        <v>0</v>
      </c>
      <c r="K102" s="1321">
        <f>J59-J102</f>
        <v>2154.712</v>
      </c>
      <c r="L102" s="1321">
        <f>'12.2.Нови дейности или обекти'!G24+'12.2.Нови дейности или обекти'!M24+'12.2.Нови дейности или обекти'!S24+'12.2.Нови дейности или обекти'!Y24+'12.2.Нови дейности или обекти'!AE24+'12.2.Нови дейности или обекти'!G47+'12.2.Нови дейности или обекти'!M47+'12.2.Нови дейности или обекти'!S47+'12.2.Нови дейности или обекти'!Y47+'12.2.Нови дейности или обекти'!AE47</f>
        <v>0</v>
      </c>
      <c r="M102" s="1326">
        <f>L59-L102</f>
        <v>2204.9119999999998</v>
      </c>
      <c r="N102" s="1334"/>
      <c r="O102" s="1325">
        <f>'12.2.Нови дейности или обекти'!C75+'12.2.Нови дейности или обекти'!I75+'12.2.Нови дейности или обекти'!O75+'12.2.Нови дейности или обекти'!U75+'12.2.Нови дейности или обекти'!AA75+'12.2.Нови дейности или обекти'!C98+'12.2.Нови дейности или обекти'!I98+'12.2.Нови дейности или обекти'!O98+'12.2.Нови дейности или обекти'!U98+'12.2.Нови дейности или обекти'!AA98</f>
        <v>0</v>
      </c>
      <c r="P102" s="1321">
        <f>O59-O102</f>
        <v>14.187999999999988</v>
      </c>
      <c r="Q102" s="1321">
        <f>'12.2.Нови дейности или обекти'!D75+'12.2.Нови дейности или обекти'!J75+'12.2.Нови дейности или обекти'!P75+'12.2.Нови дейности или обекти'!V75+'12.2.Нови дейности или обекти'!AB75+'12.2.Нови дейности или обекти'!D98+'12.2.Нови дейности или обекти'!J98+'12.2.Нови дейности или обекти'!P98+'12.2.Нови дейности или обекти'!V98+'12.2.Нови дейности или обекти'!AB98</f>
        <v>0</v>
      </c>
      <c r="R102" s="1321">
        <f>Q59-Q102</f>
        <v>41.687999999999988</v>
      </c>
      <c r="S102" s="1321">
        <f>'12.2.Нови дейности или обекти'!E75+'12.2.Нови дейности или обекти'!K75+'12.2.Нови дейности или обекти'!Q75+'12.2.Нови дейности или обекти'!W75+'12.2.Нови дейности или обекти'!AC75+'12.2.Нови дейности или обекти'!E98+'12.2.Нови дейности или обекти'!K98+'12.2.Нови дейности или обекти'!Q98+'12.2.Нови дейности или обекти'!W98+'12.2.Нови дейности или обекти'!AC98</f>
        <v>0</v>
      </c>
      <c r="T102" s="1321">
        <f>S59-S102</f>
        <v>73.75800000000001</v>
      </c>
      <c r="U102" s="1321">
        <f>'12.2.Нови дейности или обекти'!F75+'12.2.Нови дейности или обекти'!L75+'12.2.Нови дейности или обекти'!R75+'12.2.Нови дейности или обекти'!X75+'12.2.Нови дейности или обекти'!AD75+'12.2.Нови дейности или обекти'!F98+'12.2.Нови дейности или обекти'!L98+'12.2.Нови дейности или обекти'!R98+'12.2.Нови дейности или обекти'!X98+'12.2.Нови дейности или обекти'!AD98</f>
        <v>0</v>
      </c>
      <c r="V102" s="1321">
        <f>U59-U102</f>
        <v>110.08799999999999</v>
      </c>
      <c r="W102" s="1321">
        <f>'12.2.Нови дейности или обекти'!G75+'12.2.Нови дейности или обекти'!M75+'12.2.Нови дейности или обекти'!S75+'12.2.Нови дейности или обекти'!Y75+'12.2.Нови дейности или обекти'!AE75+'12.2.Нови дейности или обекти'!G98+'12.2.Нови дейности или обекти'!M98+'12.2.Нови дейности или обекти'!S98+'12.2.Нови дейности или обекти'!Y98+'12.2.Нови дейности или обекти'!AE98</f>
        <v>0</v>
      </c>
      <c r="X102" s="1326">
        <f>W59-W102</f>
        <v>132.79800000000003</v>
      </c>
      <c r="Y102" s="1334"/>
      <c r="Z102" s="1325">
        <f>'12.2.Нови дейности или обекти'!C122+'12.2.Нови дейности или обекти'!I122+'12.2.Нови дейности или обекти'!O122+'12.2.Нови дейности или обекти'!U122+'12.2.Нови дейности или обекти'!AA122+'12.2.Нови дейности или обекти'!C145+'12.2.Нови дейности или обекти'!I145+'12.2.Нови дейности или обекти'!O145+'12.2.Нови дейности или обекти'!U145+'12.2.Нови дейности или обекти'!AA145</f>
        <v>0</v>
      </c>
      <c r="AA102" s="1321">
        <f>Z59-Z102</f>
        <v>53.701999999999998</v>
      </c>
      <c r="AB102" s="1321">
        <f>'12.2.Нови дейности или обекти'!D122+'12.2.Нови дейности или обекти'!J122+'12.2.Нови дейности или обекти'!P122+'12.2.Нови дейности или обекти'!V122+'12.2.Нови дейности или обекти'!AB122+'12.2.Нови дейности или обекти'!D145+'12.2.Нови дейности или обекти'!J145+'12.2.Нови дейности или обекти'!P145+'12.2.Нови дейности или обекти'!V145+'12.2.Нови дейности или обекти'!AB145</f>
        <v>0</v>
      </c>
      <c r="AC102" s="1321">
        <f>AB59-AB102</f>
        <v>128.48199999999997</v>
      </c>
      <c r="AD102" s="1321">
        <f>'12.2.Нови дейности или обекти'!E122+'12.2.Нови дейности или обекти'!K122+'12.2.Нови дейности или обекти'!Q122+'12.2.Нови дейности или обекти'!W122+'12.2.Нови дейности или обекти'!AC122+'12.2.Нови дейности или обекти'!E145+'12.2.Нови дейности или обекти'!K145+'12.2.Нови дейности или обекти'!Q145+'12.2.Нови дейности или обекти'!W145+'12.2.Нови дейности или обекти'!AC145</f>
        <v>155.4</v>
      </c>
      <c r="AE102" s="1321">
        <f>AD59-AD102</f>
        <v>56.101999999999947</v>
      </c>
      <c r="AF102" s="1321">
        <f>'12.2.Нови дейности или обекти'!F122+'12.2.Нови дейности или обекти'!L122+'12.2.Нови дейности или обекти'!R122+'12.2.Нови дейности или обекти'!X122+'12.2.Нови дейности или обекти'!AD122+'12.2.Нови дейности или обекти'!F145+'12.2.Нови дейности или обекти'!L145+'12.2.Нови дейности или обекти'!R145+'12.2.Нови дейности или обекти'!X145+'12.2.Нови дейности или обекти'!AD145</f>
        <v>155.4</v>
      </c>
      <c r="AG102" s="1321">
        <f>AF59-AF102</f>
        <v>153.00200000000004</v>
      </c>
      <c r="AH102" s="1321">
        <f>'12.2.Нови дейности или обекти'!G122+'12.2.Нови дейности или обекти'!M122+'12.2.Нови дейности или обекти'!S122+'12.2.Нови дейности или обекти'!Y122+'12.2.Нови дейности или обекти'!AE122+'12.2.Нови дейности или обекти'!G145+'12.2.Нови дейности или обекти'!M145+'12.2.Нови дейности или обекти'!S145+'12.2.Нови дейности или обекти'!Y145+'12.2.Нови дейности или обекти'!AE145</f>
        <v>155.4</v>
      </c>
      <c r="AI102" s="1326">
        <f>AH59-AH102</f>
        <v>248.80199999999999</v>
      </c>
      <c r="AJ102" s="2944"/>
      <c r="AK102" s="2944"/>
      <c r="AL102" s="2944"/>
      <c r="AM102" s="1269"/>
      <c r="AN102" s="1268"/>
      <c r="AO102" s="3391"/>
      <c r="AP102" s="3391"/>
      <c r="AQ102" s="3514"/>
      <c r="AR102" s="3515"/>
      <c r="AS102" s="3518"/>
      <c r="AT102" s="2951"/>
      <c r="AU102" s="1268"/>
      <c r="AV102" s="1269"/>
      <c r="AW102" s="1268"/>
      <c r="AX102" s="1269"/>
      <c r="AY102" s="1268"/>
      <c r="AZ102" s="1269"/>
      <c r="BA102" s="1268"/>
      <c r="BB102" s="1269"/>
      <c r="BC102" s="1268"/>
      <c r="BD102" s="1269"/>
      <c r="BE102" s="1268"/>
    </row>
    <row r="103" spans="1:57" s="49" customFormat="1">
      <c r="A103" s="5483"/>
      <c r="B103" s="1331" t="s">
        <v>454</v>
      </c>
      <c r="C103" s="1334"/>
      <c r="D103" s="996">
        <f>'12.2.Нови дейности или обекти'!C29+'12.2.Нови дейности или обекти'!I29+'12.2.Нови дейности или обекти'!O29+'12.2.Нови дейности или обекти'!U29+'12.2.Нови дейности или обекти'!AA29+'12.2.Нови дейности или обекти'!C52+'12.2.Нови дейности или обекти'!I52+'12.2.Нови дейности или обекти'!O52+'12.2.Нови дейности или обекти'!U52+'12.2.Нови дейности или обекти'!AA52</f>
        <v>0</v>
      </c>
      <c r="E103" s="1321">
        <f>D63-D103</f>
        <v>121.77300000000002</v>
      </c>
      <c r="F103" s="1321">
        <f>'12.2.Нови дейности или обекти'!D25+'12.2.Нови дейности или обекти'!J25+'12.2.Нови дейности или обекти'!P25+'12.2.Нови дейности или обекти'!V25+'12.2.Нови дейности или обекти'!AB25++'12.2.Нови дейности или обекти'!D48+'12.2.Нови дейности или обекти'!J48+'12.2.Нови дейности или обекти'!P48+'12.2.Нови дейности или обекти'!V48+'12.2.Нови дейности или обекти'!AB48</f>
        <v>0</v>
      </c>
      <c r="G103" s="1321">
        <f>F63-F103</f>
        <v>285.77300000000002</v>
      </c>
      <c r="H103" s="1321">
        <f>'12.2.Нови дейности или обекти'!E25+'12.2.Нови дейности или обекти'!K25+'12.2.Нови дейности или обекти'!Q25+'12.2.Нови дейности или обекти'!W25+'12.2.Нови дейности или обекти'!AC25+'12.2.Нови дейности или обекти'!E48+'12.2.Нови дейности или обекти'!K48+'12.2.Нови дейности или обекти'!Q48+'12.2.Нови дейности или обекти'!W48+'12.2.Нови дейности или обекти'!AC48</f>
        <v>0</v>
      </c>
      <c r="I103" s="1321">
        <f>H63-H103</f>
        <v>468.77300000000002</v>
      </c>
      <c r="J103" s="1321">
        <f>'12.2.Нови дейности или обекти'!F25+'12.2.Нови дейности или обекти'!L25+'12.2.Нови дейности или обекти'!R25+'12.2.Нови дейности или обекти'!X25+'12.2.Нови дейности или обекти'!AD25+'12.2.Нови дейности или обекти'!F48+'12.2.Нови дейности или обекти'!L48+'12.2.Нови дейности или обекти'!R48+'12.2.Нови дейности или обекти'!X48+'12.2.Нови дейности или обекти'!AD48</f>
        <v>0</v>
      </c>
      <c r="K103" s="1321">
        <f>J63-J103</f>
        <v>679.77300000000002</v>
      </c>
      <c r="L103" s="1321">
        <f>'12.2.Нови дейности или обекти'!G25+'12.2.Нови дейности или обекти'!M25+'12.2.Нови дейности или обекти'!S25+'12.2.Нови дейности или обекти'!Y25+'12.2.Нови дейности или обекти'!AE25+'12.2.Нови дейности или обекти'!G48+'12.2.Нови дейности или обекти'!M48+'12.2.Нови дейности или обекти'!S48+'12.2.Нови дейности или обекти'!Y48+'12.2.Нови дейности или обекти'!AE48</f>
        <v>0</v>
      </c>
      <c r="M103" s="1326">
        <f>L63-L103</f>
        <v>920.77300000000002</v>
      </c>
      <c r="N103" s="1334"/>
      <c r="O103" s="1325">
        <f>'12.2.Нови дейности или обекти'!C76+'12.2.Нови дейности или обекти'!I76+'12.2.Нови дейности или обекти'!O76+'12.2.Нови дейности или обекти'!U76+'12.2.Нови дейности или обекти'!AA76+'12.2.Нови дейности или обекти'!C99+'12.2.Нови дейности или обекти'!I99+'12.2.Нови дейности или обекти'!O99+'12.2.Нови дейности или обекти'!U99+'12.2.Нови дейности или обекти'!AA99</f>
        <v>0</v>
      </c>
      <c r="P103" s="1321">
        <f>O63-O103</f>
        <v>7.5</v>
      </c>
      <c r="Q103" s="1321">
        <f>'12.2.Нови дейности или обекти'!D76+'12.2.Нови дейности или обекти'!J76+'12.2.Нови дейности или обекти'!P76+'12.2.Нови дейности или обекти'!V76+'12.2.Нови дейности или обекти'!AB76+'12.2.Нови дейности или обекти'!D99+'12.2.Нови дейности или обекти'!J99+'12.2.Нови дейности или обекти'!P99+'12.2.Нови дейности или обекти'!V99+'12.2.Нови дейности или обекти'!AB99</f>
        <v>0</v>
      </c>
      <c r="R103" s="1321">
        <f>Q63-Q103</f>
        <v>16.5</v>
      </c>
      <c r="S103" s="1321">
        <f>'12.2.Нови дейности или обекти'!E76+'12.2.Нови дейности или обекти'!K76+'12.2.Нови дейности или обекти'!Q76+'12.2.Нови дейности или обекти'!W76+'12.2.Нови дейности или обекти'!AC76+'12.2.Нови дейности или обекти'!E99+'12.2.Нови дейности или обекти'!K99+'12.2.Нови дейности или обекти'!Q99+'12.2.Нови дейности или обекти'!W99+'12.2.Нови дейности или обекти'!AC99</f>
        <v>0</v>
      </c>
      <c r="T103" s="1321">
        <f>S63-S103</f>
        <v>30.5</v>
      </c>
      <c r="U103" s="1321">
        <f>'12.2.Нови дейности или обекти'!F76+'12.2.Нови дейности или обекти'!L76+'12.2.Нови дейности или обекти'!R76+'12.2.Нови дейности или обекти'!X76+'12.2.Нови дейности или обекти'!AD76+'12.2.Нови дейности или обекти'!F99+'12.2.Нови дейности или обекти'!L99+'12.2.Нови дейности или обекти'!R99+'12.2.Нови дейности или обекти'!X99+'12.2.Нови дейности или обекти'!AD99</f>
        <v>0</v>
      </c>
      <c r="V103" s="1321">
        <f>U63-U103</f>
        <v>44.5</v>
      </c>
      <c r="W103" s="1321">
        <f>'12.2.Нови дейности или обекти'!G76+'12.2.Нови дейности или обекти'!M76+'12.2.Нови дейности или обекти'!S76+'12.2.Нови дейности или обекти'!Y76+'12.2.Нови дейности или обекти'!AE76+'12.2.Нови дейности или обекти'!G99+'12.2.Нови дейности или обекти'!M99+'12.2.Нови дейности или обекти'!S99+'12.2.Нови дейности или обекти'!Y99+'12.2.Нови дейности или обекти'!AE99</f>
        <v>0</v>
      </c>
      <c r="X103" s="1326">
        <f>W63-W103</f>
        <v>60.5</v>
      </c>
      <c r="Y103" s="1334"/>
      <c r="Z103" s="1325">
        <f>'12.2.Нови дейности или обекти'!C123+'12.2.Нови дейности или обекти'!I123+'12.2.Нови дейности или обекти'!O123+'12.2.Нови дейности или обекти'!U123+'12.2.Нови дейности или обекти'!AA123+'12.2.Нови дейности или обекти'!C146+'12.2.Нови дейности или обекти'!I146+'12.2.Нови дейности или обекти'!O146+'12.2.Нови дейности или обекти'!U146+'12.2.Нови дейности или обекти'!AA146</f>
        <v>0</v>
      </c>
      <c r="AA103" s="1321">
        <f>Z63-Z103</f>
        <v>16</v>
      </c>
      <c r="AB103" s="1321">
        <f>'12.2.Нови дейности или обекти'!D123+'12.2.Нови дейности или обекти'!J123+'12.2.Нови дейности или обекти'!P123+'12.2.Нови дейности или обекти'!V123+'12.2.Нови дейности или обекти'!AB123+'12.2.Нови дейности или обекти'!D146+'12.2.Нови дейности или обекти'!J146+'12.2.Нови дейности или обекти'!P146+'12.2.Нови дейности или обекти'!V146+'12.2.Нови дейности или обекти'!AB146</f>
        <v>0</v>
      </c>
      <c r="AC103" s="1321">
        <f>AB63-AB103</f>
        <v>38</v>
      </c>
      <c r="AD103" s="1321">
        <f>'12.2.Нови дейности или обекти'!E123+'12.2.Нови дейности или обекти'!K123+'12.2.Нови дейности или обекти'!Q123+'12.2.Нови дейности или обекти'!W123+'12.2.Нови дейности или обекти'!AC123+'12.2.Нови дейности или обекти'!E146+'12.2.Нови дейности или обекти'!K146+'12.2.Нови дейности или обекти'!Q146+'12.2.Нови дейности или обекти'!W146+'12.2.Нови дейности или обекти'!AC146</f>
        <v>109.30200000000001</v>
      </c>
      <c r="AE103" s="1321">
        <f>AD63-AD103</f>
        <v>-46.302000000000007</v>
      </c>
      <c r="AF103" s="1321">
        <f>'12.2.Нови дейности или обекти'!F123+'12.2.Нови дейности или обекти'!L123+'12.2.Нови дейности или обекти'!R123+'12.2.Нови дейности или обекти'!X123+'12.2.Нови дейности или обекти'!AD123+'12.2.Нови дейности или обекти'!F146+'12.2.Нови дейности или обекти'!L146+'12.2.Нови дейности или обекти'!R146+'12.2.Нови дейности или обекти'!X146+'12.2.Нови дейности или обекти'!AD146</f>
        <v>109.30200000000001</v>
      </c>
      <c r="AG103" s="1321">
        <f>AF63-AF103</f>
        <v>-15.302000000000007</v>
      </c>
      <c r="AH103" s="1321">
        <f>'12.2.Нови дейности или обекти'!G123+'12.2.Нови дейности или обекти'!M123+'12.2.Нови дейности или обекти'!S123+'12.2.Нови дейности или обекти'!Y123+'12.2.Нови дейности или обекти'!AE123+'12.2.Нови дейности или обекти'!G146+'12.2.Нови дейности или обекти'!M146+'12.2.Нови дейности или обекти'!S146+'12.2.Нови дейности или обекти'!Y146+'12.2.Нови дейности или обекти'!AE146</f>
        <v>109.30200000000001</v>
      </c>
      <c r="AI103" s="1326">
        <f>AH63-AH103</f>
        <v>17.697999999999993</v>
      </c>
      <c r="AJ103" s="2944"/>
      <c r="AK103" s="2944"/>
      <c r="AL103" s="2944"/>
      <c r="AM103" s="1269"/>
      <c r="AN103" s="1268"/>
      <c r="AO103" s="1269"/>
      <c r="AP103" s="1268"/>
      <c r="AQ103" s="1269"/>
      <c r="AR103" s="1268"/>
      <c r="AS103" s="1269"/>
      <c r="AT103" s="1268"/>
      <c r="AU103" s="1268"/>
      <c r="AV103" s="1269"/>
      <c r="AW103" s="1268"/>
      <c r="AX103" s="1269"/>
      <c r="AY103" s="1268"/>
      <c r="AZ103" s="1269"/>
      <c r="BA103" s="1268"/>
      <c r="BB103" s="1269"/>
      <c r="BC103" s="1268"/>
      <c r="BD103" s="1269"/>
      <c r="BE103" s="1268"/>
    </row>
    <row r="104" spans="1:57" s="49" customFormat="1">
      <c r="A104" s="5483"/>
      <c r="B104" s="1331" t="s">
        <v>455</v>
      </c>
      <c r="C104" s="1334"/>
      <c r="D104" s="996">
        <f>'12.2.Нови дейности или обекти'!C30+'12.2.Нови дейности или обекти'!I30+'12.2.Нови дейности или обекти'!O30+'12.2.Нови дейности или обекти'!U30+'12.2.Нови дейности или обекти'!AA30+'12.2.Нови дейности или обекти'!C53+'12.2.Нови дейности или обекти'!I53+'12.2.Нови дейности или обекти'!O53+'12.2.Нови дейности или обекти'!U53+'12.2.Нови дейности или обекти'!AA53</f>
        <v>0</v>
      </c>
      <c r="E104" s="1321">
        <f>D70-D104</f>
        <v>-178.11200000000002</v>
      </c>
      <c r="F104" s="1321">
        <f>'12.2.Нови дейности или обекти'!D26+'12.2.Нови дейности или обекти'!J26+'12.2.Нови дейности или обекти'!P26+'12.2.Нови дейности или обекти'!V26+'12.2.Нови дейности или обекти'!AB26++'12.2.Нови дейности или обекти'!D49+'12.2.Нови дейности или обекти'!J49+'12.2.Нови дейности или обекти'!P49+'12.2.Нови дейности или обекти'!V49+'12.2.Нови дейности или обекти'!AB49</f>
        <v>0</v>
      </c>
      <c r="G104" s="1321">
        <f>F70-F104</f>
        <v>-307.49092969129094</v>
      </c>
      <c r="H104" s="1321">
        <f>'12.2.Нови дейности или обекти'!E26+'12.2.Нови дейности или обекти'!K26+'12.2.Нови дейности или обекти'!Q26+'12.2.Нови дейности или обекти'!W26+'12.2.Нови дейности или обекти'!AC26+'12.2.Нови дейности или обекти'!E49+'12.2.Нови дейности или обекти'!K49+'12.2.Нови дейности или обекти'!Q49+'12.2.Нови дейности или обекти'!W49+'12.2.Нови дейности или обекти'!AC49</f>
        <v>0</v>
      </c>
      <c r="I104" s="1321">
        <f>H70-H104</f>
        <v>-362.35701655604583</v>
      </c>
      <c r="J104" s="1321">
        <f>'12.2.Нови дейности или обекти'!F26+'12.2.Нови дейности или обекти'!L26+'12.2.Нови дейности или обекти'!R26+'12.2.Нови дейности или обекти'!X26+'12.2.Нови дейности или обекти'!AD26+'12.2.Нови дейности или обекти'!F49+'12.2.Нови дейности или обекти'!L49+'12.2.Нови дейности или обекти'!R49+'12.2.Нови дейности или обекти'!X49+'12.2.Нови дейности или обекти'!AD49</f>
        <v>0</v>
      </c>
      <c r="K104" s="1321">
        <f>J70-J104</f>
        <v>-394.02310342079949</v>
      </c>
      <c r="L104" s="1321">
        <f>'12.2.Нови дейности или обекти'!G26+'12.2.Нови дейности или обекти'!M26+'12.2.Нови дейности или обекти'!S26+'12.2.Нови дейности или обекти'!Y26+'12.2.Нови дейности или обекти'!AE26+'12.2.Нови дейности или обекти'!G49+'12.2.Нови дейности или обекти'!M49+'12.2.Нови дейности или обекти'!S49+'12.2.Нови дейности или обекти'!Y49+'12.2.Нови дейности или обекти'!AE49</f>
        <v>0</v>
      </c>
      <c r="M104" s="1326">
        <f>L70-L104</f>
        <v>-416.16775232262779</v>
      </c>
      <c r="N104" s="1334"/>
      <c r="O104" s="1325">
        <f>'12.2.Нови дейности или обекти'!C77+'12.2.Нови дейности или обекти'!I77+'12.2.Нови дейности или обекти'!O77+'12.2.Нови дейности или обекти'!U77+'12.2.Нови дейности или обекти'!AA77+'12.2.Нови дейности или обекти'!C100+'12.2.Нови дейности или обекти'!I100+'12.2.Нови дейности или обекти'!O100+'12.2.Нови дейности или обекти'!U100+'12.2.Нови дейности или обекти'!AA100</f>
        <v>0</v>
      </c>
      <c r="P104" s="1321">
        <f>O70-O104</f>
        <v>0.39999999999999858</v>
      </c>
      <c r="Q104" s="1321">
        <f>'12.2.Нови дейности или обекти'!D77+'12.2.Нови дейности или обекти'!J77+'12.2.Нови дейности или обекти'!P77+'12.2.Нови дейности или обекти'!V77+'12.2.Нови дейности или обекти'!AB77+'12.2.Нови дейности или обекти'!D100+'12.2.Нови дейности или обекти'!J100+'12.2.Нови дейности или обекти'!P100+'12.2.Нови дейности или обекти'!V100+'12.2.Нови дейности или обекти'!AB100</f>
        <v>0</v>
      </c>
      <c r="R104" s="1321">
        <f>Q70-Q104</f>
        <v>0.39999999999999858</v>
      </c>
      <c r="S104" s="1321">
        <f>'12.2.Нови дейности или обекти'!E77+'12.2.Нови дейности или обекти'!K77+'12.2.Нови дейности или обекти'!Q77+'12.2.Нови дейности или обекти'!W77+'12.2.Нови дейности или обекти'!AC77+'12.2.Нови дейности или обекти'!E100+'12.2.Нови дейности или обекти'!K100+'12.2.Нови дейности или обекти'!Q100+'12.2.Нови дейности или обекти'!W100+'12.2.Нови дейности или обекти'!AC100</f>
        <v>0</v>
      </c>
      <c r="T104" s="1321">
        <f>S70-S104</f>
        <v>0.39999999999999858</v>
      </c>
      <c r="U104" s="1321">
        <f>'12.2.Нови дейности или обекти'!F77+'12.2.Нови дейности или обекти'!L77+'12.2.Нови дейности или обекти'!R77+'12.2.Нови дейности или обекти'!X77+'12.2.Нови дейности или обекти'!AD77+'12.2.Нови дейности или обекти'!F100+'12.2.Нови дейности или обекти'!L100+'12.2.Нови дейности или обекти'!R100+'12.2.Нови дейности или обекти'!X100+'12.2.Нови дейности или обекти'!AD100</f>
        <v>0</v>
      </c>
      <c r="V104" s="1321">
        <f>U70-U104</f>
        <v>0.39999999999999858</v>
      </c>
      <c r="W104" s="1321">
        <f>'12.2.Нови дейности или обекти'!G77+'12.2.Нови дейности или обекти'!M77+'12.2.Нови дейности или обекти'!S77+'12.2.Нови дейности или обекти'!Y77+'12.2.Нови дейности или обекти'!AE77+'12.2.Нови дейности или обекти'!G100+'12.2.Нови дейности или обекти'!M100+'12.2.Нови дейности или обекти'!S100+'12.2.Нови дейности или обекти'!Y100+'12.2.Нови дейности или обекти'!AE100</f>
        <v>0</v>
      </c>
      <c r="X104" s="1326">
        <f>W70-W104</f>
        <v>0.39999999999999858</v>
      </c>
      <c r="Y104" s="1334"/>
      <c r="Z104" s="1325">
        <f>'12.2.Нови дейности или обекти'!C124+'12.2.Нови дейности или обекти'!I124+'12.2.Нови дейности или обекти'!O124+'12.2.Нови дейности или обекти'!U124+'12.2.Нови дейности или обекти'!AA124+'12.2.Нови дейности или обекти'!C147+'12.2.Нови дейности или обекти'!I147+'12.2.Нови дейности или обекти'!O147+'12.2.Нови дейности или обекти'!U147+'12.2.Нови дейности или обекти'!AA147</f>
        <v>0</v>
      </c>
      <c r="AA104" s="1321">
        <f>Z70-Z104</f>
        <v>8.0570000000000022</v>
      </c>
      <c r="AB104" s="1321">
        <f>'12.2.Нови дейности или обекти'!D124+'12.2.Нови дейности или обекти'!J124+'12.2.Нови дейности или обекти'!P124+'12.2.Нови дейности или обекти'!V124+'12.2.Нови дейности или обекти'!AB124+'12.2.Нови дейности или обекти'!D147+'12.2.Нови дейности или обекти'!J147+'12.2.Нови дейности или обекти'!P147+'12.2.Нови дейности или обекти'!V147+'12.2.Нови дейности или обекти'!AB147</f>
        <v>0</v>
      </c>
      <c r="AC104" s="1321">
        <f>AB70-AB104</f>
        <v>8.0260000000000034</v>
      </c>
      <c r="AD104" s="1321">
        <f>'12.2.Нови дейности или обекти'!E124+'12.2.Нови дейности или обекти'!K124+'12.2.Нови дейности или обекти'!Q124+'12.2.Нови дейности или обекти'!W124+'12.2.Нови дейности или обекти'!AC124+'12.2.Нови дейности или обекти'!E147+'12.2.Нови дейности или обекти'!K147+'12.2.Нови дейности или обекти'!Q147+'12.2.Нови дейности или обекти'!W147+'12.2.Нови дейности или обекти'!AC147</f>
        <v>0</v>
      </c>
      <c r="AE104" s="1321">
        <f>AD70-AD104</f>
        <v>16.422000000000004</v>
      </c>
      <c r="AF104" s="1321">
        <f>'12.2.Нови дейности или обекти'!F124+'12.2.Нови дейности или обекти'!L124+'12.2.Нови дейности или обекти'!R124+'12.2.Нови дейности или обекти'!X124+'12.2.Нови дейности или обекти'!AD124+'12.2.Нови дейности или обекти'!F147+'12.2.Нови дейности или обекти'!L147+'12.2.Нови дейности или обекти'!R147+'12.2.Нови дейности или обекти'!X147+'12.2.Нови дейности или обекти'!AD147</f>
        <v>0</v>
      </c>
      <c r="AG104" s="1321">
        <f>AF70-AF104</f>
        <v>16.023000000000003</v>
      </c>
      <c r="AH104" s="1321">
        <f>'12.2.Нови дейности или обекти'!G124+'12.2.Нови дейности или обекти'!M124+'12.2.Нови дейности или обекти'!S124+'12.2.Нови дейности или обекти'!Y124+'12.2.Нови дейности или обекти'!AE124+'12.2.Нови дейности или обекти'!G147+'12.2.Нови дейности или обекти'!M147+'12.2.Нови дейности или обекти'!S147+'12.2.Нови дейности или обекти'!Y147+'12.2.Нови дейности или обекти'!AE147</f>
        <v>0</v>
      </c>
      <c r="AI104" s="1326">
        <f>AH70-AH104</f>
        <v>15.597000000000008</v>
      </c>
      <c r="AJ104" s="2944"/>
      <c r="AK104" s="2944"/>
      <c r="AL104" s="2944"/>
      <c r="AM104" s="1269"/>
      <c r="AN104" s="1268"/>
      <c r="AO104" s="1269"/>
      <c r="AP104" s="1268"/>
      <c r="AQ104" s="1269"/>
      <c r="AR104" s="1268"/>
      <c r="AS104" s="1269"/>
      <c r="AT104" s="1268"/>
      <c r="AU104" s="1268"/>
      <c r="AV104" s="1269"/>
      <c r="AW104" s="1268"/>
      <c r="AX104" s="1269"/>
      <c r="AY104" s="1268"/>
      <c r="AZ104" s="1269"/>
      <c r="BA104" s="1268"/>
      <c r="BB104" s="1269"/>
      <c r="BC104" s="1268"/>
      <c r="BD104" s="1269"/>
      <c r="BE104" s="1268"/>
    </row>
    <row r="105" spans="1:57" s="49" customFormat="1">
      <c r="A105" s="5483"/>
      <c r="B105" s="1331" t="s">
        <v>272</v>
      </c>
      <c r="C105" s="1334"/>
      <c r="D105" s="996">
        <f>'12.2.Нови дейности или обекти'!C31+'12.2.Нови дейности или обекти'!I31+'12.2.Нови дейности или обекти'!O31+'12.2.Нови дейности или обекти'!U31+'12.2.Нови дейности или обекти'!AA31+'12.2.Нови дейности или обекти'!C54+'12.2.Нови дейности или обекти'!I54+'12.2.Нови дейности или обекти'!O54+'12.2.Нови дейности или обекти'!U54+'12.2.Нови дейности или обекти'!AA54</f>
        <v>0</v>
      </c>
      <c r="E105" s="1321">
        <f>D76-D105</f>
        <v>3</v>
      </c>
      <c r="F105" s="1321">
        <f>'12.2.Нови дейности или обекти'!D27+'12.2.Нови дейности или обекти'!J27+'12.2.Нови дейности или обекти'!P27+'12.2.Нови дейности или обекти'!V27+'12.2.Нови дейности или обекти'!AB27++'12.2.Нови дейности или обекти'!D50+'12.2.Нови дейности или обекти'!J50+'12.2.Нови дейности или обекти'!P50+'12.2.Нови дейности или обекти'!V50+'12.2.Нови дейности или обекти'!AB50</f>
        <v>0</v>
      </c>
      <c r="G105" s="1321">
        <f>F76-F105</f>
        <v>3</v>
      </c>
      <c r="H105" s="1321">
        <f>'12.2.Нови дейности или обекти'!E27+'12.2.Нови дейности или обекти'!K27+'12.2.Нови дейности или обекти'!Q27+'12.2.Нови дейности или обекти'!W27+'12.2.Нови дейности или обекти'!AC27+'12.2.Нови дейности или обекти'!E50+'12.2.Нови дейности или обекти'!K50+'12.2.Нови дейности или обекти'!Q50+'12.2.Нови дейности или обекти'!W50+'12.2.Нови дейности или обекти'!AC50</f>
        <v>0</v>
      </c>
      <c r="I105" s="1321">
        <f>H76-H105</f>
        <v>3</v>
      </c>
      <c r="J105" s="1321">
        <f>'12.2.Нови дейности или обекти'!F27+'12.2.Нови дейности или обекти'!L27+'12.2.Нови дейности или обекти'!R27+'12.2.Нови дейности или обекти'!X27+'12.2.Нови дейности или обекти'!AD27+'12.2.Нови дейности или обекти'!F50+'12.2.Нови дейности или обекти'!L50+'12.2.Нови дейности или обекти'!R50+'12.2.Нови дейности или обекти'!X50+'12.2.Нови дейности или обекти'!AD50</f>
        <v>0</v>
      </c>
      <c r="K105" s="1321">
        <f>J76-J105</f>
        <v>3</v>
      </c>
      <c r="L105" s="1321">
        <f>'12.2.Нови дейности или обекти'!G27+'12.2.Нови дейности или обекти'!M27+'12.2.Нови дейности или обекти'!S27+'12.2.Нови дейности или обекти'!Y27+'12.2.Нови дейности или обекти'!AE27+'12.2.Нови дейности или обекти'!G50+'12.2.Нови дейности или обекти'!M50+'12.2.Нови дейности или обекти'!S50+'12.2.Нови дейности или обекти'!Y50+'12.2.Нови дейности или обекти'!AE50</f>
        <v>0</v>
      </c>
      <c r="M105" s="1326">
        <f>L76-L105</f>
        <v>3.2000000000000028</v>
      </c>
      <c r="N105" s="1334"/>
      <c r="O105" s="1325">
        <f>'12.2.Нови дейности или обекти'!C78+'12.2.Нови дейности или обекти'!I78+'12.2.Нови дейности или обекти'!O78+'12.2.Нови дейности или обекти'!U78+'12.2.Нови дейности или обекти'!AA78+'12.2.Нови дейности или обекти'!C101+'12.2.Нови дейности или обекти'!I101+'12.2.Нови дейности или обекти'!O101+'12.2.Нови дейности или обекти'!U101+'12.2.Нови дейности или обекти'!AA101</f>
        <v>0</v>
      </c>
      <c r="P105" s="1321">
        <f>O76-O105</f>
        <v>2.1169999999999991</v>
      </c>
      <c r="Q105" s="1321">
        <f>'12.2.Нови дейности или обекти'!D78+'12.2.Нови дейности или обекти'!J78+'12.2.Нови дейности или обекти'!P78+'12.2.Нови дейности или обекти'!V78+'12.2.Нови дейности или обекти'!AB78+'12.2.Нови дейности или обекти'!D101+'12.2.Нови дейности или обекти'!J101+'12.2.Нови дейности или обекти'!P101+'12.2.Нови дейности или обекти'!V101+'12.2.Нови дейности или обекти'!AB101</f>
        <v>0</v>
      </c>
      <c r="R105" s="1321">
        <f>Q76-Q105</f>
        <v>2.1169999999999991</v>
      </c>
      <c r="S105" s="1321">
        <f>'12.2.Нови дейности или обекти'!E78+'12.2.Нови дейности или обекти'!K78+'12.2.Нови дейности или обекти'!Q78+'12.2.Нови дейности или обекти'!W78+'12.2.Нови дейности или обекти'!AC78+'12.2.Нови дейности или обекти'!E101+'12.2.Нови дейности или обекти'!K101+'12.2.Нови дейности или обекти'!Q101+'12.2.Нови дейности или обекти'!W101+'12.2.Нови дейности или обекти'!AC101</f>
        <v>0</v>
      </c>
      <c r="T105" s="1321">
        <f>S76-S105</f>
        <v>1.9169999999999998</v>
      </c>
      <c r="U105" s="1321">
        <f>'12.2.Нови дейности или обекти'!F78+'12.2.Нови дейности или обекти'!L78+'12.2.Нови дейности или обекти'!R78+'12.2.Нови дейности или обекти'!X78+'12.2.Нови дейности или обекти'!AD78+'12.2.Нови дейности или обекти'!F101+'12.2.Нови дейности или обекти'!L101+'12.2.Нови дейности или обекти'!R101+'12.2.Нови дейности или обекти'!X101+'12.2.Нови дейности или обекти'!AD101</f>
        <v>0</v>
      </c>
      <c r="V105" s="1321">
        <f>U76-U105</f>
        <v>1.7169999999999987</v>
      </c>
      <c r="W105" s="1321">
        <f>'12.2.Нови дейности или обекти'!G78+'12.2.Нови дейности или обекти'!M78+'12.2.Нови дейности или обекти'!S78+'12.2.Нови дейности или обекти'!Y78+'12.2.Нови дейности или обекти'!AE78+'12.2.Нови дейности или обекти'!G101+'12.2.Нови дейности или обекти'!M101+'12.2.Нови дейности или обекти'!S101+'12.2.Нови дейности или обекти'!Y101+'12.2.Нови дейности или обекти'!AE101</f>
        <v>0</v>
      </c>
      <c r="X105" s="1326">
        <f>W76-W105</f>
        <v>1.6369999999999987</v>
      </c>
      <c r="Y105" s="1334"/>
      <c r="Z105" s="1325">
        <f>'12.2.Нови дейности или обекти'!C125+'12.2.Нови дейности или обекти'!I125+'12.2.Нови дейности или обекти'!O125+'12.2.Нови дейности или обекти'!U125+'12.2.Нови дейности или обекти'!AA125+'12.2.Нови дейности или обекти'!C148+'12.2.Нови дейности или обекти'!I148+'12.2.Нови дейности или обекти'!O148+'12.2.Нови дейности или обекти'!U148+'12.2.Нови дейности или обекти'!AA148</f>
        <v>0</v>
      </c>
      <c r="AA105" s="1321">
        <f>Z76-Z105</f>
        <v>3.5</v>
      </c>
      <c r="AB105" s="1321">
        <f>'12.2.Нови дейности или обекти'!D125+'12.2.Нови дейности или обекти'!J125+'12.2.Нови дейности или обекти'!P125+'12.2.Нови дейности или обекти'!V125+'12.2.Нови дейности или обекти'!AB125+'12.2.Нови дейности или обекти'!D148+'12.2.Нови дейности или обекти'!J148+'12.2.Нови дейности или обекти'!P148+'12.2.Нови дейности или обекти'!V148+'12.2.Нови дейности или обекти'!AB148</f>
        <v>0</v>
      </c>
      <c r="AC105" s="1321">
        <f>AB76-AB105</f>
        <v>3.5</v>
      </c>
      <c r="AD105" s="1321">
        <f>'12.2.Нови дейности или обекти'!E125+'12.2.Нови дейности или обекти'!K125+'12.2.Нови дейности или обекти'!Q125+'12.2.Нови дейности или обекти'!W125+'12.2.Нови дейности или обекти'!AC125+'12.2.Нови дейности или обекти'!E148+'12.2.Нови дейности или обекти'!K148+'12.2.Нови дейности или обекти'!Q148+'12.2.Нови дейности или обекти'!W148+'12.2.Нови дейности или обекти'!AC148</f>
        <v>0</v>
      </c>
      <c r="AE105" s="1321">
        <f>AD76-AD105</f>
        <v>3.3000000000000007</v>
      </c>
      <c r="AF105" s="1321">
        <f>'12.2.Нови дейности или обекти'!F125+'12.2.Нови дейности или обекти'!L125+'12.2.Нови дейности или обекти'!R125+'12.2.Нови дейности или обекти'!X125+'12.2.Нови дейности или обекти'!AD125+'12.2.Нови дейности или обекти'!F148+'12.2.Нови дейности или обекти'!L148+'12.2.Нови дейности или обекти'!R148+'12.2.Нови дейности или обекти'!X148+'12.2.Нови дейности или обекти'!AD148</f>
        <v>0</v>
      </c>
      <c r="AG105" s="1321">
        <f>AF76-AF105</f>
        <v>3.5</v>
      </c>
      <c r="AH105" s="1321">
        <f>'12.2.Нови дейности или обекти'!G125+'12.2.Нови дейности или обекти'!M125+'12.2.Нови дейности или обекти'!S125+'12.2.Нови дейности или обекти'!Y125+'12.2.Нови дейности или обекти'!AE125+'12.2.Нови дейности или обекти'!G148+'12.2.Нови дейности или обекти'!M148+'12.2.Нови дейности или обекти'!S148+'12.2.Нови дейности или обекти'!Y148+'12.2.Нови дейности или обекти'!AE148</f>
        <v>0</v>
      </c>
      <c r="AI105" s="1326">
        <f>AH76-AH105</f>
        <v>3.6999999999999993</v>
      </c>
      <c r="AJ105" s="2944"/>
      <c r="AK105" s="2944"/>
      <c r="AL105" s="2944"/>
      <c r="AM105" s="1269"/>
      <c r="AN105" s="1268"/>
      <c r="AO105" s="1269"/>
      <c r="AP105" s="1268"/>
      <c r="AQ105" s="1269"/>
      <c r="AR105" s="1268"/>
      <c r="AS105" s="1269"/>
      <c r="AT105" s="1268"/>
      <c r="AU105" s="1268"/>
      <c r="AV105" s="1269"/>
      <c r="AW105" s="1268"/>
      <c r="AX105" s="1269"/>
      <c r="AY105" s="1268"/>
      <c r="AZ105" s="1269"/>
      <c r="BA105" s="1268"/>
      <c r="BB105" s="1269"/>
      <c r="BC105" s="1268"/>
      <c r="BD105" s="1269"/>
      <c r="BE105" s="1268"/>
    </row>
    <row r="106" spans="1:57" s="49" customFormat="1" ht="15.75" thickBot="1">
      <c r="A106" s="5484"/>
      <c r="B106" s="1332" t="s">
        <v>1254</v>
      </c>
      <c r="C106" s="1335"/>
      <c r="D106" s="1333">
        <f>'12.2.Нови дейности или обекти'!C21+'12.2.Нови дейности или обекти'!I21+'12.2.Нови дейности или обекти'!O21+'12.2.Нови дейности или обекти'!U21+'12.2.Нови дейности или обекти'!AA21+'12.2.Нови дейности или обекти'!C44+'12.2.Нови дейности или обекти'!I44+'12.2.Нови дейности или обекти'!O44+'12.2.Нови дейности или обекти'!U44+'12.2.Нови дейности или обекти'!AA44</f>
        <v>0</v>
      </c>
      <c r="E106" s="1322">
        <f>D88-D106</f>
        <v>-677.32072767255522</v>
      </c>
      <c r="F106" s="1322">
        <f>'12.2.Нови дейности или обекти'!D28+'12.2.Нови дейности или обекти'!J28+'12.2.Нови дейности или обекти'!P28+'12.2.Нови дейности или обекти'!V28+'12.2.Нови дейности или обекти'!AB28++'12.2.Нови дейности или обекти'!D51+'12.2.Нови дейности или обекти'!J51+'12.2.Нови дейности или обекти'!P51+'12.2.Нови дейности или обекти'!V51+'12.2.Нови дейности или обекти'!AB51</f>
        <v>0</v>
      </c>
      <c r="G106" s="1322">
        <f>F88-F106</f>
        <v>-661.73557365276247</v>
      </c>
      <c r="H106" s="1322">
        <f>'12.2.Нови дейности или обекти'!E28+'12.2.Нови дейности или обекти'!K28+'12.2.Нови дейности или обекти'!Q28+'12.2.Нови дейности или обекти'!W28+'12.2.Нови дейности или обекти'!AC28+'12.2.Нови дейности или обекти'!E51+'12.2.Нови дейности или обекти'!K51+'12.2.Нови дейности или обекти'!Q51+'12.2.Нови дейности или обекти'!W51+'12.2.Нови дейности или обекти'!AC51</f>
        <v>0</v>
      </c>
      <c r="I106" s="1322">
        <f>H88-H106</f>
        <v>-177.7668592448772</v>
      </c>
      <c r="J106" s="1322">
        <f>'12.2.Нови дейности или обекти'!F28+'12.2.Нови дейности или обекти'!L28+'12.2.Нови дейности или обекти'!R28+'12.2.Нови дейности или обекти'!X28+'12.2.Нови дейности или обекти'!AD28+'12.2.Нови дейности или обекти'!F51+'12.2.Нови дейности или обекти'!L51+'12.2.Нови дейности или обекти'!R51+'12.2.Нови дейности или обекти'!X51+'12.2.Нови дейности или обекти'!AD51</f>
        <v>0</v>
      </c>
      <c r="K106" s="1322">
        <f>J88-J106</f>
        <v>550.78983846972369</v>
      </c>
      <c r="L106" s="1322">
        <f>'12.2.Нови дейности или обекти'!G28+'12.2.Нови дейности или обекти'!M28+'12.2.Нови дейности или обекти'!S28+'12.2.Нови дейности или обекти'!Y28+'12.2.Нови дейности или обекти'!AE28+'12.2.Нови дейности или обекти'!G51+'12.2.Нови дейности или обекти'!M51+'12.2.Нови дейности или обекти'!S51+'12.2.Нови дейности или обекти'!Y51+'12.2.Нови дейности или обекти'!AE51</f>
        <v>0</v>
      </c>
      <c r="M106" s="1328">
        <f>L88-L106</f>
        <v>752.21126791885763</v>
      </c>
      <c r="N106" s="1335"/>
      <c r="O106" s="1327">
        <f>'12.2.Нови дейности или обекти'!C68+'12.2.Нови дейности или обекти'!I68+'12.2.Нови дейности или обекти'!O68+'12.2.Нови дейности или обекти'!U68+'12.2.Нови дейности или обекти'!AA68+'12.2.Нови дейности или обекти'!C91+'12.2.Нови дейности или обекти'!I91+'12.2.Нови дейности или обекти'!O91+'12.2.Нови дейности или обекти'!U91+'12.2.Нови дейности или обекти'!AA91</f>
        <v>0</v>
      </c>
      <c r="P106" s="1322">
        <f>O88-O106</f>
        <v>235.92738381462851</v>
      </c>
      <c r="Q106" s="1322">
        <f>'12.2.Нови дейности или обекти'!D68+'12.2.Нови дейности или обекти'!J68+'12.2.Нови дейности или обекти'!P68+'12.2.Нови дейности или обекти'!V68+'12.2.Нови дейности или обекти'!AB68+'12.2.Нови дейности или обекти'!D91+'12.2.Нови дейности или обекти'!J91+'12.2.Нови дейности или обекти'!P91+'12.2.Нови дейности или обекти'!V91+'12.2.Нови дейности или обекти'!AB91</f>
        <v>0</v>
      </c>
      <c r="R106" s="1322">
        <f>Q88-Q106</f>
        <v>326.39924856464012</v>
      </c>
      <c r="S106" s="1322">
        <f>'12.2.Нови дейности или обекти'!E68+'12.2.Нови дейности или обекти'!K68+'12.2.Нови дейности или обекти'!Q68+'12.2.Нови дейности или обекти'!W68+'12.2.Нови дейности или обекти'!AC68+'12.2.Нови дейности или обекти'!E91+'12.2.Нови дейности или обекти'!K91+'12.2.Нови дейности или обекти'!Q91+'12.2.Нови дейности или обекти'!W91+'12.2.Нови дейности или обекти'!AC91</f>
        <v>226.306740558</v>
      </c>
      <c r="T106" s="1322">
        <f>S88-S106</f>
        <v>426.44342784650212</v>
      </c>
      <c r="U106" s="1322">
        <f>'12.2.Нови дейности или обекти'!F68+'12.2.Нови дейности или обекти'!L68+'12.2.Нови дейности или обекти'!R68+'12.2.Нови дейности или обекти'!X68+'12.2.Нови дейности или обекти'!AD68+'12.2.Нови дейности или обекти'!F91+'12.2.Нови дейности или обекти'!L91+'12.2.Нови дейности или обекти'!R91+'12.2.Нови дейности или обекти'!X91+'12.2.Нови дейности или обекти'!AD91</f>
        <v>226.306740558</v>
      </c>
      <c r="V106" s="1322">
        <f>U88-U106</f>
        <v>670.60117714074363</v>
      </c>
      <c r="W106" s="1322">
        <f>'12.2.Нови дейности или обекти'!G68+'12.2.Нови дейности или обекти'!M68+'12.2.Нови дейности или обекти'!S68+'12.2.Нови дейности или обекти'!Y68+'12.2.Нови дейности или обекти'!AE68+'12.2.Нови дейности или обекти'!G91+'12.2.Нови дейности или обекти'!M91+'12.2.Нови дейности или обекти'!S91+'12.2.Нови дейности или обекти'!Y91+'12.2.Нови дейности или обекти'!AE91</f>
        <v>226.306740558</v>
      </c>
      <c r="X106" s="1328">
        <f>W88-W106</f>
        <v>706.80364244761495</v>
      </c>
      <c r="Y106" s="1335"/>
      <c r="Z106" s="1327">
        <f>'12.2.Нови дейности или обекти'!C115+'12.2.Нови дейности или обекти'!I115+'12.2.Нови дейности или обекти'!O115+'12.2.Нови дейности или обекти'!U115+'12.2.Нови дейности или обекти'!AA115+'12.2.Нови дейности или обекти'!C138+'12.2.Нови дейности или обекти'!I138+'12.2.Нови дейности или обекти'!O138+'12.2.Нови дейности или обекти'!U138+'12.2.Нови дейности или обекти'!AA138</f>
        <v>0</v>
      </c>
      <c r="AA106" s="1322">
        <f>Z88-Z106</f>
        <v>240.84942495044515</v>
      </c>
      <c r="AB106" s="1322">
        <f>'12.2.Нови дейности или обекти'!D115+'12.2.Нови дейности или обекти'!J115+'12.2.Нови дейности или обекти'!P115+'12.2.Нови дейности или обекти'!V115+'12.2.Нови дейности или обекти'!AB115+'12.2.Нови дейности или обекти'!D138+'12.2.Нови дейности или обекти'!J138+'12.2.Нови дейности или обекти'!P138+'12.2.Нови дейности или обекти'!V138+'12.2.Нови дейности или обекти'!AB138</f>
        <v>29.316741048000001</v>
      </c>
      <c r="AC106" s="1322">
        <f>AB88-AB106</f>
        <v>439.22306809926755</v>
      </c>
      <c r="AD106" s="1322">
        <f>'12.2.Нови дейности или обекти'!E115+'12.2.Нови дейности или обекти'!K115+'12.2.Нови дейности или обекти'!Q115+'12.2.Нови дейности или обекти'!W115+'12.2.Нови дейности или обекти'!AC115+'12.2.Нови дейности или обекти'!E138+'12.2.Нови дейности или обекти'!K138+'12.2.Нови дейности или обекти'!Q138+'12.2.Нови дейности или обекти'!W138+'12.2.Нови дейности или обекти'!AC138</f>
        <v>1300.2644635979998</v>
      </c>
      <c r="AE106" s="1322">
        <f>AD88-AD106</f>
        <v>-529.51927356611873</v>
      </c>
      <c r="AF106" s="1322">
        <f>'12.2.Нови дейности или обекти'!F115+'12.2.Нови дейности или обекти'!L115+'12.2.Нови дейности или обекти'!R115+'12.2.Нови дейности или обекти'!X115+'12.2.Нови дейности или обекти'!AD115+'12.2.Нови дейности или обекти'!F138+'12.2.Нови дейности или обекти'!L138+'12.2.Нови дейности или обекти'!R138+'12.2.Нови дейности или обекти'!X138+'12.2.Нови дейности или обекти'!AD138</f>
        <v>1235.3276091659998</v>
      </c>
      <c r="AG106" s="1322">
        <f>AF88-AF106</f>
        <v>-314.22364886276932</v>
      </c>
      <c r="AH106" s="1322">
        <f>'12.2.Нови дейности или обекти'!G115+'12.2.Нови дейности или обекти'!M115+'12.2.Нови дейности или обекти'!S115+'12.2.Нови дейности или обекти'!Y115+'12.2.Нови дейности или обекти'!AE115+'12.2.Нови дейности или обекти'!G138+'12.2.Нови дейности или обекти'!M138+'12.2.Нови дейности или обекти'!S138+'12.2.Нови дейности или обекти'!Y138+'12.2.Нови дейности или обекти'!AE138</f>
        <v>1206.6520193039999</v>
      </c>
      <c r="AI106" s="1328">
        <f>AH88-AH106</f>
        <v>-243.54923136945558</v>
      </c>
      <c r="AJ106" s="2944"/>
      <c r="AK106" s="2944"/>
      <c r="AL106" s="2944"/>
      <c r="AM106" s="1269"/>
      <c r="AN106" s="1268"/>
      <c r="AO106" s="3391"/>
      <c r="AP106" s="3391"/>
      <c r="AQ106" s="3514" t="str">
        <f>'Приложение '!C85</f>
        <v xml:space="preserve">Управител/Изп.директор: </v>
      </c>
      <c r="AR106" s="3515" t="str">
        <f>'Приложение '!D85</f>
        <v>.............................................</v>
      </c>
      <c r="AS106" s="3518"/>
      <c r="AT106" s="2951"/>
      <c r="AU106" s="1268"/>
      <c r="AV106" s="1269"/>
      <c r="AW106" s="1268"/>
      <c r="AX106" s="1269"/>
      <c r="AY106" s="1268"/>
      <c r="AZ106" s="1269"/>
      <c r="BA106" s="1268"/>
      <c r="BB106" s="1269"/>
      <c r="BC106" s="1268"/>
      <c r="BD106" s="1269"/>
      <c r="BE106" s="1268"/>
    </row>
    <row r="107" spans="1:57" s="49" customFormat="1">
      <c r="A107" s="1736"/>
      <c r="B107" s="1736"/>
      <c r="C107" s="2937" t="s">
        <v>191</v>
      </c>
      <c r="D107" s="925"/>
      <c r="E107" s="762"/>
      <c r="F107" s="925"/>
      <c r="G107" s="762"/>
      <c r="H107" s="925"/>
      <c r="I107" s="762"/>
      <c r="J107" s="925"/>
      <c r="K107" s="762"/>
      <c r="L107" s="925"/>
      <c r="M107" s="762"/>
      <c r="N107" s="762"/>
      <c r="O107" s="925"/>
      <c r="P107" s="762"/>
      <c r="Q107" s="925"/>
      <c r="R107" s="762"/>
      <c r="S107" s="925"/>
      <c r="T107" s="762"/>
      <c r="U107" s="925"/>
      <c r="V107" s="762"/>
      <c r="W107" s="925"/>
      <c r="X107" s="762"/>
      <c r="Y107" s="762"/>
      <c r="Z107" s="786"/>
      <c r="AA107" s="762"/>
      <c r="AB107" s="786"/>
      <c r="AC107" s="762"/>
      <c r="AD107" s="786"/>
      <c r="AE107" s="762"/>
      <c r="AF107" s="786"/>
      <c r="AG107" s="762"/>
      <c r="AH107" s="786"/>
      <c r="AI107" s="762"/>
      <c r="AJ107" s="2944"/>
      <c r="AK107" s="2944"/>
      <c r="AL107" s="2944"/>
      <c r="AM107" s="786"/>
      <c r="AN107" s="762"/>
      <c r="AO107" s="3391"/>
      <c r="AP107" s="3391"/>
      <c r="AQ107" s="3514"/>
      <c r="AR107" s="3517" t="str">
        <f>'Приложение '!D86</f>
        <v>(подпис и печат)</v>
      </c>
      <c r="AS107" s="3354"/>
      <c r="AT107" s="3353"/>
      <c r="AU107" s="773"/>
      <c r="AV107" s="773"/>
      <c r="AW107" s="3511"/>
      <c r="AX107" s="773"/>
      <c r="AY107" s="3511"/>
      <c r="AZ107" s="773"/>
      <c r="BA107" s="3511"/>
      <c r="BB107" s="773"/>
      <c r="BC107" s="762"/>
      <c r="BD107" s="786"/>
      <c r="BE107" s="762"/>
    </row>
    <row r="108" spans="1:57" s="49" customFormat="1" ht="34.5" customHeight="1">
      <c r="A108" s="1736"/>
      <c r="B108" s="1736"/>
      <c r="C108" s="5460" t="s">
        <v>1504</v>
      </c>
      <c r="D108" s="5460"/>
      <c r="E108" s="5460"/>
      <c r="F108" s="5460"/>
      <c r="G108" s="5460"/>
      <c r="H108" s="5460"/>
      <c r="I108" s="5460"/>
      <c r="J108" s="5460"/>
      <c r="K108" s="5460"/>
      <c r="L108" s="5460"/>
      <c r="M108" s="5460"/>
      <c r="N108" s="5460"/>
      <c r="O108" s="5460"/>
      <c r="P108" s="5460"/>
      <c r="Q108" s="5460"/>
      <c r="R108" s="5460"/>
      <c r="S108" s="5460"/>
      <c r="T108" s="5460"/>
      <c r="U108" s="5460"/>
      <c r="V108" s="5460"/>
      <c r="W108" s="5460"/>
      <c r="X108" s="5460"/>
      <c r="Y108" s="762"/>
      <c r="Z108" s="786"/>
      <c r="AA108" s="762"/>
      <c r="AB108" s="786"/>
      <c r="AC108" s="762"/>
      <c r="AD108" s="786"/>
      <c r="AE108" s="762"/>
      <c r="AF108" s="786"/>
      <c r="AG108" s="762"/>
      <c r="AH108" s="786"/>
      <c r="AI108" s="762"/>
      <c r="AJ108" s="762"/>
      <c r="AK108" s="786"/>
      <c r="AL108" s="762"/>
      <c r="AM108" s="786"/>
      <c r="AN108" s="762"/>
      <c r="AO108" s="786"/>
      <c r="AP108" s="762"/>
      <c r="AQ108" s="786"/>
      <c r="AR108" s="762"/>
      <c r="AS108" s="772"/>
      <c r="AT108" s="772"/>
      <c r="AU108" s="772"/>
      <c r="AV108" s="772"/>
      <c r="AW108" s="772"/>
      <c r="AX108" s="772"/>
      <c r="AY108" s="772"/>
      <c r="AZ108" s="772"/>
      <c r="BA108" s="772"/>
      <c r="BB108" s="2944"/>
      <c r="BC108" s="762"/>
      <c r="BD108" s="786"/>
      <c r="BE108" s="762"/>
    </row>
    <row r="109" spans="1:57">
      <c r="A109" s="772"/>
      <c r="B109" s="772"/>
      <c r="C109" s="772"/>
      <c r="D109" s="3392"/>
      <c r="E109" s="3391"/>
      <c r="F109" s="3392"/>
      <c r="G109" s="3391"/>
      <c r="H109" s="3392"/>
      <c r="I109" s="3391"/>
      <c r="J109" s="3392"/>
      <c r="K109" s="3391"/>
      <c r="L109" s="3392"/>
      <c r="M109" s="3391"/>
      <c r="N109" s="3391"/>
      <c r="O109" s="930"/>
      <c r="P109" s="773"/>
      <c r="Q109" s="930"/>
      <c r="R109" s="773"/>
      <c r="S109" s="930"/>
      <c r="T109" s="773"/>
      <c r="U109" s="930"/>
      <c r="V109" s="773"/>
      <c r="W109" s="3392"/>
      <c r="X109" s="3391"/>
      <c r="Y109" s="3391"/>
      <c r="Z109" s="3489"/>
      <c r="AA109" s="3391"/>
      <c r="AB109" s="3489"/>
      <c r="AC109" s="3391"/>
      <c r="AD109" s="3489"/>
      <c r="AE109" s="3391"/>
      <c r="AF109" s="3511"/>
      <c r="AG109" s="3391"/>
      <c r="AH109" s="3489"/>
      <c r="AI109" s="3391"/>
      <c r="AJ109" s="3391"/>
      <c r="AK109" s="3511"/>
      <c r="AL109" s="773"/>
      <c r="AM109" s="3511"/>
      <c r="AN109" s="773"/>
      <c r="AO109" s="3511"/>
      <c r="AP109" s="773"/>
      <c r="AQ109" s="3511"/>
      <c r="AR109" s="773"/>
      <c r="AS109" s="3489"/>
      <c r="AT109" s="3391"/>
      <c r="AU109" s="3391"/>
      <c r="AV109" s="3489"/>
      <c r="AW109" s="3391"/>
      <c r="AX109" s="3489"/>
      <c r="AY109" s="3391"/>
      <c r="AZ109" s="3489"/>
      <c r="BA109" s="3391"/>
      <c r="BB109" s="2944"/>
      <c r="BC109" s="773"/>
      <c r="BD109" s="3489"/>
      <c r="BE109" s="3391"/>
    </row>
    <row r="110" spans="1:57">
      <c r="A110" s="772"/>
      <c r="B110" s="3512"/>
      <c r="C110" s="3512"/>
      <c r="D110" s="3392"/>
      <c r="E110" s="3391"/>
      <c r="F110" s="3392"/>
      <c r="G110" s="3391"/>
      <c r="H110" s="3392"/>
      <c r="I110" s="3391"/>
      <c r="J110" s="3392"/>
      <c r="K110" s="3391"/>
      <c r="L110" s="3392"/>
      <c r="M110" s="3391"/>
      <c r="N110" s="3391"/>
      <c r="O110" s="3392"/>
      <c r="P110" s="3391"/>
      <c r="Q110" s="3392"/>
      <c r="R110" s="3391"/>
      <c r="S110" s="3392"/>
      <c r="T110" s="3391"/>
      <c r="U110" s="3392"/>
      <c r="V110" s="3391"/>
      <c r="W110" s="3392"/>
      <c r="X110" s="3391"/>
      <c r="Y110" s="3391"/>
      <c r="Z110" s="3489"/>
      <c r="AA110" s="3391"/>
      <c r="AB110" s="3489"/>
      <c r="AC110" s="3391"/>
      <c r="AD110" s="3489"/>
      <c r="AE110" s="3391"/>
      <c r="AF110" s="762"/>
      <c r="AG110" s="3351"/>
      <c r="AH110" s="3513"/>
      <c r="AI110" s="3351"/>
      <c r="AJ110" s="3351"/>
      <c r="AL110" s="3391"/>
      <c r="AM110" s="3489"/>
      <c r="AN110" s="3391"/>
      <c r="AO110" s="3489"/>
      <c r="AP110" s="3391"/>
      <c r="AQ110" s="3489"/>
      <c r="AR110" s="3391"/>
      <c r="AS110" s="786"/>
      <c r="AT110" s="3392"/>
      <c r="BA110" s="3354"/>
      <c r="BB110" s="2944"/>
      <c r="BC110" s="3391"/>
      <c r="BD110" s="3513"/>
      <c r="BE110" s="3351"/>
    </row>
    <row r="111" spans="1:57">
      <c r="A111" s="772"/>
      <c r="B111" s="772"/>
      <c r="C111" s="772"/>
      <c r="D111" s="3392"/>
      <c r="E111" s="3391"/>
      <c r="F111" s="3392"/>
      <c r="G111" s="3391"/>
      <c r="H111" s="3392"/>
      <c r="I111" s="3391"/>
      <c r="J111" s="3392"/>
      <c r="K111" s="3391"/>
      <c r="L111" s="3392"/>
      <c r="M111" s="3391"/>
      <c r="N111" s="3391"/>
      <c r="O111" s="3392"/>
      <c r="P111" s="3391"/>
      <c r="Q111" s="3392"/>
      <c r="R111" s="3391"/>
      <c r="S111" s="3392"/>
      <c r="T111" s="3391"/>
      <c r="U111" s="3392"/>
      <c r="V111" s="3391"/>
      <c r="W111" s="3392"/>
      <c r="X111" s="3391"/>
      <c r="Y111" s="3391"/>
      <c r="Z111" s="3489"/>
      <c r="AA111" s="3391"/>
      <c r="AB111" s="3489"/>
      <c r="AC111" s="3391"/>
      <c r="AD111" s="3489"/>
      <c r="AE111" s="3391"/>
      <c r="AF111" s="762"/>
      <c r="AG111" s="2944"/>
      <c r="AH111" s="3516"/>
      <c r="AI111" s="2944"/>
      <c r="AJ111" s="2944"/>
      <c r="AK111" s="3489"/>
      <c r="AL111" s="3391"/>
      <c r="AM111" s="3489"/>
      <c r="AN111" s="3391"/>
      <c r="AO111" s="3489"/>
      <c r="AP111" s="3391"/>
      <c r="AQ111" s="3489"/>
      <c r="AR111" s="3391"/>
      <c r="AS111" s="3489"/>
      <c r="AT111" s="3392"/>
      <c r="BA111" s="3354"/>
      <c r="BB111" s="2944"/>
      <c r="BC111" s="3391"/>
      <c r="BD111" s="3516"/>
      <c r="BE111" s="2944"/>
    </row>
    <row r="112" spans="1:57">
      <c r="A112" s="772"/>
      <c r="B112" s="772"/>
      <c r="C112" s="772"/>
      <c r="D112" s="3392"/>
      <c r="E112" s="3391"/>
      <c r="F112" s="3392"/>
      <c r="G112" s="3391"/>
      <c r="H112" s="3392"/>
      <c r="I112" s="3391"/>
      <c r="J112" s="3392"/>
      <c r="K112" s="3391"/>
      <c r="L112" s="3392"/>
      <c r="M112" s="3391"/>
      <c r="N112" s="3391"/>
      <c r="O112" s="3392"/>
      <c r="P112" s="3391"/>
      <c r="Q112" s="3392"/>
      <c r="R112" s="3391"/>
      <c r="S112" s="3392"/>
      <c r="T112" s="3391"/>
      <c r="U112" s="3392"/>
      <c r="V112" s="3391"/>
      <c r="W112" s="3392"/>
      <c r="X112" s="3391"/>
      <c r="Y112" s="3391"/>
      <c r="Z112" s="3489"/>
      <c r="AA112" s="3391"/>
      <c r="AB112" s="3489"/>
      <c r="AC112" s="3391"/>
      <c r="AD112" s="3489"/>
      <c r="AE112" s="3391"/>
      <c r="AF112" s="762"/>
      <c r="AG112" s="2944"/>
      <c r="AH112" s="3516"/>
      <c r="AI112" s="2944"/>
      <c r="AJ112" s="2944"/>
      <c r="AK112" s="3489"/>
      <c r="AL112" s="3391"/>
      <c r="AM112" s="3489"/>
      <c r="AN112" s="3391"/>
      <c r="AO112" s="3489"/>
      <c r="AP112" s="3391"/>
      <c r="AQ112" s="3489"/>
      <c r="AR112" s="3391"/>
      <c r="AS112" s="3513"/>
      <c r="AT112" s="3392"/>
      <c r="BA112" s="3354"/>
      <c r="BB112" s="2944"/>
      <c r="BC112" s="3391"/>
      <c r="BD112" s="3516"/>
      <c r="BE112" s="2944"/>
    </row>
    <row r="113" spans="1:57">
      <c r="A113" s="772"/>
      <c r="B113" s="772"/>
      <c r="C113" s="772"/>
      <c r="D113" s="3392"/>
      <c r="E113" s="3391"/>
      <c r="F113" s="3392"/>
      <c r="G113" s="3391"/>
      <c r="H113" s="3392"/>
      <c r="I113" s="3391"/>
      <c r="J113" s="3392"/>
      <c r="K113" s="3391"/>
      <c r="L113" s="3392"/>
      <c r="M113" s="3391"/>
      <c r="N113" s="3391"/>
      <c r="O113" s="3392"/>
      <c r="P113" s="3391"/>
      <c r="Q113" s="3392"/>
      <c r="R113" s="3391"/>
      <c r="S113" s="3392"/>
      <c r="T113" s="3391"/>
      <c r="U113" s="3392"/>
      <c r="V113" s="3391"/>
      <c r="W113" s="3392"/>
      <c r="X113" s="3391"/>
      <c r="Y113" s="3391"/>
      <c r="Z113" s="3489"/>
      <c r="AA113" s="3391"/>
      <c r="AB113" s="3489"/>
      <c r="AC113" s="3391"/>
      <c r="AD113" s="3489"/>
      <c r="AE113" s="3391"/>
      <c r="AF113" s="762"/>
      <c r="AG113" s="2944"/>
      <c r="AH113" s="3516"/>
      <c r="AI113" s="2944"/>
      <c r="AJ113" s="2944"/>
      <c r="AK113" s="3489"/>
      <c r="AL113" s="3391"/>
      <c r="AM113" s="3489"/>
      <c r="AN113" s="3391"/>
      <c r="AO113" s="3489"/>
      <c r="AP113" s="3391"/>
      <c r="AQ113" s="3489"/>
      <c r="AR113" s="3391"/>
      <c r="AS113" s="3516"/>
      <c r="AT113" s="3392"/>
      <c r="AU113" s="3391"/>
      <c r="AV113" s="3391"/>
      <c r="AW113" s="3514"/>
      <c r="AX113" s="3515"/>
      <c r="AY113" s="3518"/>
      <c r="AZ113" s="2951"/>
      <c r="BA113" s="3354"/>
      <c r="BB113" s="2944"/>
      <c r="BC113" s="3391"/>
      <c r="BD113" s="3516"/>
      <c r="BE113" s="2944"/>
    </row>
    <row r="114" spans="1:57">
      <c r="A114" s="772"/>
      <c r="B114" s="772"/>
      <c r="C114" s="772"/>
      <c r="D114" s="3392"/>
      <c r="E114" s="3391"/>
      <c r="F114" s="3392"/>
      <c r="G114" s="3391"/>
      <c r="H114" s="3392"/>
      <c r="I114" s="3391"/>
      <c r="J114" s="3392"/>
      <c r="K114" s="3391"/>
      <c r="L114" s="3392"/>
      <c r="M114" s="3391"/>
      <c r="N114" s="3391"/>
      <c r="O114" s="3392"/>
      <c r="P114" s="3391"/>
      <c r="Q114" s="3392"/>
      <c r="R114" s="3391"/>
      <c r="S114" s="3392"/>
      <c r="T114" s="3391"/>
      <c r="U114" s="3392"/>
      <c r="V114" s="3391"/>
      <c r="W114" s="3392"/>
      <c r="X114" s="3391"/>
      <c r="Y114" s="3391"/>
      <c r="Z114" s="3489"/>
      <c r="AA114" s="3391"/>
      <c r="AB114" s="3489"/>
      <c r="AC114" s="3391"/>
      <c r="AD114" s="3489"/>
      <c r="AE114" s="3391"/>
      <c r="AF114" s="762"/>
      <c r="AG114" s="2944"/>
      <c r="AH114" s="3516"/>
      <c r="AI114" s="2944"/>
      <c r="AJ114" s="2944"/>
      <c r="AK114" s="3489"/>
      <c r="AL114" s="3391"/>
      <c r="AM114" s="3489"/>
      <c r="AN114" s="3391"/>
      <c r="AO114" s="3489"/>
      <c r="AP114" s="3391"/>
      <c r="AQ114" s="3489"/>
      <c r="AR114" s="3391"/>
      <c r="AS114" s="3516"/>
      <c r="AT114" s="3392"/>
      <c r="BA114" s="3354"/>
      <c r="BB114" s="2944"/>
      <c r="BC114" s="3391"/>
      <c r="BD114" s="3516"/>
      <c r="BE114" s="2944"/>
    </row>
    <row r="115" spans="1:57" s="49" customFormat="1">
      <c r="A115" s="772"/>
      <c r="B115" s="772"/>
      <c r="C115" s="772"/>
      <c r="D115" s="3392"/>
      <c r="E115" s="3391"/>
      <c r="F115" s="3392"/>
      <c r="G115" s="3391"/>
      <c r="H115" s="3392"/>
      <c r="I115" s="3391"/>
      <c r="J115" s="3392"/>
      <c r="K115" s="3391"/>
      <c r="L115" s="3392"/>
      <c r="M115" s="3391"/>
      <c r="N115" s="3391"/>
      <c r="O115" s="3392"/>
      <c r="P115" s="3391"/>
      <c r="Q115" s="3392"/>
      <c r="R115" s="3391"/>
      <c r="S115" s="3392"/>
      <c r="T115" s="3391"/>
      <c r="U115" s="3392"/>
      <c r="V115" s="3391"/>
      <c r="W115" s="772"/>
      <c r="X115" s="772"/>
      <c r="Y115" s="772"/>
      <c r="Z115" s="772"/>
      <c r="AA115" s="772"/>
      <c r="AB115" s="772"/>
      <c r="AC115" s="772"/>
      <c r="AD115" s="772"/>
      <c r="AE115" s="772"/>
      <c r="AF115" s="762"/>
      <c r="AG115" s="2944"/>
      <c r="AH115" s="3516"/>
      <c r="AI115" s="2944"/>
      <c r="AJ115" s="2944"/>
      <c r="AK115" s="3489"/>
      <c r="AL115" s="3391"/>
      <c r="AM115" s="3489"/>
      <c r="AN115" s="3391"/>
      <c r="AO115" s="3489"/>
      <c r="AP115" s="3391"/>
      <c r="AQ115" s="3489"/>
      <c r="AR115" s="3391"/>
      <c r="AS115" s="3516"/>
      <c r="AT115" s="3392"/>
      <c r="BA115" s="3354"/>
      <c r="BB115" s="3391"/>
      <c r="BC115" s="3391"/>
      <c r="BD115" s="3516"/>
      <c r="BE115" s="2944"/>
    </row>
    <row r="116" spans="1:57" s="49" customFormat="1">
      <c r="A116" s="772"/>
      <c r="B116" s="772"/>
      <c r="C116" s="772"/>
      <c r="D116" s="3392"/>
      <c r="E116" s="3419"/>
      <c r="F116" s="3392"/>
      <c r="G116" s="3419"/>
      <c r="H116" s="3392"/>
      <c r="I116" s="3419"/>
      <c r="J116" s="3392"/>
      <c r="K116" s="3419"/>
      <c r="L116" s="3392"/>
      <c r="M116" s="3419"/>
      <c r="N116" s="3419"/>
      <c r="O116" s="3392"/>
      <c r="P116" s="3419"/>
      <c r="Q116" s="3392"/>
      <c r="R116" s="3419"/>
      <c r="S116" s="3392"/>
      <c r="T116" s="3419"/>
      <c r="U116" s="3392"/>
      <c r="V116" s="3419"/>
      <c r="W116" s="772"/>
      <c r="X116" s="772"/>
      <c r="Y116" s="772"/>
      <c r="Z116" s="772"/>
      <c r="AA116" s="772"/>
      <c r="AB116" s="772"/>
      <c r="AC116" s="772"/>
      <c r="AD116" s="772"/>
      <c r="AE116" s="772"/>
      <c r="AF116" s="762"/>
      <c r="AG116" s="2944"/>
      <c r="AH116" s="3516"/>
      <c r="AI116" s="2944"/>
      <c r="AJ116" s="2944"/>
      <c r="AK116" s="3489"/>
      <c r="AL116" s="3419"/>
      <c r="AM116" s="3489"/>
      <c r="AN116" s="3419"/>
      <c r="AO116" s="3489"/>
      <c r="AP116" s="3419"/>
      <c r="AQ116" s="3489"/>
      <c r="AR116" s="3391"/>
      <c r="AS116" s="3516"/>
      <c r="AT116" s="3392"/>
      <c r="AU116" s="3419"/>
      <c r="AV116" s="3419"/>
      <c r="AW116" s="772"/>
      <c r="AX116" s="3519"/>
      <c r="AY116" s="3518"/>
      <c r="AZ116" s="2951"/>
      <c r="BA116" s="3354"/>
      <c r="BB116" s="3489"/>
      <c r="BC116" s="3391"/>
      <c r="BD116" s="3516"/>
      <c r="BE116" s="2944"/>
    </row>
    <row r="117" spans="1:57" s="49" customFormat="1">
      <c r="A117" s="25"/>
      <c r="C117" s="3520"/>
      <c r="D117" s="3392"/>
      <c r="E117" s="3391"/>
      <c r="F117" s="3392"/>
      <c r="G117" s="3391"/>
      <c r="H117" s="3392"/>
      <c r="I117" s="3391"/>
      <c r="J117" s="3392"/>
      <c r="K117" s="3391"/>
      <c r="L117" s="3392"/>
      <c r="M117" s="3391"/>
      <c r="N117" s="3391"/>
      <c r="O117" s="3392"/>
      <c r="P117" s="3391"/>
      <c r="Q117" s="3392"/>
      <c r="R117" s="3391"/>
      <c r="S117" s="3392"/>
      <c r="T117" s="3391"/>
      <c r="U117" s="3392"/>
      <c r="V117" s="3391"/>
      <c r="W117" s="772"/>
      <c r="X117" s="772"/>
      <c r="Y117" s="772"/>
      <c r="Z117" s="772"/>
      <c r="AA117" s="772"/>
      <c r="AB117" s="772"/>
      <c r="AC117" s="772"/>
      <c r="AD117" s="772"/>
      <c r="AE117" s="772"/>
      <c r="AF117" s="3489"/>
      <c r="AG117" s="2944"/>
      <c r="AH117" s="3516"/>
      <c r="AI117" s="2944"/>
      <c r="AJ117" s="2944"/>
      <c r="AK117" s="3489"/>
      <c r="AL117" s="3391"/>
      <c r="AM117" s="3489"/>
      <c r="AN117" s="3391"/>
      <c r="AO117" s="3489"/>
      <c r="AP117" s="3391"/>
      <c r="AQ117" s="3489"/>
      <c r="AR117" s="3391"/>
      <c r="AS117" s="3516"/>
      <c r="AT117" s="2944"/>
      <c r="AU117" s="2944"/>
      <c r="AV117" s="3489"/>
      <c r="AW117" s="3391"/>
      <c r="AX117" s="3489"/>
      <c r="AY117" s="3391"/>
      <c r="AZ117" s="3489"/>
      <c r="BA117" s="3391"/>
      <c r="BB117" s="3489"/>
      <c r="BC117" s="3391"/>
      <c r="BD117" s="3516"/>
      <c r="BE117" s="2944"/>
    </row>
    <row r="118" spans="1:57" s="49" customFormat="1">
      <c r="A118" s="772"/>
      <c r="C118" s="422"/>
      <c r="D118" s="3392"/>
      <c r="E118" s="3391"/>
      <c r="F118" s="3392"/>
      <c r="G118" s="3391"/>
      <c r="H118" s="3392"/>
      <c r="I118" s="3391"/>
      <c r="J118" s="3392"/>
      <c r="K118" s="3391"/>
      <c r="L118" s="3392"/>
      <c r="M118" s="3391"/>
      <c r="N118" s="3391"/>
      <c r="O118" s="3392"/>
      <c r="P118" s="3391"/>
      <c r="Q118" s="3392"/>
      <c r="R118" s="3391"/>
      <c r="S118" s="3392"/>
      <c r="T118" s="3391"/>
      <c r="U118" s="3392"/>
      <c r="V118" s="3391"/>
      <c r="W118" s="3392"/>
      <c r="X118" s="3391"/>
      <c r="Y118" s="3391"/>
      <c r="Z118" s="3489"/>
      <c r="AA118" s="3391"/>
      <c r="AB118" s="3489"/>
      <c r="AC118" s="3391"/>
      <c r="AD118" s="3489"/>
      <c r="AE118" s="3391"/>
      <c r="AF118" s="3489"/>
      <c r="AG118" s="3391"/>
      <c r="AH118" s="3489"/>
      <c r="AI118" s="3391"/>
      <c r="AJ118" s="3391"/>
      <c r="AK118" s="3489"/>
      <c r="AL118" s="3391"/>
      <c r="AM118" s="3489"/>
      <c r="AN118" s="3391"/>
      <c r="AO118" s="3489"/>
      <c r="AP118" s="3391"/>
      <c r="AQ118" s="3489"/>
      <c r="AR118" s="3391"/>
      <c r="AS118" s="3489"/>
      <c r="AT118" s="3391"/>
      <c r="AU118" s="3391"/>
      <c r="AV118" s="3489"/>
      <c r="AW118" s="3391"/>
      <c r="AX118" s="3489"/>
      <c r="AY118" s="3391"/>
      <c r="AZ118" s="3489"/>
      <c r="BA118" s="3391"/>
      <c r="BB118" s="3489"/>
      <c r="BC118" s="3391"/>
      <c r="BD118" s="3489"/>
      <c r="BE118" s="3391"/>
    </row>
    <row r="119" spans="1:57" s="49" customFormat="1">
      <c r="A119" s="887"/>
      <c r="B119" s="887"/>
      <c r="C119" s="960"/>
      <c r="D119" s="923"/>
      <c r="E119" s="729"/>
      <c r="F119" s="923"/>
      <c r="G119" s="729"/>
      <c r="H119" s="923"/>
      <c r="I119" s="729"/>
      <c r="J119" s="925"/>
      <c r="K119" s="762"/>
      <c r="L119" s="925"/>
      <c r="M119" s="762"/>
      <c r="N119" s="762"/>
      <c r="O119" s="925"/>
      <c r="P119" s="762"/>
      <c r="Q119" s="925"/>
      <c r="R119" s="762"/>
      <c r="S119" s="925"/>
      <c r="T119" s="762"/>
      <c r="U119" s="925"/>
      <c r="V119" s="762"/>
      <c r="W119" s="925"/>
      <c r="X119" s="762"/>
      <c r="Y119" s="762"/>
      <c r="Z119" s="786"/>
      <c r="AA119" s="762"/>
      <c r="AB119" s="786"/>
      <c r="AC119" s="762"/>
      <c r="AD119" s="786"/>
      <c r="AE119" s="762"/>
      <c r="AF119" s="786"/>
      <c r="AG119" s="762"/>
      <c r="AH119" s="786"/>
      <c r="AI119" s="762"/>
      <c r="AJ119" s="762"/>
      <c r="AK119" s="786"/>
      <c r="AL119" s="762"/>
      <c r="AM119" s="786"/>
      <c r="AN119" s="762"/>
      <c r="AO119" s="786"/>
      <c r="AP119" s="762"/>
      <c r="AQ119" s="786"/>
      <c r="AR119" s="762"/>
      <c r="AS119" s="786"/>
      <c r="AT119" s="762"/>
      <c r="AU119" s="762"/>
      <c r="AV119" s="786"/>
      <c r="AW119" s="762"/>
      <c r="AX119" s="786"/>
      <c r="AY119" s="762"/>
      <c r="AZ119" s="786"/>
      <c r="BA119" s="762"/>
      <c r="BB119" s="786"/>
      <c r="BC119" s="762"/>
      <c r="BD119" s="786"/>
      <c r="BE119" s="762"/>
    </row>
    <row r="120" spans="1:57" s="49" customFormat="1">
      <c r="A120" s="887"/>
      <c r="B120" s="887"/>
      <c r="C120" s="960"/>
      <c r="D120" s="925"/>
      <c r="E120" s="762"/>
      <c r="F120" s="925"/>
      <c r="G120" s="762"/>
      <c r="H120" s="925"/>
      <c r="I120" s="762"/>
      <c r="J120" s="925"/>
      <c r="K120" s="762"/>
      <c r="L120" s="925"/>
      <c r="M120" s="762"/>
      <c r="N120" s="762"/>
      <c r="O120" s="925"/>
      <c r="P120" s="762"/>
      <c r="Q120" s="925"/>
      <c r="R120" s="762"/>
      <c r="S120" s="925"/>
      <c r="T120" s="762"/>
      <c r="U120" s="925"/>
      <c r="V120" s="762"/>
      <c r="W120" s="925"/>
      <c r="X120" s="762"/>
      <c r="Y120" s="762"/>
      <c r="Z120" s="786"/>
      <c r="AA120" s="762"/>
      <c r="AB120" s="786"/>
      <c r="AC120" s="762"/>
      <c r="AD120" s="786"/>
      <c r="AE120" s="762"/>
      <c r="AF120" s="786"/>
      <c r="AG120" s="762"/>
      <c r="AH120" s="786"/>
      <c r="AI120" s="762"/>
      <c r="AJ120" s="762"/>
      <c r="AK120" s="786"/>
      <c r="AL120" s="762"/>
      <c r="AM120" s="786"/>
      <c r="AN120" s="762"/>
      <c r="AO120" s="786"/>
      <c r="AP120" s="762"/>
      <c r="AQ120" s="786"/>
      <c r="AR120" s="762"/>
      <c r="AS120" s="786"/>
      <c r="AT120" s="762"/>
      <c r="AU120" s="762"/>
      <c r="AV120" s="786"/>
      <c r="AW120" s="762"/>
      <c r="AX120" s="786"/>
      <c r="AY120" s="762"/>
      <c r="AZ120" s="786"/>
      <c r="BA120" s="762"/>
      <c r="BB120" s="786"/>
      <c r="BC120" s="762"/>
      <c r="BD120" s="786"/>
      <c r="BE120" s="762"/>
    </row>
    <row r="121" spans="1:57" s="49" customFormat="1">
      <c r="A121" s="887"/>
      <c r="B121" s="887"/>
      <c r="C121" s="960"/>
      <c r="D121" s="925"/>
      <c r="E121" s="762"/>
      <c r="F121" s="925"/>
      <c r="G121" s="762"/>
      <c r="H121" s="925"/>
      <c r="I121" s="762"/>
      <c r="J121" s="925"/>
      <c r="K121" s="762"/>
      <c r="L121" s="925"/>
      <c r="M121" s="762"/>
      <c r="N121" s="762"/>
      <c r="O121" s="925"/>
      <c r="P121" s="762"/>
      <c r="Q121" s="925"/>
      <c r="R121" s="762"/>
      <c r="S121" s="925"/>
      <c r="T121" s="762"/>
      <c r="U121" s="925"/>
      <c r="V121" s="762"/>
      <c r="W121" s="925"/>
      <c r="X121" s="762"/>
      <c r="Y121" s="762"/>
      <c r="Z121" s="786"/>
      <c r="AA121" s="762"/>
      <c r="AB121" s="786"/>
      <c r="AC121" s="762"/>
      <c r="AD121" s="786"/>
      <c r="AE121" s="762"/>
      <c r="AF121" s="786"/>
      <c r="AG121" s="762"/>
      <c r="AH121" s="786"/>
      <c r="AI121" s="762"/>
      <c r="AJ121" s="762"/>
      <c r="AK121" s="786"/>
      <c r="AL121" s="762"/>
      <c r="AM121" s="786"/>
      <c r="AN121" s="762"/>
      <c r="AO121" s="786"/>
      <c r="AP121" s="762"/>
      <c r="AQ121" s="786"/>
      <c r="AR121" s="762"/>
      <c r="AS121" s="786"/>
      <c r="AT121" s="762"/>
      <c r="AU121" s="762"/>
      <c r="AV121" s="786"/>
      <c r="AW121" s="762"/>
      <c r="AX121" s="786"/>
      <c r="AY121" s="762"/>
      <c r="AZ121" s="786"/>
      <c r="BA121" s="762"/>
      <c r="BB121" s="786"/>
      <c r="BC121" s="762"/>
      <c r="BD121" s="786"/>
      <c r="BE121" s="762"/>
    </row>
    <row r="122" spans="1:57" s="49" customFormat="1">
      <c r="A122" s="887"/>
      <c r="B122" s="887"/>
      <c r="C122" s="960"/>
      <c r="D122" s="925"/>
      <c r="E122" s="762"/>
      <c r="F122" s="925"/>
      <c r="G122" s="762"/>
      <c r="H122" s="925"/>
      <c r="I122" s="762"/>
      <c r="J122" s="925"/>
      <c r="K122" s="762"/>
      <c r="L122" s="925"/>
      <c r="M122" s="762"/>
      <c r="N122" s="762"/>
      <c r="O122" s="925"/>
      <c r="P122" s="762"/>
      <c r="Q122" s="925"/>
      <c r="R122" s="762"/>
      <c r="S122" s="925"/>
      <c r="T122" s="762"/>
      <c r="U122" s="925"/>
      <c r="V122" s="762"/>
      <c r="W122" s="925"/>
      <c r="X122" s="762"/>
      <c r="Y122" s="762"/>
      <c r="Z122" s="786"/>
      <c r="AA122" s="762"/>
      <c r="AB122" s="786"/>
      <c r="AC122" s="762"/>
      <c r="AD122" s="786"/>
      <c r="AE122" s="762"/>
      <c r="AF122" s="786"/>
      <c r="AG122" s="762"/>
      <c r="AH122" s="786"/>
      <c r="AI122" s="762"/>
      <c r="AJ122" s="762"/>
      <c r="AK122" s="786"/>
      <c r="AL122" s="762"/>
      <c r="AM122" s="786"/>
      <c r="AN122" s="762"/>
      <c r="AO122" s="786"/>
      <c r="AP122" s="762"/>
      <c r="AQ122" s="786"/>
      <c r="AR122" s="762"/>
      <c r="AS122" s="786"/>
      <c r="AT122" s="762"/>
      <c r="AU122" s="762"/>
      <c r="AV122" s="786"/>
      <c r="AW122" s="762"/>
      <c r="AX122" s="786"/>
      <c r="AY122" s="762"/>
      <c r="AZ122" s="786"/>
      <c r="BA122" s="762"/>
      <c r="BB122" s="786"/>
      <c r="BC122" s="762"/>
      <c r="BD122" s="786"/>
      <c r="BE122" s="762"/>
    </row>
    <row r="123" spans="1:57" s="49" customFormat="1">
      <c r="A123" s="887"/>
      <c r="B123" s="887"/>
      <c r="C123" s="960"/>
      <c r="D123" s="925"/>
      <c r="E123" s="762"/>
      <c r="F123" s="925"/>
      <c r="G123" s="762"/>
      <c r="H123" s="925"/>
      <c r="I123" s="762"/>
      <c r="J123" s="925"/>
      <c r="K123" s="762"/>
      <c r="L123" s="925"/>
      <c r="M123" s="762"/>
      <c r="N123" s="762"/>
      <c r="O123" s="925"/>
      <c r="P123" s="762"/>
      <c r="Q123" s="925"/>
      <c r="R123" s="762"/>
      <c r="S123" s="925"/>
      <c r="T123" s="762"/>
      <c r="U123" s="925"/>
      <c r="V123" s="762"/>
      <c r="W123" s="925"/>
      <c r="X123" s="762"/>
      <c r="Y123" s="762"/>
      <c r="Z123" s="786"/>
      <c r="AA123" s="762"/>
      <c r="AB123" s="786"/>
      <c r="AC123" s="762"/>
      <c r="AD123" s="786"/>
      <c r="AE123" s="762"/>
      <c r="AF123" s="786"/>
      <c r="AG123" s="762"/>
      <c r="AH123" s="786"/>
      <c r="AI123" s="762"/>
      <c r="AJ123" s="762"/>
      <c r="AK123" s="786"/>
      <c r="AL123" s="762"/>
      <c r="AM123" s="786"/>
      <c r="AN123" s="762"/>
      <c r="AO123" s="786"/>
      <c r="AP123" s="762"/>
      <c r="AQ123" s="786"/>
      <c r="AR123" s="762"/>
      <c r="AS123" s="786"/>
      <c r="AT123" s="762"/>
      <c r="AU123" s="762"/>
      <c r="AV123" s="786"/>
      <c r="AW123" s="762"/>
      <c r="AX123" s="786"/>
      <c r="AY123" s="762"/>
      <c r="AZ123" s="786"/>
      <c r="BA123" s="762"/>
      <c r="BB123" s="786"/>
      <c r="BC123" s="762"/>
      <c r="BD123" s="786"/>
      <c r="BE123" s="762"/>
    </row>
    <row r="124" spans="1:57" s="49" customFormat="1">
      <c r="A124" s="887"/>
      <c r="B124" s="887"/>
      <c r="C124" s="960"/>
      <c r="D124" s="925"/>
      <c r="E124" s="762"/>
      <c r="F124" s="925"/>
      <c r="G124" s="762"/>
      <c r="H124" s="925"/>
      <c r="I124" s="762"/>
      <c r="J124" s="925"/>
      <c r="K124" s="762"/>
      <c r="L124" s="925"/>
      <c r="M124" s="762"/>
      <c r="N124" s="762"/>
      <c r="O124" s="925"/>
      <c r="P124" s="762"/>
      <c r="Q124" s="925"/>
      <c r="R124" s="762"/>
      <c r="S124" s="925"/>
      <c r="T124" s="762"/>
      <c r="U124" s="925"/>
      <c r="V124" s="762"/>
      <c r="W124" s="925"/>
      <c r="X124" s="762"/>
      <c r="Y124" s="762"/>
      <c r="Z124" s="786"/>
      <c r="AA124" s="762"/>
      <c r="AB124" s="786"/>
      <c r="AC124" s="762"/>
      <c r="AD124" s="786"/>
      <c r="AE124" s="762"/>
      <c r="AF124" s="786"/>
      <c r="AG124" s="762"/>
      <c r="AH124" s="786"/>
      <c r="AI124" s="762"/>
      <c r="AJ124" s="762"/>
      <c r="AK124" s="786"/>
      <c r="AL124" s="762"/>
      <c r="AM124" s="786"/>
      <c r="AN124" s="762"/>
      <c r="AO124" s="786"/>
      <c r="AP124" s="762"/>
      <c r="AQ124" s="786"/>
      <c r="AR124" s="762"/>
      <c r="AS124" s="786"/>
      <c r="AT124" s="762"/>
      <c r="AU124" s="762"/>
      <c r="AV124" s="786"/>
      <c r="AW124" s="762"/>
      <c r="AX124" s="786"/>
      <c r="AY124" s="762"/>
      <c r="AZ124" s="786"/>
      <c r="BA124" s="762"/>
      <c r="BB124" s="786"/>
      <c r="BC124" s="762"/>
      <c r="BD124" s="786"/>
      <c r="BE124" s="762"/>
    </row>
    <row r="125" spans="1:57" s="49" customFormat="1">
      <c r="A125" s="887"/>
      <c r="B125" s="887"/>
      <c r="C125" s="960"/>
      <c r="D125" s="925"/>
      <c r="E125" s="762"/>
      <c r="F125" s="925"/>
      <c r="G125" s="762"/>
      <c r="H125" s="925"/>
      <c r="I125" s="762"/>
      <c r="J125" s="925"/>
      <c r="K125" s="762"/>
      <c r="L125" s="925"/>
      <c r="M125" s="762"/>
      <c r="N125" s="762"/>
      <c r="O125" s="925"/>
      <c r="P125" s="762"/>
      <c r="Q125" s="925"/>
      <c r="R125" s="762"/>
      <c r="S125" s="925"/>
      <c r="T125" s="762"/>
      <c r="U125" s="925"/>
      <c r="V125" s="762"/>
      <c r="W125" s="925"/>
      <c r="X125" s="762"/>
      <c r="Y125" s="762"/>
      <c r="Z125" s="786"/>
      <c r="AA125" s="762"/>
      <c r="AB125" s="786"/>
      <c r="AC125" s="762"/>
      <c r="AD125" s="786"/>
      <c r="AE125" s="762"/>
      <c r="AF125" s="786"/>
      <c r="AG125" s="762"/>
      <c r="AH125" s="786"/>
      <c r="AI125" s="762"/>
      <c r="AJ125" s="762"/>
      <c r="AK125" s="786"/>
      <c r="AL125" s="762"/>
      <c r="AM125" s="786"/>
      <c r="AN125" s="762"/>
      <c r="AO125" s="786"/>
      <c r="AP125" s="762"/>
      <c r="AQ125" s="786"/>
      <c r="AR125" s="762"/>
      <c r="AS125" s="786"/>
      <c r="AT125" s="762"/>
      <c r="AU125" s="762"/>
      <c r="AV125" s="786"/>
      <c r="AW125" s="762"/>
      <c r="AX125" s="786"/>
      <c r="AY125" s="762"/>
      <c r="AZ125" s="786"/>
      <c r="BA125" s="762"/>
      <c r="BB125" s="786"/>
      <c r="BC125" s="762"/>
      <c r="BD125" s="786"/>
      <c r="BE125" s="762"/>
    </row>
    <row r="126" spans="1:57" s="49" customFormat="1">
      <c r="A126" s="887"/>
      <c r="B126" s="887"/>
      <c r="C126" s="960"/>
      <c r="D126" s="925"/>
      <c r="E126" s="762"/>
      <c r="F126" s="925"/>
      <c r="G126" s="762"/>
      <c r="H126" s="925"/>
      <c r="I126" s="762"/>
      <c r="J126" s="925"/>
      <c r="K126" s="762"/>
      <c r="L126" s="925"/>
      <c r="M126" s="762"/>
      <c r="N126" s="762"/>
      <c r="O126" s="925"/>
      <c r="P126" s="762"/>
      <c r="Q126" s="925"/>
      <c r="R126" s="762"/>
      <c r="S126" s="925"/>
      <c r="T126" s="762"/>
      <c r="U126" s="925"/>
      <c r="V126" s="762"/>
      <c r="W126" s="925"/>
      <c r="X126" s="762"/>
      <c r="Y126" s="762"/>
      <c r="Z126" s="786"/>
      <c r="AA126" s="762"/>
      <c r="AB126" s="786"/>
      <c r="AC126" s="762"/>
      <c r="AD126" s="786"/>
      <c r="AE126" s="762"/>
      <c r="AF126" s="786"/>
      <c r="AG126" s="762"/>
      <c r="AH126" s="786"/>
      <c r="AI126" s="762"/>
      <c r="AJ126" s="762"/>
      <c r="AK126" s="786"/>
      <c r="AL126" s="762"/>
      <c r="AM126" s="786"/>
      <c r="AN126" s="762"/>
      <c r="AO126" s="786"/>
      <c r="AP126" s="762"/>
      <c r="AQ126" s="786"/>
      <c r="AR126" s="762"/>
      <c r="AS126" s="786"/>
      <c r="AT126" s="762"/>
      <c r="AU126" s="762"/>
      <c r="AV126" s="786"/>
      <c r="AW126" s="762"/>
      <c r="AX126" s="786"/>
      <c r="AY126" s="762"/>
      <c r="AZ126" s="786"/>
      <c r="BA126" s="762"/>
      <c r="BB126" s="786"/>
      <c r="BC126" s="762"/>
      <c r="BD126" s="786"/>
      <c r="BE126" s="762"/>
    </row>
    <row r="127" spans="1:57" s="49" customFormat="1">
      <c r="A127" s="887"/>
      <c r="B127" s="887"/>
      <c r="C127" s="960"/>
      <c r="D127" s="925"/>
      <c r="E127" s="762"/>
      <c r="F127" s="925"/>
      <c r="G127" s="762"/>
      <c r="H127" s="925"/>
      <c r="I127" s="762"/>
      <c r="J127" s="925"/>
      <c r="K127" s="762"/>
      <c r="L127" s="925"/>
      <c r="M127" s="762"/>
      <c r="N127" s="762"/>
      <c r="O127" s="925"/>
      <c r="P127" s="762"/>
      <c r="Q127" s="925"/>
      <c r="R127" s="762"/>
      <c r="S127" s="925"/>
      <c r="T127" s="762"/>
      <c r="U127" s="925"/>
      <c r="V127" s="762"/>
      <c r="W127" s="925"/>
      <c r="X127" s="762"/>
      <c r="Y127" s="762"/>
      <c r="Z127" s="786"/>
      <c r="AA127" s="762"/>
      <c r="AB127" s="786"/>
      <c r="AC127" s="762"/>
      <c r="AD127" s="786"/>
      <c r="AE127" s="762"/>
      <c r="AF127" s="786"/>
      <c r="AG127" s="762"/>
      <c r="AH127" s="786"/>
      <c r="AI127" s="762"/>
      <c r="AJ127" s="762"/>
      <c r="AK127" s="786"/>
      <c r="AL127" s="762"/>
      <c r="AM127" s="786"/>
      <c r="AN127" s="762"/>
      <c r="AO127" s="786"/>
      <c r="AP127" s="762"/>
      <c r="AQ127" s="786"/>
      <c r="AR127" s="762"/>
      <c r="AS127" s="786"/>
      <c r="AT127" s="762"/>
      <c r="AU127" s="762"/>
      <c r="AV127" s="786"/>
      <c r="AW127" s="762"/>
      <c r="AX127" s="786"/>
      <c r="AY127" s="762"/>
      <c r="AZ127" s="786"/>
      <c r="BA127" s="762"/>
      <c r="BB127" s="786"/>
      <c r="BC127" s="762"/>
      <c r="BD127" s="786"/>
      <c r="BE127" s="762"/>
    </row>
    <row r="128" spans="1:57" s="49" customFormat="1">
      <c r="A128" s="887"/>
      <c r="B128" s="887"/>
      <c r="C128" s="960"/>
      <c r="D128" s="925"/>
      <c r="E128" s="762"/>
      <c r="F128" s="925"/>
      <c r="G128" s="762"/>
      <c r="H128" s="925"/>
      <c r="I128" s="762"/>
      <c r="J128" s="925"/>
      <c r="K128" s="762"/>
      <c r="L128" s="925"/>
      <c r="M128" s="762"/>
      <c r="N128" s="762"/>
      <c r="O128" s="925"/>
      <c r="P128" s="762"/>
      <c r="Q128" s="925"/>
      <c r="R128" s="762"/>
      <c r="S128" s="925"/>
      <c r="T128" s="762"/>
      <c r="U128" s="925"/>
      <c r="V128" s="762"/>
      <c r="W128" s="925"/>
      <c r="X128" s="762"/>
      <c r="Y128" s="762"/>
      <c r="Z128" s="786"/>
      <c r="AA128" s="762"/>
      <c r="AB128" s="786"/>
      <c r="AC128" s="762"/>
      <c r="AD128" s="786"/>
      <c r="AE128" s="762"/>
      <c r="AF128" s="786"/>
      <c r="AG128" s="762"/>
      <c r="AH128" s="786"/>
      <c r="AI128" s="762"/>
      <c r="AJ128" s="762"/>
      <c r="AK128" s="786"/>
      <c r="AL128" s="762"/>
      <c r="AM128" s="786"/>
      <c r="AN128" s="762"/>
      <c r="AO128" s="786"/>
      <c r="AP128" s="762"/>
      <c r="AQ128" s="786"/>
      <c r="AR128" s="762"/>
      <c r="AS128" s="786"/>
      <c r="AT128" s="762"/>
      <c r="AU128" s="762"/>
      <c r="AV128" s="786"/>
      <c r="AW128" s="762"/>
      <c r="AX128" s="786"/>
      <c r="AY128" s="762"/>
      <c r="AZ128" s="786"/>
      <c r="BA128" s="762"/>
      <c r="BB128" s="786"/>
      <c r="BC128" s="762"/>
      <c r="BD128" s="786"/>
      <c r="BE128" s="762"/>
    </row>
    <row r="129" spans="1:57" s="49" customFormat="1">
      <c r="A129" s="887"/>
      <c r="B129" s="887"/>
      <c r="C129" s="960"/>
      <c r="D129" s="925"/>
      <c r="E129" s="762"/>
      <c r="F129" s="925"/>
      <c r="G129" s="762"/>
      <c r="H129" s="925"/>
      <c r="I129" s="762"/>
      <c r="J129" s="925"/>
      <c r="K129" s="762"/>
      <c r="L129" s="925"/>
      <c r="M129" s="762"/>
      <c r="N129" s="762"/>
      <c r="O129" s="925"/>
      <c r="P129" s="762"/>
      <c r="Q129" s="925"/>
      <c r="R129" s="762"/>
      <c r="S129" s="925"/>
      <c r="T129" s="762"/>
      <c r="U129" s="925"/>
      <c r="V129" s="762"/>
      <c r="W129" s="925"/>
      <c r="X129" s="762"/>
      <c r="Y129" s="762"/>
      <c r="Z129" s="786"/>
      <c r="AA129" s="762"/>
      <c r="AB129" s="786"/>
      <c r="AC129" s="762"/>
      <c r="AD129" s="786"/>
      <c r="AE129" s="762"/>
      <c r="AF129" s="786"/>
      <c r="AG129" s="762"/>
      <c r="AH129" s="786"/>
      <c r="AI129" s="762"/>
      <c r="AJ129" s="762"/>
      <c r="AK129" s="786"/>
      <c r="AL129" s="762"/>
      <c r="AM129" s="786"/>
      <c r="AN129" s="762"/>
      <c r="AO129" s="786"/>
      <c r="AP129" s="762"/>
      <c r="AQ129" s="786"/>
      <c r="AR129" s="762"/>
      <c r="AS129" s="786"/>
      <c r="AT129" s="762"/>
      <c r="AU129" s="762"/>
      <c r="AV129" s="786"/>
      <c r="AW129" s="762"/>
      <c r="AX129" s="786"/>
      <c r="AY129" s="762"/>
      <c r="AZ129" s="786"/>
      <c r="BA129" s="762"/>
      <c r="BB129" s="786"/>
      <c r="BC129" s="762"/>
      <c r="BD129" s="786"/>
      <c r="BE129" s="762"/>
    </row>
    <row r="130" spans="1:57" s="49" customFormat="1">
      <c r="A130" s="887"/>
      <c r="B130" s="887"/>
      <c r="C130" s="960"/>
      <c r="D130" s="925"/>
      <c r="E130" s="762"/>
      <c r="F130" s="925"/>
      <c r="G130" s="762"/>
      <c r="H130" s="925"/>
      <c r="I130" s="762"/>
      <c r="J130" s="925"/>
      <c r="K130" s="762"/>
      <c r="L130" s="925"/>
      <c r="M130" s="762"/>
      <c r="N130" s="762"/>
      <c r="O130" s="925"/>
      <c r="P130" s="762"/>
      <c r="Q130" s="925"/>
      <c r="R130" s="762"/>
      <c r="S130" s="925"/>
      <c r="T130" s="762"/>
      <c r="U130" s="925"/>
      <c r="V130" s="762"/>
      <c r="W130" s="925"/>
      <c r="X130" s="762"/>
      <c r="Y130" s="762"/>
      <c r="Z130" s="786"/>
      <c r="AA130" s="762"/>
      <c r="AB130" s="786"/>
      <c r="AC130" s="762"/>
      <c r="AD130" s="786"/>
      <c r="AE130" s="762"/>
      <c r="AF130" s="786"/>
      <c r="AG130" s="762"/>
      <c r="AH130" s="786"/>
      <c r="AI130" s="762"/>
      <c r="AJ130" s="762"/>
      <c r="AK130" s="786"/>
      <c r="AL130" s="762"/>
      <c r="AM130" s="786"/>
      <c r="AN130" s="762"/>
      <c r="AO130" s="786"/>
      <c r="AP130" s="762"/>
      <c r="AQ130" s="786"/>
      <c r="AR130" s="762"/>
      <c r="AS130" s="786"/>
      <c r="AT130" s="762"/>
      <c r="AU130" s="762"/>
      <c r="AV130" s="786"/>
      <c r="AW130" s="762"/>
      <c r="AX130" s="786"/>
      <c r="AY130" s="762"/>
      <c r="AZ130" s="786"/>
      <c r="BA130" s="762"/>
      <c r="BB130" s="786"/>
      <c r="BC130" s="762"/>
      <c r="BD130" s="786"/>
      <c r="BE130" s="762"/>
    </row>
    <row r="131" spans="1:57" s="49" customFormat="1">
      <c r="A131" s="887"/>
      <c r="B131" s="887"/>
      <c r="C131" s="960"/>
      <c r="D131" s="925"/>
      <c r="E131" s="762"/>
      <c r="F131" s="925"/>
      <c r="G131" s="762"/>
      <c r="H131" s="925"/>
      <c r="I131" s="762"/>
      <c r="J131" s="925"/>
      <c r="K131" s="762"/>
      <c r="L131" s="925"/>
      <c r="M131" s="762"/>
      <c r="N131" s="762"/>
      <c r="O131" s="925"/>
      <c r="P131" s="762"/>
      <c r="Q131" s="925"/>
      <c r="R131" s="762"/>
      <c r="S131" s="925"/>
      <c r="T131" s="762"/>
      <c r="U131" s="925"/>
      <c r="V131" s="762"/>
      <c r="W131" s="925"/>
      <c r="X131" s="762"/>
      <c r="Y131" s="762"/>
      <c r="Z131" s="786"/>
      <c r="AA131" s="762"/>
      <c r="AB131" s="786"/>
      <c r="AC131" s="762"/>
      <c r="AD131" s="786"/>
      <c r="AE131" s="762"/>
      <c r="AF131" s="786"/>
      <c r="AG131" s="762"/>
      <c r="AH131" s="786"/>
      <c r="AI131" s="762"/>
      <c r="AJ131" s="762"/>
      <c r="AK131" s="786"/>
      <c r="AL131" s="762"/>
      <c r="AM131" s="786"/>
      <c r="AN131" s="762"/>
      <c r="AO131" s="786"/>
      <c r="AP131" s="762"/>
      <c r="AQ131" s="786"/>
      <c r="AR131" s="762"/>
      <c r="AS131" s="786"/>
      <c r="AT131" s="762"/>
      <c r="AU131" s="762"/>
      <c r="AV131" s="786"/>
      <c r="AW131" s="762"/>
      <c r="AX131" s="786"/>
      <c r="AY131" s="762"/>
      <c r="AZ131" s="786"/>
      <c r="BA131" s="762"/>
      <c r="BB131" s="786"/>
      <c r="BC131" s="762"/>
      <c r="BD131" s="786"/>
      <c r="BE131" s="762"/>
    </row>
    <row r="132" spans="1:57" s="49" customFormat="1">
      <c r="A132" s="887"/>
      <c r="B132" s="887"/>
      <c r="C132" s="960"/>
      <c r="D132" s="925"/>
      <c r="E132" s="762"/>
      <c r="F132" s="925"/>
      <c r="G132" s="762"/>
      <c r="H132" s="925"/>
      <c r="I132" s="762"/>
      <c r="J132" s="925"/>
      <c r="K132" s="762"/>
      <c r="L132" s="925"/>
      <c r="M132" s="762"/>
      <c r="N132" s="762"/>
      <c r="O132" s="925"/>
      <c r="P132" s="762"/>
      <c r="Q132" s="925"/>
      <c r="R132" s="762"/>
      <c r="S132" s="925"/>
      <c r="T132" s="762"/>
      <c r="U132" s="925"/>
      <c r="V132" s="762"/>
      <c r="W132" s="925"/>
      <c r="X132" s="762"/>
      <c r="Y132" s="762"/>
      <c r="Z132" s="786"/>
      <c r="AA132" s="762"/>
      <c r="AB132" s="786"/>
      <c r="AC132" s="762"/>
      <c r="AD132" s="786"/>
      <c r="AE132" s="762"/>
      <c r="AF132" s="786"/>
      <c r="AG132" s="762"/>
      <c r="AH132" s="786"/>
      <c r="AI132" s="762"/>
      <c r="AJ132" s="762"/>
      <c r="AK132" s="786"/>
      <c r="AL132" s="762"/>
      <c r="AM132" s="786"/>
      <c r="AN132" s="762"/>
      <c r="AO132" s="786"/>
      <c r="AP132" s="762"/>
      <c r="AQ132" s="786"/>
      <c r="AR132" s="762"/>
      <c r="AS132" s="786"/>
      <c r="AT132" s="762"/>
      <c r="AU132" s="762"/>
      <c r="AV132" s="786"/>
      <c r="AW132" s="762"/>
      <c r="AX132" s="786"/>
      <c r="AY132" s="762"/>
      <c r="AZ132" s="786"/>
      <c r="BA132" s="762"/>
      <c r="BB132" s="786"/>
      <c r="BC132" s="762"/>
      <c r="BD132" s="786"/>
      <c r="BE132" s="762"/>
    </row>
    <row r="133" spans="1:57" s="49" customFormat="1">
      <c r="A133" s="887"/>
      <c r="B133" s="887"/>
      <c r="C133" s="960"/>
      <c r="D133" s="925"/>
      <c r="E133" s="762"/>
      <c r="F133" s="925"/>
      <c r="G133" s="762"/>
      <c r="H133" s="925"/>
      <c r="I133" s="762"/>
      <c r="J133" s="925"/>
      <c r="K133" s="762"/>
      <c r="L133" s="925"/>
      <c r="M133" s="762"/>
      <c r="N133" s="762"/>
      <c r="O133" s="925"/>
      <c r="P133" s="762"/>
      <c r="Q133" s="925"/>
      <c r="R133" s="762"/>
      <c r="S133" s="925"/>
      <c r="T133" s="762"/>
      <c r="U133" s="925"/>
      <c r="V133" s="762"/>
      <c r="W133" s="925"/>
      <c r="X133" s="762"/>
      <c r="Y133" s="762"/>
      <c r="Z133" s="786"/>
      <c r="AA133" s="762"/>
      <c r="AB133" s="786"/>
      <c r="AC133" s="762"/>
      <c r="AD133" s="786"/>
      <c r="AE133" s="762"/>
      <c r="AF133" s="786"/>
      <c r="AG133" s="762"/>
      <c r="AH133" s="786"/>
      <c r="AI133" s="762"/>
      <c r="AJ133" s="762"/>
      <c r="AK133" s="786"/>
      <c r="AL133" s="762"/>
      <c r="AM133" s="786"/>
      <c r="AN133" s="762"/>
      <c r="AO133" s="786"/>
      <c r="AP133" s="762"/>
      <c r="AQ133" s="786"/>
      <c r="AR133" s="762"/>
      <c r="AS133" s="786"/>
      <c r="AT133" s="762"/>
      <c r="AU133" s="762"/>
      <c r="AV133" s="786"/>
      <c r="AW133" s="762"/>
      <c r="AX133" s="786"/>
      <c r="AY133" s="762"/>
      <c r="AZ133" s="786"/>
      <c r="BA133" s="762"/>
      <c r="BB133" s="786"/>
      <c r="BC133" s="762"/>
      <c r="BD133" s="786"/>
      <c r="BE133" s="762"/>
    </row>
    <row r="134" spans="1:57" s="49" customFormat="1">
      <c r="A134" s="887"/>
      <c r="B134" s="887"/>
      <c r="C134" s="960"/>
      <c r="D134" s="925"/>
      <c r="E134" s="762"/>
      <c r="F134" s="925"/>
      <c r="G134" s="762"/>
      <c r="H134" s="925"/>
      <c r="I134" s="762"/>
      <c r="J134" s="925"/>
      <c r="K134" s="762"/>
      <c r="L134" s="925"/>
      <c r="M134" s="762"/>
      <c r="N134" s="762"/>
      <c r="O134" s="925"/>
      <c r="P134" s="762"/>
      <c r="Q134" s="925"/>
      <c r="R134" s="762"/>
      <c r="S134" s="925"/>
      <c r="T134" s="762"/>
      <c r="U134" s="925"/>
      <c r="V134" s="762"/>
      <c r="W134" s="925"/>
      <c r="X134" s="762"/>
      <c r="Y134" s="762"/>
      <c r="Z134" s="786"/>
      <c r="AA134" s="762"/>
      <c r="AB134" s="786"/>
      <c r="AC134" s="762"/>
      <c r="AD134" s="786"/>
      <c r="AE134" s="762"/>
      <c r="AF134" s="786"/>
      <c r="AG134" s="762"/>
      <c r="AH134" s="786"/>
      <c r="AI134" s="762"/>
      <c r="AJ134" s="762"/>
      <c r="AK134" s="786"/>
      <c r="AL134" s="762"/>
      <c r="AM134" s="786"/>
      <c r="AN134" s="762"/>
      <c r="AO134" s="786"/>
      <c r="AP134" s="762"/>
      <c r="AQ134" s="786"/>
      <c r="AR134" s="762"/>
      <c r="AS134" s="786"/>
      <c r="AT134" s="762"/>
      <c r="AU134" s="762"/>
      <c r="AV134" s="786"/>
      <c r="AW134" s="762"/>
      <c r="AX134" s="786"/>
      <c r="AY134" s="762"/>
      <c r="AZ134" s="786"/>
      <c r="BA134" s="762"/>
      <c r="BB134" s="786"/>
      <c r="BC134" s="762"/>
      <c r="BD134" s="786"/>
      <c r="BE134" s="762"/>
    </row>
    <row r="135" spans="1:57" s="49" customFormat="1">
      <c r="A135" s="887"/>
      <c r="B135" s="887"/>
      <c r="C135" s="960"/>
      <c r="D135" s="925"/>
      <c r="E135" s="762"/>
      <c r="F135" s="925"/>
      <c r="G135" s="762"/>
      <c r="H135" s="925"/>
      <c r="I135" s="762"/>
      <c r="J135" s="925"/>
      <c r="K135" s="762"/>
      <c r="L135" s="925"/>
      <c r="M135" s="762"/>
      <c r="N135" s="762"/>
      <c r="O135" s="925"/>
      <c r="P135" s="762"/>
      <c r="Q135" s="925"/>
      <c r="R135" s="762"/>
      <c r="S135" s="925"/>
      <c r="T135" s="762"/>
      <c r="U135" s="925"/>
      <c r="V135" s="762"/>
      <c r="W135" s="925"/>
      <c r="X135" s="762"/>
      <c r="Y135" s="762"/>
      <c r="Z135" s="786"/>
      <c r="AA135" s="762"/>
      <c r="AB135" s="786"/>
      <c r="AC135" s="762"/>
      <c r="AD135" s="786"/>
      <c r="AE135" s="762"/>
      <c r="AF135" s="786"/>
      <c r="AG135" s="762"/>
      <c r="AH135" s="786"/>
      <c r="AI135" s="762"/>
      <c r="AJ135" s="762"/>
      <c r="AK135" s="786"/>
      <c r="AL135" s="762"/>
      <c r="AM135" s="786"/>
      <c r="AN135" s="762"/>
      <c r="AO135" s="786"/>
      <c r="AP135" s="762"/>
      <c r="AQ135" s="786"/>
      <c r="AR135" s="762"/>
      <c r="AS135" s="786"/>
      <c r="AT135" s="762"/>
      <c r="AU135" s="762"/>
      <c r="AV135" s="786"/>
      <c r="AW135" s="762"/>
      <c r="AX135" s="786"/>
      <c r="AY135" s="762"/>
      <c r="AZ135" s="786"/>
      <c r="BA135" s="762"/>
      <c r="BB135" s="786"/>
      <c r="BC135" s="762"/>
      <c r="BD135" s="786"/>
      <c r="BE135" s="762"/>
    </row>
    <row r="136" spans="1:57" s="49" customFormat="1">
      <c r="A136" s="887"/>
      <c r="B136" s="887"/>
      <c r="C136" s="960"/>
      <c r="D136" s="925"/>
      <c r="E136" s="762"/>
      <c r="F136" s="925"/>
      <c r="G136" s="762"/>
      <c r="H136" s="925"/>
      <c r="I136" s="762"/>
      <c r="J136" s="925"/>
      <c r="K136" s="762"/>
      <c r="L136" s="925"/>
      <c r="M136" s="762"/>
      <c r="N136" s="762"/>
      <c r="O136" s="925"/>
      <c r="P136" s="762"/>
      <c r="Q136" s="925"/>
      <c r="R136" s="762"/>
      <c r="S136" s="925"/>
      <c r="T136" s="762"/>
      <c r="U136" s="925"/>
      <c r="V136" s="762"/>
      <c r="W136" s="925"/>
      <c r="X136" s="762"/>
      <c r="Y136" s="762"/>
      <c r="Z136" s="786"/>
      <c r="AA136" s="762"/>
      <c r="AB136" s="786"/>
      <c r="AC136" s="762"/>
      <c r="AD136" s="786"/>
      <c r="AE136" s="762"/>
      <c r="AF136" s="786"/>
      <c r="AG136" s="762"/>
      <c r="AH136" s="786"/>
      <c r="AI136" s="762"/>
      <c r="AJ136" s="762"/>
      <c r="AK136" s="786"/>
      <c r="AL136" s="762"/>
      <c r="AM136" s="786"/>
      <c r="AN136" s="762"/>
      <c r="AO136" s="786"/>
      <c r="AP136" s="762"/>
      <c r="AQ136" s="786"/>
      <c r="AR136" s="762"/>
      <c r="AS136" s="786"/>
      <c r="AT136" s="762"/>
      <c r="AU136" s="762"/>
      <c r="AV136" s="786"/>
      <c r="AW136" s="762"/>
      <c r="AX136" s="786"/>
      <c r="AY136" s="762"/>
      <c r="AZ136" s="786"/>
      <c r="BA136" s="762"/>
      <c r="BB136" s="786"/>
      <c r="BC136" s="762"/>
      <c r="BD136" s="786"/>
      <c r="BE136" s="762"/>
    </row>
    <row r="137" spans="1:57" s="49" customFormat="1">
      <c r="A137" s="887"/>
      <c r="B137" s="887"/>
      <c r="C137" s="960"/>
      <c r="D137" s="925"/>
      <c r="E137" s="762"/>
      <c r="F137" s="925"/>
      <c r="G137" s="762"/>
      <c r="H137" s="925"/>
      <c r="I137" s="762"/>
      <c r="J137" s="925"/>
      <c r="K137" s="762"/>
      <c r="L137" s="925"/>
      <c r="M137" s="762"/>
      <c r="N137" s="762"/>
      <c r="O137" s="925"/>
      <c r="P137" s="762"/>
      <c r="Q137" s="925"/>
      <c r="R137" s="762"/>
      <c r="S137" s="925"/>
      <c r="T137" s="762"/>
      <c r="U137" s="925"/>
      <c r="V137" s="762"/>
      <c r="W137" s="925"/>
      <c r="X137" s="762"/>
      <c r="Y137" s="762"/>
      <c r="Z137" s="786"/>
      <c r="AA137" s="762"/>
      <c r="AB137" s="786"/>
      <c r="AC137" s="762"/>
      <c r="AD137" s="786"/>
      <c r="AE137" s="762"/>
      <c r="AF137" s="786"/>
      <c r="AG137" s="762"/>
      <c r="AH137" s="786"/>
      <c r="AI137" s="762"/>
      <c r="AJ137" s="762"/>
      <c r="AK137" s="786"/>
      <c r="AL137" s="762"/>
      <c r="AM137" s="786"/>
      <c r="AN137" s="762"/>
      <c r="AO137" s="786"/>
      <c r="AP137" s="762"/>
      <c r="AQ137" s="786"/>
      <c r="AR137" s="762"/>
      <c r="AS137" s="786"/>
      <c r="AT137" s="762"/>
      <c r="AU137" s="762"/>
      <c r="AV137" s="786"/>
      <c r="AW137" s="762"/>
      <c r="AX137" s="786"/>
      <c r="AY137" s="762"/>
      <c r="AZ137" s="786"/>
      <c r="BA137" s="762"/>
      <c r="BB137" s="786"/>
      <c r="BC137" s="762"/>
      <c r="BD137" s="786"/>
      <c r="BE137" s="762"/>
    </row>
    <row r="138" spans="1:57" s="49" customFormat="1">
      <c r="A138" s="887"/>
      <c r="B138" s="887"/>
      <c r="C138" s="960"/>
      <c r="D138" s="925"/>
      <c r="E138" s="762"/>
      <c r="F138" s="925"/>
      <c r="G138" s="762"/>
      <c r="H138" s="925"/>
      <c r="I138" s="762"/>
      <c r="J138" s="925"/>
      <c r="K138" s="762"/>
      <c r="L138" s="925"/>
      <c r="M138" s="762"/>
      <c r="N138" s="762"/>
      <c r="O138" s="925"/>
      <c r="P138" s="762"/>
      <c r="Q138" s="925"/>
      <c r="R138" s="762"/>
      <c r="S138" s="925"/>
      <c r="T138" s="762"/>
      <c r="U138" s="925"/>
      <c r="V138" s="762"/>
      <c r="W138" s="925"/>
      <c r="X138" s="762"/>
      <c r="Y138" s="762"/>
      <c r="Z138" s="786"/>
      <c r="AA138" s="762"/>
      <c r="AB138" s="786"/>
      <c r="AC138" s="762"/>
      <c r="AD138" s="786"/>
      <c r="AE138" s="762"/>
      <c r="AF138" s="786"/>
      <c r="AG138" s="762"/>
      <c r="AH138" s="786"/>
      <c r="AI138" s="762"/>
      <c r="AJ138" s="762"/>
      <c r="AK138" s="786"/>
      <c r="AL138" s="762"/>
      <c r="AM138" s="786"/>
      <c r="AN138" s="762"/>
      <c r="AO138" s="786"/>
      <c r="AP138" s="762"/>
      <c r="AQ138" s="786"/>
      <c r="AR138" s="762"/>
      <c r="AS138" s="786"/>
      <c r="AT138" s="762"/>
      <c r="AU138" s="762"/>
      <c r="AV138" s="786"/>
      <c r="AW138" s="762"/>
      <c r="AX138" s="786"/>
      <c r="AY138" s="762"/>
      <c r="AZ138" s="786"/>
      <c r="BA138" s="762"/>
      <c r="BB138" s="786"/>
      <c r="BC138" s="762"/>
      <c r="BD138" s="786"/>
      <c r="BE138" s="762"/>
    </row>
    <row r="139" spans="1:57" s="49" customFormat="1">
      <c r="A139" s="887"/>
      <c r="B139" s="887"/>
      <c r="C139" s="960"/>
      <c r="D139" s="925"/>
      <c r="E139" s="762"/>
      <c r="F139" s="925"/>
      <c r="G139" s="762"/>
      <c r="H139" s="925"/>
      <c r="I139" s="762"/>
      <c r="J139" s="925"/>
      <c r="K139" s="762"/>
      <c r="L139" s="925"/>
      <c r="M139" s="762"/>
      <c r="N139" s="762"/>
      <c r="O139" s="925"/>
      <c r="P139" s="762"/>
      <c r="Q139" s="925"/>
      <c r="R139" s="762"/>
      <c r="S139" s="925"/>
      <c r="T139" s="762"/>
      <c r="U139" s="925"/>
      <c r="V139" s="762"/>
      <c r="W139" s="925"/>
      <c r="X139" s="762"/>
      <c r="Y139" s="762"/>
      <c r="Z139" s="786"/>
      <c r="AA139" s="762"/>
      <c r="AB139" s="786"/>
      <c r="AC139" s="762"/>
      <c r="AD139" s="786"/>
      <c r="AE139" s="762"/>
      <c r="AF139" s="786"/>
      <c r="AG139" s="762"/>
      <c r="AH139" s="786"/>
      <c r="AI139" s="762"/>
      <c r="AJ139" s="762"/>
      <c r="AK139" s="786"/>
      <c r="AL139" s="762"/>
      <c r="AM139" s="786"/>
      <c r="AN139" s="762"/>
      <c r="AO139" s="786"/>
      <c r="AP139" s="762"/>
      <c r="AQ139" s="786"/>
      <c r="AR139" s="762"/>
      <c r="AS139" s="786"/>
      <c r="AT139" s="762"/>
      <c r="AU139" s="762"/>
      <c r="AV139" s="786"/>
      <c r="AW139" s="762"/>
      <c r="AX139" s="786"/>
      <c r="AY139" s="762"/>
      <c r="AZ139" s="786"/>
      <c r="BA139" s="762"/>
      <c r="BB139" s="786"/>
      <c r="BC139" s="762"/>
      <c r="BD139" s="786"/>
      <c r="BE139" s="762"/>
    </row>
    <row r="140" spans="1:57" s="49" customFormat="1">
      <c r="A140" s="887"/>
      <c r="B140" s="887"/>
      <c r="C140" s="960"/>
      <c r="D140" s="925"/>
      <c r="E140" s="762"/>
      <c r="F140" s="925"/>
      <c r="G140" s="762"/>
      <c r="H140" s="925"/>
      <c r="I140" s="762"/>
      <c r="J140" s="925"/>
      <c r="K140" s="762"/>
      <c r="L140" s="925"/>
      <c r="M140" s="762"/>
      <c r="N140" s="762"/>
      <c r="O140" s="925"/>
      <c r="P140" s="762"/>
      <c r="Q140" s="925"/>
      <c r="R140" s="762"/>
      <c r="S140" s="925"/>
      <c r="T140" s="762"/>
      <c r="U140" s="925"/>
      <c r="V140" s="762"/>
      <c r="W140" s="925"/>
      <c r="X140" s="762"/>
      <c r="Y140" s="762"/>
      <c r="Z140" s="786"/>
      <c r="AA140" s="762"/>
      <c r="AB140" s="786"/>
      <c r="AC140" s="762"/>
      <c r="AD140" s="786"/>
      <c r="AE140" s="762"/>
      <c r="AF140" s="786"/>
      <c r="AG140" s="762"/>
      <c r="AH140" s="786"/>
      <c r="AI140" s="762"/>
      <c r="AJ140" s="762"/>
      <c r="AK140" s="786"/>
      <c r="AL140" s="762"/>
      <c r="AM140" s="786"/>
      <c r="AN140" s="762"/>
      <c r="AO140" s="786"/>
      <c r="AP140" s="762"/>
      <c r="AQ140" s="786"/>
      <c r="AR140" s="762"/>
      <c r="AS140" s="786"/>
      <c r="AT140" s="762"/>
      <c r="AU140" s="762"/>
      <c r="AV140" s="786"/>
      <c r="AW140" s="762"/>
      <c r="AX140" s="786"/>
      <c r="AY140" s="762"/>
      <c r="AZ140" s="786"/>
      <c r="BA140" s="762"/>
      <c r="BB140" s="786"/>
      <c r="BC140" s="762"/>
      <c r="BD140" s="786"/>
      <c r="BE140" s="762"/>
    </row>
    <row r="141" spans="1:57" s="49" customFormat="1">
      <c r="A141" s="887"/>
      <c r="B141" s="887"/>
      <c r="C141" s="960"/>
      <c r="D141" s="925"/>
      <c r="E141" s="762"/>
      <c r="F141" s="925"/>
      <c r="G141" s="762"/>
      <c r="H141" s="925"/>
      <c r="I141" s="762"/>
      <c r="J141" s="925"/>
      <c r="K141" s="762"/>
      <c r="L141" s="925"/>
      <c r="M141" s="762"/>
      <c r="N141" s="762"/>
      <c r="O141" s="925"/>
      <c r="P141" s="762"/>
      <c r="Q141" s="925"/>
      <c r="R141" s="762"/>
      <c r="S141" s="925"/>
      <c r="T141" s="762"/>
      <c r="U141" s="925"/>
      <c r="V141" s="762"/>
      <c r="W141" s="925"/>
      <c r="X141" s="762"/>
      <c r="Y141" s="762"/>
      <c r="Z141" s="786"/>
      <c r="AA141" s="762"/>
      <c r="AB141" s="786"/>
      <c r="AC141" s="762"/>
      <c r="AD141" s="786"/>
      <c r="AE141" s="762"/>
      <c r="AF141" s="786"/>
      <c r="AG141" s="762"/>
      <c r="AH141" s="786"/>
      <c r="AI141" s="762"/>
      <c r="AJ141" s="762"/>
      <c r="AK141" s="786"/>
      <c r="AL141" s="762"/>
      <c r="AM141" s="786"/>
      <c r="AN141" s="762"/>
      <c r="AO141" s="786"/>
      <c r="AP141" s="762"/>
      <c r="AQ141" s="786"/>
      <c r="AR141" s="762"/>
      <c r="AS141" s="786"/>
      <c r="AT141" s="762"/>
      <c r="AU141" s="762"/>
      <c r="AV141" s="786"/>
      <c r="AW141" s="762"/>
      <c r="AX141" s="786"/>
      <c r="AY141" s="762"/>
      <c r="AZ141" s="786"/>
      <c r="BA141" s="762"/>
      <c r="BB141" s="786"/>
      <c r="BC141" s="762"/>
      <c r="BD141" s="786"/>
      <c r="BE141" s="762"/>
    </row>
    <row r="142" spans="1:57" s="49" customFormat="1">
      <c r="A142" s="887"/>
      <c r="B142" s="887"/>
      <c r="C142" s="960"/>
      <c r="D142" s="925"/>
      <c r="E142" s="762"/>
      <c r="F142" s="925"/>
      <c r="G142" s="762"/>
      <c r="H142" s="925"/>
      <c r="I142" s="762"/>
      <c r="J142" s="925"/>
      <c r="K142" s="762"/>
      <c r="L142" s="925"/>
      <c r="M142" s="762"/>
      <c r="N142" s="762"/>
      <c r="O142" s="925"/>
      <c r="P142" s="762"/>
      <c r="Q142" s="925"/>
      <c r="R142" s="762"/>
      <c r="S142" s="925"/>
      <c r="T142" s="762"/>
      <c r="U142" s="925"/>
      <c r="V142" s="762"/>
      <c r="W142" s="925"/>
      <c r="X142" s="762"/>
      <c r="Y142" s="762"/>
      <c r="Z142" s="786"/>
      <c r="AA142" s="762"/>
      <c r="AB142" s="786"/>
      <c r="AC142" s="762"/>
      <c r="AD142" s="786"/>
      <c r="AE142" s="762"/>
      <c r="AF142" s="786"/>
      <c r="AG142" s="762"/>
      <c r="AH142" s="786"/>
      <c r="AI142" s="762"/>
      <c r="AJ142" s="762"/>
      <c r="AK142" s="786"/>
      <c r="AL142" s="762"/>
      <c r="AM142" s="786"/>
      <c r="AN142" s="762"/>
      <c r="AO142" s="786"/>
      <c r="AP142" s="762"/>
      <c r="AQ142" s="786"/>
      <c r="AR142" s="762"/>
      <c r="AS142" s="786"/>
      <c r="AT142" s="762"/>
      <c r="AU142" s="762"/>
      <c r="AV142" s="786"/>
      <c r="AW142" s="762"/>
      <c r="AX142" s="786"/>
      <c r="AY142" s="762"/>
      <c r="AZ142" s="786"/>
      <c r="BA142" s="762"/>
      <c r="BB142" s="786"/>
      <c r="BC142" s="762"/>
      <c r="BD142" s="786"/>
      <c r="BE142" s="762"/>
    </row>
    <row r="143" spans="1:57" s="49" customFormat="1">
      <c r="A143" s="887"/>
      <c r="B143" s="887"/>
      <c r="C143" s="960"/>
      <c r="D143" s="925"/>
      <c r="E143" s="762"/>
      <c r="F143" s="925"/>
      <c r="G143" s="762"/>
      <c r="H143" s="925"/>
      <c r="I143" s="762"/>
      <c r="J143" s="925"/>
      <c r="K143" s="762"/>
      <c r="L143" s="925"/>
      <c r="M143" s="762"/>
      <c r="N143" s="762"/>
      <c r="O143" s="925"/>
      <c r="P143" s="762"/>
      <c r="Q143" s="925"/>
      <c r="R143" s="762"/>
      <c r="S143" s="925"/>
      <c r="T143" s="762"/>
      <c r="U143" s="925"/>
      <c r="V143" s="762"/>
      <c r="W143" s="925"/>
      <c r="X143" s="762"/>
      <c r="Y143" s="762"/>
      <c r="Z143" s="786"/>
      <c r="AA143" s="762"/>
      <c r="AB143" s="786"/>
      <c r="AC143" s="762"/>
      <c r="AD143" s="786"/>
      <c r="AE143" s="762"/>
      <c r="AF143" s="786"/>
      <c r="AG143" s="762"/>
      <c r="AH143" s="786"/>
      <c r="AI143" s="762"/>
      <c r="AJ143" s="762"/>
      <c r="AK143" s="786"/>
      <c r="AL143" s="762"/>
      <c r="AM143" s="786"/>
      <c r="AN143" s="762"/>
      <c r="AO143" s="786"/>
      <c r="AP143" s="762"/>
      <c r="AQ143" s="786"/>
      <c r="AR143" s="762"/>
      <c r="AS143" s="786"/>
      <c r="AT143" s="762"/>
      <c r="AU143" s="762"/>
      <c r="AV143" s="786"/>
      <c r="AW143" s="762"/>
      <c r="AX143" s="786"/>
      <c r="AY143" s="762"/>
      <c r="AZ143" s="786"/>
      <c r="BA143" s="762"/>
      <c r="BB143" s="786"/>
      <c r="BC143" s="762"/>
      <c r="BD143" s="786"/>
      <c r="BE143" s="762"/>
    </row>
    <row r="144" spans="1:57" s="49" customFormat="1">
      <c r="A144" s="887"/>
      <c r="B144" s="887"/>
      <c r="C144" s="960"/>
      <c r="D144" s="925"/>
      <c r="E144" s="762"/>
      <c r="F144" s="925"/>
      <c r="G144" s="762"/>
      <c r="H144" s="925"/>
      <c r="I144" s="762"/>
      <c r="J144" s="925"/>
      <c r="K144" s="762"/>
      <c r="L144" s="925"/>
      <c r="M144" s="762"/>
      <c r="N144" s="762"/>
      <c r="O144" s="925"/>
      <c r="P144" s="762"/>
      <c r="Q144" s="925"/>
      <c r="R144" s="762"/>
      <c r="S144" s="925"/>
      <c r="T144" s="762"/>
      <c r="U144" s="925"/>
      <c r="V144" s="762"/>
      <c r="W144" s="925"/>
      <c r="X144" s="762"/>
      <c r="Y144" s="762"/>
      <c r="Z144" s="786"/>
      <c r="AA144" s="762"/>
      <c r="AB144" s="786"/>
      <c r="AC144" s="762"/>
      <c r="AD144" s="786"/>
      <c r="AE144" s="762"/>
      <c r="AF144" s="786"/>
      <c r="AG144" s="762"/>
      <c r="AH144" s="786"/>
      <c r="AI144" s="762"/>
      <c r="AJ144" s="762"/>
      <c r="AK144" s="786"/>
      <c r="AL144" s="762"/>
      <c r="AM144" s="786"/>
      <c r="AN144" s="762"/>
      <c r="AO144" s="786"/>
      <c r="AP144" s="762"/>
      <c r="AQ144" s="786"/>
      <c r="AR144" s="762"/>
      <c r="AS144" s="786"/>
      <c r="AT144" s="762"/>
      <c r="AU144" s="762"/>
      <c r="AV144" s="786"/>
      <c r="AW144" s="762"/>
      <c r="AX144" s="786"/>
      <c r="AY144" s="762"/>
      <c r="AZ144" s="786"/>
      <c r="BA144" s="762"/>
      <c r="BB144" s="786"/>
      <c r="BC144" s="762"/>
      <c r="BD144" s="786"/>
      <c r="BE144" s="762"/>
    </row>
    <row r="145" spans="1:57" s="49" customFormat="1">
      <c r="A145" s="887"/>
      <c r="B145" s="887"/>
      <c r="C145" s="960"/>
      <c r="D145" s="925"/>
      <c r="E145" s="762"/>
      <c r="F145" s="925"/>
      <c r="G145" s="762"/>
      <c r="H145" s="925"/>
      <c r="I145" s="762"/>
      <c r="J145" s="925"/>
      <c r="K145" s="762"/>
      <c r="L145" s="925"/>
      <c r="M145" s="762"/>
      <c r="N145" s="762"/>
      <c r="O145" s="925"/>
      <c r="P145" s="762"/>
      <c r="Q145" s="925"/>
      <c r="R145" s="762"/>
      <c r="S145" s="925"/>
      <c r="T145" s="762"/>
      <c r="U145" s="925"/>
      <c r="V145" s="762"/>
      <c r="W145" s="925"/>
      <c r="X145" s="762"/>
      <c r="Y145" s="762"/>
      <c r="Z145" s="786"/>
      <c r="AA145" s="762"/>
      <c r="AB145" s="786"/>
      <c r="AC145" s="762"/>
      <c r="AD145" s="786"/>
      <c r="AE145" s="762"/>
      <c r="AF145" s="786"/>
      <c r="AG145" s="762"/>
      <c r="AH145" s="786"/>
      <c r="AI145" s="762"/>
      <c r="AJ145" s="762"/>
      <c r="AK145" s="786"/>
      <c r="AL145" s="762"/>
      <c r="AM145" s="786"/>
      <c r="AN145" s="762"/>
      <c r="AO145" s="786"/>
      <c r="AP145" s="762"/>
      <c r="AQ145" s="786"/>
      <c r="AR145" s="762"/>
      <c r="AS145" s="786"/>
      <c r="AT145" s="762"/>
      <c r="AU145" s="762"/>
      <c r="AV145" s="786"/>
      <c r="AW145" s="762"/>
      <c r="AX145" s="786"/>
      <c r="AY145" s="762"/>
      <c r="AZ145" s="786"/>
      <c r="BA145" s="762"/>
      <c r="BB145" s="786"/>
      <c r="BC145" s="762"/>
      <c r="BD145" s="786"/>
      <c r="BE145" s="762"/>
    </row>
    <row r="146" spans="1:57" s="49" customFormat="1">
      <c r="A146" s="887"/>
      <c r="B146" s="887"/>
      <c r="C146" s="960"/>
      <c r="D146" s="925"/>
      <c r="E146" s="762"/>
      <c r="F146" s="925"/>
      <c r="G146" s="762"/>
      <c r="H146" s="925"/>
      <c r="I146" s="762"/>
      <c r="J146" s="925"/>
      <c r="K146" s="762"/>
      <c r="L146" s="925"/>
      <c r="M146" s="762"/>
      <c r="N146" s="762"/>
      <c r="O146" s="925"/>
      <c r="P146" s="762"/>
      <c r="Q146" s="925"/>
      <c r="R146" s="762"/>
      <c r="S146" s="925"/>
      <c r="T146" s="762"/>
      <c r="U146" s="925"/>
      <c r="V146" s="762"/>
      <c r="W146" s="925"/>
      <c r="X146" s="762"/>
      <c r="Y146" s="762"/>
      <c r="Z146" s="786"/>
      <c r="AA146" s="762"/>
      <c r="AB146" s="786"/>
      <c r="AC146" s="762"/>
      <c r="AD146" s="786"/>
      <c r="AE146" s="762"/>
      <c r="AF146" s="786"/>
      <c r="AG146" s="762"/>
      <c r="AH146" s="786"/>
      <c r="AI146" s="762"/>
      <c r="AJ146" s="762"/>
      <c r="AK146" s="786"/>
      <c r="AL146" s="762"/>
      <c r="AM146" s="786"/>
      <c r="AN146" s="762"/>
      <c r="AO146" s="786"/>
      <c r="AP146" s="762"/>
      <c r="AQ146" s="786"/>
      <c r="AR146" s="762"/>
      <c r="AS146" s="786"/>
      <c r="AT146" s="762"/>
      <c r="AU146" s="762"/>
      <c r="AV146" s="786"/>
      <c r="AW146" s="762"/>
      <c r="AX146" s="786"/>
      <c r="AY146" s="762"/>
      <c r="AZ146" s="786"/>
      <c r="BA146" s="762"/>
      <c r="BB146" s="786"/>
      <c r="BC146" s="762"/>
      <c r="BD146" s="786"/>
      <c r="BE146" s="762"/>
    </row>
    <row r="147" spans="1:57" s="49" customFormat="1">
      <c r="A147" s="887"/>
      <c r="B147" s="887"/>
      <c r="C147" s="960"/>
      <c r="D147" s="925"/>
      <c r="E147" s="762"/>
      <c r="F147" s="925"/>
      <c r="G147" s="762"/>
      <c r="H147" s="925"/>
      <c r="I147" s="762"/>
      <c r="J147" s="925"/>
      <c r="K147" s="762"/>
      <c r="L147" s="925"/>
      <c r="M147" s="762"/>
      <c r="N147" s="762"/>
      <c r="O147" s="925"/>
      <c r="P147" s="762"/>
      <c r="Q147" s="925"/>
      <c r="R147" s="762"/>
      <c r="S147" s="925"/>
      <c r="T147" s="762"/>
      <c r="U147" s="925"/>
      <c r="V147" s="762"/>
      <c r="W147" s="925"/>
      <c r="X147" s="762"/>
      <c r="Y147" s="762"/>
      <c r="Z147" s="786"/>
      <c r="AA147" s="762"/>
      <c r="AB147" s="786"/>
      <c r="AC147" s="762"/>
      <c r="AD147" s="786"/>
      <c r="AE147" s="762"/>
      <c r="AF147" s="786"/>
      <c r="AG147" s="762"/>
      <c r="AH147" s="786"/>
      <c r="AI147" s="762"/>
      <c r="AJ147" s="762"/>
      <c r="AK147" s="786"/>
      <c r="AL147" s="762"/>
      <c r="AM147" s="786"/>
      <c r="AN147" s="762"/>
      <c r="AO147" s="786"/>
      <c r="AP147" s="762"/>
      <c r="AQ147" s="786"/>
      <c r="AR147" s="762"/>
      <c r="AS147" s="786"/>
      <c r="AT147" s="762"/>
      <c r="AU147" s="762"/>
      <c r="AV147" s="786"/>
      <c r="AW147" s="762"/>
      <c r="AX147" s="786"/>
      <c r="AY147" s="762"/>
      <c r="AZ147" s="786"/>
      <c r="BA147" s="762"/>
      <c r="BB147" s="786"/>
      <c r="BC147" s="762"/>
      <c r="BD147" s="786"/>
      <c r="BE147" s="762"/>
    </row>
    <row r="148" spans="1:57" s="49" customFormat="1">
      <c r="A148" s="887"/>
      <c r="B148" s="887"/>
      <c r="C148" s="960"/>
      <c r="D148" s="925"/>
      <c r="E148" s="762"/>
      <c r="F148" s="925"/>
      <c r="G148" s="762"/>
      <c r="H148" s="925"/>
      <c r="I148" s="762"/>
      <c r="J148" s="925"/>
      <c r="K148" s="762"/>
      <c r="L148" s="925"/>
      <c r="M148" s="762"/>
      <c r="N148" s="762"/>
      <c r="O148" s="925"/>
      <c r="P148" s="762"/>
      <c r="Q148" s="925"/>
      <c r="R148" s="762"/>
      <c r="S148" s="925"/>
      <c r="T148" s="762"/>
      <c r="U148" s="925"/>
      <c r="V148" s="762"/>
      <c r="W148" s="925"/>
      <c r="X148" s="762"/>
      <c r="Y148" s="762"/>
      <c r="Z148" s="786"/>
      <c r="AA148" s="762"/>
      <c r="AB148" s="786"/>
      <c r="AC148" s="762"/>
      <c r="AD148" s="786"/>
      <c r="AE148" s="762"/>
      <c r="AF148" s="786"/>
      <c r="AG148" s="762"/>
      <c r="AH148" s="786"/>
      <c r="AI148" s="762"/>
      <c r="AJ148" s="762"/>
      <c r="AK148" s="786"/>
      <c r="AL148" s="762"/>
      <c r="AM148" s="786"/>
      <c r="AN148" s="762"/>
      <c r="AO148" s="786"/>
      <c r="AP148" s="762"/>
      <c r="AQ148" s="786"/>
      <c r="AR148" s="762"/>
      <c r="AS148" s="786"/>
      <c r="AT148" s="762"/>
      <c r="AU148" s="762"/>
      <c r="AV148" s="786"/>
      <c r="AW148" s="762"/>
      <c r="AX148" s="786"/>
      <c r="AY148" s="762"/>
      <c r="AZ148" s="786"/>
      <c r="BA148" s="762"/>
      <c r="BB148" s="786"/>
      <c r="BC148" s="762"/>
      <c r="BD148" s="786"/>
      <c r="BE148" s="762"/>
    </row>
    <row r="149" spans="1:57" s="49" customFormat="1">
      <c r="A149" s="887"/>
      <c r="B149" s="887"/>
      <c r="C149" s="960"/>
      <c r="D149" s="925"/>
      <c r="E149" s="762"/>
      <c r="F149" s="925"/>
      <c r="G149" s="762"/>
      <c r="H149" s="925"/>
      <c r="I149" s="762"/>
      <c r="J149" s="925"/>
      <c r="K149" s="762"/>
      <c r="L149" s="925"/>
      <c r="M149" s="762"/>
      <c r="N149" s="762"/>
      <c r="O149" s="925"/>
      <c r="P149" s="762"/>
      <c r="Q149" s="925"/>
      <c r="R149" s="762"/>
      <c r="S149" s="925"/>
      <c r="T149" s="762"/>
      <c r="U149" s="925"/>
      <c r="V149" s="762"/>
      <c r="W149" s="925"/>
      <c r="X149" s="762"/>
      <c r="Y149" s="762"/>
      <c r="Z149" s="786"/>
      <c r="AA149" s="762"/>
      <c r="AB149" s="786"/>
      <c r="AC149" s="762"/>
      <c r="AD149" s="786"/>
      <c r="AE149" s="762"/>
      <c r="AF149" s="786"/>
      <c r="AG149" s="762"/>
      <c r="AH149" s="786"/>
      <c r="AI149" s="762"/>
      <c r="AJ149" s="762"/>
      <c r="AK149" s="786"/>
      <c r="AL149" s="762"/>
      <c r="AM149" s="786"/>
      <c r="AN149" s="762"/>
      <c r="AO149" s="786"/>
      <c r="AP149" s="762"/>
      <c r="AQ149" s="786"/>
      <c r="AR149" s="762"/>
      <c r="AS149" s="786"/>
      <c r="AT149" s="762"/>
      <c r="AU149" s="762"/>
      <c r="AV149" s="786"/>
      <c r="AW149" s="762"/>
      <c r="AX149" s="786"/>
      <c r="AY149" s="762"/>
      <c r="AZ149" s="786"/>
      <c r="BA149" s="762"/>
      <c r="BB149" s="786"/>
      <c r="BC149" s="762"/>
      <c r="BD149" s="786"/>
      <c r="BE149" s="762"/>
    </row>
    <row r="150" spans="1:57" s="49" customFormat="1">
      <c r="A150" s="887"/>
      <c r="B150" s="887"/>
      <c r="C150" s="960"/>
      <c r="D150" s="925"/>
      <c r="E150" s="762"/>
      <c r="F150" s="925"/>
      <c r="G150" s="762"/>
      <c r="H150" s="925"/>
      <c r="I150" s="762"/>
      <c r="J150" s="925"/>
      <c r="K150" s="762"/>
      <c r="L150" s="925"/>
      <c r="M150" s="762"/>
      <c r="N150" s="762"/>
      <c r="O150" s="925"/>
      <c r="P150" s="762"/>
      <c r="Q150" s="925"/>
      <c r="R150" s="762"/>
      <c r="S150" s="925"/>
      <c r="T150" s="762"/>
      <c r="U150" s="925"/>
      <c r="V150" s="762"/>
      <c r="W150" s="925"/>
      <c r="X150" s="762"/>
      <c r="Y150" s="762"/>
      <c r="Z150" s="786"/>
      <c r="AA150" s="762"/>
      <c r="AB150" s="786"/>
      <c r="AC150" s="762"/>
      <c r="AD150" s="786"/>
      <c r="AE150" s="762"/>
      <c r="AF150" s="786"/>
      <c r="AG150" s="762"/>
      <c r="AH150" s="786"/>
      <c r="AI150" s="762"/>
      <c r="AJ150" s="762"/>
      <c r="AK150" s="786"/>
      <c r="AL150" s="762"/>
      <c r="AM150" s="786"/>
      <c r="AN150" s="762"/>
      <c r="AO150" s="786"/>
      <c r="AP150" s="762"/>
      <c r="AQ150" s="786"/>
      <c r="AR150" s="762"/>
      <c r="AS150" s="786"/>
      <c r="AT150" s="762"/>
      <c r="AU150" s="762"/>
      <c r="AV150" s="786"/>
      <c r="AW150" s="762"/>
      <c r="AX150" s="786"/>
      <c r="AY150" s="762"/>
      <c r="AZ150" s="786"/>
      <c r="BA150" s="762"/>
      <c r="BB150" s="786"/>
      <c r="BC150" s="762"/>
      <c r="BD150" s="786"/>
      <c r="BE150" s="762"/>
    </row>
    <row r="151" spans="1:57" s="49" customFormat="1">
      <c r="A151" s="887"/>
      <c r="B151" s="887"/>
      <c r="C151" s="960"/>
      <c r="D151" s="925"/>
      <c r="E151" s="762"/>
      <c r="F151" s="925"/>
      <c r="G151" s="762"/>
      <c r="H151" s="925"/>
      <c r="I151" s="762"/>
      <c r="J151" s="925"/>
      <c r="K151" s="762"/>
      <c r="L151" s="925"/>
      <c r="M151" s="762"/>
      <c r="N151" s="762"/>
      <c r="O151" s="925"/>
      <c r="P151" s="762"/>
      <c r="Q151" s="925"/>
      <c r="R151" s="762"/>
      <c r="S151" s="925"/>
      <c r="T151" s="762"/>
      <c r="U151" s="925"/>
      <c r="V151" s="762"/>
      <c r="W151" s="925"/>
      <c r="X151" s="762"/>
      <c r="Y151" s="762"/>
      <c r="Z151" s="786"/>
      <c r="AA151" s="762"/>
      <c r="AB151" s="786"/>
      <c r="AC151" s="762"/>
      <c r="AD151" s="786"/>
      <c r="AE151" s="762"/>
      <c r="AF151" s="786"/>
      <c r="AG151" s="762"/>
      <c r="AH151" s="786"/>
      <c r="AI151" s="762"/>
      <c r="AJ151" s="762"/>
      <c r="AK151" s="786"/>
      <c r="AL151" s="762"/>
      <c r="AM151" s="786"/>
      <c r="AN151" s="762"/>
      <c r="AO151" s="786"/>
      <c r="AP151" s="762"/>
      <c r="AQ151" s="786"/>
      <c r="AR151" s="762"/>
      <c r="AS151" s="786"/>
      <c r="AT151" s="762"/>
      <c r="AU151" s="762"/>
      <c r="AV151" s="786"/>
      <c r="AW151" s="762"/>
      <c r="AX151" s="786"/>
      <c r="AY151" s="762"/>
      <c r="AZ151" s="786"/>
      <c r="BA151" s="762"/>
      <c r="BB151" s="786"/>
      <c r="BC151" s="762"/>
      <c r="BD151" s="786"/>
      <c r="BE151" s="762"/>
    </row>
    <row r="152" spans="1:57" s="49" customFormat="1">
      <c r="A152" s="887"/>
      <c r="B152" s="887"/>
      <c r="C152" s="960"/>
      <c r="D152" s="925"/>
      <c r="E152" s="762"/>
      <c r="F152" s="925"/>
      <c r="G152" s="762"/>
      <c r="H152" s="925"/>
      <c r="I152" s="762"/>
      <c r="J152" s="925"/>
      <c r="K152" s="762"/>
      <c r="L152" s="925"/>
      <c r="M152" s="762"/>
      <c r="N152" s="762"/>
      <c r="O152" s="925"/>
      <c r="P152" s="762"/>
      <c r="Q152" s="925"/>
      <c r="R152" s="762"/>
      <c r="S152" s="925"/>
      <c r="T152" s="762"/>
      <c r="U152" s="925"/>
      <c r="V152" s="762"/>
      <c r="W152" s="925"/>
      <c r="X152" s="762"/>
      <c r="Y152" s="762"/>
      <c r="Z152" s="786"/>
      <c r="AA152" s="762"/>
      <c r="AB152" s="786"/>
      <c r="AC152" s="762"/>
      <c r="AD152" s="786"/>
      <c r="AE152" s="762"/>
      <c r="AF152" s="786"/>
      <c r="AG152" s="762"/>
      <c r="AH152" s="786"/>
      <c r="AI152" s="762"/>
      <c r="AJ152" s="762"/>
      <c r="AK152" s="786"/>
      <c r="AL152" s="762"/>
      <c r="AM152" s="786"/>
      <c r="AN152" s="762"/>
      <c r="AO152" s="786"/>
      <c r="AP152" s="762"/>
      <c r="AQ152" s="786"/>
      <c r="AR152" s="762"/>
      <c r="AS152" s="786"/>
      <c r="AT152" s="762"/>
      <c r="AU152" s="762"/>
      <c r="AV152" s="786"/>
      <c r="AW152" s="762"/>
      <c r="AX152" s="786"/>
      <c r="AY152" s="762"/>
      <c r="AZ152" s="786"/>
      <c r="BA152" s="762"/>
      <c r="BB152" s="786"/>
      <c r="BC152" s="762"/>
      <c r="BD152" s="786"/>
      <c r="BE152" s="762"/>
    </row>
    <row r="153" spans="1:57" s="49" customFormat="1">
      <c r="A153" s="887"/>
      <c r="B153" s="887"/>
      <c r="C153" s="960"/>
      <c r="D153" s="925"/>
      <c r="E153" s="762"/>
      <c r="F153" s="925"/>
      <c r="G153" s="762"/>
      <c r="H153" s="925"/>
      <c r="I153" s="762"/>
      <c r="J153" s="925"/>
      <c r="K153" s="762"/>
      <c r="L153" s="925"/>
      <c r="M153" s="762"/>
      <c r="N153" s="762"/>
      <c r="O153" s="925"/>
      <c r="P153" s="762"/>
      <c r="Q153" s="925"/>
      <c r="R153" s="762"/>
      <c r="S153" s="925"/>
      <c r="T153" s="762"/>
      <c r="U153" s="925"/>
      <c r="V153" s="762"/>
      <c r="W153" s="925"/>
      <c r="X153" s="762"/>
      <c r="Y153" s="762"/>
      <c r="Z153" s="786"/>
      <c r="AA153" s="762"/>
      <c r="AB153" s="786"/>
      <c r="AC153" s="762"/>
      <c r="AD153" s="786"/>
      <c r="AE153" s="762"/>
      <c r="AF153" s="786"/>
      <c r="AG153" s="762"/>
      <c r="AH153" s="786"/>
      <c r="AI153" s="762"/>
      <c r="AJ153" s="762"/>
      <c r="AK153" s="786"/>
      <c r="AL153" s="762"/>
      <c r="AM153" s="786"/>
      <c r="AN153" s="762"/>
      <c r="AO153" s="786"/>
      <c r="AP153" s="762"/>
      <c r="AQ153" s="786"/>
      <c r="AR153" s="762"/>
      <c r="AS153" s="786"/>
      <c r="AT153" s="762"/>
      <c r="AU153" s="762"/>
      <c r="AV153" s="786"/>
      <c r="AW153" s="762"/>
      <c r="AX153" s="786"/>
      <c r="AY153" s="762"/>
      <c r="AZ153" s="786"/>
      <c r="BA153" s="762"/>
      <c r="BB153" s="786"/>
      <c r="BC153" s="762"/>
      <c r="BD153" s="786"/>
      <c r="BE153" s="762"/>
    </row>
    <row r="154" spans="1:57" s="49" customFormat="1">
      <c r="A154" s="887"/>
      <c r="B154" s="887"/>
      <c r="C154" s="960"/>
      <c r="D154" s="925"/>
      <c r="E154" s="762"/>
      <c r="F154" s="925"/>
      <c r="G154" s="762"/>
      <c r="H154" s="925"/>
      <c r="I154" s="762"/>
      <c r="J154" s="925"/>
      <c r="K154" s="762"/>
      <c r="L154" s="925"/>
      <c r="M154" s="762"/>
      <c r="N154" s="762"/>
      <c r="O154" s="925"/>
      <c r="P154" s="762"/>
      <c r="Q154" s="925"/>
      <c r="R154" s="762"/>
      <c r="S154" s="925"/>
      <c r="T154" s="762"/>
      <c r="U154" s="925"/>
      <c r="V154" s="762"/>
      <c r="W154" s="925"/>
      <c r="X154" s="762"/>
      <c r="Y154" s="762"/>
      <c r="Z154" s="786"/>
      <c r="AA154" s="762"/>
      <c r="AB154" s="786"/>
      <c r="AC154" s="762"/>
      <c r="AD154" s="786"/>
      <c r="AE154" s="762"/>
      <c r="AF154" s="786"/>
      <c r="AG154" s="762"/>
      <c r="AH154" s="786"/>
      <c r="AI154" s="762"/>
      <c r="AJ154" s="762"/>
      <c r="AK154" s="786"/>
      <c r="AL154" s="762"/>
      <c r="AM154" s="786"/>
      <c r="AN154" s="762"/>
      <c r="AO154" s="786"/>
      <c r="AP154" s="762"/>
      <c r="AQ154" s="786"/>
      <c r="AR154" s="762"/>
      <c r="AS154" s="786"/>
      <c r="AT154" s="762"/>
      <c r="AU154" s="762"/>
      <c r="AV154" s="786"/>
      <c r="AW154" s="762"/>
      <c r="AX154" s="786"/>
      <c r="AY154" s="762"/>
      <c r="AZ154" s="786"/>
      <c r="BA154" s="762"/>
      <c r="BB154" s="786"/>
      <c r="BC154" s="762"/>
      <c r="BD154" s="786"/>
      <c r="BE154" s="762"/>
    </row>
    <row r="155" spans="1:57" s="49" customFormat="1">
      <c r="A155" s="887"/>
      <c r="B155" s="887"/>
      <c r="C155" s="960"/>
      <c r="D155" s="925"/>
      <c r="E155" s="762"/>
      <c r="F155" s="925"/>
      <c r="G155" s="762"/>
      <c r="H155" s="925"/>
      <c r="I155" s="762"/>
      <c r="J155" s="925"/>
      <c r="K155" s="762"/>
      <c r="L155" s="925"/>
      <c r="M155" s="762"/>
      <c r="N155" s="762"/>
      <c r="O155" s="925"/>
      <c r="P155" s="762"/>
      <c r="Q155" s="925"/>
      <c r="R155" s="762"/>
      <c r="S155" s="925"/>
      <c r="T155" s="762"/>
      <c r="U155" s="925"/>
      <c r="V155" s="762"/>
      <c r="W155" s="925"/>
      <c r="X155" s="762"/>
      <c r="Y155" s="762"/>
      <c r="Z155" s="786"/>
      <c r="AA155" s="762"/>
      <c r="AB155" s="786"/>
      <c r="AC155" s="762"/>
      <c r="AD155" s="786"/>
      <c r="AE155" s="762"/>
      <c r="AF155" s="786"/>
      <c r="AG155" s="762"/>
      <c r="AH155" s="786"/>
      <c r="AI155" s="762"/>
      <c r="AJ155" s="762"/>
      <c r="AK155" s="786"/>
      <c r="AL155" s="762"/>
      <c r="AM155" s="786"/>
      <c r="AN155" s="762"/>
      <c r="AO155" s="786"/>
      <c r="AP155" s="762"/>
      <c r="AQ155" s="786"/>
      <c r="AR155" s="762"/>
      <c r="AS155" s="786"/>
      <c r="AT155" s="762"/>
      <c r="AU155" s="762"/>
      <c r="AV155" s="786"/>
      <c r="AW155" s="762"/>
      <c r="AX155" s="786"/>
      <c r="AY155" s="762"/>
      <c r="AZ155" s="786"/>
      <c r="BA155" s="762"/>
      <c r="BB155" s="786"/>
      <c r="BC155" s="762"/>
      <c r="BD155" s="786"/>
      <c r="BE155" s="762"/>
    </row>
    <row r="156" spans="1:57" s="49" customFormat="1">
      <c r="A156" s="887"/>
      <c r="B156" s="887"/>
      <c r="C156" s="960"/>
      <c r="D156" s="925"/>
      <c r="E156" s="762"/>
      <c r="F156" s="925"/>
      <c r="G156" s="762"/>
      <c r="H156" s="925"/>
      <c r="I156" s="762"/>
      <c r="J156" s="925"/>
      <c r="K156" s="762"/>
      <c r="L156" s="925"/>
      <c r="M156" s="762"/>
      <c r="N156" s="762"/>
      <c r="O156" s="925"/>
      <c r="P156" s="762"/>
      <c r="Q156" s="925"/>
      <c r="R156" s="762"/>
      <c r="S156" s="925"/>
      <c r="T156" s="762"/>
      <c r="U156" s="925"/>
      <c r="V156" s="762"/>
      <c r="W156" s="925"/>
      <c r="X156" s="762"/>
      <c r="Y156" s="762"/>
      <c r="Z156" s="786"/>
      <c r="AA156" s="762"/>
      <c r="AB156" s="786"/>
      <c r="AC156" s="762"/>
      <c r="AD156" s="786"/>
      <c r="AE156" s="762"/>
      <c r="AF156" s="786"/>
      <c r="AG156" s="762"/>
      <c r="AH156" s="786"/>
      <c r="AI156" s="762"/>
      <c r="AJ156" s="762"/>
      <c r="AK156" s="786"/>
      <c r="AL156" s="762"/>
      <c r="AM156" s="786"/>
      <c r="AN156" s="762"/>
      <c r="AO156" s="786"/>
      <c r="AP156" s="762"/>
      <c r="AQ156" s="786"/>
      <c r="AR156" s="762"/>
      <c r="AS156" s="786"/>
      <c r="AT156" s="762"/>
      <c r="AU156" s="762"/>
      <c r="AV156" s="786"/>
      <c r="AW156" s="762"/>
      <c r="AX156" s="786"/>
      <c r="AY156" s="762"/>
      <c r="AZ156" s="786"/>
      <c r="BA156" s="762"/>
      <c r="BB156" s="786"/>
      <c r="BC156" s="762"/>
      <c r="BD156" s="786"/>
      <c r="BE156" s="762"/>
    </row>
    <row r="157" spans="1:57" s="49" customFormat="1">
      <c r="A157" s="887"/>
      <c r="B157" s="887"/>
      <c r="C157" s="960"/>
      <c r="D157" s="925"/>
      <c r="E157" s="762"/>
      <c r="F157" s="925"/>
      <c r="G157" s="762"/>
      <c r="H157" s="925"/>
      <c r="I157" s="762"/>
      <c r="J157" s="925"/>
      <c r="K157" s="762"/>
      <c r="L157" s="925"/>
      <c r="M157" s="762"/>
      <c r="N157" s="762"/>
      <c r="O157" s="925"/>
      <c r="P157" s="762"/>
      <c r="Q157" s="925"/>
      <c r="R157" s="762"/>
      <c r="S157" s="925"/>
      <c r="T157" s="762"/>
      <c r="U157" s="925"/>
      <c r="V157" s="762"/>
      <c r="W157" s="925"/>
      <c r="X157" s="762"/>
      <c r="Y157" s="762"/>
      <c r="Z157" s="786"/>
      <c r="AA157" s="762"/>
      <c r="AB157" s="786"/>
      <c r="AC157" s="762"/>
      <c r="AD157" s="786"/>
      <c r="AE157" s="762"/>
      <c r="AF157" s="786"/>
      <c r="AG157" s="762"/>
      <c r="AH157" s="786"/>
      <c r="AI157" s="762"/>
      <c r="AJ157" s="762"/>
      <c r="AK157" s="786"/>
      <c r="AL157" s="762"/>
      <c r="AM157" s="786"/>
      <c r="AN157" s="762"/>
      <c r="AO157" s="786"/>
      <c r="AP157" s="762"/>
      <c r="AQ157" s="786"/>
      <c r="AR157" s="762"/>
      <c r="AS157" s="786"/>
      <c r="AT157" s="762"/>
      <c r="AU157" s="762"/>
      <c r="AV157" s="786"/>
      <c r="AW157" s="762"/>
      <c r="AX157" s="786"/>
      <c r="AY157" s="762"/>
      <c r="AZ157" s="786"/>
      <c r="BA157" s="762"/>
      <c r="BB157" s="786"/>
      <c r="BC157" s="762"/>
      <c r="BD157" s="786"/>
      <c r="BE157" s="762"/>
    </row>
    <row r="158" spans="1:57" s="49" customFormat="1">
      <c r="A158" s="887"/>
      <c r="B158" s="887"/>
      <c r="C158" s="960"/>
      <c r="D158" s="925"/>
      <c r="E158" s="762"/>
      <c r="F158" s="925"/>
      <c r="G158" s="762"/>
      <c r="H158" s="925"/>
      <c r="I158" s="762"/>
      <c r="J158" s="925"/>
      <c r="K158" s="762"/>
      <c r="L158" s="925"/>
      <c r="M158" s="762"/>
      <c r="N158" s="762"/>
      <c r="O158" s="925"/>
      <c r="P158" s="762"/>
      <c r="Q158" s="925"/>
      <c r="R158" s="762"/>
      <c r="S158" s="925"/>
      <c r="T158" s="762"/>
      <c r="U158" s="925"/>
      <c r="V158" s="762"/>
      <c r="W158" s="925"/>
      <c r="X158" s="762"/>
      <c r="Y158" s="762"/>
      <c r="Z158" s="786"/>
      <c r="AA158" s="762"/>
      <c r="AB158" s="786"/>
      <c r="AC158" s="762"/>
      <c r="AD158" s="786"/>
      <c r="AE158" s="762"/>
      <c r="AF158" s="786"/>
      <c r="AG158" s="762"/>
      <c r="AH158" s="786"/>
      <c r="AI158" s="762"/>
      <c r="AJ158" s="762"/>
      <c r="AK158" s="786"/>
      <c r="AL158" s="762"/>
      <c r="AM158" s="786"/>
      <c r="AN158" s="762"/>
      <c r="AO158" s="786"/>
      <c r="AP158" s="762"/>
      <c r="AQ158" s="786"/>
      <c r="AR158" s="762"/>
      <c r="AS158" s="786"/>
      <c r="AT158" s="762"/>
      <c r="AU158" s="762"/>
      <c r="AV158" s="786"/>
      <c r="AW158" s="762"/>
      <c r="AX158" s="786"/>
      <c r="AY158" s="762"/>
      <c r="AZ158" s="786"/>
      <c r="BA158" s="762"/>
      <c r="BB158" s="786"/>
      <c r="BC158" s="762"/>
      <c r="BD158" s="786"/>
      <c r="BE158" s="762"/>
    </row>
    <row r="159" spans="1:57" s="49" customFormat="1">
      <c r="A159" s="887"/>
      <c r="B159" s="887"/>
      <c r="C159" s="960"/>
      <c r="D159" s="925"/>
      <c r="E159" s="762"/>
      <c r="F159" s="925"/>
      <c r="G159" s="762"/>
      <c r="H159" s="925"/>
      <c r="I159" s="762"/>
      <c r="J159" s="925"/>
      <c r="K159" s="762"/>
      <c r="L159" s="925"/>
      <c r="M159" s="762"/>
      <c r="N159" s="762"/>
      <c r="O159" s="925"/>
      <c r="P159" s="762"/>
      <c r="Q159" s="925"/>
      <c r="R159" s="762"/>
      <c r="S159" s="925"/>
      <c r="T159" s="762"/>
      <c r="U159" s="925"/>
      <c r="V159" s="762"/>
      <c r="W159" s="925"/>
      <c r="X159" s="762"/>
      <c r="Y159" s="762"/>
      <c r="Z159" s="786"/>
      <c r="AA159" s="762"/>
      <c r="AB159" s="786"/>
      <c r="AC159" s="762"/>
      <c r="AD159" s="786"/>
      <c r="AE159" s="762"/>
      <c r="AF159" s="786"/>
      <c r="AG159" s="762"/>
      <c r="AH159" s="786"/>
      <c r="AI159" s="762"/>
      <c r="AJ159" s="762"/>
      <c r="AK159" s="786"/>
      <c r="AL159" s="762"/>
      <c r="AM159" s="786"/>
      <c r="AN159" s="762"/>
      <c r="AO159" s="786"/>
      <c r="AP159" s="762"/>
      <c r="AQ159" s="786"/>
      <c r="AR159" s="762"/>
      <c r="AS159" s="786"/>
      <c r="AT159" s="762"/>
      <c r="AU159" s="762"/>
      <c r="AV159" s="786"/>
      <c r="AW159" s="762"/>
      <c r="AX159" s="786"/>
      <c r="AY159" s="762"/>
      <c r="AZ159" s="786"/>
      <c r="BA159" s="762"/>
      <c r="BB159" s="786"/>
      <c r="BC159" s="762"/>
      <c r="BD159" s="786"/>
      <c r="BE159" s="762"/>
    </row>
    <row r="160" spans="1:57" s="49" customFormat="1">
      <c r="A160" s="887"/>
      <c r="B160" s="887"/>
      <c r="C160" s="960"/>
      <c r="D160" s="925"/>
      <c r="E160" s="762"/>
      <c r="F160" s="925"/>
      <c r="G160" s="762"/>
      <c r="H160" s="925"/>
      <c r="I160" s="762"/>
      <c r="J160" s="925"/>
      <c r="K160" s="762"/>
      <c r="L160" s="925"/>
      <c r="M160" s="762"/>
      <c r="N160" s="762"/>
      <c r="O160" s="925"/>
      <c r="P160" s="762"/>
      <c r="Q160" s="925"/>
      <c r="R160" s="762"/>
      <c r="S160" s="925"/>
      <c r="T160" s="762"/>
      <c r="U160" s="925"/>
      <c r="V160" s="762"/>
      <c r="W160" s="925"/>
      <c r="X160" s="762"/>
      <c r="Y160" s="762"/>
      <c r="Z160" s="786"/>
      <c r="AA160" s="762"/>
      <c r="AB160" s="786"/>
      <c r="AC160" s="762"/>
      <c r="AD160" s="786"/>
      <c r="AE160" s="762"/>
      <c r="AF160" s="786"/>
      <c r="AG160" s="762"/>
      <c r="AH160" s="786"/>
      <c r="AI160" s="762"/>
      <c r="AJ160" s="762"/>
      <c r="AK160" s="786"/>
      <c r="AL160" s="762"/>
      <c r="AM160" s="786"/>
      <c r="AN160" s="762"/>
      <c r="AO160" s="786"/>
      <c r="AP160" s="762"/>
      <c r="AQ160" s="786"/>
      <c r="AR160" s="762"/>
      <c r="AS160" s="786"/>
      <c r="AT160" s="762"/>
      <c r="AU160" s="762"/>
      <c r="AV160" s="786"/>
      <c r="AW160" s="762"/>
      <c r="AX160" s="786"/>
      <c r="AY160" s="762"/>
      <c r="AZ160" s="786"/>
      <c r="BA160" s="762"/>
      <c r="BB160" s="786"/>
      <c r="BC160" s="762"/>
      <c r="BD160" s="786"/>
      <c r="BE160" s="762"/>
    </row>
    <row r="161" spans="1:57" s="49" customFormat="1">
      <c r="A161" s="887"/>
      <c r="B161" s="887"/>
      <c r="C161" s="960"/>
      <c r="D161" s="925"/>
      <c r="E161" s="762"/>
      <c r="F161" s="925"/>
      <c r="G161" s="762"/>
      <c r="H161" s="925"/>
      <c r="I161" s="762"/>
      <c r="J161" s="925"/>
      <c r="K161" s="762"/>
      <c r="L161" s="925"/>
      <c r="M161" s="762"/>
      <c r="N161" s="762"/>
      <c r="O161" s="925"/>
      <c r="P161" s="762"/>
      <c r="Q161" s="925"/>
      <c r="R161" s="762"/>
      <c r="S161" s="925"/>
      <c r="T161" s="762"/>
      <c r="U161" s="925"/>
      <c r="V161" s="762"/>
      <c r="W161" s="925"/>
      <c r="X161" s="762"/>
      <c r="Y161" s="762"/>
      <c r="Z161" s="786"/>
      <c r="AA161" s="762"/>
      <c r="AB161" s="786"/>
      <c r="AC161" s="762"/>
      <c r="AD161" s="786"/>
      <c r="AE161" s="762"/>
      <c r="AF161" s="786"/>
      <c r="AG161" s="762"/>
      <c r="AH161" s="786"/>
      <c r="AI161" s="762"/>
      <c r="AJ161" s="762"/>
      <c r="AK161" s="786"/>
      <c r="AL161" s="762"/>
      <c r="AM161" s="786"/>
      <c r="AN161" s="762"/>
      <c r="AO161" s="786"/>
      <c r="AP161" s="762"/>
      <c r="AQ161" s="786"/>
      <c r="AR161" s="762"/>
      <c r="AS161" s="786"/>
      <c r="AT161" s="762"/>
      <c r="AU161" s="762"/>
      <c r="AV161" s="786"/>
      <c r="AW161" s="762"/>
      <c r="AX161" s="786"/>
      <c r="AY161" s="762"/>
      <c r="AZ161" s="786"/>
      <c r="BA161" s="762"/>
      <c r="BB161" s="786"/>
      <c r="BC161" s="762"/>
      <c r="BD161" s="786"/>
      <c r="BE161" s="762"/>
    </row>
    <row r="162" spans="1:57" s="49" customFormat="1">
      <c r="A162" s="887"/>
      <c r="B162" s="887"/>
      <c r="C162" s="960"/>
      <c r="D162" s="925"/>
      <c r="E162" s="762"/>
      <c r="F162" s="925"/>
      <c r="G162" s="762"/>
      <c r="H162" s="925"/>
      <c r="I162" s="762"/>
      <c r="J162" s="925"/>
      <c r="K162" s="762"/>
      <c r="L162" s="925"/>
      <c r="M162" s="762"/>
      <c r="N162" s="762"/>
      <c r="O162" s="925"/>
      <c r="P162" s="762"/>
      <c r="Q162" s="925"/>
      <c r="R162" s="762"/>
      <c r="S162" s="925"/>
      <c r="T162" s="762"/>
      <c r="U162" s="925"/>
      <c r="V162" s="762"/>
      <c r="W162" s="925"/>
      <c r="X162" s="762"/>
      <c r="Y162" s="762"/>
      <c r="Z162" s="786"/>
      <c r="AA162" s="762"/>
      <c r="AB162" s="786"/>
      <c r="AC162" s="762"/>
      <c r="AD162" s="786"/>
      <c r="AE162" s="762"/>
      <c r="AF162" s="786"/>
      <c r="AG162" s="762"/>
      <c r="AH162" s="786"/>
      <c r="AI162" s="762"/>
      <c r="AJ162" s="762"/>
      <c r="AK162" s="786"/>
      <c r="AL162" s="762"/>
      <c r="AM162" s="786"/>
      <c r="AN162" s="762"/>
      <c r="AO162" s="786"/>
      <c r="AP162" s="762"/>
      <c r="AQ162" s="786"/>
      <c r="AR162" s="762"/>
      <c r="AS162" s="786"/>
      <c r="AT162" s="762"/>
      <c r="AU162" s="762"/>
      <c r="AV162" s="786"/>
      <c r="AW162" s="762"/>
      <c r="AX162" s="786"/>
      <c r="AY162" s="762"/>
      <c r="AZ162" s="786"/>
      <c r="BA162" s="762"/>
      <c r="BB162" s="786"/>
      <c r="BC162" s="762"/>
      <c r="BD162" s="786"/>
      <c r="BE162" s="762"/>
    </row>
    <row r="163" spans="1:57" s="49" customFormat="1">
      <c r="A163" s="887"/>
      <c r="B163" s="887"/>
      <c r="C163" s="960"/>
      <c r="D163" s="925"/>
      <c r="E163" s="762"/>
      <c r="F163" s="925"/>
      <c r="G163" s="762"/>
      <c r="H163" s="925"/>
      <c r="I163" s="762"/>
      <c r="J163" s="925"/>
      <c r="K163" s="762"/>
      <c r="L163" s="925"/>
      <c r="M163" s="762"/>
      <c r="N163" s="762"/>
      <c r="O163" s="925"/>
      <c r="P163" s="762"/>
      <c r="Q163" s="925"/>
      <c r="R163" s="762"/>
      <c r="S163" s="925"/>
      <c r="T163" s="762"/>
      <c r="U163" s="925"/>
      <c r="V163" s="762"/>
      <c r="W163" s="925"/>
      <c r="X163" s="762"/>
      <c r="Y163" s="762"/>
      <c r="Z163" s="786"/>
      <c r="AA163" s="762"/>
      <c r="AB163" s="786"/>
      <c r="AC163" s="762"/>
      <c r="AD163" s="786"/>
      <c r="AE163" s="762"/>
      <c r="AF163" s="786"/>
      <c r="AG163" s="762"/>
      <c r="AH163" s="786"/>
      <c r="AI163" s="762"/>
      <c r="AJ163" s="762"/>
      <c r="AK163" s="786"/>
      <c r="AL163" s="762"/>
      <c r="AM163" s="786"/>
      <c r="AN163" s="762"/>
      <c r="AO163" s="786"/>
      <c r="AP163" s="762"/>
      <c r="AQ163" s="786"/>
      <c r="AR163" s="762"/>
      <c r="AS163" s="786"/>
      <c r="AT163" s="762"/>
      <c r="AU163" s="762"/>
      <c r="AV163" s="786"/>
      <c r="AW163" s="762"/>
      <c r="AX163" s="786"/>
      <c r="AY163" s="762"/>
      <c r="AZ163" s="786"/>
      <c r="BA163" s="762"/>
      <c r="BB163" s="786"/>
      <c r="BC163" s="762"/>
      <c r="BD163" s="786"/>
      <c r="BE163" s="762"/>
    </row>
    <row r="164" spans="1:57" s="49" customFormat="1">
      <c r="A164" s="887"/>
      <c r="B164" s="887"/>
      <c r="C164" s="960"/>
      <c r="D164" s="925"/>
      <c r="E164" s="762"/>
      <c r="F164" s="925"/>
      <c r="G164" s="762"/>
      <c r="H164" s="925"/>
      <c r="I164" s="762"/>
      <c r="J164" s="925"/>
      <c r="K164" s="762"/>
      <c r="L164" s="925"/>
      <c r="M164" s="762"/>
      <c r="N164" s="762"/>
      <c r="O164" s="925"/>
      <c r="P164" s="762"/>
      <c r="Q164" s="925"/>
      <c r="R164" s="762"/>
      <c r="S164" s="925"/>
      <c r="T164" s="762"/>
      <c r="U164" s="925"/>
      <c r="V164" s="762"/>
      <c r="W164" s="925"/>
      <c r="X164" s="762"/>
      <c r="Y164" s="762"/>
      <c r="Z164" s="786"/>
      <c r="AA164" s="762"/>
      <c r="AB164" s="786"/>
      <c r="AC164" s="762"/>
      <c r="AD164" s="786"/>
      <c r="AE164" s="762"/>
      <c r="AF164" s="786"/>
      <c r="AG164" s="762"/>
      <c r="AH164" s="786"/>
      <c r="AI164" s="762"/>
      <c r="AJ164" s="762"/>
      <c r="AK164" s="786"/>
      <c r="AL164" s="762"/>
      <c r="AM164" s="786"/>
      <c r="AN164" s="762"/>
      <c r="AO164" s="786"/>
      <c r="AP164" s="762"/>
      <c r="AQ164" s="786"/>
      <c r="AR164" s="762"/>
      <c r="AS164" s="786"/>
      <c r="AT164" s="762"/>
      <c r="AU164" s="762"/>
      <c r="AV164" s="786"/>
      <c r="AW164" s="762"/>
      <c r="AX164" s="786"/>
      <c r="AY164" s="762"/>
      <c r="AZ164" s="786"/>
      <c r="BA164" s="762"/>
      <c r="BB164" s="786"/>
      <c r="BC164" s="762"/>
      <c r="BD164" s="786"/>
      <c r="BE164" s="762"/>
    </row>
    <row r="165" spans="1:57" s="49" customFormat="1">
      <c r="A165" s="887"/>
      <c r="B165" s="887"/>
      <c r="C165" s="960"/>
      <c r="D165" s="925"/>
      <c r="E165" s="762"/>
      <c r="F165" s="925"/>
      <c r="G165" s="762"/>
      <c r="H165" s="925"/>
      <c r="I165" s="762"/>
      <c r="J165" s="925"/>
      <c r="K165" s="762"/>
      <c r="L165" s="925"/>
      <c r="M165" s="762"/>
      <c r="N165" s="762"/>
      <c r="O165" s="925"/>
      <c r="P165" s="762"/>
      <c r="Q165" s="925"/>
      <c r="R165" s="762"/>
      <c r="S165" s="925"/>
      <c r="T165" s="762"/>
      <c r="U165" s="925"/>
      <c r="V165" s="762"/>
      <c r="W165" s="925"/>
      <c r="X165" s="762"/>
      <c r="Y165" s="762"/>
      <c r="Z165" s="786"/>
      <c r="AA165" s="762"/>
      <c r="AB165" s="786"/>
      <c r="AC165" s="762"/>
      <c r="AD165" s="786"/>
      <c r="AE165" s="762"/>
      <c r="AF165" s="786"/>
      <c r="AG165" s="762"/>
      <c r="AH165" s="786"/>
      <c r="AI165" s="762"/>
      <c r="AJ165" s="762"/>
      <c r="AK165" s="786"/>
      <c r="AL165" s="762"/>
      <c r="AM165" s="786"/>
      <c r="AN165" s="762"/>
      <c r="AO165" s="786"/>
      <c r="AP165" s="762"/>
      <c r="AQ165" s="786"/>
      <c r="AR165" s="762"/>
      <c r="AS165" s="786"/>
      <c r="AT165" s="762"/>
      <c r="AU165" s="762"/>
      <c r="AV165" s="786"/>
      <c r="AW165" s="762"/>
      <c r="AX165" s="786"/>
      <c r="AY165" s="762"/>
      <c r="AZ165" s="786"/>
      <c r="BA165" s="762"/>
      <c r="BB165" s="786"/>
      <c r="BC165" s="762"/>
      <c r="BD165" s="786"/>
      <c r="BE165" s="762"/>
    </row>
    <row r="166" spans="1:57" s="49" customFormat="1">
      <c r="A166" s="887"/>
      <c r="B166" s="887"/>
      <c r="C166" s="960"/>
      <c r="D166" s="925"/>
      <c r="E166" s="762"/>
      <c r="F166" s="925"/>
      <c r="G166" s="762"/>
      <c r="H166" s="925"/>
      <c r="I166" s="762"/>
      <c r="J166" s="925"/>
      <c r="K166" s="762"/>
      <c r="L166" s="925"/>
      <c r="M166" s="762"/>
      <c r="N166" s="762"/>
      <c r="O166" s="925"/>
      <c r="P166" s="762"/>
      <c r="Q166" s="925"/>
      <c r="R166" s="762"/>
      <c r="S166" s="925"/>
      <c r="T166" s="762"/>
      <c r="U166" s="925"/>
      <c r="V166" s="762"/>
      <c r="W166" s="925"/>
      <c r="X166" s="762"/>
      <c r="Y166" s="762"/>
      <c r="Z166" s="786"/>
      <c r="AA166" s="762"/>
      <c r="AB166" s="786"/>
      <c r="AC166" s="762"/>
      <c r="AD166" s="786"/>
      <c r="AE166" s="762"/>
      <c r="AF166" s="786"/>
      <c r="AG166" s="762"/>
      <c r="AH166" s="786"/>
      <c r="AI166" s="762"/>
      <c r="AJ166" s="762"/>
      <c r="AK166" s="786"/>
      <c r="AL166" s="762"/>
      <c r="AM166" s="786"/>
      <c r="AN166" s="762"/>
      <c r="AO166" s="786"/>
      <c r="AP166" s="762"/>
      <c r="AQ166" s="786"/>
      <c r="AR166" s="762"/>
      <c r="AS166" s="786"/>
      <c r="AT166" s="762"/>
      <c r="AU166" s="762"/>
      <c r="AV166" s="786"/>
      <c r="AW166" s="762"/>
      <c r="AX166" s="786"/>
      <c r="AY166" s="762"/>
      <c r="AZ166" s="786"/>
      <c r="BA166" s="762"/>
      <c r="BB166" s="786"/>
      <c r="BC166" s="762"/>
      <c r="BD166" s="786"/>
      <c r="BE166" s="762"/>
    </row>
    <row r="167" spans="1:57" s="49" customFormat="1">
      <c r="A167" s="887"/>
      <c r="B167" s="887"/>
      <c r="C167" s="960"/>
      <c r="D167" s="925"/>
      <c r="E167" s="762"/>
      <c r="F167" s="925"/>
      <c r="G167" s="762"/>
      <c r="H167" s="925"/>
      <c r="I167" s="762"/>
      <c r="J167" s="925"/>
      <c r="K167" s="762"/>
      <c r="L167" s="925"/>
      <c r="M167" s="762"/>
      <c r="N167" s="762"/>
      <c r="O167" s="925"/>
      <c r="P167" s="762"/>
      <c r="Q167" s="925"/>
      <c r="R167" s="762"/>
      <c r="S167" s="925"/>
      <c r="T167" s="762"/>
      <c r="U167" s="925"/>
      <c r="V167" s="762"/>
      <c r="W167" s="925"/>
      <c r="X167" s="762"/>
      <c r="Y167" s="762"/>
      <c r="Z167" s="786"/>
      <c r="AA167" s="762"/>
      <c r="AB167" s="786"/>
      <c r="AC167" s="762"/>
      <c r="AD167" s="786"/>
      <c r="AE167" s="762"/>
      <c r="AF167" s="786"/>
      <c r="AG167" s="762"/>
      <c r="AH167" s="786"/>
      <c r="AI167" s="762"/>
      <c r="AJ167" s="762"/>
      <c r="AK167" s="786"/>
      <c r="AL167" s="762"/>
      <c r="AM167" s="786"/>
      <c r="AN167" s="762"/>
      <c r="AO167" s="786"/>
      <c r="AP167" s="762"/>
      <c r="AQ167" s="786"/>
      <c r="AR167" s="762"/>
      <c r="AS167" s="786"/>
      <c r="AT167" s="762"/>
      <c r="AU167" s="762"/>
      <c r="AV167" s="786"/>
      <c r="AW167" s="762"/>
      <c r="AX167" s="786"/>
      <c r="AY167" s="762"/>
      <c r="AZ167" s="786"/>
      <c r="BA167" s="762"/>
      <c r="BB167" s="786"/>
      <c r="BC167" s="762"/>
      <c r="BD167" s="786"/>
      <c r="BE167" s="762"/>
    </row>
    <row r="168" spans="1:57" s="49" customFormat="1">
      <c r="A168" s="887"/>
      <c r="B168" s="887"/>
      <c r="C168" s="960"/>
      <c r="D168" s="925"/>
      <c r="E168" s="762"/>
      <c r="F168" s="925"/>
      <c r="G168" s="762"/>
      <c r="H168" s="925"/>
      <c r="I168" s="762"/>
      <c r="J168" s="925"/>
      <c r="K168" s="762"/>
      <c r="L168" s="925"/>
      <c r="M168" s="762"/>
      <c r="N168" s="762"/>
      <c r="O168" s="925"/>
      <c r="P168" s="762"/>
      <c r="Q168" s="925"/>
      <c r="R168" s="762"/>
      <c r="S168" s="925"/>
      <c r="T168" s="762"/>
      <c r="U168" s="925"/>
      <c r="V168" s="762"/>
      <c r="W168" s="925"/>
      <c r="X168" s="762"/>
      <c r="Y168" s="762"/>
      <c r="Z168" s="786"/>
      <c r="AA168" s="762"/>
      <c r="AB168" s="786"/>
      <c r="AC168" s="762"/>
      <c r="AD168" s="786"/>
      <c r="AE168" s="762"/>
      <c r="AF168" s="786"/>
      <c r="AG168" s="762"/>
      <c r="AH168" s="786"/>
      <c r="AI168" s="762"/>
      <c r="AJ168" s="762"/>
      <c r="AK168" s="786"/>
      <c r="AL168" s="762"/>
      <c r="AM168" s="786"/>
      <c r="AN168" s="762"/>
      <c r="AO168" s="786"/>
      <c r="AP168" s="762"/>
      <c r="AQ168" s="786"/>
      <c r="AR168" s="762"/>
      <c r="AS168" s="786"/>
      <c r="AT168" s="762"/>
      <c r="AU168" s="762"/>
      <c r="AV168" s="786"/>
      <c r="AW168" s="762"/>
      <c r="AX168" s="786"/>
      <c r="AY168" s="762"/>
      <c r="AZ168" s="786"/>
      <c r="BA168" s="762"/>
      <c r="BB168" s="786"/>
      <c r="BC168" s="762"/>
      <c r="BD168" s="786"/>
      <c r="BE168" s="762"/>
    </row>
    <row r="169" spans="1:57" s="49" customFormat="1">
      <c r="A169" s="887"/>
      <c r="B169" s="887"/>
      <c r="C169" s="960"/>
      <c r="D169" s="925"/>
      <c r="E169" s="762"/>
      <c r="F169" s="925"/>
      <c r="G169" s="762"/>
      <c r="H169" s="925"/>
      <c r="I169" s="762"/>
      <c r="J169" s="925"/>
      <c r="K169" s="762"/>
      <c r="L169" s="925"/>
      <c r="M169" s="762"/>
      <c r="N169" s="762"/>
      <c r="O169" s="925"/>
      <c r="P169" s="762"/>
      <c r="Q169" s="925"/>
      <c r="R169" s="762"/>
      <c r="S169" s="925"/>
      <c r="T169" s="762"/>
      <c r="U169" s="925"/>
      <c r="V169" s="762"/>
      <c r="W169" s="925"/>
      <c r="X169" s="762"/>
      <c r="Y169" s="762"/>
      <c r="Z169" s="786"/>
      <c r="AA169" s="762"/>
      <c r="AB169" s="786"/>
      <c r="AC169" s="762"/>
      <c r="AD169" s="786"/>
      <c r="AE169" s="762"/>
      <c r="AF169" s="786"/>
      <c r="AG169" s="762"/>
      <c r="AH169" s="786"/>
      <c r="AI169" s="762"/>
      <c r="AJ169" s="762"/>
      <c r="AK169" s="786"/>
      <c r="AL169" s="762"/>
      <c r="AM169" s="786"/>
      <c r="AN169" s="762"/>
      <c r="AO169" s="786"/>
      <c r="AP169" s="762"/>
      <c r="AQ169" s="786"/>
      <c r="AR169" s="762"/>
      <c r="AS169" s="786"/>
      <c r="AT169" s="762"/>
      <c r="AU169" s="762"/>
      <c r="AV169" s="786"/>
      <c r="AW169" s="762"/>
      <c r="AX169" s="786"/>
      <c r="AY169" s="762"/>
      <c r="AZ169" s="786"/>
      <c r="BA169" s="762"/>
      <c r="BB169" s="786"/>
      <c r="BC169" s="762"/>
      <c r="BD169" s="786"/>
      <c r="BE169" s="762"/>
    </row>
    <row r="170" spans="1:57" s="49" customFormat="1">
      <c r="A170" s="887"/>
      <c r="B170" s="887"/>
      <c r="C170" s="960"/>
      <c r="D170" s="925"/>
      <c r="E170" s="762"/>
      <c r="F170" s="925"/>
      <c r="G170" s="762"/>
      <c r="H170" s="925"/>
      <c r="I170" s="762"/>
      <c r="J170" s="925"/>
      <c r="K170" s="762"/>
      <c r="L170" s="925"/>
      <c r="M170" s="762"/>
      <c r="N170" s="762"/>
      <c r="O170" s="925"/>
      <c r="P170" s="762"/>
      <c r="Q170" s="925"/>
      <c r="R170" s="762"/>
      <c r="S170" s="925"/>
      <c r="T170" s="762"/>
      <c r="U170" s="925"/>
      <c r="V170" s="762"/>
      <c r="W170" s="925"/>
      <c r="X170" s="762"/>
      <c r="Y170" s="762"/>
      <c r="Z170" s="786"/>
      <c r="AA170" s="762"/>
      <c r="AB170" s="786"/>
      <c r="AC170" s="762"/>
      <c r="AD170" s="786"/>
      <c r="AE170" s="762"/>
      <c r="AF170" s="786"/>
      <c r="AG170" s="762"/>
      <c r="AH170" s="786"/>
      <c r="AI170" s="762"/>
      <c r="AJ170" s="762"/>
      <c r="AK170" s="786"/>
      <c r="AL170" s="762"/>
      <c r="AM170" s="786"/>
      <c r="AN170" s="762"/>
      <c r="AO170" s="786"/>
      <c r="AP170" s="762"/>
      <c r="AQ170" s="786"/>
      <c r="AR170" s="762"/>
      <c r="AS170" s="786"/>
      <c r="AT170" s="762"/>
      <c r="AU170" s="762"/>
      <c r="AV170" s="786"/>
      <c r="AW170" s="762"/>
      <c r="AX170" s="786"/>
      <c r="AY170" s="762"/>
      <c r="AZ170" s="786"/>
      <c r="BA170" s="762"/>
      <c r="BB170" s="786"/>
      <c r="BC170" s="762"/>
      <c r="BD170" s="786"/>
      <c r="BE170" s="762"/>
    </row>
    <row r="171" spans="1:57" s="49" customFormat="1">
      <c r="A171" s="887"/>
      <c r="B171" s="887"/>
      <c r="C171" s="960"/>
      <c r="D171" s="925"/>
      <c r="E171" s="762"/>
      <c r="F171" s="925"/>
      <c r="G171" s="762"/>
      <c r="H171" s="925"/>
      <c r="I171" s="762"/>
      <c r="J171" s="925"/>
      <c r="K171" s="762"/>
      <c r="L171" s="925"/>
      <c r="M171" s="762"/>
      <c r="N171" s="762"/>
      <c r="O171" s="925"/>
      <c r="P171" s="762"/>
      <c r="Q171" s="925"/>
      <c r="R171" s="762"/>
      <c r="S171" s="925"/>
      <c r="T171" s="762"/>
      <c r="U171" s="925"/>
      <c r="V171" s="762"/>
      <c r="W171" s="925"/>
      <c r="X171" s="762"/>
      <c r="Y171" s="762"/>
      <c r="Z171" s="786"/>
      <c r="AA171" s="762"/>
      <c r="AB171" s="786"/>
      <c r="AC171" s="762"/>
      <c r="AD171" s="786"/>
      <c r="AE171" s="762"/>
      <c r="AF171" s="786"/>
      <c r="AG171" s="762"/>
      <c r="AH171" s="786"/>
      <c r="AI171" s="762"/>
      <c r="AJ171" s="762"/>
      <c r="AK171" s="786"/>
      <c r="AL171" s="762"/>
      <c r="AM171" s="786"/>
      <c r="AN171" s="762"/>
      <c r="AO171" s="786"/>
      <c r="AP171" s="762"/>
      <c r="AQ171" s="786"/>
      <c r="AR171" s="762"/>
      <c r="AS171" s="786"/>
      <c r="AT171" s="762"/>
      <c r="AU171" s="762"/>
      <c r="AV171" s="786"/>
      <c r="AW171" s="762"/>
      <c r="AX171" s="786"/>
      <c r="AY171" s="762"/>
      <c r="AZ171" s="786"/>
      <c r="BA171" s="762"/>
      <c r="BB171" s="786"/>
      <c r="BC171" s="762"/>
      <c r="BD171" s="786"/>
      <c r="BE171" s="762"/>
    </row>
    <row r="172" spans="1:57" s="49" customFormat="1">
      <c r="A172" s="887"/>
      <c r="B172" s="887"/>
      <c r="C172" s="960"/>
      <c r="D172" s="925"/>
      <c r="E172" s="762"/>
      <c r="F172" s="925"/>
      <c r="G172" s="762"/>
      <c r="H172" s="925"/>
      <c r="I172" s="762"/>
      <c r="J172" s="925"/>
      <c r="K172" s="762"/>
      <c r="L172" s="925"/>
      <c r="M172" s="762"/>
      <c r="N172" s="762"/>
      <c r="O172" s="925"/>
      <c r="P172" s="762"/>
      <c r="Q172" s="925"/>
      <c r="R172" s="762"/>
      <c r="S172" s="925"/>
      <c r="T172" s="762"/>
      <c r="U172" s="925"/>
      <c r="V172" s="762"/>
      <c r="W172" s="925"/>
      <c r="X172" s="762"/>
      <c r="Y172" s="762"/>
      <c r="Z172" s="786"/>
      <c r="AA172" s="762"/>
      <c r="AB172" s="786"/>
      <c r="AC172" s="762"/>
      <c r="AD172" s="786"/>
      <c r="AE172" s="762"/>
      <c r="AF172" s="786"/>
      <c r="AG172" s="762"/>
      <c r="AH172" s="786"/>
      <c r="AI172" s="762"/>
      <c r="AJ172" s="762"/>
      <c r="AK172" s="786"/>
      <c r="AL172" s="762"/>
      <c r="AM172" s="786"/>
      <c r="AN172" s="762"/>
      <c r="AO172" s="786"/>
      <c r="AP172" s="762"/>
      <c r="AQ172" s="786"/>
      <c r="AR172" s="762"/>
      <c r="AS172" s="786"/>
      <c r="AT172" s="762"/>
      <c r="AU172" s="762"/>
      <c r="AV172" s="786"/>
      <c r="AW172" s="762"/>
      <c r="AX172" s="786"/>
      <c r="AY172" s="762"/>
      <c r="AZ172" s="786"/>
      <c r="BA172" s="762"/>
      <c r="BB172" s="786"/>
      <c r="BC172" s="762"/>
      <c r="BD172" s="786"/>
      <c r="BE172" s="762"/>
    </row>
    <row r="173" spans="1:57" s="49" customFormat="1">
      <c r="A173" s="887"/>
      <c r="B173" s="887"/>
      <c r="C173" s="960"/>
      <c r="D173" s="925"/>
      <c r="E173" s="762"/>
      <c r="F173" s="925"/>
      <c r="G173" s="762"/>
      <c r="H173" s="925"/>
      <c r="I173" s="762"/>
      <c r="J173" s="925"/>
      <c r="K173" s="762"/>
      <c r="L173" s="925"/>
      <c r="M173" s="762"/>
      <c r="N173" s="762"/>
      <c r="O173" s="925"/>
      <c r="P173" s="762"/>
      <c r="Q173" s="925"/>
      <c r="R173" s="762"/>
      <c r="S173" s="925"/>
      <c r="T173" s="762"/>
      <c r="U173" s="925"/>
      <c r="V173" s="762"/>
      <c r="W173" s="925"/>
      <c r="X173" s="762"/>
      <c r="Y173" s="762"/>
      <c r="Z173" s="786"/>
      <c r="AA173" s="762"/>
      <c r="AB173" s="786"/>
      <c r="AC173" s="762"/>
      <c r="AD173" s="786"/>
      <c r="AE173" s="762"/>
      <c r="AF173" s="786"/>
      <c r="AG173" s="762"/>
      <c r="AH173" s="786"/>
      <c r="AI173" s="762"/>
      <c r="AJ173" s="762"/>
      <c r="AK173" s="786"/>
      <c r="AL173" s="762"/>
      <c r="AM173" s="786"/>
      <c r="AN173" s="762"/>
      <c r="AO173" s="786"/>
      <c r="AP173" s="762"/>
      <c r="AQ173" s="786"/>
      <c r="AR173" s="762"/>
      <c r="AS173" s="786"/>
      <c r="AT173" s="762"/>
      <c r="AU173" s="762"/>
      <c r="AV173" s="786"/>
      <c r="AW173" s="762"/>
      <c r="AX173" s="786"/>
      <c r="AY173" s="762"/>
      <c r="AZ173" s="786"/>
      <c r="BA173" s="762"/>
      <c r="BB173" s="786"/>
      <c r="BC173" s="762"/>
      <c r="BD173" s="786"/>
      <c r="BE173" s="762"/>
    </row>
    <row r="174" spans="1:57" s="49" customFormat="1">
      <c r="A174" s="887"/>
      <c r="B174" s="887"/>
      <c r="C174" s="960"/>
      <c r="D174" s="925"/>
      <c r="E174" s="762"/>
      <c r="F174" s="925"/>
      <c r="G174" s="762"/>
      <c r="H174" s="925"/>
      <c r="I174" s="762"/>
      <c r="J174" s="925"/>
      <c r="K174" s="762"/>
      <c r="L174" s="925"/>
      <c r="M174" s="762"/>
      <c r="N174" s="762"/>
      <c r="O174" s="925"/>
      <c r="P174" s="762"/>
      <c r="Q174" s="925"/>
      <c r="R174" s="762"/>
      <c r="S174" s="925"/>
      <c r="T174" s="762"/>
      <c r="U174" s="925"/>
      <c r="V174" s="762"/>
      <c r="W174" s="925"/>
      <c r="X174" s="762"/>
      <c r="Y174" s="762"/>
      <c r="Z174" s="786"/>
      <c r="AA174" s="762"/>
      <c r="AB174" s="786"/>
      <c r="AC174" s="762"/>
      <c r="AD174" s="786"/>
      <c r="AE174" s="762"/>
      <c r="AF174" s="786"/>
      <c r="AG174" s="762"/>
      <c r="AH174" s="786"/>
      <c r="AI174" s="762"/>
      <c r="AJ174" s="762"/>
      <c r="AK174" s="786"/>
      <c r="AL174" s="762"/>
      <c r="AM174" s="786"/>
      <c r="AN174" s="762"/>
      <c r="AO174" s="786"/>
      <c r="AP174" s="762"/>
      <c r="AQ174" s="786"/>
      <c r="AR174" s="762"/>
      <c r="AS174" s="786"/>
      <c r="AT174" s="762"/>
      <c r="AU174" s="762"/>
      <c r="AV174" s="786"/>
      <c r="AW174" s="762"/>
      <c r="AX174" s="786"/>
      <c r="AY174" s="762"/>
      <c r="AZ174" s="786"/>
      <c r="BA174" s="762"/>
      <c r="BB174" s="786"/>
      <c r="BC174" s="762"/>
      <c r="BD174" s="786"/>
      <c r="BE174" s="762"/>
    </row>
    <row r="175" spans="1:57" s="49" customFormat="1">
      <c r="A175" s="887"/>
      <c r="B175" s="887"/>
      <c r="C175" s="960"/>
      <c r="D175" s="925"/>
      <c r="E175" s="762"/>
      <c r="F175" s="925"/>
      <c r="G175" s="762"/>
      <c r="H175" s="925"/>
      <c r="I175" s="762"/>
      <c r="J175" s="925"/>
      <c r="K175" s="762"/>
      <c r="L175" s="925"/>
      <c r="M175" s="762"/>
      <c r="N175" s="762"/>
      <c r="O175" s="925"/>
      <c r="P175" s="762"/>
      <c r="Q175" s="925"/>
      <c r="R175" s="762"/>
      <c r="S175" s="925"/>
      <c r="T175" s="762"/>
      <c r="U175" s="925"/>
      <c r="V175" s="762"/>
      <c r="W175" s="925"/>
      <c r="X175" s="762"/>
      <c r="Y175" s="762"/>
      <c r="Z175" s="786"/>
      <c r="AA175" s="762"/>
      <c r="AB175" s="786"/>
      <c r="AC175" s="762"/>
      <c r="AD175" s="786"/>
      <c r="AE175" s="762"/>
      <c r="AF175" s="786"/>
      <c r="AG175" s="762"/>
      <c r="AH175" s="786"/>
      <c r="AI175" s="762"/>
      <c r="AJ175" s="762"/>
      <c r="AK175" s="786"/>
      <c r="AL175" s="762"/>
      <c r="AM175" s="786"/>
      <c r="AN175" s="762"/>
      <c r="AO175" s="786"/>
      <c r="AP175" s="762"/>
      <c r="AQ175" s="786"/>
      <c r="AR175" s="762"/>
      <c r="AS175" s="786"/>
      <c r="AT175" s="762"/>
      <c r="AU175" s="762"/>
      <c r="AV175" s="786"/>
      <c r="AW175" s="762"/>
      <c r="AX175" s="786"/>
      <c r="AY175" s="762"/>
      <c r="AZ175" s="786"/>
      <c r="BA175" s="762"/>
      <c r="BB175" s="786"/>
      <c r="BC175" s="762"/>
      <c r="BD175" s="786"/>
      <c r="BE175" s="762"/>
    </row>
    <row r="176" spans="1:57" s="49" customFormat="1">
      <c r="A176" s="887"/>
      <c r="B176" s="887"/>
      <c r="C176" s="960"/>
      <c r="D176" s="925"/>
      <c r="E176" s="762"/>
      <c r="F176" s="925"/>
      <c r="G176" s="762"/>
      <c r="H176" s="925"/>
      <c r="I176" s="762"/>
      <c r="J176" s="925"/>
      <c r="K176" s="762"/>
      <c r="L176" s="925"/>
      <c r="M176" s="762"/>
      <c r="N176" s="762"/>
      <c r="O176" s="925"/>
      <c r="P176" s="762"/>
      <c r="Q176" s="925"/>
      <c r="R176" s="762"/>
      <c r="S176" s="925"/>
      <c r="T176" s="762"/>
      <c r="U176" s="925"/>
      <c r="V176" s="762"/>
      <c r="W176" s="925"/>
      <c r="X176" s="762"/>
      <c r="Y176" s="762"/>
      <c r="Z176" s="786"/>
      <c r="AA176" s="762"/>
      <c r="AB176" s="786"/>
      <c r="AC176" s="762"/>
      <c r="AD176" s="786"/>
      <c r="AE176" s="762"/>
      <c r="AF176" s="786"/>
      <c r="AG176" s="762"/>
      <c r="AH176" s="786"/>
      <c r="AI176" s="762"/>
      <c r="AJ176" s="762"/>
      <c r="AK176" s="786"/>
      <c r="AL176" s="762"/>
      <c r="AM176" s="786"/>
      <c r="AN176" s="762"/>
      <c r="AO176" s="786"/>
      <c r="AP176" s="762"/>
      <c r="AQ176" s="786"/>
      <c r="AR176" s="762"/>
      <c r="AS176" s="786"/>
      <c r="AT176" s="762"/>
      <c r="AU176" s="762"/>
      <c r="AV176" s="786"/>
      <c r="AW176" s="762"/>
      <c r="AX176" s="786"/>
      <c r="AY176" s="762"/>
      <c r="AZ176" s="786"/>
      <c r="BA176" s="762"/>
      <c r="BB176" s="786"/>
      <c r="BC176" s="762"/>
      <c r="BD176" s="786"/>
      <c r="BE176" s="762"/>
    </row>
    <row r="177" spans="1:57" s="49" customFormat="1">
      <c r="A177" s="887"/>
      <c r="B177" s="887"/>
      <c r="C177" s="960"/>
      <c r="D177" s="925"/>
      <c r="E177" s="762"/>
      <c r="F177" s="925"/>
      <c r="G177" s="762"/>
      <c r="H177" s="925"/>
      <c r="I177" s="762"/>
      <c r="J177" s="925"/>
      <c r="K177" s="762"/>
      <c r="L177" s="925"/>
      <c r="M177" s="762"/>
      <c r="N177" s="762"/>
      <c r="O177" s="925"/>
      <c r="P177" s="762"/>
      <c r="Q177" s="925"/>
      <c r="R177" s="762"/>
      <c r="S177" s="925"/>
      <c r="T177" s="762"/>
      <c r="U177" s="925"/>
      <c r="V177" s="762"/>
      <c r="W177" s="925"/>
      <c r="X177" s="762"/>
      <c r="Y177" s="762"/>
      <c r="Z177" s="786"/>
      <c r="AA177" s="762"/>
      <c r="AB177" s="786"/>
      <c r="AC177" s="762"/>
      <c r="AD177" s="786"/>
      <c r="AE177" s="762"/>
      <c r="AF177" s="786"/>
      <c r="AG177" s="762"/>
      <c r="AH177" s="786"/>
      <c r="AI177" s="762"/>
      <c r="AJ177" s="762"/>
      <c r="AK177" s="786"/>
      <c r="AL177" s="762"/>
      <c r="AM177" s="786"/>
      <c r="AN177" s="762"/>
      <c r="AO177" s="786"/>
      <c r="AP177" s="762"/>
      <c r="AQ177" s="786"/>
      <c r="AR177" s="762"/>
      <c r="AS177" s="786"/>
      <c r="AT177" s="762"/>
      <c r="AU177" s="762"/>
      <c r="AV177" s="786"/>
      <c r="AW177" s="762"/>
      <c r="AX177" s="786"/>
      <c r="AY177" s="762"/>
      <c r="AZ177" s="786"/>
      <c r="BA177" s="762"/>
      <c r="BB177" s="786"/>
      <c r="BC177" s="762"/>
      <c r="BD177" s="786"/>
      <c r="BE177" s="762"/>
    </row>
    <row r="178" spans="1:57" s="49" customFormat="1">
      <c r="A178" s="887"/>
      <c r="B178" s="887"/>
      <c r="C178" s="960"/>
      <c r="D178" s="925"/>
      <c r="E178" s="762"/>
      <c r="F178" s="925"/>
      <c r="G178" s="762"/>
      <c r="H178" s="925"/>
      <c r="I178" s="762"/>
      <c r="J178" s="925"/>
      <c r="K178" s="762"/>
      <c r="L178" s="925"/>
      <c r="M178" s="762"/>
      <c r="N178" s="762"/>
      <c r="O178" s="925"/>
      <c r="P178" s="762"/>
      <c r="Q178" s="925"/>
      <c r="R178" s="762"/>
      <c r="S178" s="925"/>
      <c r="T178" s="762"/>
      <c r="U178" s="925"/>
      <c r="V178" s="762"/>
      <c r="W178" s="925"/>
      <c r="X178" s="762"/>
      <c r="Y178" s="762"/>
      <c r="Z178" s="786"/>
      <c r="AA178" s="762"/>
      <c r="AB178" s="786"/>
      <c r="AC178" s="762"/>
      <c r="AD178" s="786"/>
      <c r="AE178" s="762"/>
      <c r="AF178" s="786"/>
      <c r="AG178" s="762"/>
      <c r="AH178" s="786"/>
      <c r="AI178" s="762"/>
      <c r="AJ178" s="762"/>
      <c r="AK178" s="786"/>
      <c r="AL178" s="762"/>
      <c r="AM178" s="786"/>
      <c r="AN178" s="762"/>
      <c r="AO178" s="786"/>
      <c r="AP178" s="762"/>
      <c r="AQ178" s="786"/>
      <c r="AR178" s="762"/>
      <c r="AS178" s="786"/>
      <c r="AT178" s="762"/>
      <c r="AU178" s="762"/>
      <c r="AV178" s="786"/>
      <c r="AW178" s="762"/>
      <c r="AX178" s="786"/>
      <c r="AY178" s="762"/>
      <c r="AZ178" s="786"/>
      <c r="BA178" s="762"/>
      <c r="BB178" s="786"/>
      <c r="BC178" s="762"/>
      <c r="BD178" s="786"/>
      <c r="BE178" s="762"/>
    </row>
    <row r="179" spans="1:57" s="49" customFormat="1">
      <c r="A179" s="887"/>
      <c r="B179" s="887"/>
      <c r="C179" s="960"/>
      <c r="D179" s="925"/>
      <c r="E179" s="762"/>
      <c r="F179" s="925"/>
      <c r="G179" s="762"/>
      <c r="H179" s="925"/>
      <c r="I179" s="762"/>
      <c r="J179" s="925"/>
      <c r="K179" s="762"/>
      <c r="L179" s="925"/>
      <c r="M179" s="762"/>
      <c r="N179" s="762"/>
      <c r="O179" s="925"/>
      <c r="P179" s="762"/>
      <c r="Q179" s="925"/>
      <c r="R179" s="762"/>
      <c r="S179" s="925"/>
      <c r="T179" s="762"/>
      <c r="U179" s="925"/>
      <c r="V179" s="762"/>
      <c r="W179" s="925"/>
      <c r="X179" s="762"/>
      <c r="Y179" s="762"/>
      <c r="Z179" s="786"/>
      <c r="AA179" s="762"/>
      <c r="AB179" s="786"/>
      <c r="AC179" s="762"/>
      <c r="AD179" s="786"/>
      <c r="AE179" s="762"/>
      <c r="AF179" s="786"/>
      <c r="AG179" s="762"/>
      <c r="AH179" s="786"/>
      <c r="AI179" s="762"/>
      <c r="AJ179" s="762"/>
      <c r="AK179" s="786"/>
      <c r="AL179" s="762"/>
      <c r="AM179" s="786"/>
      <c r="AN179" s="762"/>
      <c r="AO179" s="786"/>
      <c r="AP179" s="762"/>
      <c r="AQ179" s="786"/>
      <c r="AR179" s="762"/>
      <c r="AS179" s="786"/>
      <c r="AT179" s="762"/>
      <c r="AU179" s="762"/>
      <c r="AV179" s="786"/>
      <c r="AW179" s="762"/>
      <c r="AX179" s="786"/>
      <c r="AY179" s="762"/>
      <c r="AZ179" s="786"/>
      <c r="BA179" s="762"/>
      <c r="BB179" s="786"/>
      <c r="BC179" s="762"/>
      <c r="BD179" s="786"/>
      <c r="BE179" s="762"/>
    </row>
    <row r="180" spans="1:57" s="49" customFormat="1">
      <c r="A180" s="887"/>
      <c r="B180" s="887"/>
      <c r="C180" s="960"/>
      <c r="D180" s="925"/>
      <c r="E180" s="762"/>
      <c r="F180" s="925"/>
      <c r="G180" s="762"/>
      <c r="H180" s="925"/>
      <c r="I180" s="762"/>
      <c r="J180" s="925"/>
      <c r="K180" s="762"/>
      <c r="L180" s="925"/>
      <c r="M180" s="762"/>
      <c r="N180" s="762"/>
      <c r="O180" s="925"/>
      <c r="P180" s="762"/>
      <c r="Q180" s="925"/>
      <c r="R180" s="762"/>
      <c r="S180" s="925"/>
      <c r="T180" s="762"/>
      <c r="U180" s="925"/>
      <c r="V180" s="762"/>
      <c r="W180" s="925"/>
      <c r="X180" s="762"/>
      <c r="Y180" s="762"/>
      <c r="Z180" s="786"/>
      <c r="AA180" s="762"/>
      <c r="AB180" s="786"/>
      <c r="AC180" s="762"/>
      <c r="AD180" s="786"/>
      <c r="AE180" s="762"/>
      <c r="AF180" s="786"/>
      <c r="AG180" s="762"/>
      <c r="AH180" s="786"/>
      <c r="AI180" s="762"/>
      <c r="AJ180" s="762"/>
      <c r="AK180" s="786"/>
      <c r="AL180" s="762"/>
      <c r="AM180" s="786"/>
      <c r="AN180" s="762"/>
      <c r="AO180" s="786"/>
      <c r="AP180" s="762"/>
      <c r="AQ180" s="786"/>
      <c r="AR180" s="762"/>
      <c r="AS180" s="786"/>
      <c r="AT180" s="762"/>
      <c r="AU180" s="762"/>
      <c r="AV180" s="786"/>
      <c r="AW180" s="762"/>
      <c r="AX180" s="786"/>
      <c r="AY180" s="762"/>
      <c r="AZ180" s="786"/>
      <c r="BA180" s="762"/>
      <c r="BB180" s="786"/>
      <c r="BC180" s="762"/>
      <c r="BD180" s="786"/>
      <c r="BE180" s="762"/>
    </row>
    <row r="181" spans="1:57" s="49" customFormat="1">
      <c r="A181" s="887"/>
      <c r="B181" s="887"/>
      <c r="C181" s="960"/>
      <c r="D181" s="925"/>
      <c r="E181" s="762"/>
      <c r="F181" s="925"/>
      <c r="G181" s="762"/>
      <c r="H181" s="925"/>
      <c r="I181" s="762"/>
      <c r="J181" s="925"/>
      <c r="K181" s="762"/>
      <c r="L181" s="925"/>
      <c r="M181" s="762"/>
      <c r="N181" s="762"/>
      <c r="O181" s="925"/>
      <c r="P181" s="762"/>
      <c r="Q181" s="925"/>
      <c r="R181" s="762"/>
      <c r="S181" s="925"/>
      <c r="T181" s="762"/>
      <c r="U181" s="925"/>
      <c r="V181" s="762"/>
      <c r="W181" s="925"/>
      <c r="X181" s="762"/>
      <c r="Y181" s="762"/>
      <c r="Z181" s="786"/>
      <c r="AA181" s="762"/>
      <c r="AB181" s="786"/>
      <c r="AC181" s="762"/>
      <c r="AD181" s="786"/>
      <c r="AE181" s="762"/>
      <c r="AF181" s="786"/>
      <c r="AG181" s="762"/>
      <c r="AH181" s="786"/>
      <c r="AI181" s="762"/>
      <c r="AJ181" s="762"/>
      <c r="AK181" s="786"/>
      <c r="AL181" s="762"/>
      <c r="AM181" s="786"/>
      <c r="AN181" s="762"/>
      <c r="AO181" s="786"/>
      <c r="AP181" s="762"/>
      <c r="AQ181" s="786"/>
      <c r="AR181" s="762"/>
      <c r="AS181" s="786"/>
      <c r="AT181" s="762"/>
      <c r="AU181" s="762"/>
      <c r="AV181" s="786"/>
      <c r="AW181" s="762"/>
      <c r="AX181" s="786"/>
      <c r="AY181" s="762"/>
      <c r="AZ181" s="786"/>
      <c r="BA181" s="762"/>
      <c r="BB181" s="786"/>
      <c r="BC181" s="762"/>
      <c r="BD181" s="786"/>
      <c r="BE181" s="762"/>
    </row>
    <row r="182" spans="1:57" s="49" customFormat="1">
      <c r="A182" s="887"/>
      <c r="B182" s="887"/>
      <c r="C182" s="960"/>
      <c r="D182" s="925"/>
      <c r="E182" s="762"/>
      <c r="F182" s="925"/>
      <c r="G182" s="762"/>
      <c r="H182" s="925"/>
      <c r="I182" s="762"/>
      <c r="J182" s="925"/>
      <c r="K182" s="762"/>
      <c r="L182" s="925"/>
      <c r="M182" s="762"/>
      <c r="N182" s="762"/>
      <c r="O182" s="925"/>
      <c r="P182" s="762"/>
      <c r="Q182" s="925"/>
      <c r="R182" s="762"/>
      <c r="S182" s="925"/>
      <c r="T182" s="762"/>
      <c r="U182" s="925"/>
      <c r="V182" s="762"/>
      <c r="W182" s="925"/>
      <c r="X182" s="762"/>
      <c r="Y182" s="762"/>
      <c r="Z182" s="786"/>
      <c r="AA182" s="762"/>
      <c r="AB182" s="786"/>
      <c r="AC182" s="762"/>
      <c r="AD182" s="786"/>
      <c r="AE182" s="762"/>
      <c r="AF182" s="786"/>
      <c r="AG182" s="762"/>
      <c r="AH182" s="786"/>
      <c r="AI182" s="762"/>
      <c r="AJ182" s="762"/>
      <c r="AK182" s="786"/>
      <c r="AL182" s="762"/>
      <c r="AM182" s="786"/>
      <c r="AN182" s="762"/>
      <c r="AO182" s="786"/>
      <c r="AP182" s="762"/>
      <c r="AQ182" s="786"/>
      <c r="AR182" s="762"/>
      <c r="AS182" s="786"/>
      <c r="AT182" s="762"/>
      <c r="AU182" s="762"/>
      <c r="AV182" s="786"/>
      <c r="AW182" s="762"/>
      <c r="AX182" s="786"/>
      <c r="AY182" s="762"/>
      <c r="AZ182" s="786"/>
      <c r="BA182" s="762"/>
      <c r="BB182" s="786"/>
      <c r="BC182" s="762"/>
      <c r="BD182" s="786"/>
      <c r="BE182" s="762"/>
    </row>
    <row r="183" spans="1:57" s="49" customFormat="1">
      <c r="A183" s="887"/>
      <c r="B183" s="887"/>
      <c r="C183" s="960"/>
      <c r="D183" s="925"/>
      <c r="E183" s="762"/>
      <c r="F183" s="925"/>
      <c r="G183" s="762"/>
      <c r="H183" s="925"/>
      <c r="I183" s="762"/>
      <c r="J183" s="925"/>
      <c r="K183" s="762"/>
      <c r="L183" s="925"/>
      <c r="M183" s="762"/>
      <c r="N183" s="762"/>
      <c r="O183" s="925"/>
      <c r="P183" s="762"/>
      <c r="Q183" s="925"/>
      <c r="R183" s="762"/>
      <c r="S183" s="925"/>
      <c r="T183" s="762"/>
      <c r="U183" s="925"/>
      <c r="V183" s="762"/>
      <c r="W183" s="925"/>
      <c r="X183" s="762"/>
      <c r="Y183" s="762"/>
      <c r="Z183" s="786"/>
      <c r="AA183" s="762"/>
      <c r="AB183" s="786"/>
      <c r="AC183" s="762"/>
      <c r="AD183" s="786"/>
      <c r="AE183" s="762"/>
      <c r="AF183" s="786"/>
      <c r="AG183" s="762"/>
      <c r="AH183" s="786"/>
      <c r="AI183" s="762"/>
      <c r="AJ183" s="762"/>
      <c r="AK183" s="786"/>
      <c r="AL183" s="762"/>
      <c r="AM183" s="786"/>
      <c r="AN183" s="762"/>
      <c r="AO183" s="786"/>
      <c r="AP183" s="762"/>
      <c r="AQ183" s="786"/>
      <c r="AR183" s="762"/>
      <c r="AS183" s="786"/>
      <c r="AT183" s="762"/>
      <c r="AU183" s="762"/>
      <c r="AV183" s="786"/>
      <c r="AW183" s="762"/>
      <c r="AX183" s="786"/>
      <c r="AY183" s="762"/>
      <c r="AZ183" s="786"/>
      <c r="BA183" s="762"/>
      <c r="BB183" s="786"/>
      <c r="BC183" s="762"/>
      <c r="BD183" s="786"/>
      <c r="BE183" s="762"/>
    </row>
    <row r="184" spans="1:57" s="49" customFormat="1">
      <c r="A184" s="887"/>
      <c r="B184" s="887"/>
      <c r="C184" s="960"/>
      <c r="D184" s="925"/>
      <c r="E184" s="762"/>
      <c r="F184" s="925"/>
      <c r="G184" s="762"/>
      <c r="H184" s="925"/>
      <c r="I184" s="762"/>
      <c r="J184" s="925"/>
      <c r="K184" s="762"/>
      <c r="L184" s="925"/>
      <c r="M184" s="762"/>
      <c r="N184" s="762"/>
      <c r="O184" s="925"/>
      <c r="P184" s="762"/>
      <c r="Q184" s="925"/>
      <c r="R184" s="762"/>
      <c r="S184" s="925"/>
      <c r="T184" s="762"/>
      <c r="U184" s="925"/>
      <c r="V184" s="762"/>
      <c r="W184" s="925"/>
      <c r="X184" s="762"/>
      <c r="Y184" s="762"/>
      <c r="Z184" s="786"/>
      <c r="AA184" s="762"/>
      <c r="AB184" s="786"/>
      <c r="AC184" s="762"/>
      <c r="AD184" s="786"/>
      <c r="AE184" s="762"/>
      <c r="AF184" s="786"/>
      <c r="AG184" s="762"/>
      <c r="AH184" s="786"/>
      <c r="AI184" s="762"/>
      <c r="AJ184" s="762"/>
      <c r="AK184" s="786"/>
      <c r="AL184" s="762"/>
      <c r="AM184" s="786"/>
      <c r="AN184" s="762"/>
      <c r="AO184" s="786"/>
      <c r="AP184" s="762"/>
      <c r="AQ184" s="786"/>
      <c r="AR184" s="762"/>
      <c r="AS184" s="786"/>
      <c r="AT184" s="762"/>
      <c r="AU184" s="762"/>
      <c r="AV184" s="786"/>
      <c r="AW184" s="762"/>
      <c r="AX184" s="786"/>
      <c r="AY184" s="762"/>
      <c r="AZ184" s="786"/>
      <c r="BA184" s="762"/>
      <c r="BB184" s="786"/>
      <c r="BC184" s="762"/>
      <c r="BD184" s="786"/>
      <c r="BE184" s="762"/>
    </row>
    <row r="185" spans="1:57" s="49" customFormat="1">
      <c r="A185" s="887"/>
      <c r="B185" s="887"/>
      <c r="C185" s="960"/>
      <c r="D185" s="925"/>
      <c r="E185" s="762"/>
      <c r="F185" s="925"/>
      <c r="G185" s="762"/>
      <c r="H185" s="925"/>
      <c r="I185" s="762"/>
      <c r="J185" s="925"/>
      <c r="K185" s="762"/>
      <c r="L185" s="925"/>
      <c r="M185" s="762"/>
      <c r="N185" s="762"/>
      <c r="O185" s="925"/>
      <c r="P185" s="762"/>
      <c r="Q185" s="925"/>
      <c r="R185" s="762"/>
      <c r="S185" s="925"/>
      <c r="T185" s="762"/>
      <c r="U185" s="925"/>
      <c r="V185" s="762"/>
      <c r="W185" s="925"/>
      <c r="X185" s="762"/>
      <c r="Y185" s="762"/>
      <c r="Z185" s="786"/>
      <c r="AA185" s="762"/>
      <c r="AB185" s="786"/>
      <c r="AC185" s="762"/>
      <c r="AD185" s="786"/>
      <c r="AE185" s="762"/>
      <c r="AF185" s="786"/>
      <c r="AG185" s="762"/>
      <c r="AH185" s="786"/>
      <c r="AI185" s="762"/>
      <c r="AJ185" s="762"/>
      <c r="AK185" s="786"/>
      <c r="AL185" s="762"/>
      <c r="AM185" s="786"/>
      <c r="AN185" s="762"/>
      <c r="AO185" s="786"/>
      <c r="AP185" s="762"/>
      <c r="AQ185" s="786"/>
      <c r="AR185" s="762"/>
      <c r="AS185" s="786"/>
      <c r="AT185" s="762"/>
      <c r="AU185" s="762"/>
      <c r="AV185" s="786"/>
      <c r="AW185" s="762"/>
      <c r="AX185" s="786"/>
      <c r="AY185" s="762"/>
      <c r="AZ185" s="786"/>
      <c r="BA185" s="762"/>
      <c r="BB185" s="786"/>
      <c r="BC185" s="762"/>
      <c r="BD185" s="786"/>
      <c r="BE185" s="762"/>
    </row>
    <row r="186" spans="1:57" s="49" customFormat="1">
      <c r="A186" s="887"/>
      <c r="B186" s="887"/>
      <c r="C186" s="960"/>
      <c r="D186" s="925"/>
      <c r="E186" s="762"/>
      <c r="F186" s="925"/>
      <c r="G186" s="762"/>
      <c r="H186" s="925"/>
      <c r="I186" s="762"/>
      <c r="J186" s="925"/>
      <c r="K186" s="762"/>
      <c r="L186" s="925"/>
      <c r="M186" s="762"/>
      <c r="N186" s="762"/>
      <c r="O186" s="925"/>
      <c r="P186" s="762"/>
      <c r="Q186" s="925"/>
      <c r="R186" s="762"/>
      <c r="S186" s="925"/>
      <c r="T186" s="762"/>
      <c r="U186" s="925"/>
      <c r="V186" s="762"/>
      <c r="W186" s="925"/>
      <c r="X186" s="762"/>
      <c r="Y186" s="762"/>
      <c r="Z186" s="786"/>
      <c r="AA186" s="762"/>
      <c r="AB186" s="786"/>
      <c r="AC186" s="762"/>
      <c r="AD186" s="786"/>
      <c r="AE186" s="762"/>
      <c r="AF186" s="786"/>
      <c r="AG186" s="762"/>
      <c r="AH186" s="786"/>
      <c r="AI186" s="762"/>
      <c r="AJ186" s="762"/>
      <c r="AK186" s="786"/>
      <c r="AL186" s="762"/>
      <c r="AM186" s="786"/>
      <c r="AN186" s="762"/>
      <c r="AO186" s="786"/>
      <c r="AP186" s="762"/>
      <c r="AQ186" s="786"/>
      <c r="AR186" s="762"/>
      <c r="AS186" s="786"/>
      <c r="AT186" s="762"/>
      <c r="AU186" s="762"/>
      <c r="AV186" s="786"/>
      <c r="AW186" s="762"/>
      <c r="AX186" s="786"/>
      <c r="AY186" s="762"/>
      <c r="AZ186" s="786"/>
      <c r="BA186" s="762"/>
      <c r="BB186" s="786"/>
      <c r="BC186" s="762"/>
      <c r="BD186" s="786"/>
      <c r="BE186" s="762"/>
    </row>
    <row r="187" spans="1:57" s="49" customFormat="1">
      <c r="A187" s="887"/>
      <c r="B187" s="887"/>
      <c r="C187" s="960"/>
      <c r="D187" s="925"/>
      <c r="E187" s="762"/>
      <c r="F187" s="925"/>
      <c r="G187" s="762"/>
      <c r="H187" s="925"/>
      <c r="I187" s="762"/>
      <c r="J187" s="925"/>
      <c r="K187" s="762"/>
      <c r="L187" s="925"/>
      <c r="M187" s="762"/>
      <c r="N187" s="762"/>
      <c r="O187" s="925"/>
      <c r="P187" s="762"/>
      <c r="Q187" s="925"/>
      <c r="R187" s="762"/>
      <c r="S187" s="925"/>
      <c r="T187" s="762"/>
      <c r="U187" s="925"/>
      <c r="V187" s="762"/>
      <c r="W187" s="925"/>
      <c r="X187" s="762"/>
      <c r="Y187" s="762"/>
      <c r="Z187" s="786"/>
      <c r="AA187" s="762"/>
      <c r="AB187" s="786"/>
      <c r="AC187" s="762"/>
      <c r="AD187" s="786"/>
      <c r="AE187" s="762"/>
      <c r="AF187" s="786"/>
      <c r="AG187" s="762"/>
      <c r="AH187" s="786"/>
      <c r="AI187" s="762"/>
      <c r="AJ187" s="762"/>
      <c r="AK187" s="786"/>
      <c r="AL187" s="762"/>
      <c r="AM187" s="786"/>
      <c r="AN187" s="762"/>
      <c r="AO187" s="786"/>
      <c r="AP187" s="762"/>
      <c r="AQ187" s="786"/>
      <c r="AR187" s="762"/>
      <c r="AS187" s="786"/>
      <c r="AT187" s="762"/>
      <c r="AU187" s="762"/>
      <c r="AV187" s="786"/>
      <c r="AW187" s="762"/>
      <c r="AX187" s="786"/>
      <c r="AY187" s="762"/>
      <c r="AZ187" s="786"/>
      <c r="BA187" s="762"/>
      <c r="BB187" s="786"/>
      <c r="BC187" s="762"/>
      <c r="BD187" s="786"/>
      <c r="BE187" s="762"/>
    </row>
    <row r="188" spans="1:57" s="49" customFormat="1">
      <c r="A188" s="887"/>
      <c r="B188" s="887"/>
      <c r="C188" s="960"/>
      <c r="D188" s="925"/>
      <c r="E188" s="762"/>
      <c r="F188" s="925"/>
      <c r="G188" s="762"/>
      <c r="H188" s="925"/>
      <c r="I188" s="762"/>
      <c r="J188" s="925"/>
      <c r="K188" s="762"/>
      <c r="L188" s="925"/>
      <c r="M188" s="762"/>
      <c r="N188" s="762"/>
      <c r="O188" s="925"/>
      <c r="P188" s="762"/>
      <c r="Q188" s="925"/>
      <c r="R188" s="762"/>
      <c r="S188" s="925"/>
      <c r="T188" s="762"/>
      <c r="U188" s="925"/>
      <c r="V188" s="762"/>
      <c r="W188" s="925"/>
      <c r="X188" s="762"/>
      <c r="Y188" s="762"/>
      <c r="Z188" s="786"/>
      <c r="AA188" s="762"/>
      <c r="AB188" s="786"/>
      <c r="AC188" s="762"/>
      <c r="AD188" s="786"/>
      <c r="AE188" s="762"/>
      <c r="AF188" s="786"/>
      <c r="AG188" s="762"/>
      <c r="AH188" s="786"/>
      <c r="AI188" s="762"/>
      <c r="AJ188" s="762"/>
      <c r="AK188" s="786"/>
      <c r="AL188" s="762"/>
      <c r="AM188" s="786"/>
      <c r="AN188" s="762"/>
      <c r="AO188" s="786"/>
      <c r="AP188" s="762"/>
      <c r="AQ188" s="786"/>
      <c r="AR188" s="762"/>
      <c r="AS188" s="786"/>
      <c r="AT188" s="762"/>
      <c r="AU188" s="762"/>
      <c r="AV188" s="786"/>
      <c r="AW188" s="762"/>
      <c r="AX188" s="786"/>
      <c r="AY188" s="762"/>
      <c r="AZ188" s="786"/>
      <c r="BA188" s="762"/>
      <c r="BB188" s="786"/>
      <c r="BC188" s="762"/>
      <c r="BD188" s="786"/>
      <c r="BE188" s="762"/>
    </row>
    <row r="189" spans="1:57" s="49" customFormat="1">
      <c r="A189" s="887"/>
      <c r="B189" s="887"/>
      <c r="C189" s="960"/>
      <c r="D189" s="925"/>
      <c r="E189" s="762"/>
      <c r="F189" s="925"/>
      <c r="G189" s="762"/>
      <c r="H189" s="925"/>
      <c r="I189" s="762"/>
      <c r="J189" s="925"/>
      <c r="K189" s="762"/>
      <c r="L189" s="925"/>
      <c r="M189" s="762"/>
      <c r="N189" s="762"/>
      <c r="O189" s="925"/>
      <c r="P189" s="762"/>
      <c r="Q189" s="925"/>
      <c r="R189" s="762"/>
      <c r="S189" s="925"/>
      <c r="T189" s="762"/>
      <c r="U189" s="925"/>
      <c r="V189" s="762"/>
      <c r="W189" s="925"/>
      <c r="X189" s="762"/>
      <c r="Y189" s="762"/>
      <c r="Z189" s="786"/>
      <c r="AA189" s="762"/>
      <c r="AB189" s="786"/>
      <c r="AC189" s="762"/>
      <c r="AD189" s="786"/>
      <c r="AE189" s="762"/>
      <c r="AF189" s="786"/>
      <c r="AG189" s="762"/>
      <c r="AH189" s="786"/>
      <c r="AI189" s="762"/>
      <c r="AJ189" s="762"/>
      <c r="AK189" s="786"/>
      <c r="AL189" s="762"/>
      <c r="AM189" s="786"/>
      <c r="AN189" s="762"/>
      <c r="AO189" s="786"/>
      <c r="AP189" s="762"/>
      <c r="AQ189" s="786"/>
      <c r="AR189" s="762"/>
      <c r="AS189" s="786"/>
      <c r="AT189" s="762"/>
      <c r="AU189" s="762"/>
      <c r="AV189" s="786"/>
      <c r="AW189" s="762"/>
      <c r="AX189" s="786"/>
      <c r="AY189" s="762"/>
      <c r="AZ189" s="786"/>
      <c r="BA189" s="762"/>
      <c r="BB189" s="786"/>
      <c r="BC189" s="762"/>
      <c r="BD189" s="786"/>
      <c r="BE189" s="762"/>
    </row>
    <row r="190" spans="1:57" s="49" customFormat="1">
      <c r="A190" s="887"/>
      <c r="B190" s="887"/>
      <c r="C190" s="960"/>
      <c r="D190" s="925"/>
      <c r="E190" s="762"/>
      <c r="F190" s="925"/>
      <c r="G190" s="762"/>
      <c r="H190" s="925"/>
      <c r="I190" s="762"/>
      <c r="J190" s="925"/>
      <c r="K190" s="762"/>
      <c r="L190" s="925"/>
      <c r="M190" s="762"/>
      <c r="N190" s="762"/>
      <c r="O190" s="925"/>
      <c r="P190" s="762"/>
      <c r="Q190" s="925"/>
      <c r="R190" s="762"/>
      <c r="S190" s="925"/>
      <c r="T190" s="762"/>
      <c r="U190" s="925"/>
      <c r="V190" s="762"/>
      <c r="W190" s="925"/>
      <c r="X190" s="762"/>
      <c r="Y190" s="762"/>
      <c r="Z190" s="786"/>
      <c r="AA190" s="762"/>
      <c r="AB190" s="786"/>
      <c r="AC190" s="762"/>
      <c r="AD190" s="786"/>
      <c r="AE190" s="762"/>
      <c r="AF190" s="786"/>
      <c r="AG190" s="762"/>
      <c r="AH190" s="786"/>
      <c r="AI190" s="762"/>
      <c r="AJ190" s="762"/>
      <c r="AK190" s="786"/>
      <c r="AL190" s="762"/>
      <c r="AM190" s="786"/>
      <c r="AN190" s="762"/>
      <c r="AO190" s="786"/>
      <c r="AP190" s="762"/>
      <c r="AQ190" s="786"/>
      <c r="AR190" s="762"/>
      <c r="AS190" s="786"/>
      <c r="AT190" s="762"/>
      <c r="AU190" s="762"/>
      <c r="AV190" s="786"/>
      <c r="AW190" s="762"/>
      <c r="AX190" s="786"/>
      <c r="AY190" s="762"/>
      <c r="AZ190" s="786"/>
      <c r="BA190" s="762"/>
      <c r="BB190" s="786"/>
      <c r="BC190" s="762"/>
      <c r="BD190" s="786"/>
      <c r="BE190" s="762"/>
    </row>
    <row r="191" spans="1:57" s="49" customFormat="1">
      <c r="A191" s="887"/>
      <c r="B191" s="887"/>
      <c r="C191" s="960"/>
      <c r="D191" s="925"/>
      <c r="E191" s="762"/>
      <c r="F191" s="925"/>
      <c r="G191" s="762"/>
      <c r="H191" s="925"/>
      <c r="I191" s="762"/>
      <c r="J191" s="925"/>
      <c r="K191" s="762"/>
      <c r="L191" s="925"/>
      <c r="M191" s="762"/>
      <c r="N191" s="762"/>
      <c r="O191" s="925"/>
      <c r="P191" s="762"/>
      <c r="Q191" s="925"/>
      <c r="R191" s="762"/>
      <c r="S191" s="925"/>
      <c r="T191" s="762"/>
      <c r="U191" s="925"/>
      <c r="V191" s="762"/>
      <c r="W191" s="925"/>
      <c r="X191" s="762"/>
      <c r="Y191" s="762"/>
      <c r="Z191" s="786"/>
      <c r="AA191" s="762"/>
      <c r="AB191" s="786"/>
      <c r="AC191" s="762"/>
      <c r="AD191" s="786"/>
      <c r="AE191" s="762"/>
      <c r="AF191" s="786"/>
      <c r="AG191" s="762"/>
      <c r="AH191" s="786"/>
      <c r="AI191" s="762"/>
      <c r="AJ191" s="762"/>
      <c r="AK191" s="786"/>
      <c r="AL191" s="762"/>
      <c r="AM191" s="786"/>
      <c r="AN191" s="762"/>
      <c r="AO191" s="786"/>
      <c r="AP191" s="762"/>
      <c r="AQ191" s="786"/>
      <c r="AR191" s="762"/>
      <c r="AS191" s="786"/>
      <c r="AT191" s="762"/>
      <c r="AU191" s="762"/>
      <c r="AV191" s="786"/>
      <c r="AW191" s="762"/>
      <c r="AX191" s="786"/>
      <c r="AY191" s="762"/>
      <c r="AZ191" s="786"/>
      <c r="BA191" s="762"/>
      <c r="BB191" s="786"/>
      <c r="BC191" s="762"/>
      <c r="BD191" s="786"/>
      <c r="BE191" s="762"/>
    </row>
    <row r="192" spans="1:57" s="49" customFormat="1">
      <c r="A192" s="887"/>
      <c r="B192" s="887"/>
      <c r="C192" s="960"/>
      <c r="D192" s="925"/>
      <c r="E192" s="762"/>
      <c r="F192" s="925"/>
      <c r="G192" s="762"/>
      <c r="H192" s="925"/>
      <c r="I192" s="762"/>
      <c r="J192" s="925"/>
      <c r="K192" s="762"/>
      <c r="L192" s="925"/>
      <c r="M192" s="762"/>
      <c r="N192" s="762"/>
      <c r="O192" s="925"/>
      <c r="P192" s="762"/>
      <c r="Q192" s="925"/>
      <c r="R192" s="762"/>
      <c r="S192" s="925"/>
      <c r="T192" s="762"/>
      <c r="U192" s="925"/>
      <c r="V192" s="762"/>
      <c r="W192" s="925"/>
      <c r="X192" s="762"/>
      <c r="Y192" s="762"/>
      <c r="Z192" s="786"/>
      <c r="AA192" s="762"/>
      <c r="AB192" s="786"/>
      <c r="AC192" s="762"/>
      <c r="AD192" s="786"/>
      <c r="AE192" s="762"/>
      <c r="AF192" s="786"/>
      <c r="AG192" s="762"/>
      <c r="AH192" s="786"/>
      <c r="AI192" s="762"/>
      <c r="AJ192" s="762"/>
      <c r="AK192" s="786"/>
      <c r="AL192" s="762"/>
      <c r="AM192" s="786"/>
      <c r="AN192" s="762"/>
      <c r="AO192" s="786"/>
      <c r="AP192" s="762"/>
      <c r="AQ192" s="786"/>
      <c r="AR192" s="762"/>
      <c r="AS192" s="786"/>
      <c r="AT192" s="762"/>
      <c r="AU192" s="762"/>
      <c r="AV192" s="786"/>
      <c r="AW192" s="762"/>
      <c r="AX192" s="786"/>
      <c r="AY192" s="762"/>
      <c r="AZ192" s="786"/>
      <c r="BA192" s="762"/>
      <c r="BB192" s="786"/>
      <c r="BC192" s="762"/>
      <c r="BD192" s="786"/>
      <c r="BE192" s="762"/>
    </row>
    <row r="193" spans="1:57" s="49" customFormat="1">
      <c r="A193" s="887"/>
      <c r="B193" s="887"/>
      <c r="C193" s="960"/>
      <c r="D193" s="925"/>
      <c r="E193" s="762"/>
      <c r="F193" s="925"/>
      <c r="G193" s="762"/>
      <c r="H193" s="925"/>
      <c r="I193" s="762"/>
      <c r="J193" s="925"/>
      <c r="K193" s="762"/>
      <c r="L193" s="925"/>
      <c r="M193" s="762"/>
      <c r="N193" s="762"/>
      <c r="O193" s="925"/>
      <c r="P193" s="762"/>
      <c r="Q193" s="925"/>
      <c r="R193" s="762"/>
      <c r="S193" s="925"/>
      <c r="T193" s="762"/>
      <c r="U193" s="925"/>
      <c r="V193" s="762"/>
      <c r="W193" s="925"/>
      <c r="X193" s="762"/>
      <c r="Y193" s="762"/>
      <c r="Z193" s="786"/>
      <c r="AA193" s="762"/>
      <c r="AB193" s="786"/>
      <c r="AC193" s="762"/>
      <c r="AD193" s="786"/>
      <c r="AE193" s="762"/>
      <c r="AF193" s="786"/>
      <c r="AG193" s="762"/>
      <c r="AH193" s="786"/>
      <c r="AI193" s="762"/>
      <c r="AJ193" s="762"/>
      <c r="AK193" s="786"/>
      <c r="AL193" s="762"/>
      <c r="AM193" s="786"/>
      <c r="AN193" s="762"/>
      <c r="AO193" s="786"/>
      <c r="AP193" s="762"/>
      <c r="AQ193" s="786"/>
      <c r="AR193" s="762"/>
      <c r="AS193" s="786"/>
      <c r="AT193" s="762"/>
      <c r="AU193" s="762"/>
      <c r="AV193" s="786"/>
      <c r="AW193" s="762"/>
      <c r="AX193" s="786"/>
      <c r="AY193" s="762"/>
      <c r="AZ193" s="786"/>
      <c r="BA193" s="762"/>
      <c r="BB193" s="786"/>
      <c r="BC193" s="762"/>
      <c r="BD193" s="786"/>
      <c r="BE193" s="762"/>
    </row>
    <row r="194" spans="1:57" s="49" customFormat="1">
      <c r="A194" s="887"/>
      <c r="B194" s="887"/>
      <c r="C194" s="960"/>
      <c r="D194" s="925"/>
      <c r="E194" s="762"/>
      <c r="F194" s="925"/>
      <c r="G194" s="762"/>
      <c r="H194" s="925"/>
      <c r="I194" s="762"/>
      <c r="J194" s="925"/>
      <c r="K194" s="762"/>
      <c r="L194" s="925"/>
      <c r="M194" s="762"/>
      <c r="N194" s="762"/>
      <c r="O194" s="925"/>
      <c r="P194" s="762"/>
      <c r="Q194" s="925"/>
      <c r="R194" s="762"/>
      <c r="S194" s="925"/>
      <c r="T194" s="762"/>
      <c r="U194" s="925"/>
      <c r="V194" s="762"/>
      <c r="W194" s="925"/>
      <c r="X194" s="762"/>
      <c r="Y194" s="762"/>
      <c r="Z194" s="786"/>
      <c r="AA194" s="762"/>
      <c r="AB194" s="786"/>
      <c r="AC194" s="762"/>
      <c r="AD194" s="786"/>
      <c r="AE194" s="762"/>
      <c r="AF194" s="786"/>
      <c r="AG194" s="762"/>
      <c r="AH194" s="786"/>
      <c r="AI194" s="762"/>
      <c r="AJ194" s="762"/>
      <c r="AK194" s="786"/>
      <c r="AL194" s="762"/>
      <c r="AM194" s="786"/>
      <c r="AN194" s="762"/>
      <c r="AO194" s="786"/>
      <c r="AP194" s="762"/>
      <c r="AQ194" s="786"/>
      <c r="AR194" s="762"/>
      <c r="AS194" s="786"/>
      <c r="AT194" s="762"/>
      <c r="AU194" s="762"/>
      <c r="AV194" s="786"/>
      <c r="AW194" s="762"/>
      <c r="AX194" s="786"/>
      <c r="AY194" s="762"/>
      <c r="AZ194" s="786"/>
      <c r="BA194" s="762"/>
      <c r="BB194" s="786"/>
      <c r="BC194" s="762"/>
      <c r="BD194" s="786"/>
      <c r="BE194" s="762"/>
    </row>
    <row r="195" spans="1:57" s="49" customFormat="1">
      <c r="A195" s="887"/>
      <c r="B195" s="887"/>
      <c r="C195" s="960"/>
      <c r="D195" s="925"/>
      <c r="E195" s="762"/>
      <c r="F195" s="925"/>
      <c r="G195" s="762"/>
      <c r="H195" s="925"/>
      <c r="I195" s="762"/>
      <c r="J195" s="925"/>
      <c r="K195" s="762"/>
      <c r="L195" s="925"/>
      <c r="M195" s="762"/>
      <c r="N195" s="762"/>
      <c r="O195" s="925"/>
      <c r="P195" s="762"/>
      <c r="Q195" s="925"/>
      <c r="R195" s="762"/>
      <c r="S195" s="925"/>
      <c r="T195" s="762"/>
      <c r="U195" s="925"/>
      <c r="V195" s="762"/>
      <c r="W195" s="925"/>
      <c r="X195" s="762"/>
      <c r="Y195" s="762"/>
      <c r="Z195" s="786"/>
      <c r="AA195" s="762"/>
      <c r="AB195" s="786"/>
      <c r="AC195" s="762"/>
      <c r="AD195" s="786"/>
      <c r="AE195" s="762"/>
      <c r="AF195" s="786"/>
      <c r="AG195" s="762"/>
      <c r="AH195" s="786"/>
      <c r="AI195" s="762"/>
      <c r="AJ195" s="762"/>
      <c r="AK195" s="786"/>
      <c r="AL195" s="762"/>
      <c r="AM195" s="786"/>
      <c r="AN195" s="762"/>
      <c r="AO195" s="786"/>
      <c r="AP195" s="762"/>
      <c r="AQ195" s="786"/>
      <c r="AR195" s="762"/>
      <c r="AS195" s="786"/>
      <c r="AT195" s="762"/>
      <c r="AU195" s="762"/>
      <c r="AV195" s="786"/>
      <c r="AW195" s="762"/>
      <c r="AX195" s="786"/>
      <c r="AY195" s="762"/>
      <c r="AZ195" s="786"/>
      <c r="BA195" s="762"/>
      <c r="BB195" s="786"/>
      <c r="BC195" s="762"/>
      <c r="BD195" s="786"/>
      <c r="BE195" s="762"/>
    </row>
    <row r="196" spans="1:57" s="49" customFormat="1">
      <c r="A196" s="887"/>
      <c r="B196" s="887"/>
      <c r="C196" s="960"/>
      <c r="D196" s="925"/>
      <c r="E196" s="762"/>
      <c r="F196" s="925"/>
      <c r="G196" s="762"/>
      <c r="H196" s="925"/>
      <c r="I196" s="762"/>
      <c r="J196" s="925"/>
      <c r="K196" s="762"/>
      <c r="L196" s="925"/>
      <c r="M196" s="762"/>
      <c r="N196" s="762"/>
      <c r="O196" s="925"/>
      <c r="P196" s="762"/>
      <c r="Q196" s="925"/>
      <c r="R196" s="762"/>
      <c r="S196" s="925"/>
      <c r="T196" s="762"/>
      <c r="U196" s="925"/>
      <c r="V196" s="762"/>
      <c r="W196" s="925"/>
      <c r="X196" s="762"/>
      <c r="Y196" s="762"/>
      <c r="Z196" s="786"/>
      <c r="AA196" s="762"/>
      <c r="AB196" s="786"/>
      <c r="AC196" s="762"/>
      <c r="AD196" s="786"/>
      <c r="AE196" s="762"/>
      <c r="AF196" s="786"/>
      <c r="AG196" s="762"/>
      <c r="AH196" s="786"/>
      <c r="AI196" s="762"/>
      <c r="AJ196" s="762"/>
      <c r="AK196" s="786"/>
      <c r="AL196" s="762"/>
      <c r="AM196" s="786"/>
      <c r="AN196" s="762"/>
      <c r="AO196" s="786"/>
      <c r="AP196" s="762"/>
      <c r="AQ196" s="786"/>
      <c r="AR196" s="762"/>
      <c r="AS196" s="786"/>
      <c r="AT196" s="762"/>
      <c r="AU196" s="762"/>
      <c r="AV196" s="786"/>
      <c r="AW196" s="762"/>
      <c r="AX196" s="786"/>
      <c r="AY196" s="762"/>
      <c r="AZ196" s="786"/>
      <c r="BA196" s="762"/>
      <c r="BB196" s="786"/>
      <c r="BC196" s="762"/>
      <c r="BD196" s="786"/>
      <c r="BE196" s="762"/>
    </row>
    <row r="197" spans="1:57" s="49" customFormat="1">
      <c r="A197" s="887"/>
      <c r="B197" s="887"/>
      <c r="C197" s="960"/>
      <c r="D197" s="925"/>
      <c r="E197" s="762"/>
      <c r="F197" s="925"/>
      <c r="G197" s="762"/>
      <c r="H197" s="925"/>
      <c r="I197" s="762"/>
      <c r="J197" s="925"/>
      <c r="K197" s="762"/>
      <c r="L197" s="925"/>
      <c r="M197" s="762"/>
      <c r="N197" s="762"/>
      <c r="O197" s="925"/>
      <c r="P197" s="762"/>
      <c r="Q197" s="925"/>
      <c r="R197" s="762"/>
      <c r="S197" s="925"/>
      <c r="T197" s="762"/>
      <c r="U197" s="925"/>
      <c r="V197" s="762"/>
      <c r="W197" s="925"/>
      <c r="X197" s="762"/>
      <c r="Y197" s="762"/>
      <c r="Z197" s="786"/>
      <c r="AA197" s="762"/>
      <c r="AB197" s="786"/>
      <c r="AC197" s="762"/>
      <c r="AD197" s="786"/>
      <c r="AE197" s="762"/>
      <c r="AF197" s="786"/>
      <c r="AG197" s="762"/>
      <c r="AH197" s="786"/>
      <c r="AI197" s="762"/>
      <c r="AJ197" s="762"/>
      <c r="AK197" s="786"/>
      <c r="AL197" s="762"/>
      <c r="AM197" s="786"/>
      <c r="AN197" s="762"/>
      <c r="AO197" s="786"/>
      <c r="AP197" s="762"/>
      <c r="AQ197" s="786"/>
      <c r="AR197" s="762"/>
      <c r="AS197" s="786"/>
      <c r="AT197" s="762"/>
      <c r="AU197" s="762"/>
      <c r="AV197" s="786"/>
      <c r="AW197" s="762"/>
      <c r="AX197" s="786"/>
      <c r="AY197" s="762"/>
      <c r="AZ197" s="786"/>
      <c r="BA197" s="762"/>
      <c r="BB197" s="786"/>
      <c r="BC197" s="762"/>
      <c r="BD197" s="786"/>
      <c r="BE197" s="762"/>
    </row>
    <row r="198" spans="1:57" s="49" customFormat="1">
      <c r="A198" s="887"/>
      <c r="B198" s="887"/>
      <c r="C198" s="960"/>
      <c r="D198" s="925"/>
      <c r="E198" s="762"/>
      <c r="F198" s="925"/>
      <c r="G198" s="762"/>
      <c r="H198" s="925"/>
      <c r="I198" s="762"/>
      <c r="J198" s="925"/>
      <c r="K198" s="762"/>
      <c r="L198" s="925"/>
      <c r="M198" s="762"/>
      <c r="N198" s="762"/>
      <c r="O198" s="925"/>
      <c r="P198" s="762"/>
      <c r="Q198" s="925"/>
      <c r="R198" s="762"/>
      <c r="S198" s="925"/>
      <c r="T198" s="762"/>
      <c r="U198" s="925"/>
      <c r="V198" s="762"/>
      <c r="W198" s="925"/>
      <c r="X198" s="762"/>
      <c r="Y198" s="762"/>
      <c r="Z198" s="786"/>
      <c r="AA198" s="762"/>
      <c r="AB198" s="786"/>
      <c r="AC198" s="762"/>
      <c r="AD198" s="786"/>
      <c r="AE198" s="762"/>
      <c r="AF198" s="786"/>
      <c r="AG198" s="762"/>
      <c r="AH198" s="786"/>
      <c r="AI198" s="762"/>
      <c r="AJ198" s="762"/>
      <c r="AK198" s="786"/>
      <c r="AL198" s="762"/>
      <c r="AM198" s="786"/>
      <c r="AN198" s="762"/>
      <c r="AO198" s="786"/>
      <c r="AP198" s="762"/>
      <c r="AQ198" s="786"/>
      <c r="AR198" s="762"/>
      <c r="AS198" s="786"/>
      <c r="AT198" s="762"/>
      <c r="AU198" s="762"/>
      <c r="AV198" s="786"/>
      <c r="AW198" s="762"/>
      <c r="AX198" s="786"/>
      <c r="AY198" s="762"/>
      <c r="AZ198" s="786"/>
      <c r="BA198" s="762"/>
      <c r="BB198" s="786"/>
      <c r="BC198" s="762"/>
      <c r="BD198" s="786"/>
      <c r="BE198" s="762"/>
    </row>
    <row r="199" spans="1:57" s="49" customFormat="1">
      <c r="A199" s="887"/>
      <c r="B199" s="887"/>
      <c r="C199" s="960"/>
      <c r="D199" s="925"/>
      <c r="E199" s="762"/>
      <c r="F199" s="925"/>
      <c r="G199" s="762"/>
      <c r="H199" s="925"/>
      <c r="I199" s="762"/>
      <c r="J199" s="925"/>
      <c r="K199" s="762"/>
      <c r="L199" s="925"/>
      <c r="M199" s="762"/>
      <c r="N199" s="762"/>
      <c r="O199" s="925"/>
      <c r="P199" s="762"/>
      <c r="Q199" s="925"/>
      <c r="R199" s="762"/>
      <c r="S199" s="925"/>
      <c r="T199" s="762"/>
      <c r="U199" s="925"/>
      <c r="V199" s="762"/>
      <c r="W199" s="925"/>
      <c r="X199" s="762"/>
      <c r="Y199" s="762"/>
      <c r="Z199" s="786"/>
      <c r="AA199" s="762"/>
      <c r="AB199" s="786"/>
      <c r="AC199" s="762"/>
      <c r="AD199" s="786"/>
      <c r="AE199" s="762"/>
      <c r="AF199" s="786"/>
      <c r="AG199" s="762"/>
      <c r="AH199" s="786"/>
      <c r="AI199" s="762"/>
      <c r="AJ199" s="762"/>
      <c r="AK199" s="786"/>
      <c r="AL199" s="762"/>
      <c r="AM199" s="786"/>
      <c r="AN199" s="762"/>
      <c r="AO199" s="786"/>
      <c r="AP199" s="762"/>
      <c r="AQ199" s="786"/>
      <c r="AR199" s="762"/>
      <c r="AS199" s="786"/>
      <c r="AT199" s="762"/>
      <c r="AU199" s="762"/>
      <c r="AV199" s="786"/>
      <c r="AW199" s="762"/>
      <c r="AX199" s="786"/>
      <c r="AY199" s="762"/>
      <c r="AZ199" s="786"/>
      <c r="BA199" s="762"/>
      <c r="BB199" s="786"/>
      <c r="BC199" s="762"/>
      <c r="BD199" s="786"/>
      <c r="BE199" s="762"/>
    </row>
    <row r="200" spans="1:57" s="49" customFormat="1">
      <c r="A200" s="887"/>
      <c r="B200" s="887"/>
      <c r="C200" s="960"/>
      <c r="D200" s="925"/>
      <c r="E200" s="762"/>
      <c r="F200" s="925"/>
      <c r="G200" s="762"/>
      <c r="H200" s="925"/>
      <c r="I200" s="762"/>
      <c r="J200" s="925"/>
      <c r="K200" s="762"/>
      <c r="L200" s="925"/>
      <c r="M200" s="762"/>
      <c r="N200" s="762"/>
      <c r="O200" s="925"/>
      <c r="P200" s="762"/>
      <c r="Q200" s="925"/>
      <c r="R200" s="762"/>
      <c r="S200" s="925"/>
      <c r="T200" s="762"/>
      <c r="U200" s="925"/>
      <c r="V200" s="762"/>
      <c r="W200" s="925"/>
      <c r="X200" s="762"/>
      <c r="Y200" s="762"/>
      <c r="Z200" s="786"/>
      <c r="AA200" s="762"/>
      <c r="AB200" s="786"/>
      <c r="AC200" s="762"/>
      <c r="AD200" s="786"/>
      <c r="AE200" s="762"/>
      <c r="AF200" s="786"/>
      <c r="AG200" s="762"/>
      <c r="AH200" s="786"/>
      <c r="AI200" s="762"/>
      <c r="AJ200" s="762"/>
      <c r="AK200" s="786"/>
      <c r="AL200" s="762"/>
      <c r="AM200" s="786"/>
      <c r="AN200" s="762"/>
      <c r="AO200" s="786"/>
      <c r="AP200" s="762"/>
      <c r="AQ200" s="786"/>
      <c r="AR200" s="762"/>
      <c r="AS200" s="786"/>
      <c r="AT200" s="762"/>
      <c r="AU200" s="762"/>
      <c r="AV200" s="786"/>
      <c r="AW200" s="762"/>
      <c r="AX200" s="786"/>
      <c r="AY200" s="762"/>
      <c r="AZ200" s="786"/>
      <c r="BA200" s="762"/>
      <c r="BB200" s="786"/>
      <c r="BC200" s="762"/>
      <c r="BD200" s="786"/>
      <c r="BE200" s="762"/>
    </row>
    <row r="201" spans="1:57" s="49" customFormat="1">
      <c r="A201" s="887"/>
      <c r="B201" s="887"/>
      <c r="C201" s="960"/>
      <c r="D201" s="925"/>
      <c r="E201" s="762"/>
      <c r="F201" s="925"/>
      <c r="G201" s="762"/>
      <c r="H201" s="925"/>
      <c r="I201" s="762"/>
      <c r="J201" s="925"/>
      <c r="K201" s="762"/>
      <c r="L201" s="925"/>
      <c r="M201" s="762"/>
      <c r="N201" s="762"/>
      <c r="O201" s="925"/>
      <c r="P201" s="762"/>
      <c r="Q201" s="925"/>
      <c r="R201" s="762"/>
      <c r="S201" s="925"/>
      <c r="T201" s="762"/>
      <c r="U201" s="925"/>
      <c r="V201" s="762"/>
      <c r="W201" s="925"/>
      <c r="X201" s="762"/>
      <c r="Y201" s="762"/>
      <c r="Z201" s="786"/>
      <c r="AA201" s="762"/>
      <c r="AB201" s="786"/>
      <c r="AC201" s="762"/>
      <c r="AD201" s="786"/>
      <c r="AE201" s="762"/>
      <c r="AF201" s="786"/>
      <c r="AG201" s="762"/>
      <c r="AH201" s="786"/>
      <c r="AI201" s="762"/>
      <c r="AJ201" s="762"/>
      <c r="AK201" s="786"/>
      <c r="AL201" s="762"/>
      <c r="AM201" s="786"/>
      <c r="AN201" s="762"/>
      <c r="AO201" s="786"/>
      <c r="AP201" s="762"/>
      <c r="AQ201" s="786"/>
      <c r="AR201" s="762"/>
      <c r="AS201" s="786"/>
      <c r="AT201" s="762"/>
      <c r="AU201" s="762"/>
      <c r="AV201" s="786"/>
      <c r="AW201" s="762"/>
      <c r="AX201" s="786"/>
      <c r="AY201" s="762"/>
      <c r="AZ201" s="786"/>
      <c r="BA201" s="762"/>
      <c r="BB201" s="786"/>
      <c r="BC201" s="762"/>
      <c r="BD201" s="786"/>
      <c r="BE201" s="762"/>
    </row>
    <row r="202" spans="1:57" s="49" customFormat="1">
      <c r="A202" s="887"/>
      <c r="B202" s="887"/>
      <c r="C202" s="960"/>
      <c r="D202" s="925"/>
      <c r="E202" s="762"/>
      <c r="F202" s="925"/>
      <c r="G202" s="762"/>
      <c r="H202" s="925"/>
      <c r="I202" s="762"/>
      <c r="J202" s="925"/>
      <c r="K202" s="762"/>
      <c r="L202" s="925"/>
      <c r="M202" s="762"/>
      <c r="N202" s="762"/>
      <c r="O202" s="925"/>
      <c r="P202" s="762"/>
      <c r="Q202" s="925"/>
      <c r="R202" s="762"/>
      <c r="S202" s="925"/>
      <c r="T202" s="762"/>
      <c r="U202" s="925"/>
      <c r="V202" s="762"/>
      <c r="W202" s="925"/>
      <c r="X202" s="762"/>
      <c r="Y202" s="762"/>
      <c r="Z202" s="786"/>
      <c r="AA202" s="762"/>
      <c r="AB202" s="786"/>
      <c r="AC202" s="762"/>
      <c r="AD202" s="786"/>
      <c r="AE202" s="762"/>
      <c r="AF202" s="786"/>
      <c r="AG202" s="762"/>
      <c r="AH202" s="786"/>
      <c r="AI202" s="762"/>
      <c r="AJ202" s="762"/>
      <c r="AK202" s="786"/>
      <c r="AL202" s="762"/>
      <c r="AM202" s="786"/>
      <c r="AN202" s="762"/>
      <c r="AO202" s="786"/>
      <c r="AP202" s="762"/>
      <c r="AQ202" s="786"/>
      <c r="AR202" s="762"/>
      <c r="AS202" s="786"/>
      <c r="AT202" s="762"/>
      <c r="AU202" s="762"/>
      <c r="AV202" s="786"/>
      <c r="AW202" s="762"/>
      <c r="AX202" s="786"/>
      <c r="AY202" s="762"/>
      <c r="AZ202" s="786"/>
      <c r="BA202" s="762"/>
      <c r="BB202" s="786"/>
      <c r="BC202" s="762"/>
      <c r="BD202" s="786"/>
      <c r="BE202" s="762"/>
    </row>
    <row r="203" spans="1:57" s="49" customFormat="1">
      <c r="A203" s="887"/>
      <c r="B203" s="887"/>
      <c r="C203" s="960"/>
      <c r="D203" s="925"/>
      <c r="E203" s="762"/>
      <c r="F203" s="925"/>
      <c r="G203" s="762"/>
      <c r="H203" s="925"/>
      <c r="I203" s="762"/>
      <c r="J203" s="925"/>
      <c r="K203" s="762"/>
      <c r="L203" s="925"/>
      <c r="M203" s="762"/>
      <c r="N203" s="762"/>
      <c r="O203" s="925"/>
      <c r="P203" s="762"/>
      <c r="Q203" s="925"/>
      <c r="R203" s="762"/>
      <c r="S203" s="925"/>
      <c r="T203" s="762"/>
      <c r="U203" s="925"/>
      <c r="V203" s="762"/>
      <c r="W203" s="925"/>
      <c r="X203" s="762"/>
      <c r="Y203" s="762"/>
      <c r="Z203" s="786"/>
      <c r="AA203" s="762"/>
      <c r="AB203" s="786"/>
      <c r="AC203" s="762"/>
      <c r="AD203" s="786"/>
      <c r="AE203" s="762"/>
      <c r="AF203" s="786"/>
      <c r="AG203" s="762"/>
      <c r="AH203" s="786"/>
      <c r="AI203" s="762"/>
      <c r="AJ203" s="762"/>
      <c r="AK203" s="786"/>
      <c r="AL203" s="762"/>
      <c r="AM203" s="786"/>
      <c r="AN203" s="762"/>
      <c r="AO203" s="786"/>
      <c r="AP203" s="762"/>
      <c r="AQ203" s="786"/>
      <c r="AR203" s="762"/>
      <c r="AS203" s="786"/>
      <c r="AT203" s="762"/>
      <c r="AU203" s="762"/>
      <c r="AV203" s="786"/>
      <c r="AW203" s="762"/>
      <c r="AX203" s="786"/>
      <c r="AY203" s="762"/>
      <c r="AZ203" s="786"/>
      <c r="BA203" s="762"/>
      <c r="BB203" s="786"/>
      <c r="BC203" s="762"/>
      <c r="BD203" s="786"/>
      <c r="BE203" s="762"/>
    </row>
    <row r="204" spans="1:57" s="49" customFormat="1">
      <c r="A204" s="887"/>
      <c r="B204" s="887"/>
      <c r="C204" s="960"/>
      <c r="D204" s="925"/>
      <c r="E204" s="762"/>
      <c r="F204" s="925"/>
      <c r="G204" s="762"/>
      <c r="H204" s="925"/>
      <c r="I204" s="762"/>
      <c r="J204" s="925"/>
      <c r="K204" s="762"/>
      <c r="L204" s="925"/>
      <c r="M204" s="762"/>
      <c r="N204" s="762"/>
      <c r="O204" s="925"/>
      <c r="P204" s="762"/>
      <c r="Q204" s="925"/>
      <c r="R204" s="762"/>
      <c r="S204" s="925"/>
      <c r="T204" s="762"/>
      <c r="U204" s="925"/>
      <c r="V204" s="762"/>
      <c r="W204" s="925"/>
      <c r="X204" s="762"/>
      <c r="Y204" s="762"/>
      <c r="Z204" s="786"/>
      <c r="AA204" s="762"/>
      <c r="AB204" s="786"/>
      <c r="AC204" s="762"/>
      <c r="AD204" s="786"/>
      <c r="AE204" s="762"/>
      <c r="AF204" s="786"/>
      <c r="AG204" s="762"/>
      <c r="AH204" s="786"/>
      <c r="AI204" s="762"/>
      <c r="AJ204" s="762"/>
      <c r="AK204" s="786"/>
      <c r="AL204" s="762"/>
      <c r="AM204" s="786"/>
      <c r="AN204" s="762"/>
      <c r="AO204" s="786"/>
      <c r="AP204" s="762"/>
      <c r="AQ204" s="786"/>
      <c r="AR204" s="762"/>
      <c r="AS204" s="786"/>
      <c r="AT204" s="762"/>
      <c r="AU204" s="762"/>
      <c r="AV204" s="786"/>
      <c r="AW204" s="762"/>
      <c r="AX204" s="786"/>
      <c r="AY204" s="762"/>
      <c r="AZ204" s="786"/>
      <c r="BA204" s="762"/>
      <c r="BB204" s="786"/>
      <c r="BC204" s="762"/>
      <c r="BD204" s="786"/>
      <c r="BE204" s="762"/>
    </row>
    <row r="205" spans="1:57" s="49" customFormat="1">
      <c r="A205" s="887"/>
      <c r="B205" s="887"/>
      <c r="C205" s="960"/>
      <c r="D205" s="925"/>
      <c r="E205" s="762"/>
      <c r="F205" s="925"/>
      <c r="G205" s="762"/>
      <c r="H205" s="925"/>
      <c r="I205" s="762"/>
      <c r="J205" s="925"/>
      <c r="K205" s="762"/>
      <c r="L205" s="925"/>
      <c r="M205" s="762"/>
      <c r="N205" s="762"/>
      <c r="O205" s="925"/>
      <c r="P205" s="762"/>
      <c r="Q205" s="925"/>
      <c r="R205" s="762"/>
      <c r="S205" s="925"/>
      <c r="T205" s="762"/>
      <c r="U205" s="925"/>
      <c r="V205" s="762"/>
      <c r="W205" s="925"/>
      <c r="X205" s="762"/>
      <c r="Y205" s="762"/>
      <c r="Z205" s="786"/>
      <c r="AA205" s="762"/>
      <c r="AB205" s="786"/>
      <c r="AC205" s="762"/>
      <c r="AD205" s="786"/>
      <c r="AE205" s="762"/>
      <c r="AF205" s="786"/>
      <c r="AG205" s="762"/>
      <c r="AH205" s="786"/>
      <c r="AI205" s="762"/>
      <c r="AJ205" s="762"/>
      <c r="AK205" s="786"/>
      <c r="AL205" s="762"/>
      <c r="AM205" s="786"/>
      <c r="AN205" s="762"/>
      <c r="AO205" s="786"/>
      <c r="AP205" s="762"/>
      <c r="AQ205" s="786"/>
      <c r="AR205" s="762"/>
      <c r="AS205" s="786"/>
      <c r="AT205" s="762"/>
      <c r="AU205" s="762"/>
      <c r="AV205" s="786"/>
      <c r="AW205" s="762"/>
      <c r="AX205" s="786"/>
      <c r="AY205" s="762"/>
      <c r="AZ205" s="786"/>
      <c r="BA205" s="762"/>
      <c r="BB205" s="786"/>
      <c r="BC205" s="762"/>
      <c r="BD205" s="786"/>
      <c r="BE205" s="762"/>
    </row>
    <row r="206" spans="1:57" s="49" customFormat="1">
      <c r="A206" s="887"/>
      <c r="B206" s="887"/>
      <c r="C206" s="960"/>
      <c r="D206" s="925"/>
      <c r="E206" s="762"/>
      <c r="F206" s="925"/>
      <c r="G206" s="762"/>
      <c r="H206" s="925"/>
      <c r="I206" s="762"/>
      <c r="J206" s="925"/>
      <c r="K206" s="762"/>
      <c r="L206" s="925"/>
      <c r="M206" s="762"/>
      <c r="N206" s="762"/>
      <c r="O206" s="925"/>
      <c r="P206" s="762"/>
      <c r="Q206" s="925"/>
      <c r="R206" s="762"/>
      <c r="S206" s="925"/>
      <c r="T206" s="762"/>
      <c r="U206" s="925"/>
      <c r="V206" s="762"/>
      <c r="W206" s="925"/>
      <c r="X206" s="762"/>
      <c r="Y206" s="762"/>
      <c r="Z206" s="786"/>
      <c r="AA206" s="762"/>
      <c r="AB206" s="786"/>
      <c r="AC206" s="762"/>
      <c r="AD206" s="786"/>
      <c r="AE206" s="762"/>
      <c r="AF206" s="786"/>
      <c r="AG206" s="762"/>
      <c r="AH206" s="786"/>
      <c r="AI206" s="762"/>
      <c r="AJ206" s="762"/>
      <c r="AK206" s="786"/>
      <c r="AL206" s="762"/>
      <c r="AM206" s="786"/>
      <c r="AN206" s="762"/>
      <c r="AO206" s="786"/>
      <c r="AP206" s="762"/>
      <c r="AQ206" s="786"/>
      <c r="AR206" s="762"/>
      <c r="AS206" s="786"/>
      <c r="AT206" s="762"/>
      <c r="AU206" s="762"/>
      <c r="AV206" s="786"/>
      <c r="AW206" s="762"/>
      <c r="AX206" s="786"/>
      <c r="AY206" s="762"/>
      <c r="AZ206" s="786"/>
      <c r="BA206" s="762"/>
      <c r="BB206" s="786"/>
      <c r="BC206" s="762"/>
      <c r="BD206" s="786"/>
      <c r="BE206" s="762"/>
    </row>
    <row r="207" spans="1:57" s="49" customFormat="1">
      <c r="A207" s="887"/>
      <c r="B207" s="887"/>
      <c r="C207" s="960"/>
      <c r="D207" s="925"/>
      <c r="E207" s="762"/>
      <c r="F207" s="925"/>
      <c r="G207" s="762"/>
      <c r="H207" s="925"/>
      <c r="I207" s="762"/>
      <c r="J207" s="925"/>
      <c r="K207" s="762"/>
      <c r="L207" s="925"/>
      <c r="M207" s="762"/>
      <c r="N207" s="762"/>
      <c r="O207" s="925"/>
      <c r="P207" s="762"/>
      <c r="Q207" s="925"/>
      <c r="R207" s="762"/>
      <c r="S207" s="925"/>
      <c r="T207" s="762"/>
      <c r="U207" s="925"/>
      <c r="V207" s="762"/>
      <c r="W207" s="925"/>
      <c r="X207" s="762"/>
      <c r="Y207" s="762"/>
      <c r="Z207" s="786"/>
      <c r="AA207" s="762"/>
      <c r="AB207" s="786"/>
      <c r="AC207" s="762"/>
      <c r="AD207" s="786"/>
      <c r="AE207" s="762"/>
      <c r="AF207" s="786"/>
      <c r="AG207" s="762"/>
      <c r="AH207" s="786"/>
      <c r="AI207" s="762"/>
      <c r="AJ207" s="762"/>
      <c r="AK207" s="786"/>
      <c r="AL207" s="762"/>
      <c r="AM207" s="786"/>
      <c r="AN207" s="762"/>
      <c r="AO207" s="786"/>
      <c r="AP207" s="762"/>
      <c r="AQ207" s="786"/>
      <c r="AR207" s="762"/>
      <c r="AS207" s="786"/>
      <c r="AT207" s="762"/>
      <c r="AU207" s="762"/>
      <c r="AV207" s="786"/>
      <c r="AW207" s="762"/>
      <c r="AX207" s="786"/>
      <c r="AY207" s="762"/>
      <c r="AZ207" s="786"/>
      <c r="BA207" s="762"/>
      <c r="BB207" s="786"/>
      <c r="BC207" s="762"/>
      <c r="BD207" s="786"/>
      <c r="BE207" s="762"/>
    </row>
    <row r="208" spans="1:57" s="49" customFormat="1">
      <c r="A208" s="887"/>
      <c r="B208" s="887"/>
      <c r="C208" s="960"/>
      <c r="D208" s="925"/>
      <c r="E208" s="762"/>
      <c r="F208" s="925"/>
      <c r="G208" s="762"/>
      <c r="H208" s="925"/>
      <c r="I208" s="762"/>
      <c r="J208" s="925"/>
      <c r="K208" s="762"/>
      <c r="L208" s="925"/>
      <c r="M208" s="762"/>
      <c r="N208" s="762"/>
      <c r="O208" s="925"/>
      <c r="P208" s="762"/>
      <c r="Q208" s="925"/>
      <c r="R208" s="762"/>
      <c r="S208" s="925"/>
      <c r="T208" s="762"/>
      <c r="U208" s="925"/>
      <c r="V208" s="762"/>
      <c r="W208" s="925"/>
      <c r="X208" s="762"/>
      <c r="Y208" s="762"/>
      <c r="Z208" s="786"/>
      <c r="AA208" s="762"/>
      <c r="AB208" s="786"/>
      <c r="AC208" s="762"/>
      <c r="AD208" s="786"/>
      <c r="AE208" s="762"/>
      <c r="AF208" s="786"/>
      <c r="AG208" s="762"/>
      <c r="AH208" s="786"/>
      <c r="AI208" s="762"/>
      <c r="AJ208" s="762"/>
      <c r="AK208" s="786"/>
      <c r="AL208" s="762"/>
      <c r="AM208" s="786"/>
      <c r="AN208" s="762"/>
      <c r="AO208" s="786"/>
      <c r="AP208" s="762"/>
      <c r="AQ208" s="786"/>
      <c r="AR208" s="762"/>
      <c r="AS208" s="786"/>
      <c r="AT208" s="762"/>
      <c r="AU208" s="762"/>
      <c r="AV208" s="786"/>
      <c r="AW208" s="762"/>
      <c r="AX208" s="786"/>
      <c r="AY208" s="762"/>
      <c r="AZ208" s="786"/>
      <c r="BA208" s="762"/>
      <c r="BB208" s="786"/>
      <c r="BC208" s="762"/>
      <c r="BD208" s="786"/>
      <c r="BE208" s="762"/>
    </row>
    <row r="209" spans="1:57" s="49" customFormat="1">
      <c r="A209" s="887"/>
      <c r="B209" s="887"/>
      <c r="C209" s="960"/>
      <c r="D209" s="925"/>
      <c r="E209" s="762"/>
      <c r="F209" s="925"/>
      <c r="G209" s="762"/>
      <c r="H209" s="925"/>
      <c r="I209" s="762"/>
      <c r="J209" s="925"/>
      <c r="K209" s="762"/>
      <c r="L209" s="925"/>
      <c r="M209" s="762"/>
      <c r="N209" s="762"/>
      <c r="O209" s="925"/>
      <c r="P209" s="762"/>
      <c r="Q209" s="925"/>
      <c r="R209" s="762"/>
      <c r="S209" s="925"/>
      <c r="T209" s="762"/>
      <c r="U209" s="925"/>
      <c r="V209" s="762"/>
      <c r="W209" s="925"/>
      <c r="X209" s="762"/>
      <c r="Y209" s="762"/>
      <c r="Z209" s="786"/>
      <c r="AA209" s="762"/>
      <c r="AB209" s="786"/>
      <c r="AC209" s="762"/>
      <c r="AD209" s="786"/>
      <c r="AE209" s="762"/>
      <c r="AF209" s="786"/>
      <c r="AG209" s="762"/>
      <c r="AH209" s="786"/>
      <c r="AI209" s="762"/>
      <c r="AJ209" s="762"/>
      <c r="AK209" s="786"/>
      <c r="AL209" s="762"/>
      <c r="AM209" s="786"/>
      <c r="AN209" s="762"/>
      <c r="AO209" s="786"/>
      <c r="AP209" s="762"/>
      <c r="AQ209" s="786"/>
      <c r="AR209" s="762"/>
      <c r="AS209" s="786"/>
      <c r="AT209" s="762"/>
      <c r="AU209" s="762"/>
      <c r="AV209" s="786"/>
      <c r="AW209" s="762"/>
      <c r="AX209" s="786"/>
      <c r="AY209" s="762"/>
      <c r="AZ209" s="786"/>
      <c r="BA209" s="762"/>
      <c r="BB209" s="786"/>
      <c r="BC209" s="762"/>
      <c r="BD209" s="786"/>
      <c r="BE209" s="762"/>
    </row>
    <row r="210" spans="1:57" s="49" customFormat="1">
      <c r="A210" s="887"/>
      <c r="B210" s="887"/>
      <c r="C210" s="960"/>
      <c r="D210" s="925"/>
      <c r="E210" s="762"/>
      <c r="F210" s="925"/>
      <c r="G210" s="762"/>
      <c r="H210" s="925"/>
      <c r="I210" s="762"/>
      <c r="J210" s="925"/>
      <c r="K210" s="762"/>
      <c r="L210" s="925"/>
      <c r="M210" s="762"/>
      <c r="N210" s="762"/>
      <c r="O210" s="925"/>
      <c r="P210" s="762"/>
      <c r="Q210" s="925"/>
      <c r="R210" s="762"/>
      <c r="S210" s="925"/>
      <c r="T210" s="762"/>
      <c r="U210" s="925"/>
      <c r="V210" s="762"/>
      <c r="W210" s="925"/>
      <c r="X210" s="762"/>
      <c r="Y210" s="762"/>
      <c r="Z210" s="786"/>
      <c r="AA210" s="762"/>
      <c r="AB210" s="786"/>
      <c r="AC210" s="762"/>
      <c r="AD210" s="786"/>
      <c r="AE210" s="762"/>
      <c r="AF210" s="786"/>
      <c r="AG210" s="762"/>
      <c r="AH210" s="786"/>
      <c r="AI210" s="762"/>
      <c r="AJ210" s="762"/>
      <c r="AK210" s="786"/>
      <c r="AL210" s="762"/>
      <c r="AM210" s="786"/>
      <c r="AN210" s="762"/>
      <c r="AO210" s="786"/>
      <c r="AP210" s="762"/>
      <c r="AQ210" s="786"/>
      <c r="AR210" s="762"/>
      <c r="AS210" s="786"/>
      <c r="AT210" s="762"/>
      <c r="AU210" s="762"/>
      <c r="AV210" s="786"/>
      <c r="AW210" s="762"/>
      <c r="AX210" s="786"/>
      <c r="AY210" s="762"/>
      <c r="AZ210" s="786"/>
      <c r="BA210" s="762"/>
      <c r="BB210" s="786"/>
      <c r="BC210" s="762"/>
      <c r="BD210" s="786"/>
      <c r="BE210" s="762"/>
    </row>
    <row r="211" spans="1:57" s="49" customFormat="1">
      <c r="A211" s="887"/>
      <c r="B211" s="887"/>
      <c r="C211" s="960"/>
      <c r="D211" s="925"/>
      <c r="E211" s="762"/>
      <c r="F211" s="925"/>
      <c r="G211" s="762"/>
      <c r="H211" s="925"/>
      <c r="I211" s="762"/>
      <c r="J211" s="925"/>
      <c r="K211" s="762"/>
      <c r="L211" s="925"/>
      <c r="M211" s="762"/>
      <c r="N211" s="762"/>
      <c r="O211" s="925"/>
      <c r="P211" s="762"/>
      <c r="Q211" s="925"/>
      <c r="R211" s="762"/>
      <c r="S211" s="925"/>
      <c r="T211" s="762"/>
      <c r="U211" s="925"/>
      <c r="V211" s="762"/>
      <c r="W211" s="925"/>
      <c r="X211" s="762"/>
      <c r="Y211" s="762"/>
      <c r="Z211" s="786"/>
      <c r="AA211" s="762"/>
      <c r="AB211" s="786"/>
      <c r="AC211" s="762"/>
      <c r="AD211" s="786"/>
      <c r="AE211" s="762"/>
      <c r="AF211" s="786"/>
      <c r="AG211" s="762"/>
      <c r="AH211" s="786"/>
      <c r="AI211" s="762"/>
      <c r="AJ211" s="762"/>
      <c r="AK211" s="786"/>
      <c r="AL211" s="762"/>
      <c r="AM211" s="786"/>
      <c r="AN211" s="762"/>
      <c r="AO211" s="786"/>
      <c r="AP211" s="762"/>
      <c r="AQ211" s="786"/>
      <c r="AR211" s="762"/>
      <c r="AS211" s="786"/>
      <c r="AT211" s="762"/>
      <c r="AU211" s="762"/>
      <c r="AV211" s="786"/>
      <c r="AW211" s="762"/>
      <c r="AX211" s="786"/>
      <c r="AY211" s="762"/>
      <c r="AZ211" s="786"/>
      <c r="BA211" s="762"/>
      <c r="BB211" s="786"/>
      <c r="BC211" s="762"/>
      <c r="BD211" s="786"/>
      <c r="BE211" s="762"/>
    </row>
    <row r="212" spans="1:57" s="49" customFormat="1">
      <c r="A212" s="887"/>
      <c r="B212" s="887"/>
      <c r="C212" s="960"/>
      <c r="D212" s="925"/>
      <c r="E212" s="762"/>
      <c r="F212" s="925"/>
      <c r="G212" s="762"/>
      <c r="H212" s="925"/>
      <c r="I212" s="762"/>
      <c r="J212" s="925"/>
      <c r="K212" s="762"/>
      <c r="L212" s="925"/>
      <c r="M212" s="762"/>
      <c r="N212" s="762"/>
      <c r="O212" s="925"/>
      <c r="P212" s="762"/>
      <c r="Q212" s="925"/>
      <c r="R212" s="762"/>
      <c r="S212" s="925"/>
      <c r="T212" s="762"/>
      <c r="U212" s="925"/>
      <c r="V212" s="762"/>
      <c r="W212" s="925"/>
      <c r="X212" s="762"/>
      <c r="Y212" s="762"/>
      <c r="Z212" s="786"/>
      <c r="AA212" s="762"/>
      <c r="AB212" s="786"/>
      <c r="AC212" s="762"/>
      <c r="AD212" s="786"/>
      <c r="AE212" s="762"/>
      <c r="AF212" s="786"/>
      <c r="AG212" s="762"/>
      <c r="AH212" s="786"/>
      <c r="AI212" s="762"/>
      <c r="AJ212" s="762"/>
      <c r="AK212" s="786"/>
      <c r="AL212" s="762"/>
      <c r="AM212" s="786"/>
      <c r="AN212" s="762"/>
      <c r="AO212" s="786"/>
      <c r="AP212" s="762"/>
      <c r="AQ212" s="786"/>
      <c r="AR212" s="762"/>
      <c r="AS212" s="786"/>
      <c r="AT212" s="762"/>
      <c r="AU212" s="762"/>
      <c r="AV212" s="786"/>
      <c r="AW212" s="762"/>
      <c r="AX212" s="786"/>
      <c r="AY212" s="762"/>
      <c r="AZ212" s="786"/>
      <c r="BA212" s="762"/>
      <c r="BB212" s="786"/>
      <c r="BC212" s="762"/>
      <c r="BD212" s="786"/>
      <c r="BE212" s="762"/>
    </row>
    <row r="213" spans="1:57" s="49" customFormat="1">
      <c r="A213" s="887"/>
      <c r="B213" s="887"/>
      <c r="C213" s="960"/>
      <c r="D213" s="925"/>
      <c r="E213" s="762"/>
      <c r="F213" s="925"/>
      <c r="G213" s="762"/>
      <c r="H213" s="925"/>
      <c r="I213" s="762"/>
      <c r="J213" s="925"/>
      <c r="K213" s="762"/>
      <c r="L213" s="925"/>
      <c r="M213" s="762"/>
      <c r="N213" s="762"/>
      <c r="O213" s="925"/>
      <c r="P213" s="762"/>
      <c r="Q213" s="925"/>
      <c r="R213" s="762"/>
      <c r="S213" s="925"/>
      <c r="T213" s="762"/>
      <c r="U213" s="925"/>
      <c r="V213" s="762"/>
      <c r="W213" s="925"/>
      <c r="X213" s="762"/>
      <c r="Y213" s="762"/>
      <c r="Z213" s="786"/>
      <c r="AA213" s="762"/>
      <c r="AB213" s="786"/>
      <c r="AC213" s="762"/>
      <c r="AD213" s="786"/>
      <c r="AE213" s="762"/>
      <c r="AF213" s="786"/>
      <c r="AG213" s="762"/>
      <c r="AH213" s="786"/>
      <c r="AI213" s="762"/>
      <c r="AJ213" s="762"/>
      <c r="AK213" s="786"/>
      <c r="AL213" s="762"/>
      <c r="AM213" s="786"/>
      <c r="AN213" s="762"/>
      <c r="AO213" s="786"/>
      <c r="AP213" s="762"/>
      <c r="AQ213" s="786"/>
      <c r="AR213" s="762"/>
      <c r="AS213" s="786"/>
      <c r="AT213" s="762"/>
      <c r="AU213" s="762"/>
      <c r="AV213" s="786"/>
      <c r="AW213" s="762"/>
      <c r="AX213" s="786"/>
      <c r="AY213" s="762"/>
      <c r="AZ213" s="786"/>
      <c r="BA213" s="762"/>
      <c r="BB213" s="786"/>
      <c r="BC213" s="762"/>
      <c r="BD213" s="786"/>
      <c r="BE213" s="762"/>
    </row>
    <row r="214" spans="1:57" s="49" customFormat="1">
      <c r="A214" s="887"/>
      <c r="B214" s="887"/>
      <c r="C214" s="960"/>
      <c r="D214" s="925"/>
      <c r="E214" s="762"/>
      <c r="F214" s="925"/>
      <c r="G214" s="762"/>
      <c r="H214" s="925"/>
      <c r="I214" s="762"/>
      <c r="J214" s="925"/>
      <c r="K214" s="762"/>
      <c r="L214" s="925"/>
      <c r="M214" s="762"/>
      <c r="N214" s="762"/>
      <c r="O214" s="925"/>
      <c r="P214" s="762"/>
      <c r="Q214" s="925"/>
      <c r="R214" s="762"/>
      <c r="S214" s="925"/>
      <c r="T214" s="762"/>
      <c r="U214" s="925"/>
      <c r="V214" s="762"/>
      <c r="W214" s="925"/>
      <c r="X214" s="762"/>
      <c r="Y214" s="762"/>
      <c r="Z214" s="786"/>
      <c r="AA214" s="762"/>
      <c r="AB214" s="786"/>
      <c r="AC214" s="762"/>
      <c r="AD214" s="786"/>
      <c r="AE214" s="762"/>
      <c r="AF214" s="786"/>
      <c r="AG214" s="762"/>
      <c r="AH214" s="786"/>
      <c r="AI214" s="762"/>
      <c r="AJ214" s="762"/>
      <c r="AK214" s="786"/>
      <c r="AL214" s="762"/>
      <c r="AM214" s="786"/>
      <c r="AN214" s="762"/>
      <c r="AO214" s="786"/>
      <c r="AP214" s="762"/>
      <c r="AQ214" s="786"/>
      <c r="AR214" s="762"/>
      <c r="AS214" s="786"/>
      <c r="AT214" s="762"/>
      <c r="AU214" s="762"/>
      <c r="AV214" s="786"/>
      <c r="AW214" s="762"/>
      <c r="AX214" s="786"/>
      <c r="AY214" s="762"/>
      <c r="AZ214" s="786"/>
      <c r="BA214" s="762"/>
      <c r="BB214" s="786"/>
      <c r="BC214" s="762"/>
      <c r="BD214" s="786"/>
      <c r="BE214" s="762"/>
    </row>
    <row r="215" spans="1:57" s="49" customFormat="1">
      <c r="A215" s="887"/>
      <c r="B215" s="887"/>
      <c r="C215" s="960"/>
      <c r="D215" s="925"/>
      <c r="E215" s="762"/>
      <c r="F215" s="925"/>
      <c r="G215" s="762"/>
      <c r="H215" s="925"/>
      <c r="I215" s="762"/>
      <c r="J215" s="925"/>
      <c r="K215" s="762"/>
      <c r="L215" s="925"/>
      <c r="M215" s="762"/>
      <c r="N215" s="762"/>
      <c r="O215" s="925"/>
      <c r="P215" s="762"/>
      <c r="Q215" s="925"/>
      <c r="R215" s="762"/>
      <c r="S215" s="925"/>
      <c r="T215" s="762"/>
      <c r="U215" s="925"/>
      <c r="V215" s="762"/>
      <c r="W215" s="925"/>
      <c r="X215" s="762"/>
      <c r="Y215" s="762"/>
      <c r="Z215" s="786"/>
      <c r="AA215" s="762"/>
      <c r="AB215" s="786"/>
      <c r="AC215" s="762"/>
      <c r="AD215" s="786"/>
      <c r="AE215" s="762"/>
      <c r="AF215" s="786"/>
      <c r="AG215" s="762"/>
      <c r="AH215" s="786"/>
      <c r="AI215" s="762"/>
      <c r="AJ215" s="762"/>
      <c r="AK215" s="786"/>
      <c r="AL215" s="762"/>
      <c r="AM215" s="786"/>
      <c r="AN215" s="762"/>
      <c r="AO215" s="786"/>
      <c r="AP215" s="762"/>
      <c r="AQ215" s="786"/>
      <c r="AR215" s="762"/>
      <c r="AS215" s="786"/>
      <c r="AT215" s="762"/>
      <c r="AU215" s="762"/>
      <c r="AV215" s="786"/>
      <c r="AW215" s="762"/>
      <c r="AX215" s="786"/>
      <c r="AY215" s="762"/>
      <c r="AZ215" s="786"/>
      <c r="BA215" s="762"/>
      <c r="BB215" s="786"/>
      <c r="BC215" s="762"/>
      <c r="BD215" s="786"/>
      <c r="BE215" s="762"/>
    </row>
    <row r="216" spans="1:57" s="49" customFormat="1">
      <c r="A216" s="887"/>
      <c r="B216" s="887"/>
      <c r="C216" s="960"/>
      <c r="D216" s="925"/>
      <c r="E216" s="762"/>
      <c r="F216" s="925"/>
      <c r="G216" s="762"/>
      <c r="H216" s="925"/>
      <c r="I216" s="762"/>
      <c r="J216" s="925"/>
      <c r="K216" s="762"/>
      <c r="L216" s="925"/>
      <c r="M216" s="762"/>
      <c r="N216" s="762"/>
      <c r="O216" s="925"/>
      <c r="P216" s="762"/>
      <c r="Q216" s="925"/>
      <c r="R216" s="762"/>
      <c r="S216" s="925"/>
      <c r="T216" s="762"/>
      <c r="U216" s="925"/>
      <c r="V216" s="762"/>
      <c r="W216" s="925"/>
      <c r="X216" s="762"/>
      <c r="Y216" s="762"/>
      <c r="Z216" s="786"/>
      <c r="AA216" s="762"/>
      <c r="AB216" s="786"/>
      <c r="AC216" s="762"/>
      <c r="AD216" s="786"/>
      <c r="AE216" s="762"/>
      <c r="AF216" s="786"/>
      <c r="AG216" s="762"/>
      <c r="AH216" s="786"/>
      <c r="AI216" s="762"/>
      <c r="AJ216" s="762"/>
      <c r="AK216" s="786"/>
      <c r="AL216" s="762"/>
      <c r="AM216" s="786"/>
      <c r="AN216" s="762"/>
      <c r="AO216" s="786"/>
      <c r="AP216" s="762"/>
      <c r="AQ216" s="786"/>
      <c r="AR216" s="762"/>
      <c r="AS216" s="786"/>
      <c r="AT216" s="762"/>
      <c r="AU216" s="762"/>
      <c r="AV216" s="786"/>
      <c r="AW216" s="762"/>
      <c r="AX216" s="786"/>
      <c r="AY216" s="762"/>
      <c r="AZ216" s="786"/>
      <c r="BA216" s="762"/>
      <c r="BB216" s="786"/>
      <c r="BC216" s="762"/>
      <c r="BD216" s="786"/>
      <c r="BE216" s="762"/>
    </row>
    <row r="217" spans="1:57" s="49" customFormat="1">
      <c r="A217" s="887"/>
      <c r="B217" s="887"/>
      <c r="C217" s="960"/>
      <c r="D217" s="925"/>
      <c r="E217" s="762"/>
      <c r="F217" s="925"/>
      <c r="G217" s="762"/>
      <c r="H217" s="925"/>
      <c r="I217" s="762"/>
      <c r="J217" s="925"/>
      <c r="K217" s="762"/>
      <c r="L217" s="925"/>
      <c r="M217" s="762"/>
      <c r="N217" s="762"/>
      <c r="O217" s="925"/>
      <c r="P217" s="762"/>
      <c r="Q217" s="925"/>
      <c r="R217" s="762"/>
      <c r="S217" s="925"/>
      <c r="T217" s="762"/>
      <c r="U217" s="925"/>
      <c r="V217" s="762"/>
      <c r="W217" s="925"/>
      <c r="X217" s="762"/>
      <c r="Y217" s="762"/>
      <c r="Z217" s="786"/>
      <c r="AA217" s="762"/>
      <c r="AB217" s="786"/>
      <c r="AC217" s="762"/>
      <c r="AD217" s="786"/>
      <c r="AE217" s="762"/>
      <c r="AF217" s="786"/>
      <c r="AG217" s="762"/>
      <c r="AH217" s="786"/>
      <c r="AI217" s="762"/>
      <c r="AJ217" s="762"/>
      <c r="AK217" s="786"/>
      <c r="AL217" s="762"/>
      <c r="AM217" s="786"/>
      <c r="AN217" s="762"/>
      <c r="AO217" s="786"/>
      <c r="AP217" s="762"/>
      <c r="AQ217" s="786"/>
      <c r="AR217" s="762"/>
      <c r="AS217" s="786"/>
      <c r="AT217" s="762"/>
      <c r="AU217" s="762"/>
      <c r="AV217" s="786"/>
      <c r="AW217" s="762"/>
      <c r="AX217" s="786"/>
      <c r="AY217" s="762"/>
      <c r="AZ217" s="786"/>
      <c r="BA217" s="762"/>
      <c r="BB217" s="786"/>
      <c r="BC217" s="762"/>
      <c r="BD217" s="786"/>
      <c r="BE217" s="762"/>
    </row>
    <row r="218" spans="1:57" s="49" customFormat="1">
      <c r="A218" s="887"/>
      <c r="B218" s="887"/>
      <c r="C218" s="960"/>
      <c r="D218" s="925"/>
      <c r="E218" s="762"/>
      <c r="F218" s="925"/>
      <c r="G218" s="762"/>
      <c r="H218" s="925"/>
      <c r="I218" s="762"/>
      <c r="J218" s="925"/>
      <c r="K218" s="762"/>
      <c r="L218" s="925"/>
      <c r="M218" s="762"/>
      <c r="N218" s="762"/>
      <c r="O218" s="925"/>
      <c r="P218" s="762"/>
      <c r="Q218" s="925"/>
      <c r="R218" s="762"/>
      <c r="S218" s="925"/>
      <c r="T218" s="762"/>
      <c r="U218" s="925"/>
      <c r="V218" s="762"/>
      <c r="W218" s="925"/>
      <c r="X218" s="762"/>
      <c r="Y218" s="762"/>
      <c r="Z218" s="786"/>
      <c r="AA218" s="762"/>
      <c r="AB218" s="786"/>
      <c r="AC218" s="762"/>
      <c r="AD218" s="786"/>
      <c r="AE218" s="762"/>
      <c r="AF218" s="786"/>
      <c r="AG218" s="762"/>
      <c r="AH218" s="786"/>
      <c r="AI218" s="762"/>
      <c r="AJ218" s="762"/>
      <c r="AK218" s="786"/>
      <c r="AL218" s="762"/>
      <c r="AM218" s="786"/>
      <c r="AN218" s="762"/>
      <c r="AO218" s="786"/>
      <c r="AP218" s="762"/>
      <c r="AQ218" s="786"/>
      <c r="AR218" s="762"/>
      <c r="AS218" s="786"/>
      <c r="AT218" s="762"/>
      <c r="AU218" s="762"/>
      <c r="AV218" s="786"/>
      <c r="AW218" s="762"/>
      <c r="AX218" s="786"/>
      <c r="AY218" s="762"/>
      <c r="AZ218" s="786"/>
      <c r="BA218" s="762"/>
      <c r="BB218" s="786"/>
      <c r="BC218" s="762"/>
      <c r="BD218" s="786"/>
      <c r="BE218" s="762"/>
    </row>
    <row r="219" spans="1:57" s="49" customFormat="1">
      <c r="A219" s="887"/>
      <c r="B219" s="887"/>
      <c r="C219" s="960"/>
      <c r="D219" s="925"/>
      <c r="E219" s="762"/>
      <c r="F219" s="925"/>
      <c r="G219" s="762"/>
      <c r="H219" s="925"/>
      <c r="I219" s="762"/>
      <c r="J219" s="925"/>
      <c r="K219" s="762"/>
      <c r="L219" s="925"/>
      <c r="M219" s="762"/>
      <c r="N219" s="762"/>
      <c r="O219" s="925"/>
      <c r="P219" s="762"/>
      <c r="Q219" s="925"/>
      <c r="R219" s="762"/>
      <c r="S219" s="925"/>
      <c r="T219" s="762"/>
      <c r="U219" s="925"/>
      <c r="V219" s="762"/>
      <c r="W219" s="925"/>
      <c r="X219" s="762"/>
      <c r="Y219" s="762"/>
      <c r="Z219" s="786"/>
      <c r="AA219" s="762"/>
      <c r="AB219" s="786"/>
      <c r="AC219" s="762"/>
      <c r="AD219" s="786"/>
      <c r="AE219" s="762"/>
      <c r="AF219" s="786"/>
      <c r="AG219" s="762"/>
      <c r="AH219" s="786"/>
      <c r="AI219" s="762"/>
      <c r="AJ219" s="762"/>
      <c r="AK219" s="786"/>
      <c r="AL219" s="762"/>
      <c r="AM219" s="786"/>
      <c r="AN219" s="762"/>
      <c r="AO219" s="786"/>
      <c r="AP219" s="762"/>
      <c r="AQ219" s="786"/>
      <c r="AR219" s="762"/>
      <c r="AS219" s="786"/>
      <c r="AT219" s="762"/>
      <c r="AU219" s="762"/>
      <c r="AV219" s="786"/>
      <c r="AW219" s="762"/>
      <c r="AX219" s="786"/>
      <c r="AY219" s="762"/>
      <c r="AZ219" s="786"/>
      <c r="BA219" s="762"/>
      <c r="BB219" s="786"/>
      <c r="BC219" s="762"/>
      <c r="BD219" s="786"/>
      <c r="BE219" s="762"/>
    </row>
    <row r="220" spans="1:57" s="49" customFormat="1">
      <c r="A220" s="887"/>
      <c r="B220" s="887"/>
      <c r="C220" s="960"/>
      <c r="D220" s="925"/>
      <c r="E220" s="762"/>
      <c r="F220" s="925"/>
      <c r="G220" s="762"/>
      <c r="H220" s="925"/>
      <c r="I220" s="762"/>
      <c r="J220" s="925"/>
      <c r="K220" s="762"/>
      <c r="L220" s="925"/>
      <c r="M220" s="762"/>
      <c r="N220" s="762"/>
      <c r="O220" s="925"/>
      <c r="P220" s="762"/>
      <c r="Q220" s="925"/>
      <c r="R220" s="762"/>
      <c r="S220" s="925"/>
      <c r="T220" s="762"/>
      <c r="U220" s="925"/>
      <c r="V220" s="762"/>
      <c r="W220" s="925"/>
      <c r="X220" s="762"/>
      <c r="Y220" s="762"/>
      <c r="Z220" s="786"/>
      <c r="AA220" s="762"/>
      <c r="AB220" s="786"/>
      <c r="AC220" s="762"/>
      <c r="AD220" s="786"/>
      <c r="AE220" s="762"/>
      <c r="AF220" s="786"/>
      <c r="AG220" s="762"/>
      <c r="AH220" s="786"/>
      <c r="AI220" s="762"/>
      <c r="AJ220" s="762"/>
      <c r="AK220" s="786"/>
      <c r="AL220" s="762"/>
      <c r="AM220" s="786"/>
      <c r="AN220" s="762"/>
      <c r="AO220" s="786"/>
      <c r="AP220" s="762"/>
      <c r="AQ220" s="786"/>
      <c r="AR220" s="762"/>
      <c r="AS220" s="786"/>
      <c r="AT220" s="762"/>
      <c r="AU220" s="762"/>
      <c r="AV220" s="786"/>
      <c r="AW220" s="762"/>
      <c r="AX220" s="786"/>
      <c r="AY220" s="762"/>
      <c r="AZ220" s="786"/>
      <c r="BA220" s="762"/>
      <c r="BB220" s="786"/>
      <c r="BC220" s="762"/>
      <c r="BD220" s="786"/>
      <c r="BE220" s="762"/>
    </row>
    <row r="221" spans="1:57" s="49" customFormat="1">
      <c r="A221" s="887"/>
      <c r="B221" s="887"/>
      <c r="C221" s="960"/>
      <c r="D221" s="925"/>
      <c r="E221" s="762"/>
      <c r="F221" s="925"/>
      <c r="G221" s="762"/>
      <c r="H221" s="925"/>
      <c r="I221" s="762"/>
      <c r="J221" s="925"/>
      <c r="K221" s="762"/>
      <c r="L221" s="925"/>
      <c r="M221" s="762"/>
      <c r="N221" s="762"/>
      <c r="O221" s="925"/>
      <c r="P221" s="762"/>
      <c r="Q221" s="925"/>
      <c r="R221" s="762"/>
      <c r="S221" s="925"/>
      <c r="T221" s="762"/>
      <c r="U221" s="925"/>
      <c r="V221" s="762"/>
      <c r="W221" s="925"/>
      <c r="X221" s="762"/>
      <c r="Y221" s="762"/>
      <c r="Z221" s="786"/>
      <c r="AA221" s="762"/>
      <c r="AB221" s="786"/>
      <c r="AC221" s="762"/>
      <c r="AD221" s="786"/>
      <c r="AE221" s="762"/>
      <c r="AF221" s="786"/>
      <c r="AG221" s="762"/>
      <c r="AH221" s="786"/>
      <c r="AI221" s="762"/>
      <c r="AJ221" s="762"/>
      <c r="AK221" s="786"/>
      <c r="AL221" s="762"/>
      <c r="AM221" s="786"/>
      <c r="AN221" s="762"/>
      <c r="AO221" s="786"/>
      <c r="AP221" s="762"/>
      <c r="AQ221" s="786"/>
      <c r="AR221" s="762"/>
      <c r="AS221" s="786"/>
      <c r="AT221" s="762"/>
      <c r="AU221" s="762"/>
      <c r="AV221" s="786"/>
      <c r="AW221" s="762"/>
      <c r="AX221" s="786"/>
      <c r="AY221" s="762"/>
      <c r="AZ221" s="786"/>
      <c r="BA221" s="762"/>
      <c r="BB221" s="786"/>
      <c r="BC221" s="762"/>
      <c r="BD221" s="786"/>
      <c r="BE221" s="762"/>
    </row>
    <row r="222" spans="1:57" s="49" customFormat="1">
      <c r="A222" s="887"/>
      <c r="B222" s="887"/>
      <c r="C222" s="960"/>
      <c r="D222" s="925"/>
      <c r="E222" s="762"/>
      <c r="F222" s="925"/>
      <c r="G222" s="762"/>
      <c r="H222" s="925"/>
      <c r="I222" s="762"/>
      <c r="J222" s="925"/>
      <c r="K222" s="762"/>
      <c r="L222" s="925"/>
      <c r="M222" s="762"/>
      <c r="N222" s="762"/>
      <c r="O222" s="925"/>
      <c r="P222" s="762"/>
      <c r="Q222" s="925"/>
      <c r="R222" s="762"/>
      <c r="S222" s="925"/>
      <c r="T222" s="762"/>
      <c r="U222" s="925"/>
      <c r="V222" s="762"/>
      <c r="W222" s="925"/>
      <c r="X222" s="762"/>
      <c r="Y222" s="762"/>
      <c r="Z222" s="786"/>
      <c r="AA222" s="762"/>
      <c r="AB222" s="786"/>
      <c r="AC222" s="762"/>
      <c r="AD222" s="786"/>
      <c r="AE222" s="762"/>
      <c r="AF222" s="786"/>
      <c r="AG222" s="762"/>
      <c r="AH222" s="786"/>
      <c r="AI222" s="762"/>
      <c r="AJ222" s="762"/>
      <c r="AK222" s="786"/>
      <c r="AL222" s="762"/>
      <c r="AM222" s="786"/>
      <c r="AN222" s="762"/>
      <c r="AO222" s="786"/>
      <c r="AP222" s="762"/>
      <c r="AQ222" s="786"/>
      <c r="AR222" s="762"/>
      <c r="AS222" s="786"/>
      <c r="AT222" s="762"/>
      <c r="AU222" s="762"/>
      <c r="AV222" s="786"/>
      <c r="AW222" s="762"/>
      <c r="AX222" s="786"/>
      <c r="AY222" s="762"/>
      <c r="AZ222" s="786"/>
      <c r="BA222" s="762"/>
      <c r="BB222" s="786"/>
      <c r="BC222" s="762"/>
      <c r="BD222" s="786"/>
      <c r="BE222" s="762"/>
    </row>
    <row r="223" spans="1:57" s="49" customFormat="1">
      <c r="A223" s="887"/>
      <c r="B223" s="887"/>
      <c r="C223" s="960"/>
      <c r="D223" s="925"/>
      <c r="E223" s="762"/>
      <c r="F223" s="925"/>
      <c r="G223" s="762"/>
      <c r="H223" s="925"/>
      <c r="I223" s="762"/>
      <c r="J223" s="925"/>
      <c r="K223" s="762"/>
      <c r="L223" s="925"/>
      <c r="M223" s="762"/>
      <c r="N223" s="762"/>
      <c r="O223" s="925"/>
      <c r="P223" s="762"/>
      <c r="Q223" s="925"/>
      <c r="R223" s="762"/>
      <c r="S223" s="925"/>
      <c r="T223" s="762"/>
      <c r="U223" s="925"/>
      <c r="V223" s="762"/>
      <c r="W223" s="925"/>
      <c r="X223" s="762"/>
      <c r="Y223" s="762"/>
      <c r="Z223" s="786"/>
      <c r="AA223" s="762"/>
      <c r="AB223" s="786"/>
      <c r="AC223" s="762"/>
      <c r="AD223" s="786"/>
      <c r="AE223" s="762"/>
      <c r="AF223" s="786"/>
      <c r="AG223" s="762"/>
      <c r="AH223" s="786"/>
      <c r="AI223" s="762"/>
      <c r="AJ223" s="762"/>
      <c r="AK223" s="786"/>
      <c r="AL223" s="762"/>
      <c r="AM223" s="786"/>
      <c r="AN223" s="762"/>
      <c r="AO223" s="786"/>
      <c r="AP223" s="762"/>
      <c r="AQ223" s="786"/>
      <c r="AR223" s="762"/>
      <c r="AS223" s="786"/>
      <c r="AT223" s="762"/>
      <c r="AU223" s="762"/>
      <c r="AV223" s="786"/>
      <c r="AW223" s="762"/>
      <c r="AX223" s="786"/>
      <c r="AY223" s="762"/>
      <c r="AZ223" s="786"/>
      <c r="BA223" s="762"/>
      <c r="BB223" s="786"/>
      <c r="BC223" s="762"/>
      <c r="BD223" s="786"/>
      <c r="BE223" s="762"/>
    </row>
    <row r="224" spans="1:57" s="49" customFormat="1">
      <c r="A224" s="887"/>
      <c r="B224" s="887"/>
      <c r="C224" s="960"/>
      <c r="D224" s="925"/>
      <c r="E224" s="762"/>
      <c r="F224" s="925"/>
      <c r="G224" s="762"/>
      <c r="H224" s="925"/>
      <c r="I224" s="762"/>
      <c r="J224" s="925"/>
      <c r="K224" s="762"/>
      <c r="L224" s="925"/>
      <c r="M224" s="762"/>
      <c r="N224" s="762"/>
      <c r="O224" s="925"/>
      <c r="P224" s="762"/>
      <c r="Q224" s="925"/>
      <c r="R224" s="762"/>
      <c r="S224" s="925"/>
      <c r="T224" s="762"/>
      <c r="U224" s="925"/>
      <c r="V224" s="762"/>
      <c r="W224" s="925"/>
      <c r="X224" s="762"/>
      <c r="Y224" s="762"/>
      <c r="Z224" s="786"/>
      <c r="AA224" s="762"/>
      <c r="AB224" s="786"/>
      <c r="AC224" s="762"/>
      <c r="AD224" s="786"/>
      <c r="AE224" s="762"/>
      <c r="AF224" s="786"/>
      <c r="AG224" s="762"/>
      <c r="AH224" s="786"/>
      <c r="AI224" s="762"/>
      <c r="AJ224" s="762"/>
      <c r="AK224" s="786"/>
      <c r="AL224" s="762"/>
      <c r="AM224" s="786"/>
      <c r="AN224" s="762"/>
      <c r="AO224" s="786"/>
      <c r="AP224" s="762"/>
      <c r="AQ224" s="786"/>
      <c r="AR224" s="762"/>
      <c r="AS224" s="786"/>
      <c r="AT224" s="762"/>
      <c r="AU224" s="762"/>
      <c r="AV224" s="786"/>
      <c r="AW224" s="762"/>
      <c r="AX224" s="786"/>
      <c r="AY224" s="762"/>
      <c r="AZ224" s="786"/>
      <c r="BA224" s="762"/>
      <c r="BB224" s="786"/>
      <c r="BC224" s="762"/>
      <c r="BD224" s="786"/>
      <c r="BE224" s="762"/>
    </row>
    <row r="225" spans="1:57" s="49" customFormat="1">
      <c r="A225" s="887"/>
      <c r="B225" s="887"/>
      <c r="C225" s="960"/>
      <c r="D225" s="925"/>
      <c r="E225" s="762"/>
      <c r="F225" s="925"/>
      <c r="G225" s="762"/>
      <c r="H225" s="925"/>
      <c r="I225" s="762"/>
      <c r="J225" s="925"/>
      <c r="K225" s="762"/>
      <c r="L225" s="925"/>
      <c r="M225" s="762"/>
      <c r="N225" s="762"/>
      <c r="O225" s="925"/>
      <c r="P225" s="762"/>
      <c r="Q225" s="925"/>
      <c r="R225" s="762"/>
      <c r="S225" s="925"/>
      <c r="T225" s="762"/>
      <c r="U225" s="925"/>
      <c r="V225" s="762"/>
      <c r="W225" s="925"/>
      <c r="X225" s="762"/>
      <c r="Y225" s="762"/>
      <c r="Z225" s="786"/>
      <c r="AA225" s="762"/>
      <c r="AB225" s="786"/>
      <c r="AC225" s="762"/>
      <c r="AD225" s="786"/>
      <c r="AE225" s="762"/>
      <c r="AF225" s="786"/>
      <c r="AG225" s="762"/>
      <c r="AH225" s="786"/>
      <c r="AI225" s="762"/>
      <c r="AJ225" s="762"/>
      <c r="AK225" s="786"/>
      <c r="AL225" s="762"/>
      <c r="AM225" s="786"/>
      <c r="AN225" s="762"/>
      <c r="AO225" s="786"/>
      <c r="AP225" s="762"/>
      <c r="AQ225" s="786"/>
      <c r="AR225" s="762"/>
      <c r="AS225" s="786"/>
      <c r="AT225" s="762"/>
      <c r="AU225" s="762"/>
      <c r="AV225" s="786"/>
      <c r="AW225" s="762"/>
      <c r="AX225" s="786"/>
      <c r="AY225" s="762"/>
      <c r="AZ225" s="786"/>
      <c r="BA225" s="762"/>
      <c r="BB225" s="786"/>
      <c r="BC225" s="762"/>
      <c r="BD225" s="786"/>
      <c r="BE225" s="762"/>
    </row>
    <row r="226" spans="1:57" s="49" customFormat="1">
      <c r="A226" s="887"/>
      <c r="B226" s="887"/>
      <c r="C226" s="960"/>
      <c r="D226" s="925"/>
      <c r="E226" s="762"/>
      <c r="F226" s="925"/>
      <c r="G226" s="762"/>
      <c r="H226" s="925"/>
      <c r="I226" s="762"/>
      <c r="J226" s="925"/>
      <c r="K226" s="762"/>
      <c r="L226" s="925"/>
      <c r="M226" s="762"/>
      <c r="N226" s="762"/>
      <c r="O226" s="925"/>
      <c r="P226" s="762"/>
      <c r="Q226" s="925"/>
      <c r="R226" s="762"/>
      <c r="S226" s="925"/>
      <c r="T226" s="762"/>
      <c r="U226" s="925"/>
      <c r="V226" s="762"/>
      <c r="W226" s="925"/>
      <c r="X226" s="762"/>
      <c r="Y226" s="762"/>
      <c r="Z226" s="786"/>
      <c r="AA226" s="762"/>
      <c r="AB226" s="786"/>
      <c r="AC226" s="762"/>
      <c r="AD226" s="786"/>
      <c r="AE226" s="762"/>
      <c r="AF226" s="786"/>
      <c r="AG226" s="762"/>
      <c r="AH226" s="786"/>
      <c r="AI226" s="762"/>
      <c r="AJ226" s="762"/>
      <c r="AK226" s="786"/>
      <c r="AL226" s="762"/>
      <c r="AM226" s="786"/>
      <c r="AN226" s="762"/>
      <c r="AO226" s="786"/>
      <c r="AP226" s="762"/>
      <c r="AQ226" s="786"/>
      <c r="AR226" s="762"/>
      <c r="AS226" s="786"/>
      <c r="AT226" s="762"/>
      <c r="AU226" s="762"/>
      <c r="AV226" s="786"/>
      <c r="AW226" s="762"/>
      <c r="AX226" s="786"/>
      <c r="AY226" s="762"/>
      <c r="AZ226" s="786"/>
      <c r="BA226" s="762"/>
      <c r="BB226" s="786"/>
      <c r="BC226" s="762"/>
      <c r="BD226" s="786"/>
      <c r="BE226" s="762"/>
    </row>
    <row r="227" spans="1:57" s="49" customFormat="1">
      <c r="A227" s="887"/>
      <c r="B227" s="887"/>
      <c r="C227" s="960"/>
      <c r="D227" s="925"/>
      <c r="E227" s="762"/>
      <c r="F227" s="925"/>
      <c r="G227" s="762"/>
      <c r="H227" s="925"/>
      <c r="I227" s="762"/>
      <c r="J227" s="925"/>
      <c r="K227" s="762"/>
      <c r="L227" s="925"/>
      <c r="M227" s="762"/>
      <c r="N227" s="762"/>
      <c r="O227" s="925"/>
      <c r="P227" s="762"/>
      <c r="Q227" s="925"/>
      <c r="R227" s="762"/>
      <c r="S227" s="925"/>
      <c r="T227" s="762"/>
      <c r="U227" s="925"/>
      <c r="V227" s="762"/>
      <c r="W227" s="925"/>
      <c r="X227" s="762"/>
      <c r="Y227" s="762"/>
      <c r="Z227" s="786"/>
      <c r="AA227" s="762"/>
      <c r="AB227" s="786"/>
      <c r="AC227" s="762"/>
      <c r="AD227" s="786"/>
      <c r="AE227" s="762"/>
      <c r="AF227" s="786"/>
      <c r="AG227" s="762"/>
      <c r="AH227" s="786"/>
      <c r="AI227" s="762"/>
      <c r="AJ227" s="762"/>
      <c r="AK227" s="786"/>
      <c r="AL227" s="762"/>
      <c r="AM227" s="786"/>
      <c r="AN227" s="762"/>
      <c r="AO227" s="786"/>
      <c r="AP227" s="762"/>
      <c r="AQ227" s="786"/>
      <c r="AR227" s="762"/>
      <c r="AS227" s="786"/>
      <c r="AT227" s="762"/>
      <c r="AU227" s="762"/>
      <c r="AV227" s="786"/>
      <c r="AW227" s="762"/>
      <c r="AX227" s="786"/>
      <c r="AY227" s="762"/>
      <c r="AZ227" s="786"/>
      <c r="BA227" s="762"/>
      <c r="BB227" s="786"/>
      <c r="BC227" s="762"/>
      <c r="BD227" s="786"/>
      <c r="BE227" s="762"/>
    </row>
    <row r="228" spans="1:57" s="49" customFormat="1">
      <c r="A228" s="887"/>
      <c r="B228" s="887"/>
      <c r="C228" s="960"/>
      <c r="D228" s="925"/>
      <c r="E228" s="762"/>
      <c r="F228" s="925"/>
      <c r="G228" s="762"/>
      <c r="H228" s="925"/>
      <c r="I228" s="762"/>
      <c r="J228" s="925"/>
      <c r="K228" s="762"/>
      <c r="L228" s="925"/>
      <c r="M228" s="762"/>
      <c r="N228" s="762"/>
      <c r="O228" s="925"/>
      <c r="P228" s="762"/>
      <c r="Q228" s="925"/>
      <c r="R228" s="762"/>
      <c r="S228" s="925"/>
      <c r="T228" s="762"/>
      <c r="U228" s="925"/>
      <c r="V228" s="762"/>
      <c r="W228" s="925"/>
      <c r="X228" s="762"/>
      <c r="Y228" s="762"/>
      <c r="Z228" s="786"/>
      <c r="AA228" s="762"/>
      <c r="AB228" s="786"/>
      <c r="AC228" s="762"/>
      <c r="AD228" s="786"/>
      <c r="AE228" s="762"/>
      <c r="AF228" s="786"/>
      <c r="AG228" s="762"/>
      <c r="AH228" s="786"/>
      <c r="AI228" s="762"/>
      <c r="AJ228" s="762"/>
      <c r="AK228" s="786"/>
      <c r="AL228" s="762"/>
      <c r="AM228" s="786"/>
      <c r="AN228" s="762"/>
      <c r="AO228" s="786"/>
      <c r="AP228" s="762"/>
      <c r="AQ228" s="786"/>
      <c r="AR228" s="762"/>
      <c r="AS228" s="786"/>
      <c r="AT228" s="762"/>
      <c r="AU228" s="762"/>
      <c r="AV228" s="786"/>
      <c r="AW228" s="762"/>
      <c r="AX228" s="786"/>
      <c r="AY228" s="762"/>
      <c r="AZ228" s="786"/>
      <c r="BA228" s="762"/>
      <c r="BB228" s="786"/>
      <c r="BC228" s="762"/>
      <c r="BD228" s="786"/>
      <c r="BE228" s="762"/>
    </row>
    <row r="229" spans="1:57" s="49" customFormat="1">
      <c r="A229" s="887"/>
      <c r="B229" s="887"/>
      <c r="C229" s="960"/>
      <c r="D229" s="925"/>
      <c r="E229" s="762"/>
      <c r="F229" s="925"/>
      <c r="G229" s="762"/>
      <c r="H229" s="925"/>
      <c r="I229" s="762"/>
      <c r="J229" s="925"/>
      <c r="K229" s="762"/>
      <c r="L229" s="925"/>
      <c r="M229" s="762"/>
      <c r="N229" s="762"/>
      <c r="O229" s="925"/>
      <c r="P229" s="762"/>
      <c r="Q229" s="925"/>
      <c r="R229" s="762"/>
      <c r="S229" s="925"/>
      <c r="T229" s="762"/>
      <c r="U229" s="925"/>
      <c r="V229" s="762"/>
      <c r="W229" s="925"/>
      <c r="X229" s="762"/>
      <c r="Y229" s="762"/>
      <c r="Z229" s="786"/>
      <c r="AA229" s="762"/>
      <c r="AB229" s="786"/>
      <c r="AC229" s="762"/>
      <c r="AD229" s="786"/>
      <c r="AE229" s="762"/>
      <c r="AF229" s="786"/>
      <c r="AG229" s="762"/>
      <c r="AH229" s="786"/>
      <c r="AI229" s="762"/>
      <c r="AJ229" s="762"/>
      <c r="AK229" s="786"/>
      <c r="AL229" s="762"/>
      <c r="AM229" s="786"/>
      <c r="AN229" s="762"/>
      <c r="AO229" s="786"/>
      <c r="AP229" s="762"/>
      <c r="AQ229" s="786"/>
      <c r="AR229" s="762"/>
      <c r="AS229" s="786"/>
      <c r="AT229" s="762"/>
      <c r="AU229" s="762"/>
      <c r="AV229" s="786"/>
      <c r="AW229" s="762"/>
      <c r="AX229" s="786"/>
      <c r="AY229" s="762"/>
      <c r="AZ229" s="786"/>
      <c r="BA229" s="762"/>
      <c r="BB229" s="786"/>
      <c r="BC229" s="762"/>
      <c r="BD229" s="786"/>
      <c r="BE229" s="762"/>
    </row>
    <row r="230" spans="1:57" s="49" customFormat="1">
      <c r="A230" s="887"/>
      <c r="B230" s="887"/>
      <c r="C230" s="960"/>
      <c r="D230" s="925"/>
      <c r="E230" s="762"/>
      <c r="F230" s="925"/>
      <c r="G230" s="762"/>
      <c r="H230" s="925"/>
      <c r="I230" s="762"/>
      <c r="J230" s="925"/>
      <c r="K230" s="762"/>
      <c r="L230" s="925"/>
      <c r="M230" s="762"/>
      <c r="N230" s="762"/>
      <c r="O230" s="925"/>
      <c r="P230" s="762"/>
      <c r="Q230" s="925"/>
      <c r="R230" s="762"/>
      <c r="S230" s="925"/>
      <c r="T230" s="762"/>
      <c r="U230" s="925"/>
      <c r="V230" s="762"/>
      <c r="W230" s="925"/>
      <c r="X230" s="762"/>
      <c r="Y230" s="762"/>
      <c r="Z230" s="786"/>
      <c r="AA230" s="762"/>
      <c r="AB230" s="786"/>
      <c r="AC230" s="762"/>
      <c r="AD230" s="786"/>
      <c r="AE230" s="762"/>
      <c r="AF230" s="786"/>
      <c r="AG230" s="762"/>
      <c r="AH230" s="786"/>
      <c r="AI230" s="762"/>
      <c r="AJ230" s="762"/>
      <c r="AK230" s="786"/>
      <c r="AL230" s="762"/>
      <c r="AM230" s="786"/>
      <c r="AN230" s="762"/>
      <c r="AO230" s="786"/>
      <c r="AP230" s="762"/>
      <c r="AQ230" s="786"/>
      <c r="AR230" s="762"/>
      <c r="AS230" s="786"/>
      <c r="AT230" s="762"/>
      <c r="AU230" s="762"/>
      <c r="AV230" s="786"/>
      <c r="AW230" s="762"/>
      <c r="AX230" s="786"/>
      <c r="AY230" s="762"/>
      <c r="AZ230" s="786"/>
      <c r="BA230" s="762"/>
      <c r="BB230" s="786"/>
      <c r="BC230" s="762"/>
      <c r="BD230" s="786"/>
      <c r="BE230" s="762"/>
    </row>
    <row r="231" spans="1:57" s="49" customFormat="1">
      <c r="A231" s="887"/>
      <c r="B231" s="887"/>
      <c r="C231" s="960"/>
      <c r="D231" s="925"/>
      <c r="E231" s="762"/>
      <c r="F231" s="925"/>
      <c r="G231" s="762"/>
      <c r="H231" s="925"/>
      <c r="I231" s="762"/>
      <c r="J231" s="925"/>
      <c r="K231" s="762"/>
      <c r="L231" s="925"/>
      <c r="M231" s="762"/>
      <c r="N231" s="762"/>
      <c r="O231" s="925"/>
      <c r="P231" s="762"/>
      <c r="Q231" s="925"/>
      <c r="R231" s="762"/>
      <c r="S231" s="925"/>
      <c r="T231" s="762"/>
      <c r="U231" s="925"/>
      <c r="V231" s="762"/>
      <c r="W231" s="925"/>
      <c r="X231" s="762"/>
      <c r="Y231" s="762"/>
      <c r="Z231" s="786"/>
      <c r="AA231" s="762"/>
      <c r="AB231" s="786"/>
      <c r="AC231" s="762"/>
      <c r="AD231" s="786"/>
      <c r="AE231" s="762"/>
      <c r="AF231" s="786"/>
      <c r="AG231" s="762"/>
      <c r="AH231" s="786"/>
      <c r="AI231" s="762"/>
      <c r="AJ231" s="762"/>
      <c r="AK231" s="786"/>
      <c r="AL231" s="762"/>
      <c r="AM231" s="786"/>
      <c r="AN231" s="762"/>
      <c r="AO231" s="786"/>
      <c r="AP231" s="762"/>
      <c r="AQ231" s="786"/>
      <c r="AR231" s="762"/>
      <c r="AS231" s="786"/>
      <c r="AT231" s="762"/>
      <c r="AU231" s="762"/>
      <c r="AV231" s="786"/>
      <c r="AW231" s="762"/>
      <c r="AX231" s="786"/>
      <c r="AY231" s="762"/>
      <c r="AZ231" s="786"/>
      <c r="BA231" s="762"/>
      <c r="BB231" s="786"/>
      <c r="BC231" s="762"/>
      <c r="BD231" s="786"/>
      <c r="BE231" s="762"/>
    </row>
    <row r="232" spans="1:57" s="49" customFormat="1">
      <c r="A232" s="887"/>
      <c r="B232" s="887"/>
      <c r="C232" s="960"/>
      <c r="D232" s="925"/>
      <c r="E232" s="762"/>
      <c r="F232" s="925"/>
      <c r="G232" s="762"/>
      <c r="H232" s="925"/>
      <c r="I232" s="762"/>
      <c r="J232" s="925"/>
      <c r="K232" s="762"/>
      <c r="L232" s="925"/>
      <c r="M232" s="762"/>
      <c r="N232" s="762"/>
      <c r="O232" s="925"/>
      <c r="P232" s="762"/>
      <c r="Q232" s="925"/>
      <c r="R232" s="762"/>
      <c r="S232" s="925"/>
      <c r="T232" s="762"/>
      <c r="U232" s="925"/>
      <c r="V232" s="762"/>
      <c r="W232" s="925"/>
      <c r="X232" s="762"/>
      <c r="Y232" s="762"/>
      <c r="Z232" s="786"/>
      <c r="AA232" s="762"/>
      <c r="AB232" s="786"/>
      <c r="AC232" s="762"/>
      <c r="AD232" s="786"/>
      <c r="AE232" s="762"/>
      <c r="AF232" s="786"/>
      <c r="AG232" s="762"/>
      <c r="AH232" s="786"/>
      <c r="AI232" s="762"/>
      <c r="AJ232" s="762"/>
      <c r="AK232" s="786"/>
      <c r="AL232" s="762"/>
      <c r="AM232" s="786"/>
      <c r="AN232" s="762"/>
      <c r="AO232" s="786"/>
      <c r="AP232" s="762"/>
      <c r="AQ232" s="786"/>
      <c r="AR232" s="762"/>
      <c r="AS232" s="786"/>
      <c r="AT232" s="762"/>
      <c r="AU232" s="762"/>
      <c r="AV232" s="786"/>
      <c r="AW232" s="762"/>
      <c r="AX232" s="786"/>
      <c r="AY232" s="762"/>
      <c r="AZ232" s="786"/>
      <c r="BA232" s="762"/>
      <c r="BB232" s="786"/>
      <c r="BC232" s="762"/>
      <c r="BD232" s="786"/>
      <c r="BE232" s="762"/>
    </row>
    <row r="233" spans="1:57" s="49" customFormat="1">
      <c r="A233" s="887"/>
      <c r="B233" s="887"/>
      <c r="C233" s="960"/>
      <c r="D233" s="925"/>
      <c r="E233" s="762"/>
      <c r="F233" s="925"/>
      <c r="G233" s="762"/>
      <c r="H233" s="925"/>
      <c r="I233" s="762"/>
      <c r="J233" s="925"/>
      <c r="K233" s="762"/>
      <c r="L233" s="925"/>
      <c r="M233" s="762"/>
      <c r="N233" s="762"/>
      <c r="O233" s="925"/>
      <c r="P233" s="762"/>
      <c r="Q233" s="925"/>
      <c r="R233" s="762"/>
      <c r="S233" s="925"/>
      <c r="T233" s="762"/>
      <c r="U233" s="925"/>
      <c r="V233" s="762"/>
      <c r="W233" s="925"/>
      <c r="X233" s="762"/>
      <c r="Y233" s="762"/>
      <c r="Z233" s="786"/>
      <c r="AA233" s="762"/>
      <c r="AB233" s="786"/>
      <c r="AC233" s="762"/>
      <c r="AD233" s="786"/>
      <c r="AE233" s="762"/>
      <c r="AF233" s="786"/>
      <c r="AG233" s="762"/>
      <c r="AH233" s="786"/>
      <c r="AI233" s="762"/>
      <c r="AJ233" s="762"/>
      <c r="AK233" s="786"/>
      <c r="AL233" s="762"/>
      <c r="AM233" s="786"/>
      <c r="AN233" s="762"/>
      <c r="AO233" s="786"/>
      <c r="AP233" s="762"/>
      <c r="AQ233" s="786"/>
      <c r="AR233" s="762"/>
      <c r="AS233" s="786"/>
      <c r="AT233" s="762"/>
      <c r="AU233" s="762"/>
      <c r="AV233" s="786"/>
      <c r="AW233" s="762"/>
      <c r="AX233" s="786"/>
      <c r="AY233" s="762"/>
      <c r="AZ233" s="786"/>
      <c r="BA233" s="762"/>
      <c r="BB233" s="786"/>
      <c r="BC233" s="762"/>
      <c r="BD233" s="786"/>
      <c r="BE233" s="762"/>
    </row>
    <row r="234" spans="1:57" s="49" customFormat="1">
      <c r="A234" s="887"/>
      <c r="B234" s="887"/>
      <c r="C234" s="960"/>
      <c r="D234" s="925"/>
      <c r="E234" s="762"/>
      <c r="F234" s="925"/>
      <c r="G234" s="762"/>
      <c r="H234" s="925"/>
      <c r="I234" s="762"/>
      <c r="J234" s="925"/>
      <c r="K234" s="762"/>
      <c r="L234" s="925"/>
      <c r="M234" s="762"/>
      <c r="N234" s="762"/>
      <c r="O234" s="925"/>
      <c r="P234" s="762"/>
      <c r="Q234" s="925"/>
      <c r="R234" s="762"/>
      <c r="S234" s="925"/>
      <c r="T234" s="762"/>
      <c r="U234" s="925"/>
      <c r="V234" s="762"/>
      <c r="W234" s="925"/>
      <c r="X234" s="762"/>
      <c r="Y234" s="762"/>
      <c r="Z234" s="786"/>
      <c r="AA234" s="762"/>
      <c r="AB234" s="786"/>
      <c r="AC234" s="762"/>
      <c r="AD234" s="786"/>
      <c r="AE234" s="762"/>
      <c r="AF234" s="786"/>
      <c r="AG234" s="762"/>
      <c r="AH234" s="786"/>
      <c r="AI234" s="762"/>
      <c r="AJ234" s="762"/>
      <c r="AK234" s="786"/>
      <c r="AL234" s="762"/>
      <c r="AM234" s="786"/>
      <c r="AN234" s="762"/>
      <c r="AO234" s="786"/>
      <c r="AP234" s="762"/>
      <c r="AQ234" s="786"/>
      <c r="AR234" s="762"/>
      <c r="AS234" s="786"/>
      <c r="AT234" s="762"/>
      <c r="AU234" s="762"/>
      <c r="AV234" s="786"/>
      <c r="AW234" s="762"/>
      <c r="AX234" s="786"/>
      <c r="AY234" s="762"/>
      <c r="AZ234" s="786"/>
      <c r="BA234" s="762"/>
      <c r="BB234" s="786"/>
      <c r="BC234" s="762"/>
      <c r="BD234" s="786"/>
      <c r="BE234" s="762"/>
    </row>
    <row r="235" spans="1:57" s="49" customFormat="1">
      <c r="A235" s="887"/>
      <c r="B235" s="887"/>
      <c r="C235" s="960"/>
      <c r="D235" s="925"/>
      <c r="E235" s="762"/>
      <c r="F235" s="925"/>
      <c r="G235" s="762"/>
      <c r="H235" s="925"/>
      <c r="I235" s="762"/>
      <c r="J235" s="925"/>
      <c r="K235" s="762"/>
      <c r="L235" s="925"/>
      <c r="M235" s="762"/>
      <c r="N235" s="762"/>
      <c r="O235" s="925"/>
      <c r="P235" s="762"/>
      <c r="Q235" s="925"/>
      <c r="R235" s="762"/>
      <c r="S235" s="925"/>
      <c r="T235" s="762"/>
      <c r="U235" s="925"/>
      <c r="V235" s="762"/>
      <c r="W235" s="925"/>
      <c r="X235" s="762"/>
      <c r="Y235" s="762"/>
      <c r="Z235" s="786"/>
      <c r="AA235" s="762"/>
      <c r="AB235" s="786"/>
      <c r="AC235" s="762"/>
      <c r="AD235" s="786"/>
      <c r="AE235" s="762"/>
      <c r="AF235" s="786"/>
      <c r="AG235" s="762"/>
      <c r="AH235" s="786"/>
      <c r="AI235" s="762"/>
      <c r="AJ235" s="762"/>
      <c r="AK235" s="786"/>
      <c r="AL235" s="762"/>
      <c r="AM235" s="786"/>
      <c r="AN235" s="762"/>
      <c r="AO235" s="786"/>
      <c r="AP235" s="762"/>
      <c r="AQ235" s="786"/>
      <c r="AR235" s="762"/>
      <c r="AS235" s="786"/>
      <c r="AT235" s="762"/>
      <c r="AU235" s="762"/>
      <c r="AV235" s="786"/>
      <c r="AW235" s="762"/>
      <c r="AX235" s="786"/>
      <c r="AY235" s="762"/>
      <c r="AZ235" s="786"/>
      <c r="BA235" s="762"/>
      <c r="BB235" s="786"/>
      <c r="BC235" s="762"/>
      <c r="BD235" s="786"/>
      <c r="BE235" s="762"/>
    </row>
    <row r="236" spans="1:57" s="49" customFormat="1">
      <c r="A236" s="887"/>
      <c r="B236" s="887"/>
      <c r="C236" s="960"/>
      <c r="D236" s="925"/>
      <c r="E236" s="762"/>
      <c r="F236" s="925"/>
      <c r="G236" s="762"/>
      <c r="H236" s="925"/>
      <c r="I236" s="762"/>
      <c r="J236" s="925"/>
      <c r="K236" s="762"/>
      <c r="L236" s="925"/>
      <c r="M236" s="762"/>
      <c r="N236" s="762"/>
      <c r="O236" s="925"/>
      <c r="P236" s="762"/>
      <c r="Q236" s="925"/>
      <c r="R236" s="762"/>
      <c r="S236" s="925"/>
      <c r="T236" s="762"/>
      <c r="U236" s="925"/>
      <c r="V236" s="762"/>
      <c r="W236" s="925"/>
      <c r="X236" s="762"/>
      <c r="Y236" s="762"/>
      <c r="Z236" s="786"/>
      <c r="AA236" s="762"/>
      <c r="AB236" s="786"/>
      <c r="AC236" s="762"/>
      <c r="AD236" s="786"/>
      <c r="AE236" s="762"/>
      <c r="AF236" s="786"/>
      <c r="AG236" s="762"/>
      <c r="AH236" s="786"/>
      <c r="AI236" s="762"/>
      <c r="AJ236" s="762"/>
      <c r="AK236" s="786"/>
      <c r="AL236" s="762"/>
      <c r="AM236" s="786"/>
      <c r="AN236" s="762"/>
      <c r="AO236" s="786"/>
      <c r="AP236" s="762"/>
      <c r="AQ236" s="786"/>
      <c r="AR236" s="762"/>
      <c r="AS236" s="786"/>
      <c r="AT236" s="762"/>
      <c r="AU236" s="762"/>
      <c r="AV236" s="786"/>
      <c r="AW236" s="762"/>
      <c r="AX236" s="786"/>
      <c r="AY236" s="762"/>
      <c r="AZ236" s="786"/>
      <c r="BA236" s="762"/>
      <c r="BB236" s="786"/>
      <c r="BC236" s="762"/>
      <c r="BD236" s="786"/>
      <c r="BE236" s="762"/>
    </row>
    <row r="237" spans="1:57" s="49" customFormat="1">
      <c r="A237" s="887"/>
      <c r="B237" s="887"/>
      <c r="C237" s="960"/>
      <c r="D237" s="925"/>
      <c r="E237" s="762"/>
      <c r="F237" s="925"/>
      <c r="G237" s="762"/>
      <c r="H237" s="925"/>
      <c r="I237" s="762"/>
      <c r="J237" s="925"/>
      <c r="K237" s="762"/>
      <c r="L237" s="925"/>
      <c r="M237" s="762"/>
      <c r="N237" s="762"/>
      <c r="O237" s="925"/>
      <c r="P237" s="762"/>
      <c r="Q237" s="925"/>
      <c r="R237" s="762"/>
      <c r="S237" s="925"/>
      <c r="T237" s="762"/>
      <c r="U237" s="925"/>
      <c r="V237" s="762"/>
      <c r="W237" s="925"/>
      <c r="X237" s="762"/>
      <c r="Y237" s="762"/>
      <c r="Z237" s="786"/>
      <c r="AA237" s="762"/>
      <c r="AB237" s="786"/>
      <c r="AC237" s="762"/>
      <c r="AD237" s="786"/>
      <c r="AE237" s="762"/>
      <c r="AF237" s="786"/>
      <c r="AG237" s="762"/>
      <c r="AH237" s="786"/>
      <c r="AI237" s="762"/>
      <c r="AJ237" s="762"/>
      <c r="AK237" s="786"/>
      <c r="AL237" s="762"/>
      <c r="AM237" s="786"/>
      <c r="AN237" s="762"/>
      <c r="AO237" s="786"/>
      <c r="AP237" s="762"/>
      <c r="AQ237" s="786"/>
      <c r="AR237" s="762"/>
      <c r="AS237" s="786"/>
      <c r="AT237" s="762"/>
      <c r="AU237" s="762"/>
      <c r="AV237" s="786"/>
      <c r="AW237" s="762"/>
      <c r="AX237" s="786"/>
      <c r="AY237" s="762"/>
      <c r="AZ237" s="786"/>
      <c r="BA237" s="762"/>
      <c r="BB237" s="786"/>
      <c r="BC237" s="762"/>
      <c r="BD237" s="786"/>
      <c r="BE237" s="762"/>
    </row>
    <row r="238" spans="1:57" s="49" customFormat="1">
      <c r="A238" s="887"/>
      <c r="B238" s="887"/>
      <c r="C238" s="960"/>
      <c r="D238" s="925"/>
      <c r="E238" s="762"/>
      <c r="F238" s="925"/>
      <c r="G238" s="762"/>
      <c r="H238" s="925"/>
      <c r="I238" s="762"/>
      <c r="J238" s="925"/>
      <c r="K238" s="762"/>
      <c r="L238" s="925"/>
      <c r="M238" s="762"/>
      <c r="N238" s="762"/>
      <c r="O238" s="925"/>
      <c r="P238" s="762"/>
      <c r="Q238" s="925"/>
      <c r="R238" s="762"/>
      <c r="S238" s="925"/>
      <c r="T238" s="762"/>
      <c r="U238" s="925"/>
      <c r="V238" s="762"/>
      <c r="W238" s="925"/>
      <c r="X238" s="762"/>
      <c r="Y238" s="762"/>
      <c r="Z238" s="786"/>
      <c r="AA238" s="762"/>
      <c r="AB238" s="786"/>
      <c r="AC238" s="762"/>
      <c r="AD238" s="786"/>
      <c r="AE238" s="762"/>
      <c r="AF238" s="786"/>
      <c r="AG238" s="762"/>
      <c r="AH238" s="786"/>
      <c r="AI238" s="762"/>
      <c r="AJ238" s="762"/>
      <c r="AK238" s="786"/>
      <c r="AL238" s="762"/>
      <c r="AM238" s="786"/>
      <c r="AN238" s="762"/>
      <c r="AO238" s="786"/>
      <c r="AP238" s="762"/>
      <c r="AQ238" s="786"/>
      <c r="AR238" s="762"/>
      <c r="AS238" s="786"/>
      <c r="AT238" s="762"/>
      <c r="AU238" s="762"/>
      <c r="AV238" s="786"/>
      <c r="AW238" s="762"/>
      <c r="AX238" s="786"/>
      <c r="AY238" s="762"/>
      <c r="AZ238" s="786"/>
      <c r="BA238" s="762"/>
      <c r="BB238" s="786"/>
      <c r="BC238" s="762"/>
      <c r="BD238" s="786"/>
      <c r="BE238" s="762"/>
    </row>
    <row r="239" spans="1:57" s="49" customFormat="1">
      <c r="A239" s="887"/>
      <c r="B239" s="887"/>
      <c r="C239" s="960"/>
      <c r="D239" s="925"/>
      <c r="E239" s="762"/>
      <c r="F239" s="925"/>
      <c r="G239" s="762"/>
      <c r="H239" s="925"/>
      <c r="I239" s="762"/>
      <c r="J239" s="925"/>
      <c r="K239" s="762"/>
      <c r="L239" s="925"/>
      <c r="M239" s="762"/>
      <c r="N239" s="762"/>
      <c r="O239" s="925"/>
      <c r="P239" s="762"/>
      <c r="Q239" s="925"/>
      <c r="R239" s="762"/>
      <c r="S239" s="925"/>
      <c r="T239" s="762"/>
      <c r="U239" s="925"/>
      <c r="V239" s="762"/>
      <c r="W239" s="925"/>
      <c r="X239" s="762"/>
      <c r="Y239" s="762"/>
      <c r="Z239" s="786"/>
      <c r="AA239" s="762"/>
      <c r="AB239" s="786"/>
      <c r="AC239" s="762"/>
      <c r="AD239" s="786"/>
      <c r="AE239" s="762"/>
      <c r="AF239" s="786"/>
      <c r="AG239" s="762"/>
      <c r="AH239" s="786"/>
      <c r="AI239" s="762"/>
      <c r="AJ239" s="762"/>
      <c r="AK239" s="786"/>
      <c r="AL239" s="762"/>
      <c r="AM239" s="786"/>
      <c r="AN239" s="762"/>
      <c r="AO239" s="786"/>
      <c r="AP239" s="762"/>
      <c r="AQ239" s="786"/>
      <c r="AR239" s="762"/>
      <c r="AS239" s="786"/>
      <c r="AT239" s="762"/>
      <c r="AU239" s="762"/>
      <c r="AV239" s="786"/>
      <c r="AW239" s="762"/>
      <c r="AX239" s="786"/>
      <c r="AY239" s="762"/>
      <c r="AZ239" s="786"/>
      <c r="BA239" s="762"/>
      <c r="BB239" s="786"/>
      <c r="BC239" s="762"/>
      <c r="BD239" s="786"/>
      <c r="BE239" s="762"/>
    </row>
    <row r="240" spans="1:57" s="49" customFormat="1">
      <c r="A240" s="887"/>
      <c r="B240" s="887"/>
      <c r="C240" s="960"/>
      <c r="D240" s="925"/>
      <c r="E240" s="762"/>
      <c r="F240" s="925"/>
      <c r="G240" s="762"/>
      <c r="H240" s="925"/>
      <c r="I240" s="762"/>
      <c r="J240" s="925"/>
      <c r="K240" s="762"/>
      <c r="L240" s="925"/>
      <c r="M240" s="762"/>
      <c r="N240" s="762"/>
      <c r="O240" s="925"/>
      <c r="P240" s="762"/>
      <c r="Q240" s="925"/>
      <c r="R240" s="762"/>
      <c r="S240" s="925"/>
      <c r="T240" s="762"/>
      <c r="U240" s="925"/>
      <c r="V240" s="762"/>
      <c r="W240" s="925"/>
      <c r="X240" s="762"/>
      <c r="Y240" s="762"/>
      <c r="Z240" s="786"/>
      <c r="AA240" s="762"/>
      <c r="AB240" s="786"/>
      <c r="AC240" s="762"/>
      <c r="AD240" s="786"/>
      <c r="AE240" s="762"/>
      <c r="AF240" s="786"/>
      <c r="AG240" s="762"/>
      <c r="AH240" s="786"/>
      <c r="AI240" s="762"/>
      <c r="AJ240" s="762"/>
      <c r="AK240" s="786"/>
      <c r="AL240" s="762"/>
      <c r="AM240" s="786"/>
      <c r="AN240" s="762"/>
      <c r="AO240" s="786"/>
      <c r="AP240" s="762"/>
      <c r="AQ240" s="786"/>
      <c r="AR240" s="762"/>
      <c r="AS240" s="786"/>
      <c r="AT240" s="762"/>
      <c r="AU240" s="762"/>
      <c r="AV240" s="786"/>
      <c r="AW240" s="762"/>
      <c r="AX240" s="786"/>
      <c r="AY240" s="762"/>
      <c r="AZ240" s="786"/>
      <c r="BA240" s="762"/>
      <c r="BB240" s="786"/>
      <c r="BC240" s="762"/>
      <c r="BD240" s="786"/>
      <c r="BE240" s="762"/>
    </row>
    <row r="241" spans="1:57" s="49" customFormat="1">
      <c r="A241" s="887"/>
      <c r="B241" s="887"/>
      <c r="C241" s="960"/>
      <c r="D241" s="925"/>
      <c r="E241" s="762"/>
      <c r="F241" s="925"/>
      <c r="G241" s="762"/>
      <c r="H241" s="925"/>
      <c r="I241" s="762"/>
      <c r="J241" s="925"/>
      <c r="K241" s="762"/>
      <c r="L241" s="925"/>
      <c r="M241" s="762"/>
      <c r="N241" s="762"/>
      <c r="O241" s="925"/>
      <c r="P241" s="762"/>
      <c r="Q241" s="925"/>
      <c r="R241" s="762"/>
      <c r="S241" s="925"/>
      <c r="T241" s="762"/>
      <c r="U241" s="925"/>
      <c r="V241" s="762"/>
      <c r="W241" s="925"/>
      <c r="X241" s="762"/>
      <c r="Y241" s="762"/>
      <c r="Z241" s="786"/>
      <c r="AA241" s="762"/>
      <c r="AB241" s="786"/>
      <c r="AC241" s="762"/>
      <c r="AD241" s="786"/>
      <c r="AE241" s="762"/>
      <c r="AF241" s="786"/>
      <c r="AG241" s="762"/>
      <c r="AH241" s="786"/>
      <c r="AI241" s="762"/>
      <c r="AJ241" s="762"/>
      <c r="AK241" s="786"/>
      <c r="AL241" s="762"/>
      <c r="AM241" s="786"/>
      <c r="AN241" s="762"/>
      <c r="AO241" s="786"/>
      <c r="AP241" s="762"/>
      <c r="AQ241" s="786"/>
      <c r="AR241" s="762"/>
      <c r="AS241" s="786"/>
      <c r="AT241" s="762"/>
      <c r="AU241" s="762"/>
      <c r="AV241" s="786"/>
      <c r="AW241" s="762"/>
      <c r="AX241" s="786"/>
      <c r="AY241" s="762"/>
      <c r="AZ241" s="786"/>
      <c r="BA241" s="762"/>
      <c r="BB241" s="786"/>
      <c r="BC241" s="762"/>
      <c r="BD241" s="786"/>
      <c r="BE241" s="762"/>
    </row>
    <row r="242" spans="1:57" s="49" customFormat="1">
      <c r="A242" s="887"/>
      <c r="B242" s="887"/>
      <c r="C242" s="960"/>
      <c r="D242" s="925"/>
      <c r="E242" s="762"/>
      <c r="F242" s="925"/>
      <c r="G242" s="762"/>
      <c r="H242" s="925"/>
      <c r="I242" s="762"/>
      <c r="J242" s="925"/>
      <c r="K242" s="762"/>
      <c r="L242" s="925"/>
      <c r="M242" s="762"/>
      <c r="N242" s="762"/>
      <c r="O242" s="925"/>
      <c r="P242" s="762"/>
      <c r="Q242" s="925"/>
      <c r="R242" s="762"/>
      <c r="S242" s="925"/>
      <c r="T242" s="762"/>
      <c r="U242" s="925"/>
      <c r="V242" s="762"/>
      <c r="W242" s="925"/>
      <c r="X242" s="762"/>
      <c r="Y242" s="762"/>
      <c r="Z242" s="786"/>
      <c r="AA242" s="762"/>
      <c r="AB242" s="786"/>
      <c r="AC242" s="762"/>
      <c r="AD242" s="786"/>
      <c r="AE242" s="762"/>
      <c r="AF242" s="786"/>
      <c r="AG242" s="762"/>
      <c r="AH242" s="786"/>
      <c r="AI242" s="762"/>
      <c r="AJ242" s="762"/>
      <c r="AK242" s="786"/>
      <c r="AL242" s="762"/>
      <c r="AM242" s="786"/>
      <c r="AN242" s="762"/>
      <c r="AO242" s="786"/>
      <c r="AP242" s="762"/>
      <c r="AQ242" s="786"/>
      <c r="AR242" s="762"/>
      <c r="AS242" s="786"/>
      <c r="AT242" s="762"/>
      <c r="AU242" s="762"/>
      <c r="AV242" s="786"/>
      <c r="AW242" s="762"/>
      <c r="AX242" s="786"/>
      <c r="AY242" s="762"/>
      <c r="AZ242" s="786"/>
      <c r="BA242" s="762"/>
      <c r="BB242" s="786"/>
      <c r="BC242" s="762"/>
      <c r="BD242" s="786"/>
      <c r="BE242" s="762"/>
    </row>
    <row r="243" spans="1:57" s="49" customFormat="1">
      <c r="A243" s="887"/>
      <c r="B243" s="887"/>
      <c r="C243" s="960"/>
      <c r="D243" s="925"/>
      <c r="E243" s="762"/>
      <c r="F243" s="925"/>
      <c r="G243" s="762"/>
      <c r="H243" s="925"/>
      <c r="I243" s="762"/>
      <c r="J243" s="925"/>
      <c r="K243" s="762"/>
      <c r="L243" s="925"/>
      <c r="M243" s="762"/>
      <c r="N243" s="762"/>
      <c r="O243" s="925"/>
      <c r="P243" s="762"/>
      <c r="Q243" s="925"/>
      <c r="R243" s="762"/>
      <c r="S243" s="925"/>
      <c r="T243" s="762"/>
      <c r="U243" s="925"/>
      <c r="V243" s="762"/>
      <c r="W243" s="925"/>
      <c r="X243" s="762"/>
      <c r="Y243" s="762"/>
      <c r="Z243" s="786"/>
      <c r="AA243" s="762"/>
      <c r="AB243" s="786"/>
      <c r="AC243" s="762"/>
      <c r="AD243" s="786"/>
      <c r="AE243" s="762"/>
      <c r="AF243" s="786"/>
      <c r="AG243" s="762"/>
      <c r="AH243" s="786"/>
      <c r="AI243" s="762"/>
      <c r="AJ243" s="762"/>
      <c r="AK243" s="786"/>
      <c r="AL243" s="762"/>
      <c r="AM243" s="786"/>
      <c r="AN243" s="762"/>
      <c r="AO243" s="786"/>
      <c r="AP243" s="762"/>
      <c r="AQ243" s="786"/>
      <c r="AR243" s="762"/>
      <c r="AS243" s="786"/>
      <c r="AT243" s="762"/>
      <c r="AU243" s="762"/>
      <c r="AV243" s="786"/>
      <c r="AW243" s="762"/>
      <c r="AX243" s="786"/>
      <c r="AY243" s="762"/>
      <c r="AZ243" s="786"/>
      <c r="BA243" s="762"/>
      <c r="BB243" s="786"/>
      <c r="BC243" s="762"/>
      <c r="BD243" s="786"/>
      <c r="BE243" s="762"/>
    </row>
    <row r="244" spans="1:57" s="49" customFormat="1">
      <c r="A244" s="887"/>
      <c r="B244" s="887"/>
      <c r="C244" s="960"/>
      <c r="D244" s="925"/>
      <c r="E244" s="762"/>
      <c r="F244" s="925"/>
      <c r="G244" s="762"/>
      <c r="H244" s="925"/>
      <c r="I244" s="762"/>
      <c r="J244" s="925"/>
      <c r="K244" s="762"/>
      <c r="L244" s="925"/>
      <c r="M244" s="762"/>
      <c r="N244" s="762"/>
      <c r="O244" s="925"/>
      <c r="P244" s="762"/>
      <c r="Q244" s="925"/>
      <c r="R244" s="762"/>
      <c r="S244" s="925"/>
      <c r="T244" s="762"/>
      <c r="U244" s="925"/>
      <c r="V244" s="762"/>
      <c r="W244" s="925"/>
      <c r="X244" s="762"/>
      <c r="Y244" s="762"/>
      <c r="Z244" s="786"/>
      <c r="AA244" s="762"/>
      <c r="AB244" s="786"/>
      <c r="AC244" s="762"/>
      <c r="AD244" s="786"/>
      <c r="AE244" s="762"/>
      <c r="AF244" s="786"/>
      <c r="AG244" s="762"/>
      <c r="AH244" s="786"/>
      <c r="AI244" s="762"/>
      <c r="AJ244" s="762"/>
      <c r="AK244" s="786"/>
      <c r="AL244" s="762"/>
      <c r="AM244" s="786"/>
      <c r="AN244" s="762"/>
      <c r="AO244" s="786"/>
      <c r="AP244" s="762"/>
      <c r="AQ244" s="786"/>
      <c r="AR244" s="762"/>
      <c r="AS244" s="786"/>
      <c r="AT244" s="762"/>
      <c r="AU244" s="762"/>
      <c r="AV244" s="786"/>
      <c r="AW244" s="762"/>
      <c r="AX244" s="786"/>
      <c r="AY244" s="762"/>
      <c r="AZ244" s="786"/>
      <c r="BA244" s="762"/>
      <c r="BB244" s="786"/>
      <c r="BC244" s="762"/>
      <c r="BD244" s="786"/>
      <c r="BE244" s="762"/>
    </row>
    <row r="245" spans="1:57" s="49" customFormat="1">
      <c r="A245" s="887"/>
      <c r="B245" s="887"/>
      <c r="C245" s="960"/>
      <c r="D245" s="925"/>
      <c r="E245" s="762"/>
      <c r="F245" s="925"/>
      <c r="G245" s="762"/>
      <c r="H245" s="925"/>
      <c r="I245" s="762"/>
      <c r="J245" s="925"/>
      <c r="K245" s="762"/>
      <c r="L245" s="925"/>
      <c r="M245" s="762"/>
      <c r="N245" s="762"/>
      <c r="O245" s="925"/>
      <c r="P245" s="762"/>
      <c r="Q245" s="925"/>
      <c r="R245" s="762"/>
      <c r="S245" s="925"/>
      <c r="T245" s="762"/>
      <c r="U245" s="925"/>
      <c r="V245" s="762"/>
      <c r="W245" s="925"/>
      <c r="X245" s="762"/>
      <c r="Y245" s="762"/>
      <c r="Z245" s="786"/>
      <c r="AA245" s="762"/>
      <c r="AB245" s="786"/>
      <c r="AC245" s="762"/>
      <c r="AD245" s="786"/>
      <c r="AE245" s="762"/>
      <c r="AF245" s="786"/>
      <c r="AG245" s="762"/>
      <c r="AH245" s="786"/>
      <c r="AI245" s="762"/>
      <c r="AJ245" s="762"/>
      <c r="AK245" s="786"/>
      <c r="AL245" s="762"/>
      <c r="AM245" s="786"/>
      <c r="AN245" s="762"/>
      <c r="AO245" s="786"/>
      <c r="AP245" s="762"/>
      <c r="AQ245" s="786"/>
      <c r="AR245" s="762"/>
      <c r="AS245" s="786"/>
      <c r="AT245" s="762"/>
      <c r="AU245" s="762"/>
      <c r="AV245" s="786"/>
      <c r="AW245" s="762"/>
      <c r="AX245" s="786"/>
      <c r="AY245" s="762"/>
      <c r="AZ245" s="786"/>
      <c r="BA245" s="762"/>
      <c r="BB245" s="786"/>
      <c r="BC245" s="762"/>
      <c r="BD245" s="786"/>
      <c r="BE245" s="762"/>
    </row>
    <row r="246" spans="1:57" s="49" customFormat="1">
      <c r="A246" s="887"/>
      <c r="B246" s="887"/>
      <c r="C246" s="960"/>
      <c r="D246" s="925"/>
      <c r="E246" s="762"/>
      <c r="F246" s="925"/>
      <c r="G246" s="762"/>
      <c r="H246" s="925"/>
      <c r="I246" s="762"/>
      <c r="J246" s="925"/>
      <c r="K246" s="762"/>
      <c r="L246" s="925"/>
      <c r="M246" s="762"/>
      <c r="N246" s="762"/>
      <c r="O246" s="925"/>
      <c r="P246" s="762"/>
      <c r="Q246" s="925"/>
      <c r="R246" s="762"/>
      <c r="S246" s="925"/>
      <c r="T246" s="762"/>
      <c r="U246" s="925"/>
      <c r="V246" s="762"/>
      <c r="W246" s="925"/>
      <c r="X246" s="762"/>
      <c r="Y246" s="762"/>
      <c r="Z246" s="786"/>
      <c r="AA246" s="762"/>
      <c r="AB246" s="786"/>
      <c r="AC246" s="762"/>
      <c r="AD246" s="786"/>
      <c r="AE246" s="762"/>
      <c r="AF246" s="786"/>
      <c r="AG246" s="762"/>
      <c r="AH246" s="786"/>
      <c r="AI246" s="762"/>
      <c r="AJ246" s="762"/>
      <c r="AK246" s="786"/>
      <c r="AL246" s="762"/>
      <c r="AM246" s="786"/>
      <c r="AN246" s="762"/>
      <c r="AO246" s="786"/>
      <c r="AP246" s="762"/>
      <c r="AQ246" s="786"/>
      <c r="AR246" s="762"/>
      <c r="AS246" s="786"/>
      <c r="AT246" s="762"/>
      <c r="AU246" s="762"/>
      <c r="AV246" s="786"/>
      <c r="AW246" s="762"/>
      <c r="AX246" s="786"/>
      <c r="AY246" s="762"/>
      <c r="AZ246" s="786"/>
      <c r="BA246" s="762"/>
      <c r="BB246" s="786"/>
      <c r="BC246" s="762"/>
      <c r="BD246" s="786"/>
      <c r="BE246" s="762"/>
    </row>
    <row r="247" spans="1:57" s="49" customFormat="1">
      <c r="A247" s="887"/>
      <c r="B247" s="887"/>
      <c r="C247" s="960"/>
      <c r="D247" s="925"/>
      <c r="E247" s="762"/>
      <c r="F247" s="925"/>
      <c r="G247" s="762"/>
      <c r="H247" s="925"/>
      <c r="I247" s="762"/>
      <c r="J247" s="925"/>
      <c r="K247" s="762"/>
      <c r="L247" s="925"/>
      <c r="M247" s="762"/>
      <c r="N247" s="762"/>
      <c r="O247" s="925"/>
      <c r="P247" s="762"/>
      <c r="Q247" s="925"/>
      <c r="R247" s="762"/>
      <c r="S247" s="925"/>
      <c r="T247" s="762"/>
      <c r="U247" s="925"/>
      <c r="V247" s="762"/>
      <c r="W247" s="925"/>
      <c r="X247" s="762"/>
      <c r="Y247" s="762"/>
      <c r="Z247" s="786"/>
      <c r="AA247" s="762"/>
      <c r="AB247" s="786"/>
      <c r="AC247" s="762"/>
      <c r="AD247" s="786"/>
      <c r="AE247" s="762"/>
      <c r="AF247" s="786"/>
      <c r="AG247" s="762"/>
      <c r="AH247" s="786"/>
      <c r="AI247" s="762"/>
      <c r="AJ247" s="762"/>
      <c r="AK247" s="786"/>
      <c r="AL247" s="762"/>
      <c r="AM247" s="786"/>
      <c r="AN247" s="762"/>
      <c r="AO247" s="786"/>
      <c r="AP247" s="762"/>
      <c r="AQ247" s="786"/>
      <c r="AR247" s="762"/>
      <c r="AS247" s="786"/>
      <c r="AT247" s="762"/>
      <c r="AU247" s="762"/>
      <c r="AV247" s="786"/>
      <c r="AW247" s="762"/>
      <c r="AX247" s="786"/>
      <c r="AY247" s="762"/>
      <c r="AZ247" s="786"/>
      <c r="BA247" s="762"/>
      <c r="BB247" s="786"/>
      <c r="BC247" s="762"/>
      <c r="BD247" s="786"/>
      <c r="BE247" s="762"/>
    </row>
    <row r="248" spans="1:57" s="49" customFormat="1">
      <c r="A248" s="887"/>
      <c r="B248" s="887"/>
      <c r="C248" s="960"/>
      <c r="D248" s="925"/>
      <c r="E248" s="762"/>
      <c r="F248" s="925"/>
      <c r="G248" s="762"/>
      <c r="H248" s="925"/>
      <c r="I248" s="762"/>
      <c r="J248" s="925"/>
      <c r="K248" s="762"/>
      <c r="L248" s="925"/>
      <c r="M248" s="762"/>
      <c r="N248" s="762"/>
      <c r="O248" s="925"/>
      <c r="P248" s="762"/>
      <c r="Q248" s="925"/>
      <c r="R248" s="762"/>
      <c r="S248" s="925"/>
      <c r="T248" s="762"/>
      <c r="U248" s="925"/>
      <c r="V248" s="762"/>
      <c r="W248" s="925"/>
      <c r="X248" s="762"/>
      <c r="Y248" s="762"/>
      <c r="Z248" s="786"/>
      <c r="AA248" s="762"/>
      <c r="AB248" s="786"/>
      <c r="AC248" s="762"/>
      <c r="AD248" s="786"/>
      <c r="AE248" s="762"/>
      <c r="AF248" s="786"/>
      <c r="AG248" s="762"/>
      <c r="AH248" s="786"/>
      <c r="AI248" s="762"/>
      <c r="AJ248" s="762"/>
      <c r="AK248" s="786"/>
      <c r="AL248" s="762"/>
      <c r="AM248" s="786"/>
      <c r="AN248" s="762"/>
      <c r="AO248" s="786"/>
      <c r="AP248" s="762"/>
      <c r="AQ248" s="786"/>
      <c r="AR248" s="762"/>
      <c r="AS248" s="786"/>
      <c r="AT248" s="762"/>
      <c r="AU248" s="762"/>
      <c r="AV248" s="786"/>
      <c r="AW248" s="762"/>
      <c r="AX248" s="786"/>
      <c r="AY248" s="762"/>
      <c r="AZ248" s="786"/>
      <c r="BA248" s="762"/>
      <c r="BB248" s="786"/>
      <c r="BC248" s="762"/>
      <c r="BD248" s="786"/>
      <c r="BE248" s="762"/>
    </row>
    <row r="249" spans="1:57" s="49" customFormat="1">
      <c r="A249" s="887"/>
      <c r="B249" s="887"/>
      <c r="C249" s="960"/>
      <c r="D249" s="925"/>
      <c r="E249" s="762"/>
      <c r="F249" s="925"/>
      <c r="G249" s="762"/>
      <c r="H249" s="925"/>
      <c r="I249" s="762"/>
      <c r="J249" s="925"/>
      <c r="K249" s="762"/>
      <c r="L249" s="925"/>
      <c r="M249" s="762"/>
      <c r="N249" s="762"/>
      <c r="O249" s="925"/>
      <c r="P249" s="762"/>
      <c r="Q249" s="925"/>
      <c r="R249" s="762"/>
      <c r="S249" s="925"/>
      <c r="T249" s="762"/>
      <c r="U249" s="925"/>
      <c r="V249" s="762"/>
      <c r="W249" s="925"/>
      <c r="X249" s="762"/>
      <c r="Y249" s="762"/>
      <c r="Z249" s="786"/>
      <c r="AA249" s="762"/>
      <c r="AB249" s="786"/>
      <c r="AC249" s="762"/>
      <c r="AD249" s="786"/>
      <c r="AE249" s="762"/>
      <c r="AF249" s="786"/>
      <c r="AG249" s="762"/>
      <c r="AH249" s="786"/>
      <c r="AI249" s="762"/>
      <c r="AJ249" s="762"/>
      <c r="AK249" s="786"/>
      <c r="AL249" s="762"/>
      <c r="AM249" s="786"/>
      <c r="AN249" s="762"/>
      <c r="AO249" s="786"/>
      <c r="AP249" s="762"/>
      <c r="AQ249" s="786"/>
      <c r="AR249" s="762"/>
      <c r="AS249" s="786"/>
      <c r="AT249" s="762"/>
      <c r="AU249" s="762"/>
      <c r="AV249" s="786"/>
      <c r="AW249" s="762"/>
      <c r="AX249" s="786"/>
      <c r="AY249" s="762"/>
      <c r="AZ249" s="786"/>
      <c r="BA249" s="762"/>
      <c r="BB249" s="786"/>
      <c r="BC249" s="762"/>
      <c r="BD249" s="786"/>
      <c r="BE249" s="762"/>
    </row>
    <row r="250" spans="1:57" s="49" customFormat="1">
      <c r="A250" s="887"/>
      <c r="B250" s="887"/>
      <c r="C250" s="960"/>
      <c r="D250" s="925"/>
      <c r="E250" s="762"/>
      <c r="F250" s="925"/>
      <c r="G250" s="762"/>
      <c r="H250" s="925"/>
      <c r="I250" s="762"/>
      <c r="J250" s="925"/>
      <c r="K250" s="762"/>
      <c r="L250" s="925"/>
      <c r="M250" s="762"/>
      <c r="N250" s="762"/>
      <c r="O250" s="925"/>
      <c r="P250" s="762"/>
      <c r="Q250" s="925"/>
      <c r="R250" s="762"/>
      <c r="S250" s="925"/>
      <c r="T250" s="762"/>
      <c r="U250" s="925"/>
      <c r="V250" s="762"/>
      <c r="W250" s="925"/>
      <c r="X250" s="762"/>
      <c r="Y250" s="762"/>
      <c r="Z250" s="786"/>
      <c r="AA250" s="762"/>
      <c r="AB250" s="786"/>
      <c r="AC250" s="762"/>
      <c r="AD250" s="786"/>
      <c r="AE250" s="762"/>
      <c r="AF250" s="786"/>
      <c r="AG250" s="762"/>
      <c r="AH250" s="786"/>
      <c r="AI250" s="762"/>
      <c r="AJ250" s="762"/>
      <c r="AK250" s="786"/>
      <c r="AL250" s="762"/>
      <c r="AM250" s="786"/>
      <c r="AN250" s="762"/>
      <c r="AO250" s="786"/>
      <c r="AP250" s="762"/>
      <c r="AQ250" s="786"/>
      <c r="AR250" s="762"/>
      <c r="AS250" s="786"/>
      <c r="AT250" s="762"/>
      <c r="AU250" s="762"/>
      <c r="AV250" s="786"/>
      <c r="AW250" s="762"/>
      <c r="AX250" s="786"/>
      <c r="AY250" s="762"/>
      <c r="AZ250" s="786"/>
      <c r="BA250" s="762"/>
      <c r="BB250" s="786"/>
      <c r="BC250" s="762"/>
      <c r="BD250" s="786"/>
      <c r="BE250" s="762"/>
    </row>
    <row r="251" spans="1:57" s="49" customFormat="1">
      <c r="A251" s="887"/>
      <c r="B251" s="887"/>
      <c r="C251" s="960"/>
      <c r="D251" s="925"/>
      <c r="E251" s="762"/>
      <c r="F251" s="925"/>
      <c r="G251" s="762"/>
      <c r="H251" s="925"/>
      <c r="I251" s="762"/>
      <c r="J251" s="925"/>
      <c r="K251" s="762"/>
      <c r="L251" s="925"/>
      <c r="M251" s="762"/>
      <c r="N251" s="762"/>
      <c r="O251" s="925"/>
      <c r="P251" s="762"/>
      <c r="Q251" s="925"/>
      <c r="R251" s="762"/>
      <c r="S251" s="925"/>
      <c r="T251" s="762"/>
      <c r="U251" s="925"/>
      <c r="V251" s="762"/>
      <c r="W251" s="925"/>
      <c r="X251" s="762"/>
      <c r="Y251" s="762"/>
      <c r="Z251" s="786"/>
      <c r="AA251" s="762"/>
      <c r="AB251" s="786"/>
      <c r="AC251" s="762"/>
      <c r="AD251" s="786"/>
      <c r="AE251" s="762"/>
      <c r="AF251" s="786"/>
      <c r="AG251" s="762"/>
      <c r="AH251" s="786"/>
      <c r="AI251" s="762"/>
      <c r="AJ251" s="762"/>
      <c r="AK251" s="786"/>
      <c r="AL251" s="762"/>
      <c r="AM251" s="786"/>
      <c r="AN251" s="762"/>
      <c r="AO251" s="786"/>
      <c r="AP251" s="762"/>
      <c r="AQ251" s="786"/>
      <c r="AR251" s="762"/>
      <c r="AS251" s="786"/>
      <c r="AT251" s="762"/>
      <c r="AU251" s="762"/>
      <c r="AV251" s="786"/>
      <c r="AW251" s="762"/>
      <c r="AX251" s="786"/>
      <c r="AY251" s="762"/>
      <c r="AZ251" s="786"/>
      <c r="BA251" s="762"/>
      <c r="BB251" s="786"/>
      <c r="BC251" s="762"/>
      <c r="BD251" s="786"/>
      <c r="BE251" s="762"/>
    </row>
    <row r="252" spans="1:57" s="49" customFormat="1">
      <c r="A252" s="887"/>
      <c r="B252" s="887"/>
      <c r="C252" s="960"/>
      <c r="D252" s="925"/>
      <c r="E252" s="762"/>
      <c r="F252" s="925"/>
      <c r="G252" s="762"/>
      <c r="H252" s="925"/>
      <c r="I252" s="762"/>
      <c r="J252" s="925"/>
      <c r="K252" s="762"/>
      <c r="L252" s="925"/>
      <c r="M252" s="762"/>
      <c r="N252" s="762"/>
      <c r="O252" s="925"/>
      <c r="P252" s="762"/>
      <c r="Q252" s="925"/>
      <c r="R252" s="762"/>
      <c r="S252" s="925"/>
      <c r="T252" s="762"/>
      <c r="U252" s="925"/>
      <c r="V252" s="762"/>
      <c r="W252" s="925"/>
      <c r="X252" s="762"/>
      <c r="Y252" s="762"/>
      <c r="Z252" s="786"/>
      <c r="AA252" s="762"/>
      <c r="AB252" s="786"/>
      <c r="AC252" s="762"/>
      <c r="AD252" s="786"/>
      <c r="AE252" s="762"/>
      <c r="AF252" s="786"/>
      <c r="AG252" s="762"/>
      <c r="AH252" s="786"/>
      <c r="AI252" s="762"/>
      <c r="AJ252" s="762"/>
      <c r="AK252" s="786"/>
      <c r="AL252" s="762"/>
      <c r="AM252" s="786"/>
      <c r="AN252" s="762"/>
      <c r="AO252" s="786"/>
      <c r="AP252" s="762"/>
      <c r="AQ252" s="786"/>
      <c r="AR252" s="762"/>
      <c r="AS252" s="786"/>
      <c r="AT252" s="762"/>
      <c r="AU252" s="762"/>
      <c r="AV252" s="786"/>
      <c r="AW252" s="762"/>
      <c r="AX252" s="786"/>
      <c r="AY252" s="762"/>
      <c r="AZ252" s="786"/>
      <c r="BA252" s="762"/>
      <c r="BB252" s="786"/>
      <c r="BC252" s="762"/>
      <c r="BD252" s="786"/>
      <c r="BE252" s="762"/>
    </row>
    <row r="253" spans="1:57" s="49" customFormat="1">
      <c r="A253" s="887"/>
      <c r="B253" s="887"/>
      <c r="C253" s="960"/>
      <c r="D253" s="925"/>
      <c r="E253" s="762"/>
      <c r="F253" s="925"/>
      <c r="G253" s="762"/>
      <c r="H253" s="925"/>
      <c r="I253" s="762"/>
      <c r="J253" s="925"/>
      <c r="K253" s="762"/>
      <c r="L253" s="925"/>
      <c r="M253" s="762"/>
      <c r="N253" s="762"/>
      <c r="O253" s="925"/>
      <c r="P253" s="762"/>
      <c r="Q253" s="925"/>
      <c r="R253" s="762"/>
      <c r="S253" s="925"/>
      <c r="T253" s="762"/>
      <c r="U253" s="925"/>
      <c r="V253" s="762"/>
      <c r="W253" s="925"/>
      <c r="X253" s="762"/>
      <c r="Y253" s="762"/>
      <c r="Z253" s="786"/>
      <c r="AA253" s="762"/>
      <c r="AB253" s="786"/>
      <c r="AC253" s="762"/>
      <c r="AD253" s="786"/>
      <c r="AE253" s="762"/>
      <c r="AF253" s="786"/>
      <c r="AG253" s="762"/>
      <c r="AH253" s="786"/>
      <c r="AI253" s="762"/>
      <c r="AJ253" s="762"/>
      <c r="AK253" s="786"/>
      <c r="AL253" s="762"/>
      <c r="AM253" s="786"/>
      <c r="AN253" s="762"/>
      <c r="AO253" s="786"/>
      <c r="AP253" s="762"/>
      <c r="AQ253" s="786"/>
      <c r="AR253" s="762"/>
      <c r="AS253" s="786"/>
      <c r="AT253" s="762"/>
      <c r="AU253" s="762"/>
      <c r="AV253" s="786"/>
      <c r="AW253" s="762"/>
      <c r="AX253" s="786"/>
      <c r="AY253" s="762"/>
      <c r="AZ253" s="786"/>
      <c r="BA253" s="762"/>
      <c r="BB253" s="786"/>
      <c r="BC253" s="762"/>
      <c r="BD253" s="786"/>
      <c r="BE253" s="762"/>
    </row>
    <row r="254" spans="1:57" s="49" customFormat="1">
      <c r="A254" s="887"/>
      <c r="B254" s="887"/>
      <c r="C254" s="960"/>
      <c r="D254" s="925"/>
      <c r="E254" s="762"/>
      <c r="F254" s="925"/>
      <c r="G254" s="762"/>
      <c r="H254" s="925"/>
      <c r="I254" s="762"/>
      <c r="J254" s="925"/>
      <c r="K254" s="762"/>
      <c r="L254" s="925"/>
      <c r="M254" s="762"/>
      <c r="N254" s="762"/>
      <c r="O254" s="925"/>
      <c r="P254" s="762"/>
      <c r="Q254" s="925"/>
      <c r="R254" s="762"/>
      <c r="S254" s="925"/>
      <c r="T254" s="762"/>
      <c r="U254" s="925"/>
      <c r="V254" s="762"/>
      <c r="W254" s="925"/>
      <c r="X254" s="762"/>
      <c r="Y254" s="762"/>
      <c r="Z254" s="786"/>
      <c r="AA254" s="762"/>
      <c r="AB254" s="786"/>
      <c r="AC254" s="762"/>
      <c r="AD254" s="786"/>
      <c r="AE254" s="762"/>
      <c r="AF254" s="786"/>
      <c r="AG254" s="762"/>
      <c r="AH254" s="786"/>
      <c r="AI254" s="762"/>
      <c r="AJ254" s="762"/>
      <c r="AK254" s="786"/>
      <c r="AL254" s="762"/>
      <c r="AM254" s="786"/>
      <c r="AN254" s="762"/>
      <c r="AO254" s="786"/>
      <c r="AP254" s="762"/>
      <c r="AQ254" s="786"/>
      <c r="AR254" s="762"/>
      <c r="AS254" s="786"/>
      <c r="AT254" s="762"/>
      <c r="AU254" s="762"/>
      <c r="AV254" s="786"/>
      <c r="AW254" s="762"/>
      <c r="AX254" s="786"/>
      <c r="AY254" s="762"/>
      <c r="AZ254" s="786"/>
      <c r="BA254" s="762"/>
      <c r="BB254" s="786"/>
      <c r="BC254" s="762"/>
      <c r="BD254" s="786"/>
      <c r="BE254" s="762"/>
    </row>
    <row r="255" spans="1:57" s="49" customFormat="1">
      <c r="A255" s="887"/>
      <c r="B255" s="887"/>
      <c r="C255" s="960"/>
      <c r="D255" s="925"/>
      <c r="E255" s="762"/>
      <c r="F255" s="925"/>
      <c r="G255" s="762"/>
      <c r="H255" s="925"/>
      <c r="I255" s="762"/>
      <c r="J255" s="925"/>
      <c r="K255" s="762"/>
      <c r="L255" s="925"/>
      <c r="M255" s="762"/>
      <c r="N255" s="762"/>
      <c r="O255" s="925"/>
      <c r="P255" s="762"/>
      <c r="Q255" s="925"/>
      <c r="R255" s="762"/>
      <c r="S255" s="925"/>
      <c r="T255" s="762"/>
      <c r="U255" s="925"/>
      <c r="V255" s="762"/>
      <c r="W255" s="925"/>
      <c r="X255" s="762"/>
      <c r="Y255" s="762"/>
      <c r="Z255" s="786"/>
      <c r="AA255" s="762"/>
      <c r="AB255" s="786"/>
      <c r="AC255" s="762"/>
      <c r="AD255" s="786"/>
      <c r="AE255" s="762"/>
      <c r="AF255" s="786"/>
      <c r="AG255" s="762"/>
      <c r="AH255" s="786"/>
      <c r="AI255" s="762"/>
      <c r="AJ255" s="762"/>
      <c r="AK255" s="786"/>
      <c r="AL255" s="762"/>
      <c r="AM255" s="786"/>
      <c r="AN255" s="762"/>
      <c r="AO255" s="786"/>
      <c r="AP255" s="762"/>
      <c r="AQ255" s="786"/>
      <c r="AR255" s="762"/>
      <c r="AS255" s="786"/>
      <c r="AT255" s="762"/>
      <c r="AU255" s="762"/>
      <c r="AV255" s="786"/>
      <c r="AW255" s="762"/>
      <c r="AX255" s="786"/>
      <c r="AY255" s="762"/>
      <c r="AZ255" s="786"/>
      <c r="BA255" s="762"/>
      <c r="BB255" s="786"/>
      <c r="BC255" s="762"/>
      <c r="BD255" s="786"/>
      <c r="BE255" s="762"/>
    </row>
    <row r="256" spans="1:57" s="49" customFormat="1">
      <c r="A256" s="887"/>
      <c r="B256" s="887"/>
      <c r="C256" s="960"/>
      <c r="D256" s="925"/>
      <c r="E256" s="762"/>
      <c r="F256" s="925"/>
      <c r="G256" s="762"/>
      <c r="H256" s="925"/>
      <c r="I256" s="762"/>
      <c r="J256" s="925"/>
      <c r="K256" s="762"/>
      <c r="L256" s="925"/>
      <c r="M256" s="762"/>
      <c r="N256" s="762"/>
      <c r="O256" s="925"/>
      <c r="P256" s="762"/>
      <c r="Q256" s="925"/>
      <c r="R256" s="762"/>
      <c r="S256" s="925"/>
      <c r="T256" s="762"/>
      <c r="U256" s="925"/>
      <c r="V256" s="762"/>
      <c r="W256" s="925"/>
      <c r="X256" s="762"/>
      <c r="Y256" s="762"/>
      <c r="Z256" s="786"/>
      <c r="AA256" s="762"/>
      <c r="AB256" s="786"/>
      <c r="AC256" s="762"/>
      <c r="AD256" s="786"/>
      <c r="AE256" s="762"/>
      <c r="AF256" s="786"/>
      <c r="AG256" s="762"/>
      <c r="AH256" s="786"/>
      <c r="AI256" s="762"/>
      <c r="AJ256" s="762"/>
      <c r="AK256" s="786"/>
      <c r="AL256" s="762"/>
      <c r="AM256" s="786"/>
      <c r="AN256" s="762"/>
      <c r="AO256" s="786"/>
      <c r="AP256" s="762"/>
      <c r="AQ256" s="786"/>
      <c r="AR256" s="762"/>
      <c r="AS256" s="786"/>
      <c r="AT256" s="762"/>
      <c r="AU256" s="762"/>
      <c r="AV256" s="786"/>
      <c r="AW256" s="762"/>
      <c r="AX256" s="786"/>
      <c r="AY256" s="762"/>
      <c r="AZ256" s="786"/>
      <c r="BA256" s="762"/>
      <c r="BB256" s="786"/>
      <c r="BC256" s="762"/>
      <c r="BD256" s="786"/>
      <c r="BE256" s="762"/>
    </row>
    <row r="257" spans="1:57" s="49" customFormat="1">
      <c r="A257" s="887"/>
      <c r="B257" s="887"/>
      <c r="C257" s="960"/>
      <c r="D257" s="925"/>
      <c r="E257" s="762"/>
      <c r="F257" s="925"/>
      <c r="G257" s="762"/>
      <c r="H257" s="925"/>
      <c r="I257" s="762"/>
      <c r="J257" s="925"/>
      <c r="K257" s="762"/>
      <c r="L257" s="925"/>
      <c r="M257" s="762"/>
      <c r="N257" s="762"/>
      <c r="O257" s="925"/>
      <c r="P257" s="762"/>
      <c r="Q257" s="925"/>
      <c r="R257" s="762"/>
      <c r="S257" s="925"/>
      <c r="T257" s="762"/>
      <c r="U257" s="925"/>
      <c r="V257" s="762"/>
      <c r="W257" s="925"/>
      <c r="X257" s="762"/>
      <c r="Y257" s="762"/>
      <c r="Z257" s="786"/>
      <c r="AA257" s="762"/>
      <c r="AB257" s="786"/>
      <c r="AC257" s="762"/>
      <c r="AD257" s="786"/>
      <c r="AE257" s="762"/>
      <c r="AF257" s="786"/>
      <c r="AG257" s="762"/>
      <c r="AH257" s="786"/>
      <c r="AI257" s="762"/>
      <c r="AJ257" s="762"/>
      <c r="AK257" s="786"/>
      <c r="AL257" s="762"/>
      <c r="AM257" s="786"/>
      <c r="AN257" s="762"/>
      <c r="AO257" s="786"/>
      <c r="AP257" s="762"/>
      <c r="AQ257" s="786"/>
      <c r="AR257" s="762"/>
      <c r="AS257" s="786"/>
      <c r="AT257" s="762"/>
      <c r="AU257" s="762"/>
      <c r="AV257" s="786"/>
      <c r="AW257" s="762"/>
      <c r="AX257" s="786"/>
      <c r="AY257" s="762"/>
      <c r="AZ257" s="786"/>
      <c r="BA257" s="762"/>
      <c r="BB257" s="786"/>
      <c r="BC257" s="762"/>
      <c r="BD257" s="786"/>
      <c r="BE257" s="762"/>
    </row>
    <row r="258" spans="1:57" s="49" customFormat="1">
      <c r="A258" s="887"/>
      <c r="B258" s="887"/>
      <c r="C258" s="960"/>
      <c r="D258" s="925"/>
      <c r="E258" s="762"/>
      <c r="F258" s="925"/>
      <c r="G258" s="762"/>
      <c r="H258" s="925"/>
      <c r="I258" s="762"/>
      <c r="J258" s="925"/>
      <c r="K258" s="762"/>
      <c r="L258" s="925"/>
      <c r="M258" s="762"/>
      <c r="N258" s="762"/>
      <c r="O258" s="925"/>
      <c r="P258" s="762"/>
      <c r="Q258" s="925"/>
      <c r="R258" s="762"/>
      <c r="S258" s="925"/>
      <c r="T258" s="762"/>
      <c r="U258" s="925"/>
      <c r="V258" s="762"/>
      <c r="W258" s="925"/>
      <c r="X258" s="762"/>
      <c r="Y258" s="762"/>
      <c r="Z258" s="786"/>
      <c r="AA258" s="762"/>
      <c r="AB258" s="786"/>
      <c r="AC258" s="762"/>
      <c r="AD258" s="786"/>
      <c r="AE258" s="762"/>
      <c r="AF258" s="786"/>
      <c r="AG258" s="762"/>
      <c r="AH258" s="786"/>
      <c r="AI258" s="762"/>
      <c r="AJ258" s="762"/>
      <c r="AK258" s="786"/>
      <c r="AL258" s="762"/>
      <c r="AM258" s="786"/>
      <c r="AN258" s="762"/>
      <c r="AO258" s="786"/>
      <c r="AP258" s="762"/>
      <c r="AQ258" s="786"/>
      <c r="AR258" s="762"/>
      <c r="AS258" s="786"/>
      <c r="AT258" s="762"/>
      <c r="AU258" s="762"/>
      <c r="AV258" s="786"/>
      <c r="AW258" s="762"/>
      <c r="AX258" s="786"/>
      <c r="AY258" s="762"/>
      <c r="AZ258" s="786"/>
      <c r="BA258" s="762"/>
      <c r="BB258" s="786"/>
      <c r="BC258" s="762"/>
      <c r="BD258" s="786"/>
      <c r="BE258" s="762"/>
    </row>
    <row r="259" spans="1:57" s="49" customFormat="1">
      <c r="A259" s="887"/>
      <c r="B259" s="887"/>
      <c r="C259" s="960"/>
      <c r="D259" s="925"/>
      <c r="E259" s="762"/>
      <c r="F259" s="925"/>
      <c r="G259" s="762"/>
      <c r="H259" s="925"/>
      <c r="I259" s="762"/>
      <c r="J259" s="925"/>
      <c r="K259" s="762"/>
      <c r="L259" s="925"/>
      <c r="M259" s="762"/>
      <c r="N259" s="762"/>
      <c r="O259" s="925"/>
      <c r="P259" s="762"/>
      <c r="Q259" s="925"/>
      <c r="R259" s="762"/>
      <c r="S259" s="925"/>
      <c r="T259" s="762"/>
      <c r="U259" s="925"/>
      <c r="V259" s="762"/>
      <c r="W259" s="925"/>
      <c r="X259" s="762"/>
      <c r="Y259" s="762"/>
      <c r="Z259" s="786"/>
      <c r="AA259" s="762"/>
      <c r="AB259" s="786"/>
      <c r="AC259" s="762"/>
      <c r="AD259" s="786"/>
      <c r="AE259" s="762"/>
      <c r="AF259" s="786"/>
      <c r="AG259" s="762"/>
      <c r="AH259" s="786"/>
      <c r="AI259" s="762"/>
      <c r="AJ259" s="762"/>
      <c r="AK259" s="786"/>
      <c r="AL259" s="762"/>
      <c r="AM259" s="786"/>
      <c r="AN259" s="762"/>
      <c r="AO259" s="786"/>
      <c r="AP259" s="762"/>
      <c r="AQ259" s="786"/>
      <c r="AR259" s="762"/>
      <c r="AS259" s="786"/>
      <c r="AT259" s="762"/>
      <c r="AU259" s="762"/>
      <c r="AV259" s="786"/>
      <c r="AW259" s="762"/>
      <c r="AX259" s="786"/>
      <c r="AY259" s="762"/>
      <c r="AZ259" s="786"/>
      <c r="BA259" s="762"/>
      <c r="BB259" s="786"/>
      <c r="BC259" s="762"/>
      <c r="BD259" s="786"/>
      <c r="BE259" s="762"/>
    </row>
    <row r="260" spans="1:57" s="49" customFormat="1">
      <c r="A260" s="887"/>
      <c r="B260" s="887"/>
      <c r="C260" s="960"/>
      <c r="D260" s="925"/>
      <c r="E260" s="762"/>
      <c r="F260" s="925"/>
      <c r="G260" s="762"/>
      <c r="H260" s="925"/>
      <c r="I260" s="762"/>
      <c r="J260" s="925"/>
      <c r="K260" s="762"/>
      <c r="L260" s="925"/>
      <c r="M260" s="762"/>
      <c r="N260" s="762"/>
      <c r="O260" s="925"/>
      <c r="P260" s="762"/>
      <c r="Q260" s="925"/>
      <c r="R260" s="762"/>
      <c r="S260" s="925"/>
      <c r="T260" s="762"/>
      <c r="U260" s="925"/>
      <c r="V260" s="762"/>
      <c r="W260" s="925"/>
      <c r="X260" s="762"/>
      <c r="Y260" s="762"/>
      <c r="Z260" s="786"/>
      <c r="AA260" s="762"/>
      <c r="AB260" s="786"/>
      <c r="AC260" s="762"/>
      <c r="AD260" s="786"/>
      <c r="AE260" s="762"/>
      <c r="AF260" s="786"/>
      <c r="AG260" s="762"/>
      <c r="AH260" s="786"/>
      <c r="AI260" s="762"/>
      <c r="AJ260" s="762"/>
      <c r="AK260" s="786"/>
      <c r="AL260" s="762"/>
      <c r="AM260" s="786"/>
      <c r="AN260" s="762"/>
      <c r="AO260" s="786"/>
      <c r="AP260" s="762"/>
      <c r="AQ260" s="786"/>
      <c r="AR260" s="762"/>
      <c r="AS260" s="786"/>
      <c r="AT260" s="762"/>
      <c r="AU260" s="762"/>
      <c r="AV260" s="786"/>
      <c r="AW260" s="762"/>
      <c r="AX260" s="786"/>
      <c r="AY260" s="762"/>
      <c r="AZ260" s="786"/>
      <c r="BA260" s="762"/>
      <c r="BB260" s="786"/>
      <c r="BC260" s="762"/>
      <c r="BD260" s="786"/>
      <c r="BE260" s="762"/>
    </row>
    <row r="261" spans="1:57" s="49" customFormat="1">
      <c r="A261" s="887"/>
      <c r="B261" s="887"/>
      <c r="C261" s="960"/>
      <c r="D261" s="925"/>
      <c r="E261" s="762"/>
      <c r="F261" s="925"/>
      <c r="G261" s="762"/>
      <c r="H261" s="925"/>
      <c r="I261" s="762"/>
      <c r="J261" s="925"/>
      <c r="K261" s="762"/>
      <c r="L261" s="925"/>
      <c r="M261" s="762"/>
      <c r="N261" s="762"/>
      <c r="O261" s="925"/>
      <c r="P261" s="762"/>
      <c r="Q261" s="925"/>
      <c r="R261" s="762"/>
      <c r="S261" s="925"/>
      <c r="T261" s="762"/>
      <c r="U261" s="925"/>
      <c r="V261" s="762"/>
      <c r="W261" s="925"/>
      <c r="X261" s="762"/>
      <c r="Y261" s="762"/>
      <c r="Z261" s="786"/>
      <c r="AA261" s="762"/>
      <c r="AB261" s="786"/>
      <c r="AC261" s="762"/>
      <c r="AD261" s="786"/>
      <c r="AE261" s="762"/>
      <c r="AF261" s="786"/>
      <c r="AG261" s="762"/>
      <c r="AH261" s="786"/>
      <c r="AI261" s="762"/>
      <c r="AJ261" s="762"/>
      <c r="AK261" s="786"/>
      <c r="AL261" s="762"/>
      <c r="AM261" s="786"/>
      <c r="AN261" s="762"/>
      <c r="AO261" s="786"/>
      <c r="AP261" s="762"/>
      <c r="AQ261" s="786"/>
      <c r="AR261" s="762"/>
      <c r="AS261" s="786"/>
      <c r="AT261" s="762"/>
      <c r="AU261" s="762"/>
      <c r="AV261" s="786"/>
      <c r="AW261" s="762"/>
      <c r="AX261" s="786"/>
      <c r="AY261" s="762"/>
      <c r="AZ261" s="786"/>
      <c r="BA261" s="762"/>
      <c r="BB261" s="786"/>
      <c r="BC261" s="762"/>
      <c r="BD261" s="786"/>
      <c r="BE261" s="762"/>
    </row>
    <row r="262" spans="1:57" s="49" customFormat="1">
      <c r="A262" s="887"/>
      <c r="B262" s="887"/>
      <c r="C262" s="960"/>
      <c r="D262" s="925"/>
      <c r="E262" s="762"/>
      <c r="F262" s="925"/>
      <c r="G262" s="762"/>
      <c r="H262" s="925"/>
      <c r="I262" s="762"/>
      <c r="J262" s="925"/>
      <c r="K262" s="762"/>
      <c r="L262" s="925"/>
      <c r="M262" s="762"/>
      <c r="N262" s="762"/>
      <c r="O262" s="925"/>
      <c r="P262" s="762"/>
      <c r="Q262" s="925"/>
      <c r="R262" s="762"/>
      <c r="S262" s="925"/>
      <c r="T262" s="762"/>
      <c r="U262" s="925"/>
      <c r="V262" s="762"/>
      <c r="W262" s="925"/>
      <c r="X262" s="762"/>
      <c r="Y262" s="762"/>
      <c r="Z262" s="786"/>
      <c r="AA262" s="762"/>
      <c r="AB262" s="786"/>
      <c r="AC262" s="762"/>
      <c r="AD262" s="786"/>
      <c r="AE262" s="762"/>
      <c r="AF262" s="786"/>
      <c r="AG262" s="762"/>
      <c r="AH262" s="786"/>
      <c r="AI262" s="762"/>
      <c r="AJ262" s="762"/>
      <c r="AK262" s="786"/>
      <c r="AL262" s="762"/>
      <c r="AM262" s="786"/>
      <c r="AN262" s="762"/>
      <c r="AO262" s="786"/>
      <c r="AP262" s="762"/>
      <c r="AQ262" s="786"/>
      <c r="AR262" s="762"/>
      <c r="AS262" s="786"/>
      <c r="AT262" s="762"/>
      <c r="AU262" s="762"/>
      <c r="AV262" s="786"/>
      <c r="AW262" s="762"/>
      <c r="AX262" s="786"/>
      <c r="AY262" s="762"/>
      <c r="AZ262" s="786"/>
      <c r="BA262" s="762"/>
      <c r="BB262" s="786"/>
      <c r="BC262" s="762"/>
      <c r="BD262" s="786"/>
      <c r="BE262" s="762"/>
    </row>
    <row r="263" spans="1:57" s="49" customFormat="1">
      <c r="A263" s="887"/>
      <c r="B263" s="887"/>
      <c r="C263" s="960"/>
      <c r="D263" s="925"/>
      <c r="E263" s="762"/>
      <c r="F263" s="925"/>
      <c r="G263" s="762"/>
      <c r="H263" s="925"/>
      <c r="I263" s="762"/>
      <c r="J263" s="925"/>
      <c r="K263" s="762"/>
      <c r="L263" s="925"/>
      <c r="M263" s="762"/>
      <c r="N263" s="762"/>
      <c r="O263" s="925"/>
      <c r="P263" s="762"/>
      <c r="Q263" s="925"/>
      <c r="R263" s="762"/>
      <c r="S263" s="925"/>
      <c r="T263" s="762"/>
      <c r="U263" s="925"/>
      <c r="V263" s="762"/>
      <c r="W263" s="925"/>
      <c r="X263" s="762"/>
      <c r="Y263" s="762"/>
      <c r="Z263" s="786"/>
      <c r="AA263" s="762"/>
      <c r="AB263" s="786"/>
      <c r="AC263" s="762"/>
      <c r="AD263" s="786"/>
      <c r="AE263" s="762"/>
      <c r="AF263" s="786"/>
      <c r="AG263" s="762"/>
      <c r="AH263" s="786"/>
      <c r="AI263" s="762"/>
      <c r="AJ263" s="762"/>
      <c r="AK263" s="786"/>
      <c r="AL263" s="762"/>
      <c r="AM263" s="786"/>
      <c r="AN263" s="762"/>
      <c r="AO263" s="786"/>
      <c r="AP263" s="762"/>
      <c r="AQ263" s="786"/>
      <c r="AR263" s="762"/>
      <c r="AS263" s="786"/>
      <c r="AT263" s="762"/>
      <c r="AU263" s="762"/>
      <c r="AV263" s="786"/>
      <c r="AW263" s="762"/>
      <c r="AX263" s="786"/>
      <c r="AY263" s="762"/>
      <c r="AZ263" s="786"/>
      <c r="BA263" s="762"/>
      <c r="BB263" s="786"/>
      <c r="BC263" s="762"/>
      <c r="BD263" s="786"/>
      <c r="BE263" s="762"/>
    </row>
    <row r="264" spans="1:57" s="49" customFormat="1">
      <c r="A264" s="887"/>
      <c r="B264" s="887"/>
      <c r="C264" s="960"/>
      <c r="D264" s="925"/>
      <c r="E264" s="762"/>
      <c r="F264" s="925"/>
      <c r="G264" s="762"/>
      <c r="H264" s="925"/>
      <c r="I264" s="762"/>
      <c r="J264" s="925"/>
      <c r="K264" s="762"/>
      <c r="L264" s="925"/>
      <c r="M264" s="762"/>
      <c r="N264" s="762"/>
      <c r="O264" s="925"/>
      <c r="P264" s="762"/>
      <c r="Q264" s="925"/>
      <c r="R264" s="762"/>
      <c r="S264" s="925"/>
      <c r="T264" s="762"/>
      <c r="U264" s="925"/>
      <c r="V264" s="762"/>
      <c r="W264" s="925"/>
      <c r="X264" s="762"/>
      <c r="Y264" s="762"/>
      <c r="Z264" s="786"/>
      <c r="AA264" s="762"/>
      <c r="AB264" s="786"/>
      <c r="AC264" s="762"/>
      <c r="AD264" s="786"/>
      <c r="AE264" s="762"/>
      <c r="AF264" s="786"/>
      <c r="AG264" s="762"/>
      <c r="AH264" s="786"/>
      <c r="AI264" s="762"/>
      <c r="AJ264" s="762"/>
      <c r="AK264" s="786"/>
      <c r="AL264" s="762"/>
      <c r="AM264" s="786"/>
      <c r="AN264" s="762"/>
      <c r="AO264" s="786"/>
      <c r="AP264" s="762"/>
      <c r="AQ264" s="786"/>
      <c r="AR264" s="762"/>
      <c r="AS264" s="786"/>
      <c r="AT264" s="762"/>
      <c r="AU264" s="762"/>
      <c r="AV264" s="786"/>
      <c r="AW264" s="762"/>
      <c r="AX264" s="786"/>
      <c r="AY264" s="762"/>
      <c r="AZ264" s="786"/>
      <c r="BA264" s="762"/>
      <c r="BB264" s="786"/>
      <c r="BC264" s="762"/>
      <c r="BD264" s="786"/>
      <c r="BE264" s="762"/>
    </row>
    <row r="265" spans="1:57" s="49" customFormat="1">
      <c r="A265" s="887"/>
      <c r="B265" s="887"/>
      <c r="C265" s="960"/>
      <c r="D265" s="925"/>
      <c r="E265" s="762"/>
      <c r="F265" s="925"/>
      <c r="G265" s="762"/>
      <c r="H265" s="925"/>
      <c r="I265" s="762"/>
      <c r="J265" s="925"/>
      <c r="K265" s="762"/>
      <c r="L265" s="925"/>
      <c r="M265" s="762"/>
      <c r="N265" s="762"/>
      <c r="O265" s="925"/>
      <c r="P265" s="762"/>
      <c r="Q265" s="925"/>
      <c r="R265" s="762"/>
      <c r="S265" s="925"/>
      <c r="T265" s="762"/>
      <c r="U265" s="925"/>
      <c r="V265" s="762"/>
      <c r="W265" s="925"/>
      <c r="X265" s="762"/>
      <c r="Y265" s="762"/>
      <c r="Z265" s="786"/>
      <c r="AA265" s="762"/>
      <c r="AB265" s="786"/>
      <c r="AC265" s="762"/>
      <c r="AD265" s="786"/>
      <c r="AE265" s="762"/>
      <c r="AF265" s="786"/>
      <c r="AG265" s="762"/>
      <c r="AH265" s="786"/>
      <c r="AI265" s="762"/>
      <c r="AJ265" s="762"/>
      <c r="AK265" s="786"/>
      <c r="AL265" s="762"/>
      <c r="AM265" s="786"/>
      <c r="AN265" s="762"/>
      <c r="AO265" s="786"/>
      <c r="AP265" s="762"/>
      <c r="AQ265" s="786"/>
      <c r="AR265" s="762"/>
      <c r="AS265" s="786"/>
      <c r="AT265" s="762"/>
      <c r="AU265" s="762"/>
      <c r="AV265" s="786"/>
      <c r="AW265" s="762"/>
      <c r="AX265" s="786"/>
      <c r="AY265" s="762"/>
      <c r="AZ265" s="786"/>
      <c r="BA265" s="762"/>
      <c r="BB265" s="786"/>
      <c r="BC265" s="762"/>
      <c r="BD265" s="786"/>
      <c r="BE265" s="762"/>
    </row>
    <row r="266" spans="1:57" s="49" customFormat="1">
      <c r="A266" s="887"/>
      <c r="B266" s="887"/>
      <c r="C266" s="960"/>
      <c r="D266" s="925"/>
      <c r="E266" s="762"/>
      <c r="F266" s="925"/>
      <c r="G266" s="762"/>
      <c r="H266" s="925"/>
      <c r="I266" s="762"/>
      <c r="J266" s="925"/>
      <c r="K266" s="762"/>
      <c r="L266" s="925"/>
      <c r="M266" s="762"/>
      <c r="N266" s="762"/>
      <c r="O266" s="925"/>
      <c r="P266" s="762"/>
      <c r="Q266" s="925"/>
      <c r="R266" s="762"/>
      <c r="S266" s="925"/>
      <c r="T266" s="762"/>
      <c r="U266" s="925"/>
      <c r="V266" s="762"/>
      <c r="W266" s="925"/>
      <c r="X266" s="762"/>
      <c r="Y266" s="762"/>
      <c r="Z266" s="786"/>
      <c r="AA266" s="762"/>
      <c r="AB266" s="786"/>
      <c r="AC266" s="762"/>
      <c r="AD266" s="786"/>
      <c r="AE266" s="762"/>
      <c r="AF266" s="786"/>
      <c r="AG266" s="762"/>
      <c r="AH266" s="786"/>
      <c r="AI266" s="762"/>
      <c r="AJ266" s="762"/>
      <c r="AK266" s="786"/>
      <c r="AL266" s="762"/>
      <c r="AM266" s="786"/>
      <c r="AN266" s="762"/>
      <c r="AO266" s="786"/>
      <c r="AP266" s="762"/>
      <c r="AQ266" s="786"/>
      <c r="AR266" s="762"/>
      <c r="AS266" s="786"/>
      <c r="AT266" s="762"/>
      <c r="AU266" s="762"/>
      <c r="AV266" s="786"/>
      <c r="AW266" s="762"/>
      <c r="AX266" s="786"/>
      <c r="AY266" s="762"/>
      <c r="AZ266" s="786"/>
      <c r="BA266" s="762"/>
      <c r="BB266" s="786"/>
      <c r="BC266" s="762"/>
      <c r="BD266" s="786"/>
      <c r="BE266" s="762"/>
    </row>
    <row r="267" spans="1:57" s="49" customFormat="1">
      <c r="A267" s="887"/>
      <c r="B267" s="887"/>
      <c r="C267" s="960"/>
      <c r="D267" s="925"/>
      <c r="E267" s="762"/>
      <c r="F267" s="925"/>
      <c r="G267" s="762"/>
      <c r="H267" s="925"/>
      <c r="I267" s="762"/>
      <c r="J267" s="925"/>
      <c r="K267" s="762"/>
      <c r="L267" s="925"/>
      <c r="M267" s="762"/>
      <c r="N267" s="762"/>
      <c r="O267" s="925"/>
      <c r="P267" s="762"/>
      <c r="Q267" s="925"/>
      <c r="R267" s="762"/>
      <c r="S267" s="925"/>
      <c r="T267" s="762"/>
      <c r="U267" s="925"/>
      <c r="V267" s="762"/>
      <c r="W267" s="925"/>
      <c r="X267" s="762"/>
      <c r="Y267" s="762"/>
      <c r="Z267" s="786"/>
      <c r="AA267" s="762"/>
      <c r="AB267" s="786"/>
      <c r="AC267" s="762"/>
      <c r="AD267" s="786"/>
      <c r="AE267" s="762"/>
      <c r="AF267" s="786"/>
      <c r="AG267" s="762"/>
      <c r="AH267" s="786"/>
      <c r="AI267" s="762"/>
      <c r="AJ267" s="762"/>
      <c r="AK267" s="786"/>
      <c r="AL267" s="762"/>
      <c r="AM267" s="786"/>
      <c r="AN267" s="762"/>
      <c r="AO267" s="786"/>
      <c r="AP267" s="762"/>
      <c r="AQ267" s="786"/>
      <c r="AR267" s="762"/>
      <c r="AS267" s="786"/>
      <c r="AT267" s="762"/>
      <c r="AU267" s="762"/>
      <c r="AV267" s="786"/>
      <c r="AW267" s="762"/>
      <c r="AX267" s="786"/>
      <c r="AY267" s="762"/>
      <c r="AZ267" s="786"/>
      <c r="BA267" s="762"/>
      <c r="BB267" s="786"/>
      <c r="BC267" s="762"/>
      <c r="BD267" s="786"/>
      <c r="BE267" s="762"/>
    </row>
    <row r="268" spans="1:57" s="49" customFormat="1">
      <c r="A268" s="887"/>
      <c r="B268" s="887"/>
      <c r="C268" s="960"/>
      <c r="D268" s="925"/>
      <c r="E268" s="762"/>
      <c r="F268" s="925"/>
      <c r="G268" s="762"/>
      <c r="H268" s="925"/>
      <c r="I268" s="762"/>
      <c r="J268" s="925"/>
      <c r="K268" s="762"/>
      <c r="L268" s="925"/>
      <c r="M268" s="762"/>
      <c r="N268" s="762"/>
      <c r="O268" s="925"/>
      <c r="P268" s="762"/>
      <c r="Q268" s="925"/>
      <c r="R268" s="762"/>
      <c r="S268" s="925"/>
      <c r="T268" s="762"/>
      <c r="U268" s="925"/>
      <c r="V268" s="762"/>
      <c r="W268" s="925"/>
      <c r="X268" s="762"/>
      <c r="Y268" s="762"/>
      <c r="Z268" s="786"/>
      <c r="AA268" s="762"/>
      <c r="AB268" s="786"/>
      <c r="AC268" s="762"/>
      <c r="AD268" s="786"/>
      <c r="AE268" s="762"/>
      <c r="AF268" s="786"/>
      <c r="AG268" s="762"/>
      <c r="AH268" s="786"/>
      <c r="AI268" s="762"/>
      <c r="AJ268" s="762"/>
      <c r="AK268" s="786"/>
      <c r="AL268" s="762"/>
      <c r="AM268" s="786"/>
      <c r="AN268" s="762"/>
      <c r="AO268" s="786"/>
      <c r="AP268" s="762"/>
      <c r="AQ268" s="786"/>
      <c r="AR268" s="762"/>
      <c r="AS268" s="786"/>
      <c r="AT268" s="762"/>
      <c r="AU268" s="762"/>
      <c r="AV268" s="786"/>
      <c r="AW268" s="762"/>
      <c r="AX268" s="786"/>
      <c r="AY268" s="762"/>
      <c r="AZ268" s="786"/>
      <c r="BA268" s="762"/>
      <c r="BB268" s="786"/>
      <c r="BC268" s="762"/>
      <c r="BD268" s="786"/>
      <c r="BE268" s="762"/>
    </row>
    <row r="269" spans="1:57" s="49" customFormat="1">
      <c r="A269" s="887"/>
      <c r="B269" s="887"/>
      <c r="C269" s="960"/>
      <c r="D269" s="925"/>
      <c r="E269" s="762"/>
      <c r="F269" s="925"/>
      <c r="G269" s="762"/>
      <c r="H269" s="925"/>
      <c r="I269" s="762"/>
      <c r="J269" s="925"/>
      <c r="K269" s="762"/>
      <c r="L269" s="925"/>
      <c r="M269" s="762"/>
      <c r="N269" s="762"/>
      <c r="O269" s="925"/>
      <c r="P269" s="762"/>
      <c r="Q269" s="925"/>
      <c r="R269" s="762"/>
      <c r="S269" s="925"/>
      <c r="T269" s="762"/>
      <c r="U269" s="925"/>
      <c r="V269" s="762"/>
      <c r="W269" s="925"/>
      <c r="X269" s="762"/>
      <c r="Y269" s="762"/>
      <c r="Z269" s="786"/>
      <c r="AA269" s="762"/>
      <c r="AB269" s="786"/>
      <c r="AC269" s="762"/>
      <c r="AD269" s="786"/>
      <c r="AE269" s="762"/>
      <c r="AF269" s="786"/>
      <c r="AG269" s="762"/>
      <c r="AH269" s="786"/>
      <c r="AI269" s="762"/>
      <c r="AJ269" s="762"/>
      <c r="AK269" s="786"/>
      <c r="AL269" s="762"/>
      <c r="AM269" s="786"/>
      <c r="AN269" s="762"/>
      <c r="AO269" s="786"/>
      <c r="AP269" s="762"/>
      <c r="AQ269" s="786"/>
      <c r="AR269" s="762"/>
      <c r="AS269" s="786"/>
      <c r="AT269" s="762"/>
      <c r="AU269" s="762"/>
      <c r="AV269" s="786"/>
      <c r="AW269" s="762"/>
      <c r="AX269" s="786"/>
      <c r="AY269" s="762"/>
      <c r="AZ269" s="786"/>
      <c r="BA269" s="762"/>
      <c r="BB269" s="786"/>
      <c r="BC269" s="762"/>
      <c r="BD269" s="786"/>
      <c r="BE269" s="762"/>
    </row>
    <row r="270" spans="1:57" s="49" customFormat="1">
      <c r="A270" s="887"/>
      <c r="B270" s="887"/>
      <c r="C270" s="960"/>
      <c r="D270" s="925"/>
      <c r="E270" s="762"/>
      <c r="F270" s="925"/>
      <c r="G270" s="762"/>
      <c r="H270" s="925"/>
      <c r="I270" s="762"/>
      <c r="J270" s="925"/>
      <c r="K270" s="762"/>
      <c r="L270" s="925"/>
      <c r="M270" s="762"/>
      <c r="N270" s="762"/>
      <c r="O270" s="925"/>
      <c r="P270" s="762"/>
      <c r="Q270" s="925"/>
      <c r="R270" s="762"/>
      <c r="S270" s="925"/>
      <c r="T270" s="762"/>
      <c r="U270" s="925"/>
      <c r="V270" s="762"/>
      <c r="W270" s="925"/>
      <c r="X270" s="762"/>
      <c r="Y270" s="762"/>
      <c r="Z270" s="786"/>
      <c r="AA270" s="762"/>
      <c r="AB270" s="786"/>
      <c r="AC270" s="762"/>
      <c r="AD270" s="786"/>
      <c r="AE270" s="762"/>
      <c r="AF270" s="786"/>
      <c r="AG270" s="762"/>
      <c r="AH270" s="786"/>
      <c r="AI270" s="762"/>
      <c r="AJ270" s="762"/>
      <c r="AK270" s="786"/>
      <c r="AL270" s="762"/>
      <c r="AM270" s="786"/>
      <c r="AN270" s="762"/>
      <c r="AO270" s="786"/>
      <c r="AP270" s="762"/>
      <c r="AQ270" s="786"/>
      <c r="AR270" s="762"/>
      <c r="AS270" s="786"/>
      <c r="AT270" s="762"/>
      <c r="AU270" s="762"/>
      <c r="AV270" s="786"/>
      <c r="AW270" s="762"/>
      <c r="AX270" s="786"/>
      <c r="AY270" s="762"/>
      <c r="AZ270" s="786"/>
      <c r="BA270" s="762"/>
      <c r="BB270" s="786"/>
      <c r="BC270" s="762"/>
      <c r="BD270" s="786"/>
      <c r="BE270" s="762"/>
    </row>
    <row r="271" spans="1:57" s="49" customFormat="1">
      <c r="A271" s="887"/>
      <c r="B271" s="887"/>
      <c r="C271" s="960"/>
      <c r="D271" s="925"/>
      <c r="E271" s="762"/>
      <c r="F271" s="925"/>
      <c r="G271" s="762"/>
      <c r="H271" s="925"/>
      <c r="I271" s="762"/>
      <c r="J271" s="925"/>
      <c r="K271" s="762"/>
      <c r="L271" s="925"/>
      <c r="M271" s="762"/>
      <c r="N271" s="762"/>
      <c r="O271" s="925"/>
      <c r="P271" s="762"/>
      <c r="Q271" s="925"/>
      <c r="R271" s="762"/>
      <c r="S271" s="925"/>
      <c r="T271" s="762"/>
      <c r="U271" s="925"/>
      <c r="V271" s="762"/>
      <c r="W271" s="925"/>
      <c r="X271" s="762"/>
      <c r="Y271" s="762"/>
      <c r="Z271" s="786"/>
      <c r="AA271" s="762"/>
      <c r="AB271" s="786"/>
      <c r="AC271" s="762"/>
      <c r="AD271" s="786"/>
      <c r="AE271" s="762"/>
      <c r="AF271" s="786"/>
      <c r="AG271" s="762"/>
      <c r="AH271" s="786"/>
      <c r="AI271" s="762"/>
      <c r="AJ271" s="762"/>
      <c r="AK271" s="786"/>
      <c r="AL271" s="762"/>
      <c r="AM271" s="786"/>
      <c r="AN271" s="762"/>
      <c r="AO271" s="786"/>
      <c r="AP271" s="762"/>
      <c r="AQ271" s="786"/>
      <c r="AR271" s="762"/>
      <c r="AS271" s="786"/>
      <c r="AT271" s="762"/>
      <c r="AU271" s="762"/>
      <c r="AV271" s="786"/>
      <c r="AW271" s="762"/>
      <c r="AX271" s="786"/>
      <c r="AY271" s="762"/>
      <c r="AZ271" s="786"/>
      <c r="BA271" s="762"/>
      <c r="BB271" s="786"/>
      <c r="BC271" s="762"/>
      <c r="BD271" s="786"/>
      <c r="BE271" s="762"/>
    </row>
    <row r="272" spans="1:57" s="49" customFormat="1">
      <c r="A272" s="887"/>
      <c r="B272" s="887"/>
      <c r="C272" s="960"/>
      <c r="D272" s="925"/>
      <c r="E272" s="762"/>
      <c r="F272" s="925"/>
      <c r="G272" s="762"/>
      <c r="H272" s="925"/>
      <c r="I272" s="762"/>
      <c r="J272" s="925"/>
      <c r="K272" s="762"/>
      <c r="L272" s="925"/>
      <c r="M272" s="762"/>
      <c r="N272" s="762"/>
      <c r="O272" s="925"/>
      <c r="P272" s="762"/>
      <c r="Q272" s="925"/>
      <c r="R272" s="762"/>
      <c r="S272" s="925"/>
      <c r="T272" s="762"/>
      <c r="U272" s="925"/>
      <c r="V272" s="762"/>
      <c r="W272" s="925"/>
      <c r="X272" s="762"/>
      <c r="Y272" s="762"/>
      <c r="Z272" s="786"/>
      <c r="AA272" s="762"/>
      <c r="AB272" s="786"/>
      <c r="AC272" s="762"/>
      <c r="AD272" s="786"/>
      <c r="AE272" s="762"/>
      <c r="AF272" s="786"/>
      <c r="AG272" s="762"/>
      <c r="AH272" s="786"/>
      <c r="AI272" s="762"/>
      <c r="AJ272" s="762"/>
      <c r="AK272" s="786"/>
      <c r="AL272" s="762"/>
      <c r="AM272" s="786"/>
      <c r="AN272" s="762"/>
      <c r="AO272" s="786"/>
      <c r="AP272" s="762"/>
      <c r="AQ272" s="786"/>
      <c r="AR272" s="762"/>
      <c r="AS272" s="786"/>
      <c r="AT272" s="762"/>
      <c r="AU272" s="762"/>
      <c r="AV272" s="786"/>
      <c r="AW272" s="762"/>
      <c r="AX272" s="786"/>
      <c r="AY272" s="762"/>
      <c r="AZ272" s="786"/>
      <c r="BA272" s="762"/>
      <c r="BB272" s="786"/>
      <c r="BC272" s="762"/>
      <c r="BD272" s="786"/>
      <c r="BE272" s="762"/>
    </row>
    <row r="273" spans="1:57" s="49" customFormat="1">
      <c r="A273" s="887"/>
      <c r="B273" s="887"/>
      <c r="C273" s="960"/>
      <c r="D273" s="925"/>
      <c r="E273" s="762"/>
      <c r="F273" s="925"/>
      <c r="G273" s="762"/>
      <c r="H273" s="925"/>
      <c r="I273" s="762"/>
      <c r="J273" s="925"/>
      <c r="K273" s="762"/>
      <c r="L273" s="925"/>
      <c r="M273" s="762"/>
      <c r="N273" s="762"/>
      <c r="O273" s="925"/>
      <c r="P273" s="762"/>
      <c r="Q273" s="925"/>
      <c r="R273" s="762"/>
      <c r="S273" s="925"/>
      <c r="T273" s="762"/>
      <c r="U273" s="925"/>
      <c r="V273" s="762"/>
      <c r="W273" s="925"/>
      <c r="X273" s="762"/>
      <c r="Y273" s="762"/>
      <c r="Z273" s="786"/>
      <c r="AA273" s="762"/>
      <c r="AB273" s="786"/>
      <c r="AC273" s="762"/>
      <c r="AD273" s="786"/>
      <c r="AE273" s="762"/>
      <c r="AF273" s="786"/>
      <c r="AG273" s="762"/>
      <c r="AH273" s="786"/>
      <c r="AI273" s="762"/>
      <c r="AJ273" s="762"/>
      <c r="AK273" s="786"/>
      <c r="AL273" s="762"/>
      <c r="AM273" s="786"/>
      <c r="AN273" s="762"/>
      <c r="AO273" s="786"/>
      <c r="AP273" s="762"/>
      <c r="AQ273" s="786"/>
      <c r="AR273" s="762"/>
      <c r="AS273" s="786"/>
      <c r="AT273" s="762"/>
      <c r="AU273" s="762"/>
      <c r="AV273" s="786"/>
      <c r="AW273" s="762"/>
      <c r="AX273" s="786"/>
      <c r="AY273" s="762"/>
      <c r="AZ273" s="786"/>
      <c r="BA273" s="762"/>
      <c r="BB273" s="786"/>
      <c r="BC273" s="762"/>
      <c r="BD273" s="786"/>
      <c r="BE273" s="762"/>
    </row>
    <row r="274" spans="1:57" s="49" customFormat="1">
      <c r="A274" s="887"/>
      <c r="B274" s="887"/>
      <c r="C274" s="960"/>
      <c r="D274" s="925"/>
      <c r="E274" s="762"/>
      <c r="F274" s="925"/>
      <c r="G274" s="762"/>
      <c r="H274" s="925"/>
      <c r="I274" s="762"/>
      <c r="J274" s="925"/>
      <c r="K274" s="762"/>
      <c r="L274" s="925"/>
      <c r="M274" s="762"/>
      <c r="N274" s="762"/>
      <c r="O274" s="925"/>
      <c r="P274" s="762"/>
      <c r="Q274" s="925"/>
      <c r="R274" s="762"/>
      <c r="S274" s="925"/>
      <c r="T274" s="762"/>
      <c r="U274" s="925"/>
      <c r="V274" s="762"/>
      <c r="W274" s="925"/>
      <c r="X274" s="762"/>
      <c r="Y274" s="762"/>
      <c r="Z274" s="786"/>
      <c r="AA274" s="762"/>
      <c r="AB274" s="786"/>
      <c r="AC274" s="762"/>
      <c r="AD274" s="786"/>
      <c r="AE274" s="762"/>
      <c r="AF274" s="786"/>
      <c r="AG274" s="762"/>
      <c r="AH274" s="786"/>
      <c r="AI274" s="762"/>
      <c r="AJ274" s="762"/>
      <c r="AK274" s="786"/>
      <c r="AL274" s="762"/>
      <c r="AM274" s="786"/>
      <c r="AN274" s="762"/>
      <c r="AO274" s="786"/>
      <c r="AP274" s="762"/>
      <c r="AQ274" s="786"/>
      <c r="AR274" s="762"/>
      <c r="AS274" s="786"/>
      <c r="AT274" s="762"/>
      <c r="AU274" s="762"/>
      <c r="AV274" s="786"/>
      <c r="AW274" s="762"/>
      <c r="AX274" s="786"/>
      <c r="AY274" s="762"/>
      <c r="AZ274" s="786"/>
      <c r="BA274" s="762"/>
      <c r="BB274" s="786"/>
      <c r="BC274" s="762"/>
      <c r="BD274" s="786"/>
      <c r="BE274" s="762"/>
    </row>
    <row r="275" spans="1:57" s="49" customFormat="1">
      <c r="A275" s="887"/>
      <c r="B275" s="887"/>
      <c r="C275" s="960"/>
      <c r="D275" s="925"/>
      <c r="E275" s="762"/>
      <c r="F275" s="925"/>
      <c r="G275" s="762"/>
      <c r="H275" s="925"/>
      <c r="I275" s="762"/>
      <c r="J275" s="925"/>
      <c r="K275" s="762"/>
      <c r="L275" s="925"/>
      <c r="M275" s="762"/>
      <c r="N275" s="762"/>
      <c r="O275" s="925"/>
      <c r="P275" s="762"/>
      <c r="Q275" s="925"/>
      <c r="R275" s="762"/>
      <c r="S275" s="925"/>
      <c r="T275" s="762"/>
      <c r="U275" s="925"/>
      <c r="V275" s="762"/>
      <c r="W275" s="925"/>
      <c r="X275" s="762"/>
      <c r="Y275" s="762"/>
      <c r="Z275" s="786"/>
      <c r="AA275" s="762"/>
      <c r="AB275" s="786"/>
      <c r="AC275" s="762"/>
      <c r="AD275" s="786"/>
      <c r="AE275" s="762"/>
      <c r="AF275" s="786"/>
      <c r="AG275" s="762"/>
      <c r="AH275" s="786"/>
      <c r="AI275" s="762"/>
      <c r="AJ275" s="762"/>
      <c r="AK275" s="786"/>
      <c r="AL275" s="762"/>
      <c r="AM275" s="786"/>
      <c r="AN275" s="762"/>
      <c r="AO275" s="786"/>
      <c r="AP275" s="762"/>
      <c r="AQ275" s="786"/>
      <c r="AR275" s="762"/>
      <c r="AS275" s="786"/>
      <c r="AT275" s="762"/>
      <c r="AU275" s="762"/>
      <c r="AV275" s="786"/>
      <c r="AW275" s="762"/>
      <c r="AX275" s="786"/>
      <c r="AY275" s="762"/>
      <c r="AZ275" s="786"/>
      <c r="BA275" s="762"/>
      <c r="BB275" s="786"/>
      <c r="BC275" s="762"/>
      <c r="BD275" s="786"/>
      <c r="BE275" s="762"/>
    </row>
    <row r="276" spans="1:57" s="49" customFormat="1">
      <c r="A276" s="887"/>
      <c r="B276" s="887"/>
      <c r="C276" s="960"/>
      <c r="D276" s="925"/>
      <c r="E276" s="762"/>
      <c r="F276" s="925"/>
      <c r="G276" s="762"/>
      <c r="H276" s="925"/>
      <c r="I276" s="762"/>
      <c r="J276" s="925"/>
      <c r="K276" s="762"/>
      <c r="L276" s="925"/>
      <c r="M276" s="762"/>
      <c r="N276" s="762"/>
      <c r="O276" s="925"/>
      <c r="P276" s="762"/>
      <c r="Q276" s="925"/>
      <c r="R276" s="762"/>
      <c r="S276" s="925"/>
      <c r="T276" s="762"/>
      <c r="U276" s="925"/>
      <c r="V276" s="762"/>
      <c r="W276" s="925"/>
      <c r="X276" s="762"/>
      <c r="Y276" s="762"/>
      <c r="Z276" s="786"/>
      <c r="AA276" s="762"/>
      <c r="AB276" s="786"/>
      <c r="AC276" s="762"/>
      <c r="AD276" s="786"/>
      <c r="AE276" s="762"/>
      <c r="AF276" s="786"/>
      <c r="AG276" s="762"/>
      <c r="AH276" s="786"/>
      <c r="AI276" s="762"/>
      <c r="AJ276" s="762"/>
      <c r="AK276" s="786"/>
      <c r="AL276" s="762"/>
      <c r="AM276" s="786"/>
      <c r="AN276" s="762"/>
      <c r="AO276" s="786"/>
      <c r="AP276" s="762"/>
      <c r="AQ276" s="786"/>
      <c r="AR276" s="762"/>
      <c r="AS276" s="786"/>
      <c r="AT276" s="762"/>
      <c r="AU276" s="762"/>
      <c r="AV276" s="786"/>
      <c r="AW276" s="762"/>
      <c r="AX276" s="786"/>
      <c r="AY276" s="762"/>
      <c r="AZ276" s="786"/>
      <c r="BA276" s="762"/>
      <c r="BB276" s="786"/>
      <c r="BC276" s="762"/>
      <c r="BD276" s="786"/>
      <c r="BE276" s="762"/>
    </row>
    <row r="277" spans="1:57" s="49" customFormat="1">
      <c r="A277" s="887"/>
      <c r="B277" s="887"/>
      <c r="C277" s="960"/>
      <c r="D277" s="925"/>
      <c r="E277" s="762"/>
      <c r="F277" s="925"/>
      <c r="G277" s="762"/>
      <c r="H277" s="925"/>
      <c r="I277" s="762"/>
      <c r="J277" s="925"/>
      <c r="K277" s="762"/>
      <c r="L277" s="925"/>
      <c r="M277" s="762"/>
      <c r="N277" s="762"/>
      <c r="O277" s="925"/>
      <c r="P277" s="762"/>
      <c r="Q277" s="925"/>
      <c r="R277" s="762"/>
      <c r="S277" s="925"/>
      <c r="T277" s="762"/>
      <c r="U277" s="925"/>
      <c r="V277" s="762"/>
      <c r="W277" s="925"/>
      <c r="X277" s="762"/>
      <c r="Y277" s="762"/>
      <c r="Z277" s="786"/>
      <c r="AA277" s="762"/>
      <c r="AB277" s="786"/>
      <c r="AC277" s="762"/>
      <c r="AD277" s="786"/>
      <c r="AE277" s="762"/>
      <c r="AF277" s="786"/>
      <c r="AG277" s="762"/>
      <c r="AH277" s="786"/>
      <c r="AI277" s="762"/>
      <c r="AJ277" s="762"/>
      <c r="AK277" s="786"/>
      <c r="AL277" s="762"/>
      <c r="AM277" s="786"/>
      <c r="AN277" s="762"/>
      <c r="AO277" s="786"/>
      <c r="AP277" s="762"/>
      <c r="AQ277" s="786"/>
      <c r="AR277" s="762"/>
      <c r="AS277" s="786"/>
      <c r="AT277" s="762"/>
      <c r="AU277" s="762"/>
      <c r="AV277" s="786"/>
      <c r="AW277" s="762"/>
      <c r="AX277" s="786"/>
      <c r="AY277" s="762"/>
      <c r="AZ277" s="786"/>
      <c r="BA277" s="762"/>
      <c r="BB277" s="786"/>
      <c r="BC277" s="762"/>
      <c r="BD277" s="786"/>
      <c r="BE277" s="762"/>
    </row>
    <row r="278" spans="1:57" s="49" customFormat="1">
      <c r="A278" s="887"/>
      <c r="B278" s="887"/>
      <c r="C278" s="960"/>
      <c r="D278" s="925"/>
      <c r="E278" s="762"/>
      <c r="F278" s="925"/>
      <c r="G278" s="762"/>
      <c r="H278" s="925"/>
      <c r="I278" s="762"/>
      <c r="J278" s="925"/>
      <c r="K278" s="762"/>
      <c r="L278" s="925"/>
      <c r="M278" s="762"/>
      <c r="N278" s="762"/>
      <c r="O278" s="925"/>
      <c r="P278" s="762"/>
      <c r="Q278" s="925"/>
      <c r="R278" s="762"/>
      <c r="S278" s="925"/>
      <c r="T278" s="762"/>
      <c r="U278" s="925"/>
      <c r="V278" s="762"/>
      <c r="W278" s="925"/>
      <c r="X278" s="762"/>
      <c r="Y278" s="762"/>
      <c r="Z278" s="786"/>
      <c r="AA278" s="762"/>
      <c r="AB278" s="786"/>
      <c r="AC278" s="762"/>
      <c r="AD278" s="786"/>
      <c r="AE278" s="762"/>
      <c r="AF278" s="786"/>
      <c r="AG278" s="762"/>
      <c r="AH278" s="786"/>
      <c r="AI278" s="762"/>
      <c r="AJ278" s="762"/>
      <c r="AK278" s="786"/>
      <c r="AL278" s="762"/>
      <c r="AM278" s="786"/>
      <c r="AN278" s="762"/>
      <c r="AO278" s="786"/>
      <c r="AP278" s="762"/>
      <c r="AQ278" s="786"/>
      <c r="AR278" s="762"/>
      <c r="AS278" s="786"/>
      <c r="AT278" s="762"/>
      <c r="AU278" s="762"/>
      <c r="AV278" s="786"/>
      <c r="AW278" s="762"/>
      <c r="AX278" s="786"/>
      <c r="AY278" s="762"/>
      <c r="AZ278" s="786"/>
      <c r="BA278" s="762"/>
      <c r="BB278" s="786"/>
      <c r="BC278" s="762"/>
      <c r="BD278" s="786"/>
      <c r="BE278" s="762"/>
    </row>
    <row r="279" spans="1:57" s="49" customFormat="1">
      <c r="A279" s="887"/>
      <c r="B279" s="887"/>
      <c r="C279" s="960"/>
      <c r="D279" s="925"/>
      <c r="E279" s="762"/>
      <c r="F279" s="925"/>
      <c r="G279" s="762"/>
      <c r="H279" s="925"/>
      <c r="I279" s="762"/>
      <c r="J279" s="925"/>
      <c r="K279" s="762"/>
      <c r="L279" s="925"/>
      <c r="M279" s="762"/>
      <c r="N279" s="762"/>
      <c r="O279" s="925"/>
      <c r="P279" s="762"/>
      <c r="Q279" s="925"/>
      <c r="R279" s="762"/>
      <c r="S279" s="925"/>
      <c r="T279" s="762"/>
      <c r="U279" s="925"/>
      <c r="V279" s="762"/>
      <c r="W279" s="925"/>
      <c r="X279" s="762"/>
      <c r="Y279" s="762"/>
      <c r="Z279" s="786"/>
      <c r="AA279" s="762"/>
      <c r="AB279" s="786"/>
      <c r="AC279" s="762"/>
      <c r="AD279" s="786"/>
      <c r="AE279" s="762"/>
      <c r="AF279" s="786"/>
      <c r="AG279" s="762"/>
      <c r="AH279" s="786"/>
      <c r="AI279" s="762"/>
      <c r="AJ279" s="762"/>
      <c r="AK279" s="786"/>
      <c r="AL279" s="762"/>
      <c r="AM279" s="786"/>
      <c r="AN279" s="762"/>
      <c r="AO279" s="786"/>
      <c r="AP279" s="762"/>
      <c r="AQ279" s="786"/>
      <c r="AR279" s="762"/>
      <c r="AS279" s="786"/>
      <c r="AT279" s="762"/>
      <c r="AU279" s="762"/>
      <c r="AV279" s="786"/>
      <c r="AW279" s="762"/>
      <c r="AX279" s="786"/>
      <c r="AY279" s="762"/>
      <c r="AZ279" s="786"/>
      <c r="BA279" s="762"/>
      <c r="BB279" s="786"/>
      <c r="BC279" s="762"/>
      <c r="BD279" s="786"/>
      <c r="BE279" s="762"/>
    </row>
    <row r="280" spans="1:57" s="49" customFormat="1">
      <c r="A280" s="887"/>
      <c r="B280" s="887"/>
      <c r="C280" s="960"/>
      <c r="D280" s="925"/>
      <c r="E280" s="762"/>
      <c r="F280" s="925"/>
      <c r="G280" s="762"/>
      <c r="H280" s="925"/>
      <c r="I280" s="762"/>
      <c r="J280" s="925"/>
      <c r="K280" s="762"/>
      <c r="L280" s="925"/>
      <c r="M280" s="762"/>
      <c r="N280" s="762"/>
      <c r="O280" s="925"/>
      <c r="P280" s="762"/>
      <c r="Q280" s="925"/>
      <c r="R280" s="762"/>
      <c r="S280" s="925"/>
      <c r="T280" s="762"/>
      <c r="U280" s="925"/>
      <c r="V280" s="762"/>
      <c r="W280" s="925"/>
      <c r="X280" s="762"/>
      <c r="Y280" s="762"/>
      <c r="Z280" s="786"/>
      <c r="AA280" s="762"/>
      <c r="AB280" s="786"/>
      <c r="AC280" s="762"/>
      <c r="AD280" s="786"/>
      <c r="AE280" s="762"/>
      <c r="AF280" s="786"/>
      <c r="AG280" s="762"/>
      <c r="AH280" s="786"/>
      <c r="AI280" s="762"/>
      <c r="AJ280" s="762"/>
      <c r="AK280" s="786"/>
      <c r="AL280" s="762"/>
      <c r="AM280" s="786"/>
      <c r="AN280" s="762"/>
      <c r="AO280" s="786"/>
      <c r="AP280" s="762"/>
      <c r="AQ280" s="786"/>
      <c r="AR280" s="762"/>
      <c r="AS280" s="786"/>
      <c r="AT280" s="762"/>
      <c r="AU280" s="762"/>
      <c r="AV280" s="786"/>
      <c r="AW280" s="762"/>
      <c r="AX280" s="786"/>
      <c r="AY280" s="762"/>
      <c r="AZ280" s="786"/>
      <c r="BA280" s="762"/>
      <c r="BB280" s="786"/>
      <c r="BC280" s="762"/>
      <c r="BD280" s="786"/>
      <c r="BE280" s="762"/>
    </row>
    <row r="281" spans="1:57" s="49" customFormat="1">
      <c r="A281" s="887"/>
      <c r="B281" s="887"/>
      <c r="C281" s="960"/>
      <c r="D281" s="925"/>
      <c r="E281" s="762"/>
      <c r="F281" s="925"/>
      <c r="G281" s="762"/>
      <c r="H281" s="925"/>
      <c r="I281" s="762"/>
      <c r="J281" s="925"/>
      <c r="K281" s="762"/>
      <c r="L281" s="925"/>
      <c r="M281" s="762"/>
      <c r="N281" s="762"/>
      <c r="O281" s="925"/>
      <c r="P281" s="762"/>
      <c r="Q281" s="925"/>
      <c r="R281" s="762"/>
      <c r="S281" s="925"/>
      <c r="T281" s="762"/>
      <c r="U281" s="925"/>
      <c r="V281" s="762"/>
      <c r="W281" s="925"/>
      <c r="X281" s="762"/>
      <c r="Y281" s="762"/>
      <c r="Z281" s="786"/>
      <c r="AA281" s="762"/>
      <c r="AB281" s="786"/>
      <c r="AC281" s="762"/>
      <c r="AD281" s="786"/>
      <c r="AE281" s="762"/>
      <c r="AF281" s="786"/>
      <c r="AG281" s="762"/>
      <c r="AH281" s="786"/>
      <c r="AI281" s="762"/>
      <c r="AJ281" s="762"/>
      <c r="AK281" s="786"/>
      <c r="AL281" s="762"/>
      <c r="AM281" s="786"/>
      <c r="AN281" s="762"/>
      <c r="AO281" s="786"/>
      <c r="AP281" s="762"/>
      <c r="AQ281" s="786"/>
      <c r="AR281" s="762"/>
      <c r="AS281" s="786"/>
      <c r="AT281" s="762"/>
      <c r="AU281" s="762"/>
      <c r="AV281" s="786"/>
      <c r="AW281" s="762"/>
      <c r="AX281" s="786"/>
      <c r="AY281" s="762"/>
      <c r="AZ281" s="786"/>
      <c r="BA281" s="762"/>
      <c r="BB281" s="786"/>
      <c r="BC281" s="762"/>
      <c r="BD281" s="786"/>
      <c r="BE281" s="762"/>
    </row>
    <row r="282" spans="1:57" s="49" customFormat="1">
      <c r="A282" s="887"/>
      <c r="B282" s="887"/>
      <c r="C282" s="960"/>
      <c r="D282" s="925"/>
      <c r="E282" s="762"/>
      <c r="F282" s="925"/>
      <c r="G282" s="762"/>
      <c r="H282" s="925"/>
      <c r="I282" s="762"/>
      <c r="J282" s="925"/>
      <c r="K282" s="762"/>
      <c r="L282" s="925"/>
      <c r="M282" s="762"/>
      <c r="N282" s="762"/>
      <c r="O282" s="925"/>
      <c r="P282" s="762"/>
      <c r="Q282" s="925"/>
      <c r="R282" s="762"/>
      <c r="S282" s="925"/>
      <c r="T282" s="762"/>
      <c r="U282" s="925"/>
      <c r="V282" s="762"/>
      <c r="W282" s="925"/>
      <c r="X282" s="762"/>
      <c r="Y282" s="762"/>
      <c r="Z282" s="786"/>
      <c r="AA282" s="762"/>
      <c r="AB282" s="786"/>
      <c r="AC282" s="762"/>
      <c r="AD282" s="786"/>
      <c r="AE282" s="762"/>
      <c r="AF282" s="786"/>
      <c r="AG282" s="762"/>
      <c r="AH282" s="786"/>
      <c r="AI282" s="762"/>
      <c r="AJ282" s="762"/>
      <c r="AK282" s="786"/>
      <c r="AL282" s="762"/>
      <c r="AM282" s="786"/>
      <c r="AN282" s="762"/>
      <c r="AO282" s="786"/>
      <c r="AP282" s="762"/>
      <c r="AQ282" s="786"/>
      <c r="AR282" s="762"/>
      <c r="AS282" s="786"/>
      <c r="AT282" s="762"/>
      <c r="AU282" s="762"/>
      <c r="AV282" s="786"/>
      <c r="AW282" s="762"/>
      <c r="AX282" s="786"/>
      <c r="AY282" s="762"/>
      <c r="AZ282" s="786"/>
      <c r="BA282" s="762"/>
      <c r="BB282" s="786"/>
      <c r="BC282" s="762"/>
      <c r="BD282" s="786"/>
      <c r="BE282" s="762"/>
    </row>
    <row r="283" spans="1:57" s="49" customFormat="1">
      <c r="A283" s="887"/>
      <c r="B283" s="887"/>
      <c r="C283" s="960"/>
      <c r="D283" s="925"/>
      <c r="E283" s="762"/>
      <c r="F283" s="925"/>
      <c r="G283" s="762"/>
      <c r="H283" s="925"/>
      <c r="I283" s="762"/>
      <c r="J283" s="925"/>
      <c r="K283" s="762"/>
      <c r="L283" s="925"/>
      <c r="M283" s="762"/>
      <c r="N283" s="762"/>
      <c r="O283" s="925"/>
      <c r="P283" s="762"/>
      <c r="Q283" s="925"/>
      <c r="R283" s="762"/>
      <c r="S283" s="925"/>
      <c r="T283" s="762"/>
      <c r="U283" s="925"/>
      <c r="V283" s="762"/>
      <c r="W283" s="925"/>
      <c r="X283" s="762"/>
      <c r="Y283" s="762"/>
      <c r="Z283" s="786"/>
      <c r="AA283" s="762"/>
      <c r="AB283" s="786"/>
      <c r="AC283" s="762"/>
      <c r="AD283" s="786"/>
      <c r="AE283" s="762"/>
      <c r="AF283" s="786"/>
      <c r="AG283" s="762"/>
      <c r="AH283" s="786"/>
      <c r="AI283" s="762"/>
      <c r="AJ283" s="762"/>
      <c r="AK283" s="786"/>
      <c r="AL283" s="762"/>
      <c r="AM283" s="786"/>
      <c r="AN283" s="762"/>
      <c r="AO283" s="786"/>
      <c r="AP283" s="762"/>
      <c r="AQ283" s="786"/>
      <c r="AR283" s="762"/>
      <c r="AS283" s="786"/>
      <c r="AT283" s="762"/>
      <c r="AU283" s="762"/>
      <c r="AV283" s="786"/>
      <c r="AW283" s="762"/>
      <c r="AX283" s="786"/>
      <c r="AY283" s="762"/>
      <c r="AZ283" s="786"/>
      <c r="BA283" s="762"/>
      <c r="BB283" s="786"/>
      <c r="BC283" s="762"/>
      <c r="BD283" s="786"/>
      <c r="BE283" s="762"/>
    </row>
    <row r="284" spans="1:57" s="49" customFormat="1">
      <c r="A284" s="887"/>
      <c r="B284" s="887"/>
      <c r="C284" s="960"/>
      <c r="D284" s="925"/>
      <c r="E284" s="762"/>
      <c r="F284" s="925"/>
      <c r="G284" s="762"/>
      <c r="H284" s="925"/>
      <c r="I284" s="762"/>
      <c r="J284" s="925"/>
      <c r="K284" s="762"/>
      <c r="L284" s="925"/>
      <c r="M284" s="762"/>
      <c r="N284" s="762"/>
      <c r="O284" s="925"/>
      <c r="P284" s="762"/>
      <c r="Q284" s="925"/>
      <c r="R284" s="762"/>
      <c r="S284" s="925"/>
      <c r="T284" s="762"/>
      <c r="U284" s="925"/>
      <c r="V284" s="762"/>
      <c r="W284" s="925"/>
      <c r="X284" s="762"/>
      <c r="Y284" s="762"/>
      <c r="Z284" s="786"/>
      <c r="AA284" s="762"/>
      <c r="AB284" s="786"/>
      <c r="AC284" s="762"/>
      <c r="AD284" s="786"/>
      <c r="AE284" s="762"/>
      <c r="AF284" s="786"/>
      <c r="AG284" s="762"/>
      <c r="AH284" s="786"/>
      <c r="AI284" s="762"/>
      <c r="AJ284" s="762"/>
      <c r="AK284" s="786"/>
      <c r="AL284" s="762"/>
      <c r="AM284" s="786"/>
      <c r="AN284" s="762"/>
      <c r="AO284" s="786"/>
      <c r="AP284" s="762"/>
      <c r="AQ284" s="786"/>
      <c r="AR284" s="762"/>
      <c r="AS284" s="786"/>
      <c r="AT284" s="762"/>
      <c r="AU284" s="762"/>
      <c r="AV284" s="786"/>
      <c r="AW284" s="762"/>
      <c r="AX284" s="786"/>
      <c r="AY284" s="762"/>
      <c r="AZ284" s="786"/>
      <c r="BA284" s="762"/>
      <c r="BB284" s="786"/>
      <c r="BC284" s="762"/>
      <c r="BD284" s="786"/>
      <c r="BE284" s="762"/>
    </row>
    <row r="285" spans="1:57" s="49" customFormat="1">
      <c r="A285" s="887"/>
      <c r="B285" s="887"/>
      <c r="C285" s="960"/>
      <c r="D285" s="925"/>
      <c r="E285" s="762"/>
      <c r="F285" s="925"/>
      <c r="G285" s="762"/>
      <c r="H285" s="925"/>
      <c r="I285" s="762"/>
      <c r="J285" s="925"/>
      <c r="K285" s="762"/>
      <c r="L285" s="925"/>
      <c r="M285" s="762"/>
      <c r="N285" s="762"/>
      <c r="O285" s="925"/>
      <c r="P285" s="762"/>
      <c r="Q285" s="925"/>
      <c r="R285" s="762"/>
      <c r="S285" s="925"/>
      <c r="T285" s="762"/>
      <c r="U285" s="925"/>
      <c r="V285" s="762"/>
      <c r="W285" s="925"/>
      <c r="X285" s="762"/>
      <c r="Y285" s="762"/>
      <c r="Z285" s="786"/>
      <c r="AA285" s="762"/>
      <c r="AB285" s="786"/>
      <c r="AC285" s="762"/>
      <c r="AD285" s="786"/>
      <c r="AE285" s="762"/>
      <c r="AF285" s="786"/>
      <c r="AG285" s="762"/>
      <c r="AH285" s="786"/>
      <c r="AI285" s="762"/>
      <c r="AJ285" s="762"/>
      <c r="AK285" s="786"/>
      <c r="AL285" s="762"/>
      <c r="AM285" s="786"/>
      <c r="AN285" s="762"/>
      <c r="AO285" s="786"/>
      <c r="AP285" s="762"/>
      <c r="AQ285" s="786"/>
      <c r="AR285" s="762"/>
      <c r="AS285" s="786"/>
      <c r="AT285" s="762"/>
      <c r="AU285" s="762"/>
      <c r="AV285" s="786"/>
      <c r="AW285" s="762"/>
      <c r="AX285" s="786"/>
      <c r="AY285" s="762"/>
      <c r="AZ285" s="786"/>
      <c r="BA285" s="762"/>
      <c r="BB285" s="786"/>
      <c r="BC285" s="762"/>
      <c r="BD285" s="786"/>
      <c r="BE285" s="762"/>
    </row>
    <row r="286" spans="1:57" s="49" customFormat="1">
      <c r="A286" s="887"/>
      <c r="B286" s="887"/>
      <c r="C286" s="960"/>
      <c r="D286" s="925"/>
      <c r="E286" s="762"/>
      <c r="F286" s="925"/>
      <c r="G286" s="762"/>
      <c r="H286" s="925"/>
      <c r="I286" s="762"/>
      <c r="J286" s="925"/>
      <c r="K286" s="762"/>
      <c r="L286" s="925"/>
      <c r="M286" s="762"/>
      <c r="N286" s="762"/>
      <c r="O286" s="925"/>
      <c r="P286" s="762"/>
      <c r="Q286" s="925"/>
      <c r="R286" s="762"/>
      <c r="S286" s="925"/>
      <c r="T286" s="762"/>
      <c r="U286" s="925"/>
      <c r="V286" s="762"/>
      <c r="W286" s="925"/>
      <c r="X286" s="762"/>
      <c r="Y286" s="762"/>
      <c r="Z286" s="786"/>
      <c r="AA286" s="762"/>
      <c r="AB286" s="786"/>
      <c r="AC286" s="762"/>
      <c r="AD286" s="786"/>
      <c r="AE286" s="762"/>
      <c r="AF286" s="786"/>
      <c r="AG286" s="762"/>
      <c r="AH286" s="786"/>
      <c r="AI286" s="762"/>
      <c r="AJ286" s="762"/>
      <c r="AK286" s="786"/>
      <c r="AL286" s="762"/>
      <c r="AM286" s="786"/>
      <c r="AN286" s="762"/>
      <c r="AO286" s="786"/>
      <c r="AP286" s="762"/>
      <c r="AQ286" s="786"/>
      <c r="AR286" s="762"/>
      <c r="AS286" s="786"/>
      <c r="AT286" s="762"/>
      <c r="AU286" s="762"/>
      <c r="AV286" s="786"/>
      <c r="AW286" s="762"/>
      <c r="AX286" s="786"/>
      <c r="AY286" s="762"/>
      <c r="AZ286" s="786"/>
      <c r="BA286" s="762"/>
      <c r="BB286" s="786"/>
      <c r="BC286" s="762"/>
      <c r="BD286" s="786"/>
      <c r="BE286" s="762"/>
    </row>
    <row r="287" spans="1:57" s="49" customFormat="1">
      <c r="A287" s="887"/>
      <c r="B287" s="887"/>
      <c r="C287" s="960"/>
      <c r="D287" s="925"/>
      <c r="E287" s="762"/>
      <c r="F287" s="925"/>
      <c r="G287" s="762"/>
      <c r="H287" s="925"/>
      <c r="I287" s="762"/>
      <c r="J287" s="925"/>
      <c r="K287" s="762"/>
      <c r="L287" s="925"/>
      <c r="M287" s="762"/>
      <c r="N287" s="762"/>
      <c r="O287" s="925"/>
      <c r="P287" s="762"/>
      <c r="Q287" s="925"/>
      <c r="R287" s="762"/>
      <c r="S287" s="925"/>
      <c r="T287" s="762"/>
      <c r="U287" s="925"/>
      <c r="V287" s="762"/>
      <c r="W287" s="925"/>
      <c r="X287" s="762"/>
      <c r="Y287" s="762"/>
      <c r="Z287" s="786"/>
      <c r="AA287" s="762"/>
      <c r="AB287" s="786"/>
      <c r="AC287" s="762"/>
      <c r="AD287" s="786"/>
      <c r="AE287" s="762"/>
      <c r="AF287" s="786"/>
      <c r="AG287" s="762"/>
      <c r="AH287" s="786"/>
      <c r="AI287" s="762"/>
      <c r="AJ287" s="762"/>
      <c r="AK287" s="786"/>
      <c r="AL287" s="762"/>
      <c r="AM287" s="786"/>
      <c r="AN287" s="762"/>
      <c r="AO287" s="786"/>
      <c r="AP287" s="762"/>
      <c r="AQ287" s="786"/>
      <c r="AR287" s="762"/>
      <c r="AS287" s="786"/>
      <c r="AT287" s="762"/>
      <c r="AU287" s="762"/>
      <c r="AV287" s="786"/>
      <c r="AW287" s="762"/>
      <c r="AX287" s="786"/>
      <c r="AY287" s="762"/>
      <c r="AZ287" s="786"/>
      <c r="BA287" s="762"/>
      <c r="BB287" s="786"/>
      <c r="BC287" s="762"/>
      <c r="BD287" s="786"/>
      <c r="BE287" s="762"/>
    </row>
    <row r="288" spans="1:57" s="49" customFormat="1">
      <c r="A288" s="887"/>
      <c r="B288" s="887"/>
      <c r="C288" s="960"/>
      <c r="D288" s="925"/>
      <c r="E288" s="762"/>
      <c r="F288" s="925"/>
      <c r="G288" s="762"/>
      <c r="H288" s="925"/>
      <c r="I288" s="762"/>
      <c r="J288" s="925"/>
      <c r="K288" s="762"/>
      <c r="L288" s="925"/>
      <c r="M288" s="762"/>
      <c r="N288" s="762"/>
      <c r="O288" s="925"/>
      <c r="P288" s="762"/>
      <c r="Q288" s="925"/>
      <c r="R288" s="762"/>
      <c r="S288" s="925"/>
      <c r="T288" s="762"/>
      <c r="U288" s="925"/>
      <c r="V288" s="762"/>
      <c r="W288" s="925"/>
      <c r="X288" s="762"/>
      <c r="Y288" s="762"/>
      <c r="Z288" s="786"/>
      <c r="AA288" s="762"/>
      <c r="AB288" s="786"/>
      <c r="AC288" s="762"/>
      <c r="AD288" s="786"/>
      <c r="AE288" s="762"/>
      <c r="AF288" s="786"/>
      <c r="AG288" s="762"/>
      <c r="AH288" s="786"/>
      <c r="AI288" s="762"/>
      <c r="AJ288" s="762"/>
      <c r="AK288" s="786"/>
      <c r="AL288" s="762"/>
      <c r="AM288" s="786"/>
      <c r="AN288" s="762"/>
      <c r="AO288" s="786"/>
      <c r="AP288" s="762"/>
      <c r="AQ288" s="786"/>
      <c r="AR288" s="762"/>
      <c r="AS288" s="786"/>
      <c r="AT288" s="762"/>
      <c r="AU288" s="762"/>
      <c r="AV288" s="786"/>
      <c r="AW288" s="762"/>
      <c r="AX288" s="786"/>
      <c r="AY288" s="762"/>
      <c r="AZ288" s="786"/>
      <c r="BA288" s="762"/>
      <c r="BB288" s="786"/>
      <c r="BC288" s="762"/>
      <c r="BD288" s="786"/>
      <c r="BE288" s="762"/>
    </row>
    <row r="289" spans="1:57" s="49" customFormat="1">
      <c r="A289" s="887"/>
      <c r="B289" s="887"/>
      <c r="C289" s="960"/>
      <c r="D289" s="925"/>
      <c r="E289" s="762"/>
      <c r="F289" s="925"/>
      <c r="G289" s="762"/>
      <c r="H289" s="925"/>
      <c r="I289" s="762"/>
      <c r="J289" s="925"/>
      <c r="K289" s="762"/>
      <c r="L289" s="925"/>
      <c r="M289" s="762"/>
      <c r="N289" s="762"/>
      <c r="O289" s="925"/>
      <c r="P289" s="762"/>
      <c r="Q289" s="925"/>
      <c r="R289" s="762"/>
      <c r="S289" s="925"/>
      <c r="T289" s="762"/>
      <c r="U289" s="925"/>
      <c r="V289" s="762"/>
      <c r="W289" s="925"/>
      <c r="X289" s="762"/>
      <c r="Y289" s="762"/>
      <c r="Z289" s="786"/>
      <c r="AA289" s="762"/>
      <c r="AB289" s="786"/>
      <c r="AC289" s="762"/>
      <c r="AD289" s="786"/>
      <c r="AE289" s="762"/>
      <c r="AF289" s="786"/>
      <c r="AG289" s="762"/>
      <c r="AH289" s="786"/>
      <c r="AI289" s="762"/>
      <c r="AJ289" s="762"/>
      <c r="AK289" s="786"/>
      <c r="AL289" s="762"/>
      <c r="AM289" s="786"/>
      <c r="AN289" s="762"/>
      <c r="AO289" s="786"/>
      <c r="AP289" s="762"/>
      <c r="AQ289" s="786"/>
      <c r="AR289" s="762"/>
      <c r="AS289" s="786"/>
      <c r="AT289" s="762"/>
      <c r="AU289" s="762"/>
      <c r="AV289" s="786"/>
      <c r="AW289" s="762"/>
      <c r="AX289" s="786"/>
      <c r="AY289" s="762"/>
      <c r="AZ289" s="786"/>
      <c r="BA289" s="762"/>
      <c r="BB289" s="786"/>
      <c r="BC289" s="762"/>
      <c r="BD289" s="786"/>
      <c r="BE289" s="762"/>
    </row>
    <row r="290" spans="1:57" s="49" customFormat="1">
      <c r="A290" s="887"/>
      <c r="B290" s="887"/>
      <c r="C290" s="960"/>
      <c r="D290" s="925"/>
      <c r="E290" s="762"/>
      <c r="F290" s="925"/>
      <c r="G290" s="762"/>
      <c r="H290" s="925"/>
      <c r="I290" s="762"/>
      <c r="J290" s="925"/>
      <c r="K290" s="762"/>
      <c r="L290" s="925"/>
      <c r="M290" s="762"/>
      <c r="N290" s="762"/>
      <c r="O290" s="925"/>
      <c r="P290" s="762"/>
      <c r="Q290" s="925"/>
      <c r="R290" s="762"/>
      <c r="S290" s="925"/>
      <c r="T290" s="762"/>
      <c r="U290" s="925"/>
      <c r="V290" s="762"/>
      <c r="W290" s="925"/>
      <c r="X290" s="762"/>
      <c r="Y290" s="762"/>
      <c r="Z290" s="786"/>
      <c r="AA290" s="762"/>
      <c r="AB290" s="786"/>
      <c r="AC290" s="762"/>
      <c r="AD290" s="786"/>
      <c r="AE290" s="762"/>
      <c r="AF290" s="786"/>
      <c r="AG290" s="762"/>
      <c r="AH290" s="786"/>
      <c r="AI290" s="762"/>
      <c r="AJ290" s="762"/>
      <c r="AK290" s="786"/>
      <c r="AL290" s="762"/>
      <c r="AM290" s="786"/>
      <c r="AN290" s="762"/>
      <c r="AO290" s="786"/>
      <c r="AP290" s="762"/>
      <c r="AQ290" s="786"/>
      <c r="AR290" s="762"/>
      <c r="AS290" s="786"/>
      <c r="AT290" s="762"/>
      <c r="AU290" s="762"/>
      <c r="AV290" s="786"/>
      <c r="AW290" s="762"/>
      <c r="AX290" s="786"/>
      <c r="AY290" s="762"/>
      <c r="AZ290" s="786"/>
      <c r="BA290" s="762"/>
      <c r="BB290" s="786"/>
      <c r="BC290" s="762"/>
      <c r="BD290" s="786"/>
      <c r="BE290" s="762"/>
    </row>
    <row r="291" spans="1:57" s="49" customFormat="1">
      <c r="A291" s="887"/>
      <c r="B291" s="887"/>
      <c r="C291" s="960"/>
      <c r="D291" s="925"/>
      <c r="E291" s="762"/>
      <c r="F291" s="925"/>
      <c r="G291" s="762"/>
      <c r="H291" s="925"/>
      <c r="I291" s="762"/>
      <c r="J291" s="925"/>
      <c r="K291" s="762"/>
      <c r="L291" s="925"/>
      <c r="M291" s="762"/>
      <c r="N291" s="762"/>
      <c r="O291" s="925"/>
      <c r="P291" s="762"/>
      <c r="Q291" s="925"/>
      <c r="R291" s="762"/>
      <c r="S291" s="925"/>
      <c r="T291" s="762"/>
      <c r="U291" s="925"/>
      <c r="V291" s="762"/>
      <c r="W291" s="925"/>
      <c r="X291" s="762"/>
      <c r="Y291" s="762"/>
      <c r="Z291" s="786"/>
      <c r="AA291" s="762"/>
      <c r="AB291" s="786"/>
      <c r="AC291" s="762"/>
      <c r="AD291" s="786"/>
      <c r="AE291" s="762"/>
      <c r="AF291" s="786"/>
      <c r="AG291" s="762"/>
      <c r="AH291" s="786"/>
      <c r="AI291" s="762"/>
      <c r="AJ291" s="762"/>
      <c r="AK291" s="786"/>
      <c r="AL291" s="762"/>
      <c r="AM291" s="786"/>
      <c r="AN291" s="762"/>
      <c r="AO291" s="786"/>
      <c r="AP291" s="762"/>
      <c r="AQ291" s="786"/>
      <c r="AR291" s="762"/>
      <c r="AS291" s="786"/>
      <c r="AT291" s="762"/>
      <c r="AU291" s="762"/>
      <c r="AV291" s="786"/>
      <c r="AW291" s="762"/>
      <c r="AX291" s="786"/>
      <c r="AY291" s="762"/>
      <c r="AZ291" s="786"/>
      <c r="BA291" s="762"/>
      <c r="BB291" s="786"/>
      <c r="BC291" s="762"/>
      <c r="BD291" s="786"/>
      <c r="BE291" s="762"/>
    </row>
    <row r="292" spans="1:57" s="49" customFormat="1">
      <c r="A292" s="887"/>
      <c r="B292" s="887"/>
      <c r="C292" s="960"/>
      <c r="D292" s="925"/>
      <c r="E292" s="762"/>
      <c r="F292" s="925"/>
      <c r="G292" s="762"/>
      <c r="H292" s="925"/>
      <c r="I292" s="762"/>
      <c r="J292" s="925"/>
      <c r="K292" s="762"/>
      <c r="L292" s="925"/>
      <c r="M292" s="762"/>
      <c r="N292" s="762"/>
      <c r="O292" s="925"/>
      <c r="P292" s="762"/>
      <c r="Q292" s="925"/>
      <c r="R292" s="762"/>
      <c r="S292" s="925"/>
      <c r="T292" s="762"/>
      <c r="U292" s="925"/>
      <c r="V292" s="762"/>
      <c r="W292" s="925"/>
      <c r="X292" s="762"/>
      <c r="Y292" s="762"/>
      <c r="Z292" s="786"/>
      <c r="AA292" s="762"/>
      <c r="AB292" s="786"/>
      <c r="AC292" s="762"/>
      <c r="AD292" s="786"/>
      <c r="AE292" s="762"/>
      <c r="AF292" s="786"/>
      <c r="AG292" s="762"/>
      <c r="AH292" s="786"/>
      <c r="AI292" s="762"/>
      <c r="AJ292" s="762"/>
      <c r="AK292" s="786"/>
      <c r="AL292" s="762"/>
      <c r="AM292" s="786"/>
      <c r="AN292" s="762"/>
      <c r="AO292" s="786"/>
      <c r="AP292" s="762"/>
      <c r="AQ292" s="786"/>
      <c r="AR292" s="762"/>
      <c r="AS292" s="786"/>
      <c r="AT292" s="762"/>
      <c r="AU292" s="762"/>
      <c r="AV292" s="786"/>
      <c r="AW292" s="762"/>
      <c r="AX292" s="786"/>
      <c r="AY292" s="762"/>
      <c r="AZ292" s="786"/>
      <c r="BA292" s="762"/>
      <c r="BB292" s="786"/>
      <c r="BC292" s="762"/>
      <c r="BD292" s="786"/>
      <c r="BE292" s="762"/>
    </row>
    <row r="293" spans="1:57" s="49" customFormat="1">
      <c r="A293" s="887"/>
      <c r="B293" s="887"/>
      <c r="C293" s="960"/>
      <c r="D293" s="925"/>
      <c r="E293" s="762"/>
      <c r="F293" s="925"/>
      <c r="G293" s="762"/>
      <c r="H293" s="925"/>
      <c r="I293" s="762"/>
      <c r="J293" s="925"/>
      <c r="K293" s="762"/>
      <c r="L293" s="925"/>
      <c r="M293" s="762"/>
      <c r="N293" s="762"/>
      <c r="O293" s="925"/>
      <c r="P293" s="762"/>
      <c r="Q293" s="925"/>
      <c r="R293" s="762"/>
      <c r="S293" s="925"/>
      <c r="T293" s="762"/>
      <c r="U293" s="925"/>
      <c r="V293" s="762"/>
      <c r="W293" s="925"/>
      <c r="X293" s="762"/>
      <c r="Y293" s="762"/>
      <c r="Z293" s="786"/>
      <c r="AA293" s="762"/>
      <c r="AB293" s="786"/>
      <c r="AC293" s="762"/>
      <c r="AD293" s="786"/>
      <c r="AE293" s="762"/>
      <c r="AF293" s="786"/>
      <c r="AG293" s="762"/>
      <c r="AH293" s="786"/>
      <c r="AI293" s="762"/>
      <c r="AJ293" s="762"/>
      <c r="AK293" s="786"/>
      <c r="AL293" s="762"/>
      <c r="AM293" s="786"/>
      <c r="AN293" s="762"/>
      <c r="AO293" s="786"/>
      <c r="AP293" s="762"/>
      <c r="AQ293" s="786"/>
      <c r="AR293" s="762"/>
      <c r="AS293" s="786"/>
      <c r="AT293" s="762"/>
      <c r="AU293" s="762"/>
      <c r="AV293" s="786"/>
      <c r="AW293" s="762"/>
      <c r="AX293" s="786"/>
      <c r="AY293" s="762"/>
      <c r="AZ293" s="786"/>
      <c r="BA293" s="762"/>
      <c r="BB293" s="786"/>
      <c r="BC293" s="762"/>
      <c r="BD293" s="786"/>
      <c r="BE293" s="762"/>
    </row>
    <row r="294" spans="1:57" s="49" customFormat="1">
      <c r="A294" s="887"/>
      <c r="B294" s="887"/>
      <c r="C294" s="960"/>
      <c r="D294" s="925"/>
      <c r="E294" s="762"/>
      <c r="F294" s="925"/>
      <c r="G294" s="762"/>
      <c r="H294" s="925"/>
      <c r="I294" s="762"/>
      <c r="J294" s="925"/>
      <c r="K294" s="762"/>
      <c r="L294" s="925"/>
      <c r="M294" s="762"/>
      <c r="N294" s="762"/>
      <c r="O294" s="925"/>
      <c r="P294" s="762"/>
      <c r="Q294" s="925"/>
      <c r="R294" s="762"/>
      <c r="S294" s="925"/>
      <c r="T294" s="762"/>
      <c r="U294" s="925"/>
      <c r="V294" s="762"/>
      <c r="W294" s="925"/>
      <c r="X294" s="762"/>
      <c r="Y294" s="762"/>
      <c r="Z294" s="786"/>
      <c r="AA294" s="762"/>
      <c r="AB294" s="786"/>
      <c r="AC294" s="762"/>
      <c r="AD294" s="786"/>
      <c r="AE294" s="762"/>
      <c r="AF294" s="786"/>
      <c r="AG294" s="762"/>
      <c r="AH294" s="786"/>
      <c r="AI294" s="762"/>
      <c r="AJ294" s="762"/>
      <c r="AK294" s="786"/>
      <c r="AL294" s="762"/>
      <c r="AM294" s="786"/>
      <c r="AN294" s="762"/>
      <c r="AO294" s="786"/>
      <c r="AP294" s="762"/>
      <c r="AQ294" s="786"/>
      <c r="AR294" s="762"/>
      <c r="AS294" s="786"/>
      <c r="AT294" s="762"/>
      <c r="AU294" s="762"/>
      <c r="AV294" s="786"/>
      <c r="AW294" s="762"/>
      <c r="AX294" s="786"/>
      <c r="AY294" s="762"/>
      <c r="AZ294" s="786"/>
      <c r="BA294" s="762"/>
      <c r="BB294" s="786"/>
      <c r="BC294" s="762"/>
      <c r="BD294" s="786"/>
      <c r="BE294" s="762"/>
    </row>
    <row r="295" spans="1:57" s="49" customFormat="1">
      <c r="A295" s="887"/>
      <c r="B295" s="887"/>
      <c r="C295" s="960"/>
      <c r="D295" s="925"/>
      <c r="E295" s="762"/>
      <c r="F295" s="925"/>
      <c r="G295" s="762"/>
      <c r="H295" s="925"/>
      <c r="I295" s="762"/>
      <c r="J295" s="925"/>
      <c r="K295" s="762"/>
      <c r="L295" s="925"/>
      <c r="M295" s="762"/>
      <c r="N295" s="762"/>
      <c r="O295" s="925"/>
      <c r="P295" s="762"/>
      <c r="Q295" s="925"/>
      <c r="R295" s="762"/>
      <c r="S295" s="925"/>
      <c r="T295" s="762"/>
      <c r="U295" s="925"/>
      <c r="V295" s="762"/>
      <c r="W295" s="925"/>
      <c r="X295" s="762"/>
      <c r="Y295" s="762"/>
      <c r="Z295" s="786"/>
      <c r="AA295" s="762"/>
      <c r="AB295" s="786"/>
      <c r="AC295" s="762"/>
      <c r="AD295" s="786"/>
      <c r="AE295" s="762"/>
      <c r="AF295" s="786"/>
      <c r="AG295" s="762"/>
      <c r="AH295" s="786"/>
      <c r="AI295" s="762"/>
      <c r="AJ295" s="762"/>
      <c r="AK295" s="786"/>
      <c r="AL295" s="762"/>
      <c r="AM295" s="786"/>
      <c r="AN295" s="762"/>
      <c r="AO295" s="786"/>
      <c r="AP295" s="762"/>
      <c r="AQ295" s="786"/>
      <c r="AR295" s="762"/>
      <c r="AS295" s="786"/>
      <c r="AT295" s="762"/>
      <c r="AU295" s="762"/>
      <c r="AV295" s="786"/>
      <c r="AW295" s="762"/>
      <c r="AX295" s="786"/>
      <c r="AY295" s="762"/>
      <c r="AZ295" s="786"/>
      <c r="BA295" s="762"/>
      <c r="BB295" s="786"/>
      <c r="BC295" s="762"/>
      <c r="BD295" s="786"/>
      <c r="BE295" s="762"/>
    </row>
    <row r="296" spans="1:57" s="49" customFormat="1">
      <c r="A296" s="887"/>
      <c r="B296" s="887"/>
      <c r="C296" s="960"/>
      <c r="D296" s="925"/>
      <c r="E296" s="762"/>
      <c r="F296" s="925"/>
      <c r="G296" s="762"/>
      <c r="H296" s="925"/>
      <c r="I296" s="762"/>
      <c r="J296" s="925"/>
      <c r="K296" s="762"/>
      <c r="L296" s="925"/>
      <c r="M296" s="762"/>
      <c r="N296" s="762"/>
      <c r="O296" s="925"/>
      <c r="P296" s="762"/>
      <c r="Q296" s="925"/>
      <c r="R296" s="762"/>
      <c r="S296" s="925"/>
      <c r="T296" s="762"/>
      <c r="U296" s="925"/>
      <c r="V296" s="762"/>
      <c r="W296" s="925"/>
      <c r="X296" s="762"/>
      <c r="Y296" s="762"/>
      <c r="Z296" s="786"/>
      <c r="AA296" s="762"/>
      <c r="AB296" s="786"/>
      <c r="AC296" s="762"/>
      <c r="AD296" s="786"/>
      <c r="AE296" s="762"/>
      <c r="AF296" s="786"/>
      <c r="AG296" s="762"/>
      <c r="AH296" s="786"/>
      <c r="AI296" s="762"/>
      <c r="AJ296" s="762"/>
      <c r="AK296" s="786"/>
      <c r="AL296" s="762"/>
      <c r="AM296" s="786"/>
      <c r="AN296" s="762"/>
      <c r="AO296" s="786"/>
      <c r="AP296" s="762"/>
      <c r="AQ296" s="786"/>
      <c r="AR296" s="762"/>
      <c r="AS296" s="786"/>
      <c r="AT296" s="762"/>
      <c r="AU296" s="762"/>
      <c r="AV296" s="786"/>
      <c r="AW296" s="762"/>
      <c r="AX296" s="786"/>
      <c r="AY296" s="762"/>
      <c r="AZ296" s="786"/>
      <c r="BA296" s="762"/>
      <c r="BB296" s="786"/>
      <c r="BC296" s="762"/>
      <c r="BD296" s="786"/>
      <c r="BE296" s="762"/>
    </row>
    <row r="297" spans="1:57" s="49" customFormat="1">
      <c r="A297" s="887"/>
      <c r="B297" s="887"/>
      <c r="C297" s="960"/>
      <c r="D297" s="925"/>
      <c r="E297" s="762"/>
      <c r="F297" s="925"/>
      <c r="G297" s="762"/>
      <c r="H297" s="925"/>
      <c r="I297" s="762"/>
      <c r="J297" s="925"/>
      <c r="K297" s="762"/>
      <c r="L297" s="925"/>
      <c r="M297" s="762"/>
      <c r="N297" s="762"/>
      <c r="O297" s="925"/>
      <c r="P297" s="762"/>
      <c r="Q297" s="925"/>
      <c r="R297" s="762"/>
      <c r="S297" s="925"/>
      <c r="T297" s="762"/>
      <c r="U297" s="925"/>
      <c r="V297" s="762"/>
      <c r="W297" s="925"/>
      <c r="X297" s="762"/>
      <c r="Y297" s="762"/>
      <c r="Z297" s="786"/>
      <c r="AA297" s="762"/>
      <c r="AB297" s="786"/>
      <c r="AC297" s="762"/>
      <c r="AD297" s="786"/>
      <c r="AE297" s="762"/>
      <c r="AF297" s="786"/>
      <c r="AG297" s="762"/>
      <c r="AH297" s="786"/>
      <c r="AI297" s="762"/>
      <c r="AJ297" s="762"/>
      <c r="AK297" s="786"/>
      <c r="AL297" s="762"/>
      <c r="AM297" s="786"/>
      <c r="AN297" s="762"/>
      <c r="AO297" s="786"/>
      <c r="AP297" s="762"/>
      <c r="AQ297" s="786"/>
      <c r="AR297" s="762"/>
      <c r="AS297" s="786"/>
      <c r="AT297" s="762"/>
      <c r="AU297" s="762"/>
      <c r="AV297" s="786"/>
      <c r="AW297" s="762"/>
      <c r="AX297" s="786"/>
      <c r="AY297" s="762"/>
      <c r="AZ297" s="786"/>
      <c r="BA297" s="762"/>
      <c r="BB297" s="786"/>
      <c r="BC297" s="762"/>
      <c r="BD297" s="786"/>
      <c r="BE297" s="762"/>
    </row>
    <row r="298" spans="1:57" s="49" customFormat="1">
      <c r="A298" s="887"/>
      <c r="B298" s="887"/>
      <c r="C298" s="960"/>
      <c r="D298" s="925"/>
      <c r="E298" s="762"/>
      <c r="F298" s="925"/>
      <c r="G298" s="762"/>
      <c r="H298" s="925"/>
      <c r="I298" s="762"/>
      <c r="J298" s="925"/>
      <c r="K298" s="762"/>
      <c r="L298" s="925"/>
      <c r="M298" s="762"/>
      <c r="N298" s="762"/>
      <c r="O298" s="925"/>
      <c r="P298" s="762"/>
      <c r="Q298" s="925"/>
      <c r="R298" s="762"/>
      <c r="S298" s="925"/>
      <c r="T298" s="762"/>
      <c r="U298" s="925"/>
      <c r="V298" s="762"/>
      <c r="W298" s="925"/>
      <c r="X298" s="762"/>
      <c r="Y298" s="762"/>
      <c r="Z298" s="786"/>
      <c r="AA298" s="762"/>
      <c r="AB298" s="786"/>
      <c r="AC298" s="762"/>
      <c r="AD298" s="786"/>
      <c r="AE298" s="762"/>
      <c r="AF298" s="786"/>
      <c r="AG298" s="762"/>
      <c r="AH298" s="786"/>
      <c r="AI298" s="762"/>
      <c r="AJ298" s="762"/>
      <c r="AK298" s="786"/>
      <c r="AL298" s="762"/>
      <c r="AM298" s="786"/>
      <c r="AN298" s="762"/>
      <c r="AO298" s="786"/>
      <c r="AP298" s="762"/>
      <c r="AQ298" s="786"/>
      <c r="AR298" s="762"/>
      <c r="AS298" s="786"/>
      <c r="AT298" s="762"/>
      <c r="AU298" s="762"/>
      <c r="AV298" s="786"/>
      <c r="AW298" s="762"/>
      <c r="AX298" s="786"/>
      <c r="AY298" s="762"/>
      <c r="AZ298" s="786"/>
      <c r="BA298" s="762"/>
      <c r="BB298" s="786"/>
      <c r="BC298" s="762"/>
      <c r="BD298" s="786"/>
      <c r="BE298" s="762"/>
    </row>
    <row r="299" spans="1:57" s="49" customFormat="1">
      <c r="A299" s="887"/>
      <c r="B299" s="887"/>
      <c r="C299" s="960"/>
      <c r="D299" s="925"/>
      <c r="E299" s="762"/>
      <c r="F299" s="925"/>
      <c r="G299" s="762"/>
      <c r="H299" s="925"/>
      <c r="I299" s="762"/>
      <c r="J299" s="925"/>
      <c r="K299" s="762"/>
      <c r="L299" s="925"/>
      <c r="M299" s="762"/>
      <c r="N299" s="762"/>
      <c r="O299" s="925"/>
      <c r="P299" s="762"/>
      <c r="Q299" s="925"/>
      <c r="R299" s="762"/>
      <c r="S299" s="925"/>
      <c r="T299" s="762"/>
      <c r="U299" s="925"/>
      <c r="V299" s="762"/>
      <c r="W299" s="925"/>
      <c r="X299" s="762"/>
      <c r="Y299" s="762"/>
      <c r="Z299" s="786"/>
      <c r="AA299" s="762"/>
      <c r="AB299" s="786"/>
      <c r="AC299" s="762"/>
      <c r="AD299" s="786"/>
      <c r="AE299" s="762"/>
      <c r="AF299" s="786"/>
      <c r="AG299" s="762"/>
      <c r="AH299" s="786"/>
      <c r="AI299" s="762"/>
      <c r="AJ299" s="762"/>
      <c r="AK299" s="786"/>
      <c r="AL299" s="762"/>
      <c r="AM299" s="786"/>
      <c r="AN299" s="762"/>
      <c r="AO299" s="786"/>
      <c r="AP299" s="762"/>
      <c r="AQ299" s="786"/>
      <c r="AR299" s="762"/>
      <c r="AS299" s="786"/>
      <c r="AT299" s="762"/>
      <c r="AU299" s="762"/>
      <c r="AV299" s="786"/>
      <c r="AW299" s="762"/>
      <c r="AX299" s="786"/>
      <c r="AY299" s="762"/>
      <c r="AZ299" s="786"/>
      <c r="BA299" s="762"/>
      <c r="BB299" s="786"/>
      <c r="BC299" s="762"/>
      <c r="BD299" s="786"/>
      <c r="BE299" s="762"/>
    </row>
    <row r="300" spans="1:57" s="49" customFormat="1">
      <c r="A300" s="887"/>
      <c r="B300" s="887"/>
      <c r="C300" s="960"/>
      <c r="D300" s="925"/>
      <c r="E300" s="762"/>
      <c r="F300" s="925"/>
      <c r="G300" s="762"/>
      <c r="H300" s="925"/>
      <c r="I300" s="762"/>
      <c r="J300" s="925"/>
      <c r="K300" s="762"/>
      <c r="L300" s="925"/>
      <c r="M300" s="762"/>
      <c r="N300" s="762"/>
      <c r="O300" s="925"/>
      <c r="P300" s="762"/>
      <c r="Q300" s="925"/>
      <c r="R300" s="762"/>
      <c r="S300" s="925"/>
      <c r="T300" s="762"/>
      <c r="U300" s="925"/>
      <c r="V300" s="762"/>
      <c r="W300" s="925"/>
      <c r="X300" s="762"/>
      <c r="Y300" s="762"/>
      <c r="Z300" s="786"/>
      <c r="AA300" s="762"/>
      <c r="AB300" s="786"/>
      <c r="AC300" s="762"/>
      <c r="AD300" s="786"/>
      <c r="AE300" s="762"/>
      <c r="AF300" s="786"/>
      <c r="AG300" s="762"/>
      <c r="AH300" s="786"/>
      <c r="AI300" s="762"/>
      <c r="AJ300" s="762"/>
      <c r="AK300" s="786"/>
      <c r="AL300" s="762"/>
      <c r="AM300" s="786"/>
      <c r="AN300" s="762"/>
      <c r="AO300" s="786"/>
      <c r="AP300" s="762"/>
      <c r="AQ300" s="786"/>
      <c r="AR300" s="762"/>
      <c r="AS300" s="786"/>
      <c r="AT300" s="762"/>
      <c r="AU300" s="762"/>
      <c r="AV300" s="786"/>
      <c r="AW300" s="762"/>
      <c r="AX300" s="786"/>
      <c r="AY300" s="762"/>
      <c r="AZ300" s="786"/>
      <c r="BA300" s="762"/>
      <c r="BB300" s="786"/>
      <c r="BC300" s="762"/>
      <c r="BD300" s="786"/>
      <c r="BE300" s="762"/>
    </row>
    <row r="301" spans="1:57" s="49" customFormat="1">
      <c r="A301" s="887"/>
      <c r="B301" s="887"/>
      <c r="C301" s="960"/>
      <c r="D301" s="925"/>
      <c r="E301" s="762"/>
      <c r="F301" s="925"/>
      <c r="G301" s="762"/>
      <c r="H301" s="925"/>
      <c r="I301" s="762"/>
      <c r="J301" s="925"/>
      <c r="K301" s="762"/>
      <c r="L301" s="925"/>
      <c r="M301" s="762"/>
      <c r="N301" s="762"/>
      <c r="O301" s="925"/>
      <c r="P301" s="762"/>
      <c r="Q301" s="925"/>
      <c r="R301" s="762"/>
      <c r="S301" s="925"/>
      <c r="T301" s="762"/>
      <c r="U301" s="925"/>
      <c r="V301" s="762"/>
      <c r="W301" s="925"/>
      <c r="X301" s="762"/>
      <c r="Y301" s="762"/>
      <c r="Z301" s="786"/>
      <c r="AA301" s="762"/>
      <c r="AB301" s="786"/>
      <c r="AC301" s="762"/>
      <c r="AD301" s="786"/>
      <c r="AE301" s="762"/>
      <c r="AF301" s="786"/>
      <c r="AG301" s="762"/>
      <c r="AH301" s="786"/>
      <c r="AI301" s="762"/>
      <c r="AJ301" s="762"/>
      <c r="AK301" s="786"/>
      <c r="AL301" s="762"/>
      <c r="AM301" s="786"/>
      <c r="AN301" s="762"/>
      <c r="AO301" s="786"/>
      <c r="AP301" s="762"/>
      <c r="AQ301" s="786"/>
      <c r="AR301" s="762"/>
      <c r="AS301" s="786"/>
      <c r="AT301" s="762"/>
      <c r="AU301" s="762"/>
      <c r="AV301" s="786"/>
      <c r="AW301" s="762"/>
      <c r="AX301" s="786"/>
      <c r="AY301" s="762"/>
      <c r="AZ301" s="786"/>
      <c r="BA301" s="762"/>
      <c r="BB301" s="786"/>
      <c r="BC301" s="762"/>
      <c r="BD301" s="786"/>
      <c r="BE301" s="762"/>
    </row>
    <row r="302" spans="1:57" s="49" customFormat="1">
      <c r="A302" s="887"/>
      <c r="B302" s="887"/>
      <c r="C302" s="960"/>
      <c r="D302" s="925"/>
      <c r="E302" s="762"/>
      <c r="F302" s="925"/>
      <c r="G302" s="762"/>
      <c r="H302" s="925"/>
      <c r="I302" s="762"/>
      <c r="J302" s="925"/>
      <c r="K302" s="762"/>
      <c r="L302" s="925"/>
      <c r="M302" s="762"/>
      <c r="N302" s="762"/>
      <c r="O302" s="925"/>
      <c r="P302" s="762"/>
      <c r="Q302" s="925"/>
      <c r="R302" s="762"/>
      <c r="S302" s="925"/>
      <c r="T302" s="762"/>
      <c r="U302" s="925"/>
      <c r="V302" s="762"/>
      <c r="W302" s="925"/>
      <c r="X302" s="762"/>
      <c r="Y302" s="762"/>
      <c r="Z302" s="786"/>
      <c r="AA302" s="762"/>
      <c r="AB302" s="786"/>
      <c r="AC302" s="762"/>
      <c r="AD302" s="786"/>
      <c r="AE302" s="762"/>
      <c r="AF302" s="786"/>
      <c r="AG302" s="762"/>
      <c r="AH302" s="786"/>
      <c r="AI302" s="762"/>
      <c r="AJ302" s="762"/>
      <c r="AK302" s="786"/>
      <c r="AL302" s="762"/>
      <c r="AM302" s="786"/>
      <c r="AN302" s="762"/>
      <c r="AO302" s="786"/>
      <c r="AP302" s="762"/>
      <c r="AQ302" s="786"/>
      <c r="AR302" s="762"/>
      <c r="AS302" s="786"/>
      <c r="AT302" s="762"/>
      <c r="AU302" s="762"/>
      <c r="AV302" s="786"/>
      <c r="AW302" s="762"/>
      <c r="AX302" s="786"/>
      <c r="AY302" s="762"/>
      <c r="AZ302" s="786"/>
      <c r="BA302" s="762"/>
      <c r="BB302" s="786"/>
      <c r="BC302" s="762"/>
      <c r="BD302" s="786"/>
      <c r="BE302" s="762"/>
    </row>
    <row r="303" spans="1:57" s="49" customFormat="1">
      <c r="A303" s="887"/>
      <c r="B303" s="887"/>
      <c r="C303" s="960"/>
      <c r="D303" s="925"/>
      <c r="E303" s="762"/>
      <c r="F303" s="925"/>
      <c r="G303" s="762"/>
      <c r="H303" s="925"/>
      <c r="I303" s="762"/>
      <c r="J303" s="925"/>
      <c r="K303" s="762"/>
      <c r="L303" s="925"/>
      <c r="M303" s="762"/>
      <c r="N303" s="762"/>
      <c r="O303" s="925"/>
      <c r="P303" s="762"/>
      <c r="Q303" s="925"/>
      <c r="R303" s="762"/>
      <c r="S303" s="925"/>
      <c r="T303" s="762"/>
      <c r="U303" s="925"/>
      <c r="V303" s="762"/>
      <c r="W303" s="925"/>
      <c r="X303" s="762"/>
      <c r="Y303" s="762"/>
      <c r="Z303" s="786"/>
      <c r="AA303" s="762"/>
      <c r="AB303" s="786"/>
      <c r="AC303" s="762"/>
      <c r="AD303" s="786"/>
      <c r="AE303" s="762"/>
      <c r="AF303" s="786"/>
      <c r="AG303" s="762"/>
      <c r="AH303" s="786"/>
      <c r="AI303" s="762"/>
      <c r="AJ303" s="762"/>
      <c r="AK303" s="786"/>
      <c r="AL303" s="762"/>
      <c r="AM303" s="786"/>
      <c r="AN303" s="762"/>
      <c r="AO303" s="786"/>
      <c r="AP303" s="762"/>
      <c r="AQ303" s="786"/>
      <c r="AR303" s="762"/>
      <c r="AS303" s="786"/>
      <c r="AT303" s="762"/>
      <c r="AU303" s="762"/>
      <c r="AV303" s="786"/>
      <c r="AW303" s="762"/>
      <c r="AX303" s="786"/>
      <c r="AY303" s="762"/>
      <c r="AZ303" s="786"/>
      <c r="BA303" s="762"/>
      <c r="BB303" s="786"/>
      <c r="BC303" s="762"/>
      <c r="BD303" s="786"/>
      <c r="BE303" s="762"/>
    </row>
    <row r="304" spans="1:57" s="49" customFormat="1">
      <c r="A304" s="887"/>
      <c r="B304" s="887"/>
      <c r="C304" s="960"/>
      <c r="D304" s="925"/>
      <c r="E304" s="762"/>
      <c r="F304" s="925"/>
      <c r="G304" s="762"/>
      <c r="H304" s="925"/>
      <c r="I304" s="762"/>
      <c r="J304" s="925"/>
      <c r="K304" s="762"/>
      <c r="L304" s="925"/>
      <c r="M304" s="762"/>
      <c r="N304" s="762"/>
      <c r="O304" s="925"/>
      <c r="P304" s="762"/>
      <c r="Q304" s="925"/>
      <c r="R304" s="762"/>
      <c r="S304" s="925"/>
      <c r="T304" s="762"/>
      <c r="U304" s="925"/>
      <c r="V304" s="762"/>
      <c r="W304" s="925"/>
      <c r="X304" s="762"/>
      <c r="Y304" s="762"/>
      <c r="Z304" s="786"/>
      <c r="AA304" s="762"/>
      <c r="AB304" s="786"/>
      <c r="AC304" s="762"/>
      <c r="AD304" s="786"/>
      <c r="AE304" s="762"/>
      <c r="AF304" s="786"/>
      <c r="AG304" s="762"/>
      <c r="AH304" s="786"/>
      <c r="AI304" s="762"/>
      <c r="AJ304" s="762"/>
      <c r="AK304" s="786"/>
      <c r="AL304" s="762"/>
      <c r="AM304" s="786"/>
      <c r="AN304" s="762"/>
      <c r="AO304" s="786"/>
      <c r="AP304" s="762"/>
      <c r="AQ304" s="786"/>
      <c r="AR304" s="762"/>
      <c r="AS304" s="786"/>
      <c r="AT304" s="762"/>
      <c r="AU304" s="762"/>
      <c r="AV304" s="786"/>
      <c r="AW304" s="762"/>
      <c r="AX304" s="786"/>
      <c r="AY304" s="762"/>
      <c r="AZ304" s="786"/>
      <c r="BA304" s="762"/>
      <c r="BB304" s="786"/>
      <c r="BC304" s="762"/>
      <c r="BD304" s="786"/>
      <c r="BE304" s="762"/>
    </row>
    <row r="305" spans="1:57" s="49" customFormat="1">
      <c r="A305" s="887"/>
      <c r="B305" s="887"/>
      <c r="C305" s="960"/>
      <c r="D305" s="925"/>
      <c r="E305" s="762"/>
      <c r="F305" s="925"/>
      <c r="G305" s="762"/>
      <c r="H305" s="925"/>
      <c r="I305" s="762"/>
      <c r="J305" s="925"/>
      <c r="K305" s="762"/>
      <c r="L305" s="925"/>
      <c r="M305" s="762"/>
      <c r="N305" s="762"/>
      <c r="O305" s="925"/>
      <c r="P305" s="762"/>
      <c r="Q305" s="925"/>
      <c r="R305" s="762"/>
      <c r="S305" s="925"/>
      <c r="T305" s="762"/>
      <c r="U305" s="925"/>
      <c r="V305" s="762"/>
      <c r="W305" s="925"/>
      <c r="X305" s="762"/>
      <c r="Y305" s="762"/>
      <c r="Z305" s="786"/>
      <c r="AA305" s="762"/>
      <c r="AB305" s="786"/>
      <c r="AC305" s="762"/>
      <c r="AD305" s="786"/>
      <c r="AE305" s="762"/>
      <c r="AF305" s="786"/>
      <c r="AG305" s="762"/>
      <c r="AH305" s="786"/>
      <c r="AI305" s="762"/>
      <c r="AJ305" s="762"/>
      <c r="AK305" s="786"/>
      <c r="AL305" s="762"/>
      <c r="AM305" s="786"/>
      <c r="AN305" s="762"/>
      <c r="AO305" s="786"/>
      <c r="AP305" s="762"/>
      <c r="AQ305" s="786"/>
      <c r="AR305" s="762"/>
      <c r="AS305" s="786"/>
      <c r="AT305" s="762"/>
      <c r="AU305" s="762"/>
      <c r="AV305" s="786"/>
      <c r="AW305" s="762"/>
      <c r="AX305" s="786"/>
      <c r="AY305" s="762"/>
      <c r="AZ305" s="786"/>
      <c r="BA305" s="762"/>
      <c r="BB305" s="786"/>
      <c r="BC305" s="762"/>
      <c r="BD305" s="786"/>
      <c r="BE305" s="762"/>
    </row>
    <row r="306" spans="1:57" s="49" customFormat="1">
      <c r="A306" s="887"/>
      <c r="B306" s="887"/>
      <c r="C306" s="960"/>
      <c r="D306" s="925"/>
      <c r="E306" s="762"/>
      <c r="F306" s="925"/>
      <c r="G306" s="762"/>
      <c r="H306" s="925"/>
      <c r="I306" s="762"/>
      <c r="J306" s="925"/>
      <c r="K306" s="762"/>
      <c r="L306" s="925"/>
      <c r="M306" s="762"/>
      <c r="N306" s="762"/>
      <c r="O306" s="925"/>
      <c r="P306" s="762"/>
      <c r="Q306" s="925"/>
      <c r="R306" s="762"/>
      <c r="S306" s="925"/>
      <c r="T306" s="762"/>
      <c r="U306" s="925"/>
      <c r="V306" s="762"/>
      <c r="W306" s="925"/>
      <c r="X306" s="762"/>
      <c r="Y306" s="762"/>
      <c r="Z306" s="786"/>
      <c r="AA306" s="762"/>
      <c r="AB306" s="786"/>
      <c r="AC306" s="762"/>
      <c r="AD306" s="786"/>
      <c r="AE306" s="762"/>
      <c r="AF306" s="786"/>
      <c r="AG306" s="762"/>
      <c r="AH306" s="786"/>
      <c r="AI306" s="762"/>
      <c r="AJ306" s="762"/>
      <c r="AK306" s="786"/>
      <c r="AL306" s="762"/>
      <c r="AM306" s="786"/>
      <c r="AN306" s="762"/>
      <c r="AO306" s="786"/>
      <c r="AP306" s="762"/>
      <c r="AQ306" s="786"/>
      <c r="AR306" s="762"/>
      <c r="AS306" s="786"/>
      <c r="AT306" s="762"/>
      <c r="AU306" s="762"/>
      <c r="AV306" s="786"/>
      <c r="AW306" s="762"/>
      <c r="AX306" s="786"/>
      <c r="AY306" s="762"/>
      <c r="AZ306" s="786"/>
      <c r="BA306" s="762"/>
      <c r="BB306" s="786"/>
      <c r="BC306" s="762"/>
      <c r="BD306" s="786"/>
      <c r="BE306" s="762"/>
    </row>
    <row r="307" spans="1:57" s="49" customFormat="1">
      <c r="A307" s="887"/>
      <c r="B307" s="887"/>
      <c r="C307" s="960"/>
      <c r="D307" s="925"/>
      <c r="E307" s="762"/>
      <c r="F307" s="925"/>
      <c r="G307" s="762"/>
      <c r="H307" s="925"/>
      <c r="I307" s="762"/>
      <c r="J307" s="925"/>
      <c r="K307" s="762"/>
      <c r="L307" s="925"/>
      <c r="M307" s="762"/>
      <c r="N307" s="762"/>
      <c r="O307" s="925"/>
      <c r="P307" s="762"/>
      <c r="Q307" s="925"/>
      <c r="R307" s="762"/>
      <c r="S307" s="925"/>
      <c r="T307" s="762"/>
      <c r="U307" s="925"/>
      <c r="V307" s="762"/>
      <c r="W307" s="925"/>
      <c r="X307" s="762"/>
      <c r="Y307" s="762"/>
      <c r="Z307" s="786"/>
      <c r="AA307" s="762"/>
      <c r="AB307" s="786"/>
      <c r="AC307" s="762"/>
      <c r="AD307" s="786"/>
      <c r="AE307" s="762"/>
      <c r="AF307" s="786"/>
      <c r="AG307" s="762"/>
      <c r="AH307" s="786"/>
      <c r="AI307" s="762"/>
      <c r="AJ307" s="762"/>
      <c r="AK307" s="786"/>
      <c r="AL307" s="762"/>
      <c r="AM307" s="786"/>
      <c r="AN307" s="762"/>
      <c r="AO307" s="786"/>
      <c r="AP307" s="762"/>
      <c r="AQ307" s="786"/>
      <c r="AR307" s="762"/>
      <c r="AS307" s="786"/>
      <c r="AT307" s="762"/>
      <c r="AU307" s="762"/>
      <c r="AV307" s="786"/>
      <c r="AW307" s="762"/>
      <c r="AX307" s="786"/>
      <c r="AY307" s="762"/>
      <c r="AZ307" s="786"/>
      <c r="BA307" s="762"/>
      <c r="BB307" s="786"/>
      <c r="BC307" s="762"/>
      <c r="BD307" s="786"/>
      <c r="BE307" s="762"/>
    </row>
    <row r="308" spans="1:57" s="49" customFormat="1">
      <c r="A308" s="887"/>
      <c r="B308" s="887"/>
      <c r="C308" s="960"/>
      <c r="D308" s="925"/>
      <c r="E308" s="762"/>
      <c r="F308" s="925"/>
      <c r="G308" s="762"/>
      <c r="H308" s="925"/>
      <c r="I308" s="762"/>
      <c r="J308" s="925"/>
      <c r="K308" s="762"/>
      <c r="L308" s="925"/>
      <c r="M308" s="762"/>
      <c r="N308" s="762"/>
      <c r="O308" s="925"/>
      <c r="P308" s="762"/>
      <c r="Q308" s="925"/>
      <c r="R308" s="762"/>
      <c r="S308" s="925"/>
      <c r="T308" s="762"/>
      <c r="U308" s="925"/>
      <c r="V308" s="762"/>
      <c r="W308" s="925"/>
      <c r="X308" s="762"/>
      <c r="Y308" s="762"/>
      <c r="Z308" s="786"/>
      <c r="AA308" s="762"/>
      <c r="AB308" s="786"/>
      <c r="AC308" s="762"/>
      <c r="AD308" s="786"/>
      <c r="AE308" s="762"/>
      <c r="AF308" s="786"/>
      <c r="AG308" s="762"/>
      <c r="AH308" s="786"/>
      <c r="AI308" s="762"/>
      <c r="AJ308" s="762"/>
      <c r="AK308" s="786"/>
      <c r="AL308" s="762"/>
      <c r="AM308" s="786"/>
      <c r="AN308" s="762"/>
      <c r="AO308" s="786"/>
      <c r="AP308" s="762"/>
      <c r="AQ308" s="786"/>
      <c r="AR308" s="762"/>
      <c r="AS308" s="786"/>
      <c r="AT308" s="762"/>
      <c r="AU308" s="762"/>
      <c r="AV308" s="786"/>
      <c r="AW308" s="762"/>
      <c r="AX308" s="786"/>
      <c r="AY308" s="762"/>
      <c r="AZ308" s="786"/>
      <c r="BA308" s="762"/>
      <c r="BB308" s="786"/>
      <c r="BC308" s="762"/>
      <c r="BD308" s="786"/>
      <c r="BE308" s="762"/>
    </row>
    <row r="309" spans="1:57" s="49" customFormat="1">
      <c r="A309" s="887"/>
      <c r="B309" s="887"/>
      <c r="C309" s="960"/>
      <c r="D309" s="925"/>
      <c r="E309" s="762"/>
      <c r="F309" s="925"/>
      <c r="G309" s="762"/>
      <c r="H309" s="925"/>
      <c r="I309" s="762"/>
      <c r="J309" s="925"/>
      <c r="K309" s="762"/>
      <c r="L309" s="925"/>
      <c r="M309" s="762"/>
      <c r="N309" s="762"/>
      <c r="O309" s="925"/>
      <c r="P309" s="762"/>
      <c r="Q309" s="925"/>
      <c r="R309" s="762"/>
      <c r="S309" s="925"/>
      <c r="T309" s="762"/>
      <c r="U309" s="925"/>
      <c r="V309" s="762"/>
      <c r="W309" s="925"/>
      <c r="X309" s="762"/>
      <c r="Y309" s="762"/>
      <c r="Z309" s="786"/>
      <c r="AA309" s="762"/>
      <c r="AB309" s="786"/>
      <c r="AC309" s="762"/>
      <c r="AD309" s="786"/>
      <c r="AE309" s="762"/>
      <c r="AF309" s="786"/>
      <c r="AG309" s="762"/>
      <c r="AH309" s="786"/>
      <c r="AI309" s="762"/>
      <c r="AJ309" s="762"/>
      <c r="AK309" s="786"/>
      <c r="AL309" s="762"/>
      <c r="AM309" s="786"/>
      <c r="AN309" s="762"/>
      <c r="AO309" s="786"/>
      <c r="AP309" s="762"/>
      <c r="AQ309" s="786"/>
      <c r="AR309" s="762"/>
      <c r="AS309" s="786"/>
      <c r="AT309" s="762"/>
      <c r="AU309" s="762"/>
      <c r="AV309" s="786"/>
      <c r="AW309" s="762"/>
      <c r="AX309" s="786"/>
      <c r="AY309" s="762"/>
      <c r="AZ309" s="786"/>
      <c r="BA309" s="762"/>
      <c r="BB309" s="786"/>
      <c r="BC309" s="762"/>
      <c r="BD309" s="786"/>
      <c r="BE309" s="762"/>
    </row>
    <row r="310" spans="1:57" s="49" customFormat="1">
      <c r="A310" s="887"/>
      <c r="B310" s="887"/>
      <c r="C310" s="960"/>
      <c r="D310" s="925"/>
      <c r="E310" s="762"/>
      <c r="F310" s="925"/>
      <c r="G310" s="762"/>
      <c r="H310" s="925"/>
      <c r="I310" s="762"/>
      <c r="J310" s="925"/>
      <c r="K310" s="762"/>
      <c r="L310" s="925"/>
      <c r="M310" s="762"/>
      <c r="N310" s="762"/>
      <c r="O310" s="925"/>
      <c r="P310" s="762"/>
      <c r="Q310" s="925"/>
      <c r="R310" s="762"/>
      <c r="S310" s="925"/>
      <c r="T310" s="762"/>
      <c r="U310" s="925"/>
      <c r="V310" s="762"/>
      <c r="W310" s="925"/>
      <c r="X310" s="762"/>
      <c r="Y310" s="762"/>
      <c r="Z310" s="786"/>
      <c r="AA310" s="762"/>
      <c r="AB310" s="786"/>
      <c r="AC310" s="762"/>
      <c r="AD310" s="786"/>
      <c r="AE310" s="762"/>
      <c r="AF310" s="786"/>
      <c r="AG310" s="762"/>
      <c r="AH310" s="786"/>
      <c r="AI310" s="762"/>
      <c r="AJ310" s="762"/>
      <c r="AK310" s="786"/>
      <c r="AL310" s="762"/>
      <c r="AM310" s="786"/>
      <c r="AN310" s="762"/>
      <c r="AO310" s="786"/>
      <c r="AP310" s="762"/>
      <c r="AQ310" s="786"/>
      <c r="AR310" s="762"/>
      <c r="AS310" s="786"/>
      <c r="AT310" s="762"/>
      <c r="AU310" s="762"/>
      <c r="AV310" s="786"/>
      <c r="AW310" s="762"/>
      <c r="AX310" s="786"/>
      <c r="AY310" s="762"/>
      <c r="AZ310" s="786"/>
      <c r="BA310" s="762"/>
      <c r="BB310" s="786"/>
      <c r="BC310" s="762"/>
      <c r="BD310" s="786"/>
      <c r="BE310" s="762"/>
    </row>
    <row r="311" spans="1:57" s="49" customFormat="1">
      <c r="A311" s="887"/>
      <c r="B311" s="887"/>
      <c r="C311" s="960"/>
      <c r="D311" s="925"/>
      <c r="E311" s="762"/>
      <c r="F311" s="925"/>
      <c r="G311" s="762"/>
      <c r="H311" s="925"/>
      <c r="I311" s="762"/>
      <c r="J311" s="925"/>
      <c r="K311" s="762"/>
      <c r="L311" s="925"/>
      <c r="M311" s="762"/>
      <c r="N311" s="762"/>
      <c r="O311" s="925"/>
      <c r="P311" s="762"/>
      <c r="Q311" s="925"/>
      <c r="R311" s="762"/>
      <c r="S311" s="925"/>
      <c r="T311" s="762"/>
      <c r="U311" s="925"/>
      <c r="V311" s="762"/>
      <c r="W311" s="925"/>
      <c r="X311" s="762"/>
      <c r="Y311" s="762"/>
      <c r="Z311" s="786"/>
      <c r="AA311" s="762"/>
      <c r="AB311" s="786"/>
      <c r="AC311" s="762"/>
      <c r="AD311" s="786"/>
      <c r="AE311" s="762"/>
      <c r="AF311" s="786"/>
      <c r="AG311" s="762"/>
      <c r="AH311" s="786"/>
      <c r="AI311" s="762"/>
      <c r="AJ311" s="762"/>
      <c r="AK311" s="786"/>
      <c r="AL311" s="762"/>
      <c r="AM311" s="786"/>
      <c r="AN311" s="762"/>
      <c r="AO311" s="786"/>
      <c r="AP311" s="762"/>
      <c r="AQ311" s="786"/>
      <c r="AR311" s="762"/>
      <c r="AS311" s="786"/>
      <c r="AT311" s="762"/>
      <c r="AU311" s="762"/>
      <c r="AV311" s="786"/>
      <c r="AW311" s="762"/>
      <c r="AX311" s="786"/>
      <c r="AY311" s="762"/>
      <c r="AZ311" s="786"/>
      <c r="BA311" s="762"/>
      <c r="BB311" s="786"/>
      <c r="BC311" s="762"/>
      <c r="BD311" s="786"/>
      <c r="BE311" s="762"/>
    </row>
    <row r="312" spans="1:57" s="49" customFormat="1">
      <c r="A312" s="887"/>
      <c r="B312" s="887"/>
      <c r="C312" s="960"/>
      <c r="D312" s="925"/>
      <c r="E312" s="762"/>
      <c r="F312" s="925"/>
      <c r="G312" s="762"/>
      <c r="H312" s="925"/>
      <c r="I312" s="762"/>
      <c r="J312" s="925"/>
      <c r="K312" s="762"/>
      <c r="L312" s="925"/>
      <c r="M312" s="762"/>
      <c r="N312" s="762"/>
      <c r="O312" s="925"/>
      <c r="P312" s="762"/>
      <c r="Q312" s="925"/>
      <c r="R312" s="762"/>
      <c r="S312" s="925"/>
      <c r="T312" s="762"/>
      <c r="U312" s="925"/>
      <c r="V312" s="762"/>
      <c r="W312" s="925"/>
      <c r="X312" s="762"/>
      <c r="Y312" s="762"/>
      <c r="Z312" s="786"/>
      <c r="AA312" s="762"/>
      <c r="AB312" s="786"/>
      <c r="AC312" s="762"/>
      <c r="AD312" s="786"/>
      <c r="AE312" s="762"/>
      <c r="AF312" s="786"/>
      <c r="AG312" s="762"/>
      <c r="AH312" s="786"/>
      <c r="AI312" s="762"/>
      <c r="AJ312" s="762"/>
      <c r="AK312" s="786"/>
      <c r="AL312" s="762"/>
      <c r="AM312" s="786"/>
      <c r="AN312" s="762"/>
      <c r="AO312" s="786"/>
      <c r="AP312" s="762"/>
      <c r="AQ312" s="786"/>
      <c r="AR312" s="762"/>
      <c r="AS312" s="786"/>
      <c r="AT312" s="762"/>
      <c r="AU312" s="762"/>
      <c r="AV312" s="786"/>
      <c r="AW312" s="762"/>
      <c r="AX312" s="786"/>
      <c r="AY312" s="762"/>
      <c r="AZ312" s="786"/>
      <c r="BA312" s="762"/>
      <c r="BB312" s="786"/>
      <c r="BC312" s="762"/>
      <c r="BD312" s="786"/>
      <c r="BE312" s="762"/>
    </row>
    <row r="313" spans="1:57" s="49" customFormat="1">
      <c r="A313" s="887"/>
      <c r="B313" s="887"/>
      <c r="C313" s="960"/>
      <c r="D313" s="925"/>
      <c r="E313" s="762"/>
      <c r="F313" s="925"/>
      <c r="G313" s="762"/>
      <c r="H313" s="925"/>
      <c r="I313" s="762"/>
      <c r="J313" s="925"/>
      <c r="K313" s="762"/>
      <c r="L313" s="925"/>
      <c r="M313" s="762"/>
      <c r="N313" s="762"/>
      <c r="O313" s="925"/>
      <c r="P313" s="762"/>
      <c r="Q313" s="925"/>
      <c r="R313" s="762"/>
      <c r="S313" s="925"/>
      <c r="T313" s="762"/>
      <c r="U313" s="925"/>
      <c r="V313" s="762"/>
      <c r="W313" s="925"/>
      <c r="X313" s="762"/>
      <c r="Y313" s="762"/>
      <c r="Z313" s="786"/>
      <c r="AA313" s="762"/>
      <c r="AB313" s="786"/>
      <c r="AC313" s="762"/>
      <c r="AD313" s="786"/>
      <c r="AE313" s="762"/>
      <c r="AF313" s="786"/>
      <c r="AG313" s="762"/>
      <c r="AH313" s="786"/>
      <c r="AI313" s="762"/>
      <c r="AJ313" s="762"/>
      <c r="AK313" s="786"/>
      <c r="AL313" s="762"/>
      <c r="AM313" s="786"/>
      <c r="AN313" s="762"/>
      <c r="AO313" s="786"/>
      <c r="AP313" s="762"/>
      <c r="AQ313" s="786"/>
      <c r="AR313" s="762"/>
      <c r="AS313" s="786"/>
      <c r="AT313" s="762"/>
      <c r="AU313" s="762"/>
      <c r="AV313" s="786"/>
      <c r="AW313" s="762"/>
      <c r="AX313" s="786"/>
      <c r="AY313" s="762"/>
      <c r="AZ313" s="786"/>
      <c r="BA313" s="762"/>
      <c r="BB313" s="786"/>
      <c r="BC313" s="762"/>
      <c r="BD313" s="786"/>
      <c r="BE313" s="762"/>
    </row>
    <row r="314" spans="1:57" s="49" customFormat="1">
      <c r="A314" s="887"/>
      <c r="B314" s="887"/>
      <c r="C314" s="960"/>
      <c r="D314" s="925"/>
      <c r="E314" s="762"/>
      <c r="F314" s="925"/>
      <c r="G314" s="762"/>
      <c r="H314" s="925"/>
      <c r="I314" s="762"/>
      <c r="J314" s="925"/>
      <c r="K314" s="762"/>
      <c r="L314" s="925"/>
      <c r="M314" s="762"/>
      <c r="N314" s="762"/>
      <c r="O314" s="925"/>
      <c r="P314" s="762"/>
      <c r="Q314" s="925"/>
      <c r="R314" s="762"/>
      <c r="S314" s="925"/>
      <c r="T314" s="762"/>
      <c r="U314" s="925"/>
      <c r="V314" s="762"/>
      <c r="W314" s="925"/>
      <c r="X314" s="762"/>
      <c r="Y314" s="762"/>
      <c r="Z314" s="786"/>
      <c r="AA314" s="762"/>
      <c r="AB314" s="786"/>
      <c r="AC314" s="762"/>
      <c r="AD314" s="786"/>
      <c r="AE314" s="762"/>
      <c r="AF314" s="786"/>
      <c r="AG314" s="762"/>
      <c r="AH314" s="786"/>
      <c r="AI314" s="762"/>
      <c r="AJ314" s="762"/>
      <c r="AK314" s="786"/>
      <c r="AL314" s="762"/>
      <c r="AM314" s="786"/>
      <c r="AN314" s="762"/>
      <c r="AO314" s="786"/>
      <c r="AP314" s="762"/>
      <c r="AQ314" s="786"/>
      <c r="AR314" s="762"/>
      <c r="AS314" s="786"/>
      <c r="AT314" s="762"/>
      <c r="AU314" s="762"/>
      <c r="AV314" s="786"/>
      <c r="AW314" s="762"/>
      <c r="AX314" s="786"/>
      <c r="AY314" s="762"/>
      <c r="AZ314" s="786"/>
      <c r="BA314" s="762"/>
      <c r="BB314" s="786"/>
      <c r="BC314" s="762"/>
      <c r="BD314" s="786"/>
      <c r="BE314" s="762"/>
    </row>
    <row r="315" spans="1:57" s="49" customFormat="1">
      <c r="A315" s="887"/>
      <c r="B315" s="887"/>
      <c r="C315" s="960"/>
      <c r="D315" s="925"/>
      <c r="E315" s="762"/>
      <c r="F315" s="925"/>
      <c r="G315" s="762"/>
      <c r="H315" s="925"/>
      <c r="I315" s="762"/>
      <c r="J315" s="925"/>
      <c r="K315" s="762"/>
      <c r="L315" s="925"/>
      <c r="M315" s="762"/>
      <c r="N315" s="762"/>
      <c r="O315" s="925"/>
      <c r="P315" s="762"/>
      <c r="Q315" s="925"/>
      <c r="R315" s="762"/>
      <c r="S315" s="925"/>
      <c r="T315" s="762"/>
      <c r="U315" s="925"/>
      <c r="V315" s="762"/>
      <c r="W315" s="925"/>
      <c r="X315" s="762"/>
      <c r="Y315" s="762"/>
      <c r="Z315" s="786"/>
      <c r="AA315" s="762"/>
      <c r="AB315" s="786"/>
      <c r="AC315" s="762"/>
      <c r="AD315" s="786"/>
      <c r="AE315" s="762"/>
      <c r="AF315" s="786"/>
      <c r="AG315" s="762"/>
      <c r="AH315" s="786"/>
      <c r="AI315" s="762"/>
      <c r="AJ315" s="762"/>
      <c r="AK315" s="786"/>
      <c r="AL315" s="762"/>
      <c r="AM315" s="786"/>
      <c r="AN315" s="762"/>
      <c r="AO315" s="786"/>
      <c r="AP315" s="762"/>
      <c r="AQ315" s="786"/>
      <c r="AR315" s="762"/>
      <c r="AS315" s="786"/>
      <c r="AT315" s="762"/>
      <c r="AU315" s="762"/>
      <c r="AV315" s="786"/>
      <c r="AW315" s="762"/>
      <c r="AX315" s="786"/>
      <c r="AY315" s="762"/>
      <c r="AZ315" s="786"/>
      <c r="BA315" s="762"/>
      <c r="BB315" s="786"/>
      <c r="BC315" s="762"/>
      <c r="BD315" s="786"/>
      <c r="BE315" s="762"/>
    </row>
    <row r="316" spans="1:57" s="49" customFormat="1">
      <c r="A316" s="887"/>
      <c r="B316" s="887"/>
      <c r="C316" s="960"/>
      <c r="D316" s="925"/>
      <c r="E316" s="762"/>
      <c r="F316" s="925"/>
      <c r="G316" s="762"/>
      <c r="H316" s="925"/>
      <c r="I316" s="762"/>
      <c r="J316" s="925"/>
      <c r="K316" s="762"/>
      <c r="L316" s="925"/>
      <c r="M316" s="762"/>
      <c r="N316" s="762"/>
      <c r="O316" s="925"/>
      <c r="P316" s="762"/>
      <c r="Q316" s="925"/>
      <c r="R316" s="762"/>
      <c r="S316" s="925"/>
      <c r="T316" s="762"/>
      <c r="U316" s="925"/>
      <c r="V316" s="762"/>
      <c r="W316" s="925"/>
      <c r="X316" s="762"/>
      <c r="Y316" s="762"/>
      <c r="Z316" s="786"/>
      <c r="AA316" s="762"/>
      <c r="AB316" s="786"/>
      <c r="AC316" s="762"/>
      <c r="AD316" s="786"/>
      <c r="AE316" s="762"/>
      <c r="AF316" s="786"/>
      <c r="AG316" s="762"/>
      <c r="AH316" s="786"/>
      <c r="AI316" s="762"/>
      <c r="AJ316" s="762"/>
      <c r="AK316" s="786"/>
      <c r="AL316" s="762"/>
      <c r="AM316" s="786"/>
      <c r="AN316" s="762"/>
      <c r="AO316" s="786"/>
      <c r="AP316" s="762"/>
      <c r="AQ316" s="786"/>
      <c r="AR316" s="762"/>
      <c r="AS316" s="786"/>
      <c r="AT316" s="762"/>
      <c r="AU316" s="762"/>
      <c r="AV316" s="786"/>
      <c r="AW316" s="762"/>
      <c r="AX316" s="786"/>
      <c r="AY316" s="762"/>
      <c r="AZ316" s="786"/>
      <c r="BA316" s="762"/>
      <c r="BB316" s="786"/>
      <c r="BC316" s="762"/>
      <c r="BD316" s="786"/>
      <c r="BE316" s="762"/>
    </row>
    <row r="317" spans="1:57" s="49" customFormat="1">
      <c r="A317" s="887"/>
      <c r="B317" s="887"/>
      <c r="C317" s="960"/>
      <c r="D317" s="925"/>
      <c r="E317" s="762"/>
      <c r="F317" s="925"/>
      <c r="G317" s="762"/>
      <c r="H317" s="925"/>
      <c r="I317" s="762"/>
      <c r="J317" s="925"/>
      <c r="K317" s="762"/>
      <c r="L317" s="925"/>
      <c r="M317" s="762"/>
      <c r="N317" s="762"/>
      <c r="O317" s="925"/>
      <c r="P317" s="762"/>
      <c r="Q317" s="925"/>
      <c r="R317" s="762"/>
      <c r="S317" s="925"/>
      <c r="T317" s="762"/>
      <c r="U317" s="925"/>
      <c r="V317" s="762"/>
      <c r="W317" s="925"/>
      <c r="X317" s="762"/>
      <c r="Y317" s="762"/>
      <c r="Z317" s="786"/>
      <c r="AA317" s="762"/>
      <c r="AB317" s="786"/>
      <c r="AC317" s="762"/>
      <c r="AD317" s="786"/>
      <c r="AE317" s="762"/>
      <c r="AF317" s="786"/>
      <c r="AG317" s="762"/>
      <c r="AH317" s="786"/>
      <c r="AI317" s="762"/>
      <c r="AJ317" s="762"/>
      <c r="AK317" s="786"/>
      <c r="AL317" s="762"/>
      <c r="AM317" s="786"/>
      <c r="AN317" s="762"/>
      <c r="AO317" s="786"/>
      <c r="AP317" s="762"/>
      <c r="AQ317" s="786"/>
      <c r="AR317" s="762"/>
      <c r="AS317" s="786"/>
      <c r="AT317" s="762"/>
      <c r="AU317" s="762"/>
      <c r="AV317" s="786"/>
      <c r="AW317" s="762"/>
      <c r="AX317" s="786"/>
      <c r="AY317" s="762"/>
      <c r="AZ317" s="786"/>
      <c r="BA317" s="762"/>
      <c r="BB317" s="786"/>
      <c r="BC317" s="762"/>
      <c r="BD317" s="786"/>
      <c r="BE317" s="762"/>
    </row>
    <row r="318" spans="1:57" s="49" customFormat="1">
      <c r="A318" s="887"/>
      <c r="B318" s="887"/>
      <c r="C318" s="960"/>
      <c r="D318" s="925"/>
      <c r="E318" s="762"/>
      <c r="F318" s="925"/>
      <c r="G318" s="762"/>
      <c r="H318" s="925"/>
      <c r="I318" s="762"/>
      <c r="J318" s="925"/>
      <c r="K318" s="762"/>
      <c r="L318" s="925"/>
      <c r="M318" s="762"/>
      <c r="N318" s="762"/>
      <c r="O318" s="925"/>
      <c r="P318" s="762"/>
      <c r="Q318" s="925"/>
      <c r="R318" s="762"/>
      <c r="S318" s="925"/>
      <c r="T318" s="762"/>
      <c r="U318" s="925"/>
      <c r="V318" s="762"/>
      <c r="W318" s="925"/>
      <c r="X318" s="762"/>
      <c r="Y318" s="762"/>
      <c r="Z318" s="786"/>
      <c r="AA318" s="762"/>
      <c r="AB318" s="786"/>
      <c r="AC318" s="762"/>
      <c r="AD318" s="786"/>
      <c r="AE318" s="762"/>
      <c r="AF318" s="786"/>
      <c r="AG318" s="762"/>
      <c r="AH318" s="786"/>
      <c r="AI318" s="762"/>
      <c r="AJ318" s="762"/>
      <c r="AK318" s="786"/>
      <c r="AL318" s="762"/>
      <c r="AM318" s="786"/>
      <c r="AN318" s="762"/>
      <c r="AO318" s="786"/>
      <c r="AP318" s="762"/>
      <c r="AQ318" s="786"/>
      <c r="AR318" s="762"/>
      <c r="AS318" s="786"/>
      <c r="AT318" s="762"/>
      <c r="AU318" s="762"/>
      <c r="AV318" s="786"/>
      <c r="AW318" s="762"/>
      <c r="AX318" s="786"/>
      <c r="AY318" s="762"/>
      <c r="AZ318" s="786"/>
      <c r="BA318" s="762"/>
      <c r="BB318" s="786"/>
      <c r="BC318" s="762"/>
      <c r="BD318" s="786"/>
      <c r="BE318" s="762"/>
    </row>
    <row r="319" spans="1:57" s="49" customFormat="1">
      <c r="A319" s="887"/>
      <c r="B319" s="887"/>
      <c r="C319" s="960"/>
      <c r="D319" s="925"/>
      <c r="E319" s="762"/>
      <c r="F319" s="925"/>
      <c r="G319" s="762"/>
      <c r="H319" s="925"/>
      <c r="I319" s="762"/>
      <c r="J319" s="925"/>
      <c r="K319" s="762"/>
      <c r="L319" s="925"/>
      <c r="M319" s="762"/>
      <c r="N319" s="762"/>
      <c r="O319" s="925"/>
      <c r="P319" s="762"/>
      <c r="Q319" s="925"/>
      <c r="R319" s="762"/>
      <c r="S319" s="925"/>
      <c r="T319" s="762"/>
      <c r="U319" s="925"/>
      <c r="V319" s="762"/>
      <c r="W319" s="925"/>
      <c r="X319" s="762"/>
      <c r="Y319" s="762"/>
      <c r="Z319" s="786"/>
      <c r="AA319" s="762"/>
      <c r="AB319" s="786"/>
      <c r="AC319" s="762"/>
      <c r="AD319" s="786"/>
      <c r="AE319" s="762"/>
      <c r="AF319" s="786"/>
      <c r="AG319" s="762"/>
      <c r="AH319" s="786"/>
      <c r="AI319" s="762"/>
      <c r="AJ319" s="762"/>
      <c r="AK319" s="786"/>
      <c r="AL319" s="762"/>
      <c r="AM319" s="786"/>
      <c r="AN319" s="762"/>
      <c r="AO319" s="786"/>
      <c r="AP319" s="762"/>
      <c r="AQ319" s="786"/>
      <c r="AR319" s="762"/>
      <c r="AS319" s="786"/>
      <c r="AT319" s="762"/>
      <c r="AU319" s="762"/>
      <c r="AV319" s="786"/>
      <c r="AW319" s="762"/>
      <c r="AX319" s="786"/>
      <c r="AY319" s="762"/>
      <c r="AZ319" s="786"/>
      <c r="BA319" s="762"/>
      <c r="BB319" s="786"/>
      <c r="BC319" s="762"/>
      <c r="BD319" s="786"/>
      <c r="BE319" s="762"/>
    </row>
    <row r="320" spans="1:57" s="49" customFormat="1">
      <c r="A320" s="887"/>
      <c r="B320" s="887"/>
      <c r="C320" s="960"/>
      <c r="D320" s="925"/>
      <c r="E320" s="762"/>
      <c r="F320" s="925"/>
      <c r="G320" s="762"/>
      <c r="H320" s="925"/>
      <c r="I320" s="762"/>
      <c r="J320" s="925"/>
      <c r="K320" s="762"/>
      <c r="L320" s="925"/>
      <c r="M320" s="762"/>
      <c r="N320" s="762"/>
      <c r="O320" s="925"/>
      <c r="P320" s="762"/>
      <c r="Q320" s="925"/>
      <c r="R320" s="762"/>
      <c r="S320" s="925"/>
      <c r="T320" s="762"/>
      <c r="U320" s="925"/>
      <c r="V320" s="762"/>
      <c r="W320" s="925"/>
      <c r="X320" s="762"/>
      <c r="Y320" s="762"/>
      <c r="Z320" s="786"/>
      <c r="AA320" s="762"/>
      <c r="AB320" s="786"/>
      <c r="AC320" s="762"/>
      <c r="AD320" s="786"/>
      <c r="AE320" s="762"/>
      <c r="AF320" s="786"/>
      <c r="AG320" s="762"/>
      <c r="AH320" s="786"/>
      <c r="AI320" s="762"/>
      <c r="AJ320" s="762"/>
      <c r="AK320" s="786"/>
      <c r="AL320" s="762"/>
      <c r="AM320" s="786"/>
      <c r="AN320" s="762"/>
      <c r="AO320" s="786"/>
      <c r="AP320" s="762"/>
      <c r="AQ320" s="786"/>
      <c r="AR320" s="762"/>
      <c r="AS320" s="786"/>
      <c r="AT320" s="762"/>
      <c r="AU320" s="762"/>
      <c r="AV320" s="786"/>
      <c r="AW320" s="762"/>
      <c r="AX320" s="786"/>
      <c r="AY320" s="762"/>
      <c r="AZ320" s="786"/>
      <c r="BA320" s="762"/>
      <c r="BB320" s="786"/>
      <c r="BC320" s="762"/>
      <c r="BD320" s="786"/>
      <c r="BE320" s="762"/>
    </row>
    <row r="321" spans="1:57" s="49" customFormat="1">
      <c r="A321" s="887"/>
      <c r="B321" s="887"/>
      <c r="C321" s="960"/>
      <c r="D321" s="925"/>
      <c r="E321" s="762"/>
      <c r="F321" s="925"/>
      <c r="G321" s="762"/>
      <c r="H321" s="925"/>
      <c r="I321" s="762"/>
      <c r="J321" s="925"/>
      <c r="K321" s="762"/>
      <c r="L321" s="925"/>
      <c r="M321" s="762"/>
      <c r="N321" s="762"/>
      <c r="O321" s="925"/>
      <c r="P321" s="762"/>
      <c r="Q321" s="925"/>
      <c r="R321" s="762"/>
      <c r="S321" s="925"/>
      <c r="T321" s="762"/>
      <c r="U321" s="925"/>
      <c r="V321" s="762"/>
      <c r="W321" s="925"/>
      <c r="X321" s="762"/>
      <c r="Y321" s="762"/>
      <c r="Z321" s="786"/>
      <c r="AA321" s="762"/>
      <c r="AB321" s="786"/>
      <c r="AC321" s="762"/>
      <c r="AD321" s="786"/>
      <c r="AE321" s="762"/>
      <c r="AF321" s="786"/>
      <c r="AG321" s="762"/>
      <c r="AH321" s="786"/>
      <c r="AI321" s="762"/>
      <c r="AJ321" s="762"/>
      <c r="AK321" s="786"/>
      <c r="AL321" s="762"/>
      <c r="AM321" s="786"/>
      <c r="AN321" s="762"/>
      <c r="AO321" s="786"/>
      <c r="AP321" s="762"/>
      <c r="AQ321" s="786"/>
      <c r="AR321" s="762"/>
      <c r="AS321" s="786"/>
      <c r="AT321" s="762"/>
      <c r="AU321" s="762"/>
      <c r="AV321" s="786"/>
      <c r="AW321" s="762"/>
      <c r="AX321" s="786"/>
      <c r="AY321" s="762"/>
      <c r="AZ321" s="786"/>
      <c r="BA321" s="762"/>
      <c r="BB321" s="786"/>
      <c r="BC321" s="762"/>
      <c r="BD321" s="786"/>
      <c r="BE321" s="762"/>
    </row>
    <row r="322" spans="1:57" s="49" customFormat="1">
      <c r="A322" s="887"/>
      <c r="B322" s="887"/>
      <c r="C322" s="960"/>
      <c r="D322" s="925"/>
      <c r="E322" s="762"/>
      <c r="F322" s="925"/>
      <c r="G322" s="762"/>
      <c r="H322" s="925"/>
      <c r="I322" s="762"/>
      <c r="J322" s="925"/>
      <c r="K322" s="762"/>
      <c r="L322" s="925"/>
      <c r="M322" s="762"/>
      <c r="N322" s="762"/>
      <c r="O322" s="925"/>
      <c r="P322" s="762"/>
      <c r="Q322" s="925"/>
      <c r="R322" s="762"/>
      <c r="S322" s="925"/>
      <c r="T322" s="762"/>
      <c r="U322" s="925"/>
      <c r="V322" s="762"/>
      <c r="W322" s="925"/>
      <c r="X322" s="762"/>
      <c r="Y322" s="762"/>
      <c r="Z322" s="786"/>
      <c r="AA322" s="762"/>
      <c r="AB322" s="786"/>
      <c r="AC322" s="762"/>
      <c r="AD322" s="786"/>
      <c r="AE322" s="762"/>
      <c r="AF322" s="786"/>
      <c r="AG322" s="762"/>
      <c r="AH322" s="786"/>
      <c r="AI322" s="762"/>
      <c r="AJ322" s="762"/>
      <c r="AK322" s="786"/>
      <c r="AL322" s="762"/>
      <c r="AM322" s="786"/>
      <c r="AN322" s="762"/>
      <c r="AO322" s="786"/>
      <c r="AP322" s="762"/>
      <c r="AQ322" s="786"/>
      <c r="AR322" s="762"/>
      <c r="AS322" s="786"/>
      <c r="AT322" s="762"/>
      <c r="AU322" s="762"/>
      <c r="AV322" s="786"/>
      <c r="AW322" s="762"/>
      <c r="AX322" s="786"/>
      <c r="AY322" s="762"/>
      <c r="AZ322" s="786"/>
      <c r="BA322" s="762"/>
      <c r="BB322" s="786"/>
      <c r="BC322" s="762"/>
      <c r="BD322" s="786"/>
      <c r="BE322" s="762"/>
    </row>
    <row r="323" spans="1:57" s="49" customFormat="1">
      <c r="A323" s="887"/>
      <c r="B323" s="887"/>
      <c r="C323" s="960"/>
      <c r="D323" s="925"/>
      <c r="E323" s="762"/>
      <c r="F323" s="925"/>
      <c r="G323" s="762"/>
      <c r="H323" s="925"/>
      <c r="I323" s="762"/>
      <c r="J323" s="925"/>
      <c r="K323" s="762"/>
      <c r="L323" s="925"/>
      <c r="M323" s="762"/>
      <c r="N323" s="762"/>
      <c r="O323" s="925"/>
      <c r="P323" s="762"/>
      <c r="Q323" s="925"/>
      <c r="R323" s="762"/>
      <c r="S323" s="925"/>
      <c r="T323" s="762"/>
      <c r="U323" s="925"/>
      <c r="V323" s="762"/>
      <c r="W323" s="925"/>
      <c r="X323" s="762"/>
      <c r="Y323" s="762"/>
      <c r="Z323" s="786"/>
      <c r="AA323" s="762"/>
      <c r="AB323" s="786"/>
      <c r="AC323" s="762"/>
      <c r="AD323" s="786"/>
      <c r="AE323" s="762"/>
      <c r="AF323" s="786"/>
      <c r="AG323" s="762"/>
      <c r="AH323" s="786"/>
      <c r="AI323" s="762"/>
      <c r="AJ323" s="762"/>
      <c r="AK323" s="786"/>
      <c r="AL323" s="762"/>
      <c r="AM323" s="786"/>
      <c r="AN323" s="762"/>
      <c r="AO323" s="786"/>
      <c r="AP323" s="762"/>
      <c r="AQ323" s="786"/>
      <c r="AR323" s="762"/>
      <c r="AS323" s="786"/>
      <c r="AT323" s="762"/>
      <c r="AU323" s="762"/>
      <c r="AV323" s="786"/>
      <c r="AW323" s="762"/>
      <c r="AX323" s="786"/>
      <c r="AY323" s="762"/>
      <c r="AZ323" s="786"/>
      <c r="BA323" s="762"/>
      <c r="BB323" s="786"/>
      <c r="BC323" s="762"/>
      <c r="BD323" s="786"/>
      <c r="BE323" s="762"/>
    </row>
    <row r="324" spans="1:57" s="49" customFormat="1">
      <c r="A324" s="887"/>
      <c r="B324" s="887"/>
      <c r="C324" s="960"/>
      <c r="D324" s="925"/>
      <c r="E324" s="762"/>
      <c r="F324" s="925"/>
      <c r="G324" s="762"/>
      <c r="H324" s="925"/>
      <c r="I324" s="762"/>
      <c r="J324" s="925"/>
      <c r="K324" s="762"/>
      <c r="L324" s="925"/>
      <c r="M324" s="762"/>
      <c r="N324" s="762"/>
      <c r="O324" s="925"/>
      <c r="P324" s="762"/>
      <c r="Q324" s="925"/>
      <c r="R324" s="762"/>
      <c r="S324" s="925"/>
      <c r="T324" s="762"/>
      <c r="U324" s="925"/>
      <c r="V324" s="762"/>
      <c r="W324" s="925"/>
      <c r="X324" s="762"/>
      <c r="Y324" s="762"/>
      <c r="Z324" s="786"/>
      <c r="AA324" s="762"/>
      <c r="AB324" s="786"/>
      <c r="AC324" s="762"/>
      <c r="AD324" s="786"/>
      <c r="AE324" s="762"/>
      <c r="AF324" s="786"/>
      <c r="AG324" s="762"/>
      <c r="AH324" s="786"/>
      <c r="AI324" s="762"/>
      <c r="AJ324" s="762"/>
      <c r="AK324" s="786"/>
      <c r="AL324" s="762"/>
      <c r="AM324" s="786"/>
      <c r="AN324" s="762"/>
      <c r="AO324" s="786"/>
      <c r="AP324" s="762"/>
      <c r="AQ324" s="786"/>
      <c r="AR324" s="762"/>
      <c r="AS324" s="786"/>
      <c r="AT324" s="762"/>
      <c r="AU324" s="762"/>
      <c r="AV324" s="786"/>
      <c r="AW324" s="762"/>
      <c r="AX324" s="786"/>
      <c r="AY324" s="762"/>
      <c r="AZ324" s="786"/>
      <c r="BA324" s="762"/>
      <c r="BB324" s="786"/>
      <c r="BC324" s="762"/>
      <c r="BD324" s="786"/>
      <c r="BE324" s="762"/>
    </row>
    <row r="325" spans="1:57" s="49" customFormat="1">
      <c r="A325" s="887"/>
      <c r="B325" s="887"/>
      <c r="C325" s="960"/>
      <c r="D325" s="925"/>
      <c r="E325" s="762"/>
      <c r="F325" s="925"/>
      <c r="G325" s="762"/>
      <c r="H325" s="925"/>
      <c r="I325" s="762"/>
      <c r="J325" s="925"/>
      <c r="K325" s="762"/>
      <c r="L325" s="925"/>
      <c r="M325" s="762"/>
      <c r="N325" s="762"/>
      <c r="O325" s="925"/>
      <c r="P325" s="762"/>
      <c r="Q325" s="925"/>
      <c r="R325" s="762"/>
      <c r="S325" s="925"/>
      <c r="T325" s="762"/>
      <c r="U325" s="925"/>
      <c r="V325" s="762"/>
      <c r="W325" s="925"/>
      <c r="X325" s="762"/>
      <c r="Y325" s="762"/>
      <c r="Z325" s="786"/>
      <c r="AA325" s="762"/>
      <c r="AB325" s="786"/>
      <c r="AC325" s="762"/>
      <c r="AD325" s="786"/>
      <c r="AE325" s="762"/>
      <c r="AF325" s="786"/>
      <c r="AG325" s="762"/>
      <c r="AH325" s="786"/>
      <c r="AI325" s="762"/>
      <c r="AJ325" s="762"/>
      <c r="AK325" s="786"/>
      <c r="AL325" s="762"/>
      <c r="AM325" s="786"/>
      <c r="AN325" s="762"/>
      <c r="AO325" s="786"/>
      <c r="AP325" s="762"/>
      <c r="AQ325" s="786"/>
      <c r="AR325" s="762"/>
      <c r="AS325" s="786"/>
      <c r="AT325" s="762"/>
      <c r="AU325" s="762"/>
      <c r="AV325" s="786"/>
      <c r="AW325" s="762"/>
      <c r="AX325" s="786"/>
      <c r="AY325" s="762"/>
      <c r="AZ325" s="786"/>
      <c r="BA325" s="762"/>
      <c r="BB325" s="786"/>
      <c r="BC325" s="762"/>
      <c r="BD325" s="786"/>
      <c r="BE325" s="762"/>
    </row>
    <row r="326" spans="1:57" s="49" customFormat="1">
      <c r="A326" s="887"/>
      <c r="B326" s="887"/>
      <c r="C326" s="960"/>
      <c r="D326" s="925"/>
      <c r="E326" s="762"/>
      <c r="F326" s="925"/>
      <c r="G326" s="762"/>
      <c r="H326" s="925"/>
      <c r="I326" s="762"/>
      <c r="J326" s="925"/>
      <c r="K326" s="762"/>
      <c r="L326" s="925"/>
      <c r="M326" s="762"/>
      <c r="N326" s="762"/>
      <c r="O326" s="925"/>
      <c r="P326" s="762"/>
      <c r="Q326" s="925"/>
      <c r="R326" s="762"/>
      <c r="S326" s="925"/>
      <c r="T326" s="762"/>
      <c r="U326" s="925"/>
      <c r="V326" s="762"/>
      <c r="W326" s="925"/>
      <c r="X326" s="762"/>
      <c r="Y326" s="762"/>
      <c r="Z326" s="786"/>
      <c r="AA326" s="762"/>
      <c r="AB326" s="786"/>
      <c r="AC326" s="762"/>
      <c r="AD326" s="786"/>
      <c r="AE326" s="762"/>
      <c r="AF326" s="786"/>
      <c r="AG326" s="762"/>
      <c r="AH326" s="786"/>
      <c r="AI326" s="762"/>
      <c r="AJ326" s="762"/>
      <c r="AK326" s="786"/>
      <c r="AL326" s="762"/>
      <c r="AM326" s="786"/>
      <c r="AN326" s="762"/>
      <c r="AO326" s="786"/>
      <c r="AP326" s="762"/>
      <c r="AQ326" s="786"/>
      <c r="AR326" s="762"/>
      <c r="AS326" s="786"/>
      <c r="AT326" s="762"/>
      <c r="AU326" s="762"/>
      <c r="AV326" s="786"/>
      <c r="AW326" s="762"/>
      <c r="AX326" s="786"/>
      <c r="AY326" s="762"/>
      <c r="AZ326" s="786"/>
      <c r="BA326" s="762"/>
      <c r="BB326" s="786"/>
      <c r="BC326" s="762"/>
      <c r="BD326" s="786"/>
      <c r="BE326" s="762"/>
    </row>
    <row r="327" spans="1:57" s="49" customFormat="1">
      <c r="A327" s="887"/>
      <c r="B327" s="887"/>
      <c r="C327" s="960"/>
      <c r="D327" s="925"/>
      <c r="E327" s="762"/>
      <c r="F327" s="925"/>
      <c r="G327" s="762"/>
      <c r="H327" s="925"/>
      <c r="I327" s="762"/>
      <c r="J327" s="925"/>
      <c r="K327" s="762"/>
      <c r="L327" s="925"/>
      <c r="M327" s="762"/>
      <c r="N327" s="762"/>
      <c r="O327" s="925"/>
      <c r="P327" s="762"/>
      <c r="Q327" s="925"/>
      <c r="R327" s="762"/>
      <c r="S327" s="925"/>
      <c r="T327" s="762"/>
      <c r="U327" s="925"/>
      <c r="V327" s="762"/>
      <c r="W327" s="925"/>
      <c r="X327" s="762"/>
      <c r="Y327" s="762"/>
      <c r="Z327" s="786"/>
      <c r="AA327" s="762"/>
      <c r="AB327" s="786"/>
      <c r="AC327" s="762"/>
      <c r="AD327" s="786"/>
      <c r="AE327" s="762"/>
      <c r="AF327" s="786"/>
      <c r="AG327" s="762"/>
      <c r="AH327" s="786"/>
      <c r="AI327" s="762"/>
      <c r="AJ327" s="762"/>
      <c r="AK327" s="786"/>
      <c r="AL327" s="762"/>
      <c r="AM327" s="786"/>
      <c r="AN327" s="762"/>
      <c r="AO327" s="786"/>
      <c r="AP327" s="762"/>
      <c r="AQ327" s="786"/>
      <c r="AR327" s="762"/>
      <c r="AS327" s="786"/>
      <c r="AT327" s="762"/>
      <c r="AU327" s="762"/>
      <c r="AV327" s="786"/>
      <c r="AW327" s="762"/>
      <c r="AX327" s="786"/>
      <c r="AY327" s="762"/>
      <c r="AZ327" s="786"/>
      <c r="BA327" s="762"/>
      <c r="BB327" s="786"/>
      <c r="BC327" s="762"/>
      <c r="BD327" s="786"/>
      <c r="BE327" s="762"/>
    </row>
    <row r="328" spans="1:57" s="49" customFormat="1">
      <c r="A328" s="887"/>
      <c r="B328" s="887"/>
      <c r="C328" s="960"/>
      <c r="D328" s="925"/>
      <c r="E328" s="762"/>
      <c r="F328" s="925"/>
      <c r="G328" s="762"/>
      <c r="H328" s="925"/>
      <c r="I328" s="762"/>
      <c r="J328" s="925"/>
      <c r="K328" s="762"/>
      <c r="L328" s="925"/>
      <c r="M328" s="762"/>
      <c r="N328" s="762"/>
      <c r="O328" s="925"/>
      <c r="P328" s="762"/>
      <c r="Q328" s="925"/>
      <c r="R328" s="762"/>
      <c r="S328" s="925"/>
      <c r="T328" s="762"/>
      <c r="U328" s="925"/>
      <c r="V328" s="762"/>
      <c r="W328" s="925"/>
      <c r="X328" s="762"/>
      <c r="Y328" s="762"/>
      <c r="Z328" s="786"/>
      <c r="AA328" s="762"/>
      <c r="AB328" s="786"/>
      <c r="AC328" s="762"/>
      <c r="AD328" s="786"/>
      <c r="AE328" s="762"/>
      <c r="AF328" s="786"/>
      <c r="AG328" s="762"/>
      <c r="AH328" s="786"/>
      <c r="AI328" s="762"/>
      <c r="AJ328" s="762"/>
      <c r="AK328" s="786"/>
      <c r="AL328" s="762"/>
      <c r="AM328" s="786"/>
      <c r="AN328" s="762"/>
      <c r="AO328" s="786"/>
      <c r="AP328" s="762"/>
      <c r="AQ328" s="786"/>
      <c r="AR328" s="762"/>
      <c r="AS328" s="786"/>
      <c r="AT328" s="762"/>
      <c r="AU328" s="762"/>
      <c r="AV328" s="786"/>
      <c r="AW328" s="762"/>
      <c r="AX328" s="786"/>
      <c r="AY328" s="762"/>
      <c r="AZ328" s="786"/>
      <c r="BA328" s="762"/>
      <c r="BB328" s="786"/>
      <c r="BC328" s="762"/>
      <c r="BD328" s="786"/>
      <c r="BE328" s="762"/>
    </row>
    <row r="329" spans="1:57" s="49" customFormat="1">
      <c r="A329" s="887"/>
      <c r="B329" s="887"/>
      <c r="C329" s="960"/>
      <c r="D329" s="925"/>
      <c r="E329" s="762"/>
      <c r="F329" s="925"/>
      <c r="G329" s="762"/>
      <c r="H329" s="925"/>
      <c r="I329" s="762"/>
      <c r="J329" s="925"/>
      <c r="K329" s="762"/>
      <c r="L329" s="925"/>
      <c r="M329" s="762"/>
      <c r="N329" s="762"/>
      <c r="O329" s="925"/>
      <c r="P329" s="762"/>
      <c r="Q329" s="925"/>
      <c r="R329" s="762"/>
      <c r="S329" s="925"/>
      <c r="T329" s="762"/>
      <c r="U329" s="925"/>
      <c r="V329" s="762"/>
      <c r="W329" s="925"/>
      <c r="X329" s="762"/>
      <c r="Y329" s="762"/>
      <c r="Z329" s="786"/>
      <c r="AA329" s="762"/>
      <c r="AB329" s="786"/>
      <c r="AC329" s="762"/>
      <c r="AD329" s="786"/>
      <c r="AE329" s="762"/>
      <c r="AF329" s="786"/>
      <c r="AG329" s="762"/>
      <c r="AH329" s="786"/>
      <c r="AI329" s="762"/>
      <c r="AJ329" s="762"/>
      <c r="AK329" s="786"/>
      <c r="AL329" s="762"/>
      <c r="AM329" s="786"/>
      <c r="AN329" s="762"/>
      <c r="AO329" s="786"/>
      <c r="AP329" s="762"/>
      <c r="AQ329" s="786"/>
      <c r="AR329" s="762"/>
      <c r="AS329" s="786"/>
      <c r="AT329" s="762"/>
      <c r="AU329" s="762"/>
      <c r="AV329" s="786"/>
      <c r="AW329" s="762"/>
      <c r="AX329" s="786"/>
      <c r="AY329" s="762"/>
      <c r="AZ329" s="786"/>
      <c r="BA329" s="762"/>
      <c r="BB329" s="786"/>
      <c r="BC329" s="762"/>
      <c r="BD329" s="786"/>
      <c r="BE329" s="762"/>
    </row>
    <row r="330" spans="1:57" s="49" customFormat="1">
      <c r="A330" s="887"/>
      <c r="B330" s="887"/>
      <c r="C330" s="960"/>
      <c r="D330" s="925"/>
      <c r="E330" s="762"/>
      <c r="F330" s="925"/>
      <c r="G330" s="762"/>
      <c r="H330" s="925"/>
      <c r="I330" s="762"/>
      <c r="J330" s="925"/>
      <c r="K330" s="762"/>
      <c r="L330" s="925"/>
      <c r="M330" s="762"/>
      <c r="N330" s="762"/>
      <c r="O330" s="925"/>
      <c r="P330" s="762"/>
      <c r="Q330" s="925"/>
      <c r="R330" s="762"/>
      <c r="S330" s="925"/>
      <c r="T330" s="762"/>
      <c r="U330" s="925"/>
      <c r="V330" s="762"/>
      <c r="W330" s="925"/>
      <c r="X330" s="762"/>
      <c r="Y330" s="762"/>
      <c r="Z330" s="786"/>
      <c r="AA330" s="762"/>
      <c r="AB330" s="786"/>
      <c r="AC330" s="762"/>
      <c r="AD330" s="786"/>
      <c r="AE330" s="762"/>
      <c r="AF330" s="786"/>
      <c r="AG330" s="762"/>
      <c r="AH330" s="786"/>
      <c r="AI330" s="762"/>
      <c r="AJ330" s="762"/>
      <c r="AK330" s="786"/>
      <c r="AL330" s="762"/>
      <c r="AM330" s="786"/>
      <c r="AN330" s="762"/>
      <c r="AO330" s="786"/>
      <c r="AP330" s="762"/>
      <c r="AQ330" s="786"/>
      <c r="AR330" s="762"/>
      <c r="AS330" s="786"/>
      <c r="AT330" s="762"/>
      <c r="AU330" s="762"/>
      <c r="AV330" s="786"/>
      <c r="AW330" s="762"/>
      <c r="AX330" s="786"/>
      <c r="AY330" s="762"/>
      <c r="AZ330" s="786"/>
      <c r="BA330" s="762"/>
      <c r="BB330" s="786"/>
      <c r="BC330" s="762"/>
      <c r="BD330" s="786"/>
      <c r="BE330" s="762"/>
    </row>
    <row r="331" spans="1:57" s="49" customFormat="1">
      <c r="A331" s="887"/>
      <c r="B331" s="887"/>
      <c r="C331" s="960"/>
      <c r="D331" s="925"/>
      <c r="E331" s="762"/>
      <c r="F331" s="925"/>
      <c r="G331" s="762"/>
      <c r="H331" s="925"/>
      <c r="I331" s="762"/>
      <c r="J331" s="925"/>
      <c r="K331" s="762"/>
      <c r="L331" s="925"/>
      <c r="M331" s="762"/>
      <c r="N331" s="762"/>
      <c r="O331" s="925"/>
      <c r="P331" s="762"/>
      <c r="Q331" s="925"/>
      <c r="R331" s="762"/>
      <c r="S331" s="925"/>
      <c r="T331" s="762"/>
      <c r="U331" s="925"/>
      <c r="V331" s="762"/>
      <c r="W331" s="925"/>
      <c r="X331" s="762"/>
      <c r="Y331" s="762"/>
      <c r="Z331" s="786"/>
      <c r="AA331" s="762"/>
      <c r="AB331" s="786"/>
      <c r="AC331" s="762"/>
      <c r="AD331" s="786"/>
      <c r="AE331" s="762"/>
      <c r="AF331" s="786"/>
      <c r="AG331" s="762"/>
      <c r="AH331" s="786"/>
      <c r="AI331" s="762"/>
      <c r="AJ331" s="762"/>
      <c r="AK331" s="786"/>
      <c r="AL331" s="762"/>
      <c r="AM331" s="786"/>
      <c r="AN331" s="762"/>
      <c r="AO331" s="786"/>
      <c r="AP331" s="762"/>
      <c r="AQ331" s="786"/>
      <c r="AR331" s="762"/>
      <c r="AS331" s="786"/>
      <c r="AT331" s="762"/>
      <c r="AU331" s="762"/>
      <c r="AV331" s="786"/>
      <c r="AW331" s="762"/>
      <c r="AX331" s="786"/>
      <c r="AY331" s="762"/>
      <c r="AZ331" s="786"/>
      <c r="BA331" s="762"/>
      <c r="BB331" s="786"/>
      <c r="BC331" s="762"/>
      <c r="BD331" s="786"/>
      <c r="BE331" s="762"/>
    </row>
    <row r="332" spans="1:57" s="49" customFormat="1">
      <c r="A332" s="887"/>
      <c r="B332" s="887"/>
      <c r="C332" s="960"/>
      <c r="D332" s="925"/>
      <c r="E332" s="762"/>
      <c r="F332" s="925"/>
      <c r="G332" s="762"/>
      <c r="H332" s="925"/>
      <c r="I332" s="762"/>
      <c r="J332" s="925"/>
      <c r="K332" s="762"/>
      <c r="L332" s="925"/>
      <c r="M332" s="762"/>
      <c r="N332" s="762"/>
      <c r="O332" s="925"/>
      <c r="P332" s="762"/>
      <c r="Q332" s="925"/>
      <c r="R332" s="762"/>
      <c r="S332" s="925"/>
      <c r="T332" s="762"/>
      <c r="U332" s="925"/>
      <c r="V332" s="762"/>
      <c r="W332" s="925"/>
      <c r="X332" s="762"/>
      <c r="Y332" s="762"/>
      <c r="Z332" s="786"/>
      <c r="AA332" s="762"/>
      <c r="AB332" s="786"/>
      <c r="AC332" s="762"/>
      <c r="AD332" s="786"/>
      <c r="AE332" s="762"/>
      <c r="AF332" s="786"/>
      <c r="AG332" s="762"/>
      <c r="AH332" s="786"/>
      <c r="AI332" s="762"/>
      <c r="AJ332" s="762"/>
      <c r="AK332" s="786"/>
      <c r="AL332" s="762"/>
      <c r="AM332" s="786"/>
      <c r="AN332" s="762"/>
      <c r="AO332" s="786"/>
      <c r="AP332" s="762"/>
      <c r="AQ332" s="786"/>
      <c r="AR332" s="762"/>
      <c r="AS332" s="786"/>
      <c r="AT332" s="762"/>
      <c r="AU332" s="762"/>
      <c r="AV332" s="786"/>
      <c r="AW332" s="762"/>
      <c r="AX332" s="786"/>
      <c r="AY332" s="762"/>
      <c r="AZ332" s="786"/>
      <c r="BA332" s="762"/>
      <c r="BB332" s="786"/>
      <c r="BC332" s="762"/>
      <c r="BD332" s="786"/>
      <c r="BE332" s="762"/>
    </row>
    <row r="333" spans="1:57" s="49" customFormat="1">
      <c r="A333" s="887"/>
      <c r="B333" s="887"/>
      <c r="C333" s="960"/>
      <c r="D333" s="925"/>
      <c r="E333" s="762"/>
      <c r="F333" s="925"/>
      <c r="G333" s="762"/>
      <c r="H333" s="925"/>
      <c r="I333" s="762"/>
      <c r="J333" s="925"/>
      <c r="K333" s="762"/>
      <c r="L333" s="925"/>
      <c r="M333" s="762"/>
      <c r="N333" s="762"/>
      <c r="O333" s="925"/>
      <c r="P333" s="762"/>
      <c r="Q333" s="925"/>
      <c r="R333" s="762"/>
      <c r="S333" s="925"/>
      <c r="T333" s="762"/>
      <c r="U333" s="925"/>
      <c r="V333" s="762"/>
      <c r="W333" s="925"/>
      <c r="X333" s="762"/>
      <c r="Y333" s="762"/>
      <c r="Z333" s="786"/>
      <c r="AA333" s="762"/>
      <c r="AB333" s="786"/>
      <c r="AC333" s="762"/>
      <c r="AD333" s="786"/>
      <c r="AE333" s="762"/>
      <c r="AF333" s="786"/>
      <c r="AG333" s="762"/>
      <c r="AH333" s="786"/>
      <c r="AI333" s="762"/>
      <c r="AJ333" s="762"/>
      <c r="AK333" s="786"/>
      <c r="AL333" s="762"/>
      <c r="AM333" s="786"/>
      <c r="AN333" s="762"/>
      <c r="AO333" s="786"/>
      <c r="AP333" s="762"/>
      <c r="AQ333" s="786"/>
      <c r="AR333" s="762"/>
      <c r="AS333" s="786"/>
      <c r="AT333" s="762"/>
      <c r="AU333" s="762"/>
      <c r="AV333" s="786"/>
      <c r="AW333" s="762"/>
      <c r="AX333" s="786"/>
      <c r="AY333" s="762"/>
      <c r="AZ333" s="786"/>
      <c r="BA333" s="762"/>
      <c r="BB333" s="786"/>
      <c r="BC333" s="762"/>
      <c r="BD333" s="786"/>
      <c r="BE333" s="762"/>
    </row>
    <row r="334" spans="1:57" s="49" customFormat="1">
      <c r="A334" s="887"/>
      <c r="B334" s="887"/>
      <c r="C334" s="960"/>
      <c r="D334" s="925"/>
      <c r="E334" s="762"/>
      <c r="F334" s="925"/>
      <c r="G334" s="762"/>
      <c r="H334" s="925"/>
      <c r="I334" s="762"/>
      <c r="J334" s="925"/>
      <c r="K334" s="762"/>
      <c r="L334" s="925"/>
      <c r="M334" s="762"/>
      <c r="N334" s="762"/>
      <c r="O334" s="925"/>
      <c r="P334" s="762"/>
      <c r="Q334" s="925"/>
      <c r="R334" s="762"/>
      <c r="S334" s="925"/>
      <c r="T334" s="762"/>
      <c r="U334" s="925"/>
      <c r="V334" s="762"/>
      <c r="W334" s="925"/>
      <c r="X334" s="762"/>
      <c r="Y334" s="762"/>
      <c r="Z334" s="786"/>
      <c r="AA334" s="762"/>
      <c r="AB334" s="786"/>
      <c r="AC334" s="762"/>
      <c r="AD334" s="786"/>
      <c r="AE334" s="762"/>
      <c r="AF334" s="786"/>
      <c r="AG334" s="762"/>
      <c r="AH334" s="786"/>
      <c r="AI334" s="762"/>
      <c r="AJ334" s="762"/>
      <c r="AK334" s="786"/>
      <c r="AL334" s="762"/>
      <c r="AM334" s="786"/>
      <c r="AN334" s="762"/>
      <c r="AO334" s="786"/>
      <c r="AP334" s="762"/>
      <c r="AQ334" s="786"/>
      <c r="AR334" s="762"/>
      <c r="AS334" s="786"/>
      <c r="AT334" s="762"/>
      <c r="AU334" s="762"/>
      <c r="AV334" s="786"/>
      <c r="AW334" s="762"/>
      <c r="AX334" s="786"/>
      <c r="AY334" s="762"/>
      <c r="AZ334" s="786"/>
      <c r="BA334" s="762"/>
      <c r="BB334" s="786"/>
      <c r="BC334" s="762"/>
      <c r="BD334" s="786"/>
      <c r="BE334" s="762"/>
    </row>
    <row r="335" spans="1:57" s="49" customFormat="1">
      <c r="A335" s="887"/>
      <c r="B335" s="887"/>
      <c r="C335" s="960"/>
      <c r="D335" s="925"/>
      <c r="E335" s="762"/>
      <c r="F335" s="925"/>
      <c r="G335" s="762"/>
      <c r="H335" s="925"/>
      <c r="I335" s="762"/>
      <c r="J335" s="925"/>
      <c r="K335" s="762"/>
      <c r="L335" s="925"/>
      <c r="M335" s="762"/>
      <c r="N335" s="762"/>
      <c r="O335" s="925"/>
      <c r="P335" s="762"/>
      <c r="Q335" s="925"/>
      <c r="R335" s="762"/>
      <c r="S335" s="925"/>
      <c r="T335" s="762"/>
      <c r="U335" s="925"/>
      <c r="V335" s="762"/>
      <c r="W335" s="925"/>
      <c r="X335" s="762"/>
      <c r="Y335" s="762"/>
      <c r="Z335" s="786"/>
      <c r="AA335" s="762"/>
      <c r="AB335" s="786"/>
      <c r="AC335" s="762"/>
      <c r="AD335" s="786"/>
      <c r="AE335" s="762"/>
      <c r="AF335" s="786"/>
      <c r="AG335" s="762"/>
      <c r="AH335" s="786"/>
      <c r="AI335" s="762"/>
      <c r="AJ335" s="762"/>
      <c r="AK335" s="786"/>
      <c r="AL335" s="762"/>
      <c r="AM335" s="786"/>
      <c r="AN335" s="762"/>
      <c r="AO335" s="786"/>
      <c r="AP335" s="762"/>
      <c r="AQ335" s="786"/>
      <c r="AR335" s="762"/>
      <c r="AS335" s="786"/>
      <c r="AT335" s="762"/>
      <c r="AU335" s="762"/>
      <c r="AV335" s="786"/>
      <c r="AW335" s="762"/>
      <c r="AX335" s="786"/>
      <c r="AY335" s="762"/>
      <c r="AZ335" s="786"/>
      <c r="BA335" s="762"/>
      <c r="BB335" s="786"/>
      <c r="BC335" s="762"/>
      <c r="BD335" s="786"/>
      <c r="BE335" s="762"/>
    </row>
    <row r="336" spans="1:57" s="49" customFormat="1">
      <c r="A336" s="887"/>
      <c r="B336" s="887"/>
      <c r="C336" s="960"/>
      <c r="D336" s="925"/>
      <c r="E336" s="762"/>
      <c r="F336" s="925"/>
      <c r="G336" s="762"/>
      <c r="H336" s="925"/>
      <c r="I336" s="762"/>
      <c r="J336" s="925"/>
      <c r="K336" s="762"/>
      <c r="L336" s="925"/>
      <c r="M336" s="762"/>
      <c r="N336" s="762"/>
      <c r="O336" s="925"/>
      <c r="P336" s="762"/>
      <c r="Q336" s="925"/>
      <c r="R336" s="762"/>
      <c r="S336" s="925"/>
      <c r="T336" s="762"/>
      <c r="U336" s="925"/>
      <c r="V336" s="762"/>
      <c r="W336" s="925"/>
      <c r="X336" s="762"/>
      <c r="Y336" s="762"/>
      <c r="Z336" s="786"/>
      <c r="AA336" s="762"/>
      <c r="AB336" s="786"/>
      <c r="AC336" s="762"/>
      <c r="AD336" s="786"/>
      <c r="AE336" s="762"/>
      <c r="AF336" s="786"/>
      <c r="AG336" s="762"/>
      <c r="AH336" s="786"/>
      <c r="AI336" s="762"/>
      <c r="AJ336" s="762"/>
      <c r="AK336" s="786"/>
      <c r="AL336" s="762"/>
      <c r="AM336" s="786"/>
      <c r="AN336" s="762"/>
      <c r="AO336" s="786"/>
      <c r="AP336" s="762"/>
      <c r="AQ336" s="786"/>
      <c r="AR336" s="762"/>
      <c r="AS336" s="786"/>
      <c r="AT336" s="762"/>
      <c r="AU336" s="762"/>
      <c r="AV336" s="786"/>
      <c r="AW336" s="762"/>
      <c r="AX336" s="786"/>
      <c r="AY336" s="762"/>
      <c r="AZ336" s="786"/>
      <c r="BA336" s="762"/>
      <c r="BB336" s="786"/>
      <c r="BC336" s="762"/>
      <c r="BD336" s="786"/>
      <c r="BE336" s="762"/>
    </row>
    <row r="337" spans="1:57" s="49" customFormat="1">
      <c r="A337" s="887"/>
      <c r="B337" s="887"/>
      <c r="C337" s="960"/>
      <c r="D337" s="925"/>
      <c r="E337" s="762"/>
      <c r="F337" s="925"/>
      <c r="G337" s="762"/>
      <c r="H337" s="925"/>
      <c r="I337" s="762"/>
      <c r="J337" s="925"/>
      <c r="K337" s="762"/>
      <c r="L337" s="925"/>
      <c r="M337" s="762"/>
      <c r="N337" s="762"/>
      <c r="O337" s="925"/>
      <c r="P337" s="762"/>
      <c r="Q337" s="925"/>
      <c r="R337" s="762"/>
      <c r="S337" s="925"/>
      <c r="T337" s="762"/>
      <c r="U337" s="925"/>
      <c r="V337" s="762"/>
      <c r="W337" s="925"/>
      <c r="X337" s="762"/>
      <c r="Y337" s="762"/>
      <c r="Z337" s="786"/>
      <c r="AA337" s="762"/>
      <c r="AB337" s="786"/>
      <c r="AC337" s="762"/>
      <c r="AD337" s="786"/>
      <c r="AE337" s="762"/>
      <c r="AF337" s="786"/>
      <c r="AG337" s="762"/>
      <c r="AH337" s="786"/>
      <c r="AI337" s="762"/>
      <c r="AJ337" s="762"/>
      <c r="AK337" s="786"/>
      <c r="AL337" s="762"/>
      <c r="AM337" s="786"/>
      <c r="AN337" s="762"/>
      <c r="AO337" s="786"/>
      <c r="AP337" s="762"/>
      <c r="AQ337" s="786"/>
      <c r="AR337" s="762"/>
      <c r="AS337" s="786"/>
      <c r="AT337" s="762"/>
      <c r="AU337" s="762"/>
      <c r="AV337" s="786"/>
      <c r="AW337" s="762"/>
      <c r="AX337" s="786"/>
      <c r="AY337" s="762"/>
      <c r="AZ337" s="786"/>
      <c r="BA337" s="762"/>
      <c r="BB337" s="786"/>
      <c r="BC337" s="762"/>
      <c r="BD337" s="786"/>
      <c r="BE337" s="762"/>
    </row>
    <row r="338" spans="1:57" s="49" customFormat="1">
      <c r="A338" s="887"/>
      <c r="B338" s="887"/>
      <c r="C338" s="960"/>
      <c r="D338" s="925"/>
      <c r="E338" s="762"/>
      <c r="F338" s="925"/>
      <c r="G338" s="762"/>
      <c r="H338" s="925"/>
      <c r="I338" s="762"/>
      <c r="J338" s="925"/>
      <c r="K338" s="762"/>
      <c r="L338" s="925"/>
      <c r="M338" s="762"/>
      <c r="N338" s="762"/>
      <c r="O338" s="925"/>
      <c r="P338" s="762"/>
      <c r="Q338" s="925"/>
      <c r="R338" s="762"/>
      <c r="S338" s="925"/>
      <c r="T338" s="762"/>
      <c r="U338" s="925"/>
      <c r="V338" s="762"/>
      <c r="W338" s="925"/>
      <c r="X338" s="762"/>
      <c r="Y338" s="762"/>
      <c r="Z338" s="786"/>
      <c r="AA338" s="762"/>
      <c r="AB338" s="786"/>
      <c r="AC338" s="762"/>
      <c r="AD338" s="786"/>
      <c r="AE338" s="762"/>
      <c r="AF338" s="786"/>
      <c r="AG338" s="762"/>
      <c r="AH338" s="786"/>
      <c r="AI338" s="762"/>
      <c r="AJ338" s="762"/>
      <c r="AK338" s="786"/>
      <c r="AL338" s="762"/>
      <c r="AM338" s="786"/>
      <c r="AN338" s="762"/>
      <c r="AO338" s="786"/>
      <c r="AP338" s="762"/>
      <c r="AQ338" s="786"/>
      <c r="AR338" s="762"/>
      <c r="AS338" s="786"/>
      <c r="AT338" s="762"/>
      <c r="AU338" s="762"/>
      <c r="AV338" s="786"/>
      <c r="AW338" s="762"/>
      <c r="AX338" s="786"/>
      <c r="AY338" s="762"/>
      <c r="AZ338" s="786"/>
      <c r="BA338" s="762"/>
      <c r="BB338" s="786"/>
      <c r="BC338" s="762"/>
      <c r="BD338" s="786"/>
      <c r="BE338" s="762"/>
    </row>
    <row r="339" spans="1:57" s="49" customFormat="1">
      <c r="A339" s="887"/>
      <c r="B339" s="887"/>
      <c r="C339" s="960"/>
      <c r="D339" s="925"/>
      <c r="E339" s="762"/>
      <c r="F339" s="925"/>
      <c r="G339" s="762"/>
      <c r="H339" s="925"/>
      <c r="I339" s="762"/>
      <c r="J339" s="925"/>
      <c r="K339" s="762"/>
      <c r="L339" s="925"/>
      <c r="M339" s="762"/>
      <c r="N339" s="762"/>
      <c r="O339" s="925"/>
      <c r="P339" s="762"/>
      <c r="Q339" s="925"/>
      <c r="R339" s="762"/>
      <c r="S339" s="925"/>
      <c r="T339" s="762"/>
      <c r="U339" s="925"/>
      <c r="V339" s="762"/>
      <c r="W339" s="925"/>
      <c r="X339" s="762"/>
      <c r="Y339" s="762"/>
      <c r="Z339" s="786"/>
      <c r="AA339" s="762"/>
      <c r="AB339" s="786"/>
      <c r="AC339" s="762"/>
      <c r="AD339" s="786"/>
      <c r="AE339" s="762"/>
      <c r="AF339" s="786"/>
      <c r="AG339" s="762"/>
      <c r="AH339" s="786"/>
      <c r="AI339" s="762"/>
      <c r="AJ339" s="762"/>
      <c r="AK339" s="786"/>
      <c r="AL339" s="762"/>
      <c r="AM339" s="786"/>
      <c r="AN339" s="762"/>
      <c r="AO339" s="786"/>
      <c r="AP339" s="762"/>
      <c r="AQ339" s="786"/>
      <c r="AR339" s="762"/>
      <c r="AS339" s="786"/>
      <c r="AT339" s="762"/>
      <c r="AU339" s="762"/>
      <c r="AV339" s="786"/>
      <c r="AW339" s="762"/>
      <c r="AX339" s="786"/>
      <c r="AY339" s="762"/>
      <c r="AZ339" s="786"/>
      <c r="BA339" s="762"/>
      <c r="BB339" s="786"/>
      <c r="BC339" s="762"/>
      <c r="BD339" s="786"/>
      <c r="BE339" s="762"/>
    </row>
    <row r="340" spans="1:57" s="49" customFormat="1">
      <c r="A340" s="887"/>
      <c r="B340" s="887"/>
      <c r="C340" s="960"/>
      <c r="D340" s="925"/>
      <c r="E340" s="762"/>
      <c r="F340" s="925"/>
      <c r="G340" s="762"/>
      <c r="H340" s="925"/>
      <c r="I340" s="762"/>
      <c r="J340" s="925"/>
      <c r="K340" s="762"/>
      <c r="L340" s="925"/>
      <c r="M340" s="762"/>
      <c r="N340" s="762"/>
      <c r="O340" s="925"/>
      <c r="P340" s="762"/>
      <c r="Q340" s="925"/>
      <c r="R340" s="762"/>
      <c r="S340" s="925"/>
      <c r="T340" s="762"/>
      <c r="U340" s="925"/>
      <c r="V340" s="762"/>
      <c r="W340" s="925"/>
      <c r="X340" s="762"/>
      <c r="Y340" s="762"/>
      <c r="Z340" s="786"/>
      <c r="AA340" s="762"/>
      <c r="AB340" s="786"/>
      <c r="AC340" s="762"/>
      <c r="AD340" s="786"/>
      <c r="AE340" s="762"/>
      <c r="AF340" s="786"/>
      <c r="AG340" s="762"/>
      <c r="AH340" s="786"/>
      <c r="AI340" s="762"/>
      <c r="AJ340" s="762"/>
      <c r="AK340" s="786"/>
      <c r="AL340" s="762"/>
      <c r="AM340" s="786"/>
      <c r="AN340" s="762"/>
      <c r="AO340" s="786"/>
      <c r="AP340" s="762"/>
      <c r="AQ340" s="786"/>
      <c r="AR340" s="762"/>
      <c r="AS340" s="786"/>
      <c r="AT340" s="762"/>
      <c r="AU340" s="762"/>
      <c r="AV340" s="786"/>
      <c r="AW340" s="762"/>
      <c r="AX340" s="786"/>
      <c r="AY340" s="762"/>
      <c r="AZ340" s="786"/>
      <c r="BA340" s="762"/>
      <c r="BB340" s="786"/>
      <c r="BC340" s="762"/>
      <c r="BD340" s="786"/>
      <c r="BE340" s="762"/>
    </row>
    <row r="341" spans="1:57" s="49" customFormat="1">
      <c r="A341" s="887"/>
      <c r="B341" s="887"/>
      <c r="C341" s="960"/>
      <c r="D341" s="925"/>
      <c r="E341" s="762"/>
      <c r="F341" s="925"/>
      <c r="G341" s="762"/>
      <c r="H341" s="925"/>
      <c r="I341" s="762"/>
      <c r="J341" s="925"/>
      <c r="K341" s="762"/>
      <c r="L341" s="925"/>
      <c r="M341" s="762"/>
      <c r="N341" s="762"/>
      <c r="O341" s="925"/>
      <c r="P341" s="762"/>
      <c r="Q341" s="925"/>
      <c r="R341" s="762"/>
      <c r="S341" s="925"/>
      <c r="T341" s="762"/>
      <c r="U341" s="925"/>
      <c r="V341" s="762"/>
      <c r="W341" s="925"/>
      <c r="X341" s="762"/>
      <c r="Y341" s="762"/>
      <c r="Z341" s="786"/>
      <c r="AA341" s="762"/>
      <c r="AB341" s="786"/>
      <c r="AC341" s="762"/>
      <c r="AD341" s="786"/>
      <c r="AE341" s="762"/>
      <c r="AF341" s="786"/>
      <c r="AG341" s="762"/>
      <c r="AH341" s="786"/>
      <c r="AI341" s="762"/>
      <c r="AJ341" s="762"/>
      <c r="AK341" s="786"/>
      <c r="AL341" s="762"/>
      <c r="AM341" s="786"/>
      <c r="AN341" s="762"/>
      <c r="AO341" s="786"/>
      <c r="AP341" s="762"/>
      <c r="AQ341" s="786"/>
      <c r="AR341" s="762"/>
      <c r="AS341" s="786"/>
      <c r="AT341" s="762"/>
      <c r="AU341" s="762"/>
      <c r="AV341" s="786"/>
      <c r="AW341" s="762"/>
      <c r="AX341" s="786"/>
      <c r="AY341" s="762"/>
      <c r="AZ341" s="786"/>
      <c r="BA341" s="762"/>
      <c r="BB341" s="786"/>
      <c r="BC341" s="762"/>
      <c r="BD341" s="786"/>
      <c r="BE341" s="762"/>
    </row>
    <row r="342" spans="1:57" s="49" customFormat="1">
      <c r="A342" s="887"/>
      <c r="B342" s="887"/>
      <c r="C342" s="960"/>
      <c r="D342" s="925"/>
      <c r="E342" s="762"/>
      <c r="F342" s="925"/>
      <c r="G342" s="762"/>
      <c r="H342" s="925"/>
      <c r="I342" s="762"/>
      <c r="J342" s="925"/>
      <c r="K342" s="762"/>
      <c r="L342" s="925"/>
      <c r="M342" s="762"/>
      <c r="N342" s="762"/>
      <c r="O342" s="925"/>
      <c r="P342" s="762"/>
      <c r="Q342" s="925"/>
      <c r="R342" s="762"/>
      <c r="S342" s="925"/>
      <c r="T342" s="762"/>
      <c r="U342" s="925"/>
      <c r="V342" s="762"/>
      <c r="W342" s="925"/>
      <c r="X342" s="762"/>
      <c r="Y342" s="762"/>
      <c r="Z342" s="786"/>
      <c r="AA342" s="762"/>
      <c r="AB342" s="786"/>
      <c r="AC342" s="762"/>
      <c r="AD342" s="786"/>
      <c r="AE342" s="762"/>
      <c r="AF342" s="786"/>
      <c r="AG342" s="762"/>
      <c r="AH342" s="786"/>
      <c r="AI342" s="762"/>
      <c r="AJ342" s="762"/>
      <c r="AK342" s="786"/>
      <c r="AL342" s="762"/>
      <c r="AM342" s="786"/>
      <c r="AN342" s="762"/>
      <c r="AO342" s="786"/>
      <c r="AP342" s="762"/>
      <c r="AQ342" s="786"/>
      <c r="AR342" s="762"/>
      <c r="AS342" s="786"/>
      <c r="AT342" s="762"/>
      <c r="AU342" s="762"/>
      <c r="AV342" s="786"/>
      <c r="AW342" s="762"/>
      <c r="AX342" s="786"/>
      <c r="AY342" s="762"/>
      <c r="AZ342" s="786"/>
      <c r="BA342" s="762"/>
      <c r="BB342" s="786"/>
      <c r="BC342" s="762"/>
      <c r="BD342" s="786"/>
      <c r="BE342" s="762"/>
    </row>
    <row r="343" spans="1:57" s="49" customFormat="1">
      <c r="A343" s="887"/>
      <c r="B343" s="887"/>
      <c r="C343" s="960"/>
      <c r="D343" s="925"/>
      <c r="E343" s="762"/>
      <c r="F343" s="925"/>
      <c r="G343" s="762"/>
      <c r="H343" s="925"/>
      <c r="I343" s="762"/>
      <c r="J343" s="925"/>
      <c r="K343" s="762"/>
      <c r="L343" s="925"/>
      <c r="M343" s="762"/>
      <c r="N343" s="762"/>
      <c r="O343" s="925"/>
      <c r="P343" s="762"/>
      <c r="Q343" s="925"/>
      <c r="R343" s="762"/>
      <c r="S343" s="925"/>
      <c r="T343" s="762"/>
      <c r="U343" s="925"/>
      <c r="V343" s="762"/>
      <c r="W343" s="925"/>
      <c r="X343" s="762"/>
      <c r="Y343" s="762"/>
      <c r="Z343" s="786"/>
      <c r="AA343" s="762"/>
      <c r="AB343" s="786"/>
      <c r="AC343" s="762"/>
      <c r="AD343" s="786"/>
      <c r="AE343" s="762"/>
      <c r="AF343" s="786"/>
      <c r="AG343" s="762"/>
      <c r="AH343" s="786"/>
      <c r="AI343" s="762"/>
      <c r="AJ343" s="762"/>
      <c r="AK343" s="786"/>
      <c r="AL343" s="762"/>
      <c r="AM343" s="786"/>
      <c r="AN343" s="762"/>
      <c r="AO343" s="786"/>
      <c r="AP343" s="762"/>
      <c r="AQ343" s="786"/>
      <c r="AR343" s="762"/>
      <c r="AS343" s="786"/>
      <c r="AT343" s="762"/>
      <c r="AU343" s="762"/>
      <c r="AV343" s="786"/>
      <c r="AW343" s="762"/>
      <c r="AX343" s="786"/>
      <c r="AY343" s="762"/>
      <c r="AZ343" s="786"/>
      <c r="BA343" s="762"/>
      <c r="BB343" s="786"/>
      <c r="BC343" s="762"/>
      <c r="BD343" s="786"/>
      <c r="BE343" s="762"/>
    </row>
    <row r="344" spans="1:57" s="49" customFormat="1">
      <c r="A344" s="887"/>
      <c r="B344" s="887"/>
      <c r="C344" s="960"/>
      <c r="D344" s="925"/>
      <c r="E344" s="762"/>
      <c r="F344" s="925"/>
      <c r="G344" s="762"/>
      <c r="H344" s="925"/>
      <c r="I344" s="762"/>
      <c r="J344" s="925"/>
      <c r="K344" s="762"/>
      <c r="L344" s="925"/>
      <c r="M344" s="762"/>
      <c r="N344" s="762"/>
      <c r="O344" s="925"/>
      <c r="P344" s="762"/>
      <c r="Q344" s="925"/>
      <c r="R344" s="762"/>
      <c r="S344" s="925"/>
      <c r="T344" s="762"/>
      <c r="U344" s="925"/>
      <c r="V344" s="762"/>
      <c r="W344" s="925"/>
      <c r="X344" s="762"/>
      <c r="Y344" s="762"/>
      <c r="Z344" s="786"/>
      <c r="AA344" s="762"/>
      <c r="AB344" s="786"/>
      <c r="AC344" s="762"/>
      <c r="AD344" s="786"/>
      <c r="AE344" s="762"/>
      <c r="AF344" s="786"/>
      <c r="AG344" s="762"/>
      <c r="AH344" s="786"/>
      <c r="AI344" s="762"/>
      <c r="AJ344" s="762"/>
      <c r="AK344" s="786"/>
      <c r="AL344" s="762"/>
      <c r="AM344" s="786"/>
      <c r="AN344" s="762"/>
      <c r="AO344" s="786"/>
      <c r="AP344" s="762"/>
      <c r="AQ344" s="786"/>
      <c r="AR344" s="762"/>
      <c r="AS344" s="786"/>
      <c r="AT344" s="762"/>
      <c r="AU344" s="762"/>
      <c r="AV344" s="786"/>
      <c r="AW344" s="762"/>
      <c r="AX344" s="786"/>
      <c r="AY344" s="762"/>
      <c r="AZ344" s="786"/>
      <c r="BA344" s="762"/>
      <c r="BB344" s="786"/>
      <c r="BC344" s="762"/>
      <c r="BD344" s="786"/>
      <c r="BE344" s="762"/>
    </row>
    <row r="345" spans="1:57" s="49" customFormat="1">
      <c r="A345" s="887"/>
      <c r="B345" s="887"/>
      <c r="C345" s="960"/>
      <c r="D345" s="925"/>
      <c r="E345" s="762"/>
      <c r="F345" s="925"/>
      <c r="G345" s="762"/>
      <c r="H345" s="925"/>
      <c r="I345" s="762"/>
      <c r="J345" s="925"/>
      <c r="K345" s="762"/>
      <c r="L345" s="925"/>
      <c r="M345" s="762"/>
      <c r="N345" s="762"/>
      <c r="O345" s="925"/>
      <c r="P345" s="762"/>
      <c r="Q345" s="925"/>
      <c r="R345" s="762"/>
      <c r="S345" s="925"/>
      <c r="T345" s="762"/>
      <c r="U345" s="925"/>
      <c r="V345" s="762"/>
      <c r="W345" s="925"/>
      <c r="X345" s="762"/>
      <c r="Y345" s="762"/>
      <c r="Z345" s="786"/>
      <c r="AA345" s="762"/>
      <c r="AB345" s="786"/>
      <c r="AC345" s="762"/>
      <c r="AD345" s="786"/>
      <c r="AE345" s="762"/>
      <c r="AF345" s="786"/>
      <c r="AG345" s="762"/>
      <c r="AH345" s="786"/>
      <c r="AI345" s="762"/>
      <c r="AJ345" s="762"/>
      <c r="AK345" s="786"/>
      <c r="AL345" s="762"/>
      <c r="AM345" s="786"/>
      <c r="AN345" s="762"/>
      <c r="AO345" s="786"/>
      <c r="AP345" s="762"/>
      <c r="AQ345" s="786"/>
      <c r="AR345" s="762"/>
      <c r="AS345" s="786"/>
      <c r="AT345" s="762"/>
      <c r="AU345" s="762"/>
      <c r="AV345" s="786"/>
      <c r="AW345" s="762"/>
      <c r="AX345" s="786"/>
      <c r="AY345" s="762"/>
      <c r="AZ345" s="786"/>
      <c r="BA345" s="762"/>
      <c r="BB345" s="786"/>
      <c r="BC345" s="762"/>
      <c r="BD345" s="786"/>
      <c r="BE345" s="762"/>
    </row>
    <row r="346" spans="1:57" s="49" customFormat="1">
      <c r="A346" s="887"/>
      <c r="B346" s="887"/>
      <c r="C346" s="960"/>
      <c r="D346" s="925"/>
      <c r="E346" s="762"/>
      <c r="F346" s="925"/>
      <c r="G346" s="762"/>
      <c r="H346" s="925"/>
      <c r="I346" s="762"/>
      <c r="J346" s="925"/>
      <c r="K346" s="762"/>
      <c r="L346" s="925"/>
      <c r="M346" s="762"/>
      <c r="N346" s="762"/>
      <c r="O346" s="925"/>
      <c r="P346" s="762"/>
      <c r="Q346" s="925"/>
      <c r="R346" s="762"/>
      <c r="S346" s="925"/>
      <c r="T346" s="762"/>
      <c r="U346" s="925"/>
      <c r="V346" s="762"/>
      <c r="W346" s="925"/>
      <c r="X346" s="762"/>
      <c r="Y346" s="762"/>
      <c r="Z346" s="786"/>
      <c r="AA346" s="762"/>
      <c r="AB346" s="786"/>
      <c r="AC346" s="762"/>
      <c r="AD346" s="786"/>
      <c r="AE346" s="762"/>
      <c r="AF346" s="786"/>
      <c r="AG346" s="762"/>
      <c r="AH346" s="786"/>
      <c r="AI346" s="762"/>
      <c r="AJ346" s="762"/>
      <c r="AK346" s="786"/>
      <c r="AL346" s="762"/>
      <c r="AM346" s="786"/>
      <c r="AN346" s="762"/>
      <c r="AO346" s="786"/>
      <c r="AP346" s="762"/>
      <c r="AQ346" s="786"/>
      <c r="AR346" s="762"/>
      <c r="AS346" s="786"/>
      <c r="AT346" s="762"/>
      <c r="AU346" s="762"/>
      <c r="AV346" s="786"/>
      <c r="AW346" s="762"/>
      <c r="AX346" s="786"/>
      <c r="AY346" s="762"/>
      <c r="AZ346" s="786"/>
      <c r="BA346" s="762"/>
      <c r="BB346" s="786"/>
      <c r="BC346" s="762"/>
      <c r="BD346" s="786"/>
      <c r="BE346" s="762"/>
    </row>
    <row r="347" spans="1:57" s="49" customFormat="1">
      <c r="A347" s="887"/>
      <c r="B347" s="887"/>
      <c r="C347" s="960"/>
      <c r="D347" s="925"/>
      <c r="E347" s="762"/>
      <c r="F347" s="925"/>
      <c r="G347" s="762"/>
      <c r="H347" s="925"/>
      <c r="I347" s="762"/>
      <c r="J347" s="925"/>
      <c r="K347" s="762"/>
      <c r="L347" s="925"/>
      <c r="M347" s="762"/>
      <c r="N347" s="762"/>
      <c r="O347" s="925"/>
      <c r="P347" s="762"/>
      <c r="Q347" s="925"/>
      <c r="R347" s="762"/>
      <c r="S347" s="925"/>
      <c r="T347" s="762"/>
      <c r="U347" s="925"/>
      <c r="V347" s="762"/>
      <c r="W347" s="925"/>
      <c r="X347" s="762"/>
      <c r="Y347" s="762"/>
      <c r="Z347" s="786"/>
      <c r="AA347" s="762"/>
      <c r="AB347" s="786"/>
      <c r="AC347" s="762"/>
      <c r="AD347" s="786"/>
      <c r="AE347" s="762"/>
      <c r="AF347" s="786"/>
      <c r="AG347" s="762"/>
      <c r="AH347" s="786"/>
      <c r="AI347" s="762"/>
      <c r="AJ347" s="762"/>
      <c r="AK347" s="786"/>
      <c r="AL347" s="762"/>
      <c r="AM347" s="786"/>
      <c r="AN347" s="762"/>
      <c r="AO347" s="786"/>
      <c r="AP347" s="762"/>
      <c r="AQ347" s="786"/>
      <c r="AR347" s="762"/>
      <c r="AS347" s="786"/>
      <c r="AT347" s="762"/>
      <c r="AU347" s="762"/>
      <c r="AV347" s="786"/>
      <c r="AW347" s="762"/>
      <c r="AX347" s="786"/>
      <c r="AY347" s="762"/>
      <c r="AZ347" s="786"/>
      <c r="BA347" s="762"/>
      <c r="BB347" s="786"/>
      <c r="BC347" s="762"/>
      <c r="BD347" s="786"/>
      <c r="BE347" s="762"/>
    </row>
    <row r="348" spans="1:57" s="49" customFormat="1">
      <c r="A348" s="887"/>
      <c r="B348" s="887"/>
      <c r="C348" s="960"/>
      <c r="D348" s="925"/>
      <c r="E348" s="762"/>
      <c r="F348" s="925"/>
      <c r="G348" s="762"/>
      <c r="H348" s="925"/>
      <c r="I348" s="762"/>
      <c r="J348" s="925"/>
      <c r="K348" s="762"/>
      <c r="L348" s="925"/>
      <c r="M348" s="762"/>
      <c r="N348" s="762"/>
      <c r="O348" s="925"/>
      <c r="P348" s="762"/>
      <c r="Q348" s="925"/>
      <c r="R348" s="762"/>
      <c r="S348" s="925"/>
      <c r="T348" s="762"/>
      <c r="U348" s="925"/>
      <c r="V348" s="762"/>
      <c r="W348" s="925"/>
      <c r="X348" s="762"/>
      <c r="Y348" s="762"/>
      <c r="Z348" s="786"/>
      <c r="AA348" s="762"/>
      <c r="AB348" s="786"/>
      <c r="AC348" s="762"/>
      <c r="AD348" s="786"/>
      <c r="AE348" s="762"/>
      <c r="AF348" s="786"/>
      <c r="AG348" s="762"/>
      <c r="AH348" s="786"/>
      <c r="AI348" s="762"/>
      <c r="AJ348" s="762"/>
      <c r="AK348" s="786"/>
      <c r="AL348" s="762"/>
      <c r="AM348" s="786"/>
      <c r="AN348" s="762"/>
      <c r="AO348" s="786"/>
      <c r="AP348" s="762"/>
      <c r="AQ348" s="786"/>
      <c r="AR348" s="762"/>
      <c r="AS348" s="786"/>
      <c r="AT348" s="762"/>
      <c r="AU348" s="762"/>
      <c r="AV348" s="786"/>
      <c r="AW348" s="762"/>
      <c r="AX348" s="786"/>
      <c r="AY348" s="762"/>
      <c r="AZ348" s="786"/>
      <c r="BA348" s="762"/>
      <c r="BB348" s="786"/>
      <c r="BC348" s="762"/>
      <c r="BD348" s="786"/>
      <c r="BE348" s="762"/>
    </row>
    <row r="349" spans="1:57" s="49" customFormat="1">
      <c r="A349" s="887"/>
      <c r="B349" s="887"/>
      <c r="C349" s="960"/>
      <c r="D349" s="925"/>
      <c r="E349" s="762"/>
      <c r="F349" s="925"/>
      <c r="G349" s="762"/>
      <c r="H349" s="925"/>
      <c r="I349" s="762"/>
      <c r="J349" s="925"/>
      <c r="K349" s="762"/>
      <c r="L349" s="925"/>
      <c r="M349" s="762"/>
      <c r="N349" s="762"/>
      <c r="O349" s="925"/>
      <c r="P349" s="762"/>
      <c r="Q349" s="925"/>
      <c r="R349" s="762"/>
      <c r="S349" s="925"/>
      <c r="T349" s="762"/>
      <c r="U349" s="925"/>
      <c r="V349" s="762"/>
      <c r="W349" s="925"/>
      <c r="X349" s="762"/>
      <c r="Y349" s="762"/>
      <c r="Z349" s="786"/>
      <c r="AA349" s="762"/>
      <c r="AB349" s="786"/>
      <c r="AC349" s="762"/>
      <c r="AD349" s="786"/>
      <c r="AE349" s="762"/>
      <c r="AF349" s="786"/>
      <c r="AG349" s="762"/>
      <c r="AH349" s="786"/>
      <c r="AI349" s="762"/>
      <c r="AJ349" s="762"/>
      <c r="AK349" s="786"/>
      <c r="AL349" s="762"/>
      <c r="AM349" s="786"/>
      <c r="AN349" s="762"/>
      <c r="AO349" s="786"/>
      <c r="AP349" s="762"/>
      <c r="AQ349" s="786"/>
      <c r="AR349" s="762"/>
      <c r="AS349" s="786"/>
      <c r="AT349" s="762"/>
      <c r="AU349" s="762"/>
      <c r="AV349" s="786"/>
      <c r="AW349" s="762"/>
      <c r="AX349" s="786"/>
      <c r="AY349" s="762"/>
      <c r="AZ349" s="786"/>
      <c r="BA349" s="762"/>
      <c r="BB349" s="786"/>
      <c r="BC349" s="762"/>
      <c r="BD349" s="786"/>
      <c r="BE349" s="762"/>
    </row>
    <row r="350" spans="1:57" s="49" customFormat="1">
      <c r="A350" s="887"/>
      <c r="B350" s="887"/>
      <c r="C350" s="960"/>
      <c r="D350" s="925"/>
      <c r="E350" s="762"/>
      <c r="F350" s="925"/>
      <c r="G350" s="762"/>
      <c r="H350" s="925"/>
      <c r="I350" s="762"/>
      <c r="J350" s="925"/>
      <c r="K350" s="762"/>
      <c r="L350" s="925"/>
      <c r="M350" s="762"/>
      <c r="N350" s="762"/>
      <c r="O350" s="925"/>
      <c r="P350" s="762"/>
      <c r="Q350" s="925"/>
      <c r="R350" s="762"/>
      <c r="S350" s="925"/>
      <c r="T350" s="762"/>
      <c r="U350" s="925"/>
      <c r="V350" s="762"/>
      <c r="W350" s="925"/>
      <c r="X350" s="762"/>
      <c r="Y350" s="762"/>
      <c r="Z350" s="786"/>
      <c r="AA350" s="762"/>
      <c r="AB350" s="786"/>
      <c r="AC350" s="762"/>
      <c r="AD350" s="786"/>
      <c r="AE350" s="762"/>
      <c r="AF350" s="786"/>
      <c r="AG350" s="762"/>
      <c r="AH350" s="786"/>
      <c r="AI350" s="762"/>
      <c r="AJ350" s="762"/>
      <c r="AK350" s="786"/>
      <c r="AL350" s="762"/>
      <c r="AM350" s="786"/>
      <c r="AN350" s="762"/>
      <c r="AO350" s="786"/>
      <c r="AP350" s="762"/>
      <c r="AQ350" s="786"/>
      <c r="AR350" s="762"/>
      <c r="AS350" s="786"/>
      <c r="AT350" s="762"/>
      <c r="AU350" s="762"/>
      <c r="AV350" s="786"/>
      <c r="AW350" s="762"/>
      <c r="AX350" s="786"/>
      <c r="AY350" s="762"/>
      <c r="AZ350" s="786"/>
      <c r="BA350" s="762"/>
      <c r="BB350" s="786"/>
      <c r="BC350" s="762"/>
      <c r="BD350" s="786"/>
      <c r="BE350" s="762"/>
    </row>
    <row r="351" spans="1:57" s="49" customFormat="1">
      <c r="A351" s="887"/>
      <c r="B351" s="887"/>
      <c r="C351" s="960"/>
      <c r="D351" s="925"/>
      <c r="E351" s="762"/>
      <c r="F351" s="925"/>
      <c r="G351" s="762"/>
      <c r="H351" s="925"/>
      <c r="I351" s="762"/>
      <c r="J351" s="925"/>
      <c r="K351" s="762"/>
      <c r="L351" s="925"/>
      <c r="M351" s="762"/>
      <c r="N351" s="762"/>
      <c r="O351" s="925"/>
      <c r="P351" s="762"/>
      <c r="Q351" s="925"/>
      <c r="R351" s="762"/>
      <c r="S351" s="925"/>
      <c r="T351" s="762"/>
      <c r="U351" s="925"/>
      <c r="V351" s="762"/>
      <c r="W351" s="925"/>
      <c r="X351" s="762"/>
      <c r="Y351" s="762"/>
      <c r="Z351" s="786"/>
      <c r="AA351" s="762"/>
      <c r="AB351" s="786"/>
      <c r="AC351" s="762"/>
      <c r="AD351" s="786"/>
      <c r="AE351" s="762"/>
      <c r="AF351" s="786"/>
      <c r="AG351" s="762"/>
      <c r="AH351" s="786"/>
      <c r="AI351" s="762"/>
      <c r="AJ351" s="762"/>
      <c r="AK351" s="786"/>
      <c r="AL351" s="762"/>
      <c r="AM351" s="786"/>
      <c r="AN351" s="762"/>
      <c r="AO351" s="786"/>
      <c r="AP351" s="762"/>
      <c r="AQ351" s="786"/>
      <c r="AR351" s="762"/>
      <c r="AS351" s="786"/>
      <c r="AT351" s="762"/>
      <c r="AU351" s="762"/>
      <c r="AV351" s="786"/>
      <c r="AW351" s="762"/>
      <c r="AX351" s="786"/>
      <c r="AY351" s="762"/>
      <c r="AZ351" s="786"/>
      <c r="BA351" s="762"/>
      <c r="BB351" s="786"/>
      <c r="BC351" s="762"/>
      <c r="BD351" s="786"/>
      <c r="BE351" s="762"/>
    </row>
    <row r="352" spans="1:57" s="49" customFormat="1">
      <c r="A352" s="887"/>
      <c r="B352" s="887"/>
      <c r="C352" s="960"/>
      <c r="D352" s="925"/>
      <c r="E352" s="762"/>
      <c r="F352" s="925"/>
      <c r="G352" s="762"/>
      <c r="H352" s="925"/>
      <c r="I352" s="762"/>
      <c r="J352" s="925"/>
      <c r="K352" s="762"/>
      <c r="L352" s="925"/>
      <c r="M352" s="762"/>
      <c r="N352" s="762"/>
      <c r="O352" s="925"/>
      <c r="P352" s="762"/>
      <c r="Q352" s="925"/>
      <c r="R352" s="762"/>
      <c r="S352" s="925"/>
      <c r="T352" s="762"/>
      <c r="U352" s="925"/>
      <c r="V352" s="762"/>
      <c r="W352" s="925"/>
      <c r="X352" s="762"/>
      <c r="Y352" s="762"/>
      <c r="Z352" s="786"/>
      <c r="AA352" s="762"/>
      <c r="AB352" s="786"/>
      <c r="AC352" s="762"/>
      <c r="AD352" s="786"/>
      <c r="AE352" s="762"/>
      <c r="AF352" s="786"/>
      <c r="AG352" s="762"/>
      <c r="AH352" s="786"/>
      <c r="AI352" s="762"/>
      <c r="AJ352" s="762"/>
      <c r="AK352" s="786"/>
      <c r="AL352" s="762"/>
      <c r="AM352" s="786"/>
      <c r="AN352" s="762"/>
      <c r="AO352" s="786"/>
      <c r="AP352" s="762"/>
      <c r="AQ352" s="786"/>
      <c r="AR352" s="762"/>
      <c r="AS352" s="786"/>
      <c r="AT352" s="762"/>
      <c r="AU352" s="762"/>
      <c r="AV352" s="786"/>
      <c r="AW352" s="762"/>
      <c r="AX352" s="786"/>
      <c r="AY352" s="762"/>
      <c r="AZ352" s="786"/>
      <c r="BA352" s="762"/>
      <c r="BB352" s="786"/>
      <c r="BC352" s="762"/>
      <c r="BD352" s="786"/>
      <c r="BE352" s="762"/>
    </row>
    <row r="353" spans="1:57" s="49" customFormat="1">
      <c r="A353" s="887"/>
      <c r="B353" s="887"/>
      <c r="C353" s="960"/>
      <c r="D353" s="925"/>
      <c r="E353" s="762"/>
      <c r="F353" s="925"/>
      <c r="G353" s="762"/>
      <c r="H353" s="925"/>
      <c r="I353" s="762"/>
      <c r="J353" s="925"/>
      <c r="K353" s="762"/>
      <c r="L353" s="925"/>
      <c r="M353" s="762"/>
      <c r="N353" s="762"/>
      <c r="O353" s="925"/>
      <c r="P353" s="762"/>
      <c r="Q353" s="925"/>
      <c r="R353" s="762"/>
      <c r="S353" s="925"/>
      <c r="T353" s="762"/>
      <c r="U353" s="925"/>
      <c r="V353" s="762"/>
      <c r="W353" s="925"/>
      <c r="X353" s="762"/>
      <c r="Y353" s="762"/>
      <c r="Z353" s="786"/>
      <c r="AA353" s="762"/>
      <c r="AB353" s="786"/>
      <c r="AC353" s="762"/>
      <c r="AD353" s="786"/>
      <c r="AE353" s="762"/>
      <c r="AF353" s="786"/>
      <c r="AG353" s="762"/>
      <c r="AH353" s="786"/>
      <c r="AI353" s="762"/>
      <c r="AJ353" s="762"/>
      <c r="AK353" s="786"/>
      <c r="AL353" s="762"/>
      <c r="AM353" s="786"/>
      <c r="AN353" s="762"/>
      <c r="AO353" s="786"/>
      <c r="AP353" s="762"/>
      <c r="AQ353" s="786"/>
      <c r="AR353" s="762"/>
      <c r="AS353" s="786"/>
      <c r="AT353" s="762"/>
      <c r="AU353" s="762"/>
      <c r="AV353" s="786"/>
      <c r="AW353" s="762"/>
      <c r="AX353" s="786"/>
      <c r="AY353" s="762"/>
      <c r="AZ353" s="786"/>
      <c r="BA353" s="762"/>
      <c r="BB353" s="786"/>
      <c r="BC353" s="762"/>
      <c r="BD353" s="786"/>
      <c r="BE353" s="762"/>
    </row>
    <row r="354" spans="1:57" s="49" customFormat="1">
      <c r="A354" s="887"/>
      <c r="B354" s="887"/>
      <c r="C354" s="960"/>
      <c r="D354" s="925"/>
      <c r="E354" s="762"/>
      <c r="F354" s="925"/>
      <c r="G354" s="762"/>
      <c r="H354" s="925"/>
      <c r="I354" s="762"/>
      <c r="J354" s="925"/>
      <c r="K354" s="762"/>
      <c r="L354" s="925"/>
      <c r="M354" s="762"/>
      <c r="N354" s="762"/>
      <c r="O354" s="925"/>
      <c r="P354" s="762"/>
      <c r="Q354" s="925"/>
      <c r="R354" s="762"/>
      <c r="S354" s="925"/>
      <c r="T354" s="762"/>
      <c r="U354" s="925"/>
      <c r="V354" s="762"/>
      <c r="W354" s="925"/>
      <c r="X354" s="762"/>
      <c r="Y354" s="762"/>
      <c r="Z354" s="786"/>
      <c r="AA354" s="762"/>
      <c r="AB354" s="786"/>
      <c r="AC354" s="762"/>
      <c r="AD354" s="786"/>
      <c r="AE354" s="762"/>
      <c r="AF354" s="786"/>
      <c r="AG354" s="762"/>
      <c r="AH354" s="786"/>
      <c r="AI354" s="762"/>
      <c r="AJ354" s="762"/>
      <c r="AK354" s="786"/>
      <c r="AL354" s="762"/>
      <c r="AM354" s="786"/>
      <c r="AN354" s="762"/>
      <c r="AO354" s="786"/>
      <c r="AP354" s="762"/>
      <c r="AQ354" s="786"/>
      <c r="AR354" s="762"/>
      <c r="AS354" s="786"/>
      <c r="AT354" s="762"/>
      <c r="AU354" s="762"/>
      <c r="AV354" s="786"/>
      <c r="AW354" s="762"/>
      <c r="AX354" s="786"/>
      <c r="AY354" s="762"/>
      <c r="AZ354" s="786"/>
      <c r="BA354" s="762"/>
      <c r="BB354" s="786"/>
      <c r="BC354" s="762"/>
      <c r="BD354" s="786"/>
      <c r="BE354" s="762"/>
    </row>
    <row r="355" spans="1:57" s="49" customFormat="1">
      <c r="A355" s="887"/>
      <c r="B355" s="887"/>
      <c r="C355" s="960"/>
      <c r="D355" s="925"/>
      <c r="E355" s="762"/>
      <c r="F355" s="925"/>
      <c r="G355" s="762"/>
      <c r="H355" s="925"/>
      <c r="I355" s="762"/>
      <c r="J355" s="925"/>
      <c r="K355" s="762"/>
      <c r="L355" s="925"/>
      <c r="M355" s="762"/>
      <c r="N355" s="762"/>
      <c r="O355" s="925"/>
      <c r="P355" s="762"/>
      <c r="Q355" s="925"/>
      <c r="R355" s="762"/>
      <c r="S355" s="925"/>
      <c r="T355" s="762"/>
      <c r="U355" s="925"/>
      <c r="V355" s="762"/>
      <c r="W355" s="925"/>
      <c r="X355" s="762"/>
      <c r="Y355" s="762"/>
      <c r="Z355" s="786"/>
      <c r="AA355" s="762"/>
      <c r="AB355" s="786"/>
      <c r="AC355" s="762"/>
      <c r="AD355" s="786"/>
      <c r="AE355" s="762"/>
      <c r="AF355" s="786"/>
      <c r="AG355" s="762"/>
      <c r="AH355" s="786"/>
      <c r="AI355" s="762"/>
      <c r="AJ355" s="762"/>
      <c r="AK355" s="786"/>
      <c r="AL355" s="762"/>
      <c r="AM355" s="786"/>
      <c r="AN355" s="762"/>
      <c r="AO355" s="786"/>
      <c r="AP355" s="762"/>
      <c r="AQ355" s="786"/>
      <c r="AR355" s="762"/>
      <c r="AS355" s="786"/>
      <c r="AT355" s="762"/>
      <c r="AU355" s="762"/>
      <c r="AV355" s="786"/>
      <c r="AW355" s="762"/>
      <c r="AX355" s="786"/>
      <c r="AY355" s="762"/>
      <c r="AZ355" s="786"/>
      <c r="BA355" s="762"/>
      <c r="BB355" s="786"/>
      <c r="BC355" s="762"/>
      <c r="BD355" s="786"/>
      <c r="BE355" s="762"/>
    </row>
    <row r="356" spans="1:57" s="49" customFormat="1">
      <c r="A356" s="887"/>
      <c r="B356" s="887"/>
      <c r="C356" s="960"/>
      <c r="D356" s="925"/>
      <c r="E356" s="762"/>
      <c r="F356" s="925"/>
      <c r="G356" s="762"/>
      <c r="H356" s="925"/>
      <c r="I356" s="762"/>
      <c r="J356" s="925"/>
      <c r="K356" s="762"/>
      <c r="L356" s="925"/>
      <c r="M356" s="762"/>
      <c r="N356" s="762"/>
      <c r="O356" s="925"/>
      <c r="P356" s="762"/>
      <c r="Q356" s="925"/>
      <c r="R356" s="762"/>
      <c r="S356" s="925"/>
      <c r="T356" s="762"/>
      <c r="U356" s="925"/>
      <c r="V356" s="762"/>
      <c r="W356" s="925"/>
      <c r="X356" s="762"/>
      <c r="Y356" s="762"/>
      <c r="Z356" s="786"/>
      <c r="AA356" s="762"/>
      <c r="AB356" s="786"/>
      <c r="AC356" s="762"/>
      <c r="AD356" s="786"/>
      <c r="AE356" s="762"/>
      <c r="AF356" s="786"/>
      <c r="AG356" s="762"/>
      <c r="AH356" s="786"/>
      <c r="AI356" s="762"/>
      <c r="AJ356" s="762"/>
      <c r="AK356" s="786"/>
      <c r="AL356" s="762"/>
      <c r="AM356" s="786"/>
      <c r="AN356" s="762"/>
      <c r="AO356" s="786"/>
      <c r="AP356" s="762"/>
      <c r="AQ356" s="786"/>
      <c r="AR356" s="762"/>
      <c r="AS356" s="786"/>
      <c r="AT356" s="762"/>
      <c r="AU356" s="762"/>
      <c r="AV356" s="786"/>
      <c r="AW356" s="762"/>
      <c r="AX356" s="786"/>
      <c r="AY356" s="762"/>
      <c r="AZ356" s="786"/>
      <c r="BA356" s="762"/>
      <c r="BB356" s="786"/>
      <c r="BC356" s="762"/>
      <c r="BD356" s="786"/>
      <c r="BE356" s="762"/>
    </row>
    <row r="357" spans="1:57" s="49" customFormat="1">
      <c r="A357" s="887"/>
      <c r="B357" s="887"/>
      <c r="C357" s="960"/>
      <c r="D357" s="925"/>
      <c r="E357" s="762"/>
      <c r="F357" s="925"/>
      <c r="G357" s="762"/>
      <c r="H357" s="925"/>
      <c r="I357" s="762"/>
      <c r="J357" s="925"/>
      <c r="K357" s="762"/>
      <c r="L357" s="925"/>
      <c r="M357" s="762"/>
      <c r="N357" s="762"/>
      <c r="O357" s="925"/>
      <c r="P357" s="762"/>
      <c r="Q357" s="925"/>
      <c r="R357" s="762"/>
      <c r="S357" s="925"/>
      <c r="T357" s="762"/>
      <c r="U357" s="925"/>
      <c r="V357" s="762"/>
      <c r="W357" s="925"/>
      <c r="X357" s="762"/>
      <c r="Y357" s="762"/>
      <c r="Z357" s="786"/>
      <c r="AA357" s="762"/>
      <c r="AB357" s="786"/>
      <c r="AC357" s="762"/>
      <c r="AD357" s="786"/>
      <c r="AE357" s="762"/>
      <c r="AF357" s="786"/>
      <c r="AG357" s="762"/>
      <c r="AH357" s="786"/>
      <c r="AI357" s="762"/>
      <c r="AJ357" s="762"/>
      <c r="AK357" s="786"/>
      <c r="AL357" s="762"/>
      <c r="AM357" s="786"/>
      <c r="AN357" s="762"/>
      <c r="AO357" s="786"/>
      <c r="AP357" s="762"/>
      <c r="AQ357" s="786"/>
      <c r="AR357" s="762"/>
      <c r="AS357" s="786"/>
      <c r="AT357" s="762"/>
      <c r="AU357" s="762"/>
      <c r="AV357" s="786"/>
      <c r="AW357" s="762"/>
      <c r="AX357" s="786"/>
      <c r="AY357" s="762"/>
      <c r="AZ357" s="786"/>
      <c r="BA357" s="762"/>
      <c r="BB357" s="786"/>
      <c r="BC357" s="762"/>
      <c r="BD357" s="786"/>
      <c r="BE357" s="762"/>
    </row>
    <row r="358" spans="1:57" s="49" customFormat="1">
      <c r="A358" s="887"/>
      <c r="B358" s="887"/>
      <c r="C358" s="960"/>
      <c r="D358" s="925"/>
      <c r="E358" s="762"/>
      <c r="F358" s="925"/>
      <c r="G358" s="762"/>
      <c r="H358" s="925"/>
      <c r="I358" s="762"/>
      <c r="J358" s="925"/>
      <c r="K358" s="762"/>
      <c r="L358" s="925"/>
      <c r="M358" s="762"/>
      <c r="N358" s="762"/>
      <c r="O358" s="925"/>
      <c r="P358" s="762"/>
      <c r="Q358" s="925"/>
      <c r="R358" s="762"/>
      <c r="S358" s="925"/>
      <c r="T358" s="762"/>
      <c r="U358" s="925"/>
      <c r="V358" s="762"/>
      <c r="W358" s="925"/>
      <c r="X358" s="762"/>
      <c r="Y358" s="762"/>
      <c r="Z358" s="786"/>
      <c r="AA358" s="762"/>
      <c r="AB358" s="786"/>
      <c r="AC358" s="762"/>
      <c r="AD358" s="786"/>
      <c r="AE358" s="762"/>
      <c r="AF358" s="786"/>
      <c r="AG358" s="762"/>
      <c r="AH358" s="786"/>
      <c r="AI358" s="762"/>
      <c r="AJ358" s="762"/>
      <c r="AK358" s="786"/>
      <c r="AL358" s="762"/>
      <c r="AM358" s="786"/>
      <c r="AN358" s="762"/>
      <c r="AO358" s="786"/>
      <c r="AP358" s="762"/>
      <c r="AQ358" s="786"/>
      <c r="AR358" s="762"/>
      <c r="AS358" s="786"/>
      <c r="AT358" s="762"/>
      <c r="AU358" s="762"/>
      <c r="AV358" s="786"/>
      <c r="AW358" s="762"/>
      <c r="AX358" s="786"/>
      <c r="AY358" s="762"/>
      <c r="AZ358" s="786"/>
      <c r="BA358" s="762"/>
      <c r="BB358" s="786"/>
      <c r="BC358" s="762"/>
      <c r="BD358" s="786"/>
      <c r="BE358" s="762"/>
    </row>
    <row r="359" spans="1:57" s="49" customFormat="1">
      <c r="A359" s="887"/>
      <c r="B359" s="887"/>
      <c r="C359" s="960"/>
      <c r="D359" s="925"/>
      <c r="E359" s="762"/>
      <c r="F359" s="925"/>
      <c r="G359" s="762"/>
      <c r="H359" s="925"/>
      <c r="I359" s="762"/>
      <c r="J359" s="925"/>
      <c r="K359" s="762"/>
      <c r="L359" s="925"/>
      <c r="M359" s="762"/>
      <c r="N359" s="762"/>
      <c r="O359" s="925"/>
      <c r="P359" s="762"/>
      <c r="Q359" s="925"/>
      <c r="R359" s="762"/>
      <c r="S359" s="925"/>
      <c r="T359" s="762"/>
      <c r="U359" s="925"/>
      <c r="V359" s="762"/>
      <c r="W359" s="925"/>
      <c r="X359" s="762"/>
      <c r="Y359" s="762"/>
      <c r="Z359" s="786"/>
      <c r="AA359" s="762"/>
      <c r="AB359" s="786"/>
      <c r="AC359" s="762"/>
      <c r="AD359" s="786"/>
      <c r="AE359" s="762"/>
      <c r="AF359" s="786"/>
      <c r="AG359" s="762"/>
      <c r="AH359" s="786"/>
      <c r="AI359" s="762"/>
      <c r="AJ359" s="762"/>
      <c r="AK359" s="786"/>
      <c r="AL359" s="762"/>
      <c r="AM359" s="786"/>
      <c r="AN359" s="762"/>
      <c r="AO359" s="786"/>
      <c r="AP359" s="762"/>
      <c r="AQ359" s="786"/>
      <c r="AR359" s="762"/>
      <c r="AS359" s="786"/>
      <c r="AT359" s="762"/>
      <c r="AU359" s="762"/>
      <c r="AV359" s="786"/>
      <c r="AW359" s="762"/>
      <c r="AX359" s="786"/>
      <c r="AY359" s="762"/>
      <c r="AZ359" s="786"/>
      <c r="BA359" s="762"/>
      <c r="BB359" s="786"/>
      <c r="BC359" s="762"/>
      <c r="BD359" s="786"/>
      <c r="BE359" s="762"/>
    </row>
    <row r="360" spans="1:57" s="49" customFormat="1">
      <c r="A360" s="887"/>
      <c r="B360" s="887"/>
      <c r="C360" s="960"/>
      <c r="D360" s="925"/>
      <c r="E360" s="762"/>
      <c r="F360" s="925"/>
      <c r="G360" s="762"/>
      <c r="H360" s="925"/>
      <c r="I360" s="762"/>
      <c r="J360" s="925"/>
      <c r="K360" s="762"/>
      <c r="L360" s="925"/>
      <c r="M360" s="762"/>
      <c r="N360" s="762"/>
      <c r="O360" s="925"/>
      <c r="P360" s="762"/>
      <c r="Q360" s="925"/>
      <c r="R360" s="762"/>
      <c r="S360" s="925"/>
      <c r="T360" s="762"/>
      <c r="U360" s="925"/>
      <c r="V360" s="762"/>
      <c r="W360" s="925"/>
      <c r="X360" s="762"/>
      <c r="Y360" s="762"/>
      <c r="Z360" s="786"/>
      <c r="AA360" s="762"/>
      <c r="AB360" s="786"/>
      <c r="AC360" s="762"/>
      <c r="AD360" s="786"/>
      <c r="AE360" s="762"/>
      <c r="AF360" s="786"/>
      <c r="AG360" s="762"/>
      <c r="AH360" s="786"/>
      <c r="AI360" s="762"/>
      <c r="AJ360" s="762"/>
      <c r="AK360" s="786"/>
      <c r="AL360" s="762"/>
      <c r="AM360" s="786"/>
      <c r="AN360" s="762"/>
      <c r="AO360" s="786"/>
      <c r="AP360" s="762"/>
      <c r="AQ360" s="786"/>
      <c r="AR360" s="762"/>
      <c r="AS360" s="786"/>
      <c r="AT360" s="762"/>
      <c r="AU360" s="762"/>
      <c r="AV360" s="786"/>
      <c r="AW360" s="762"/>
      <c r="AX360" s="786"/>
      <c r="AY360" s="762"/>
      <c r="AZ360" s="786"/>
      <c r="BA360" s="762"/>
      <c r="BB360" s="786"/>
      <c r="BC360" s="762"/>
      <c r="BD360" s="786"/>
      <c r="BE360" s="762"/>
    </row>
    <row r="361" spans="1:57" s="49" customFormat="1">
      <c r="A361" s="887"/>
      <c r="B361" s="887"/>
      <c r="C361" s="960"/>
      <c r="D361" s="925"/>
      <c r="E361" s="762"/>
      <c r="F361" s="925"/>
      <c r="G361" s="762"/>
      <c r="H361" s="925"/>
      <c r="I361" s="762"/>
      <c r="J361" s="925"/>
      <c r="K361" s="762"/>
      <c r="L361" s="925"/>
      <c r="M361" s="762"/>
      <c r="N361" s="762"/>
      <c r="O361" s="925"/>
      <c r="P361" s="762"/>
      <c r="Q361" s="925"/>
      <c r="R361" s="762"/>
      <c r="S361" s="925"/>
      <c r="T361" s="762"/>
      <c r="U361" s="925"/>
      <c r="V361" s="762"/>
      <c r="W361" s="925"/>
      <c r="X361" s="762"/>
      <c r="Y361" s="762"/>
      <c r="Z361" s="786"/>
      <c r="AA361" s="762"/>
      <c r="AB361" s="786"/>
      <c r="AC361" s="762"/>
      <c r="AD361" s="786"/>
      <c r="AE361" s="762"/>
      <c r="AF361" s="786"/>
      <c r="AG361" s="762"/>
      <c r="AH361" s="786"/>
      <c r="AI361" s="762"/>
      <c r="AJ361" s="762"/>
      <c r="AK361" s="786"/>
      <c r="AL361" s="762"/>
      <c r="AM361" s="786"/>
      <c r="AN361" s="762"/>
      <c r="AO361" s="786"/>
      <c r="AP361" s="762"/>
      <c r="AQ361" s="786"/>
      <c r="AR361" s="762"/>
      <c r="AS361" s="786"/>
      <c r="AT361" s="762"/>
      <c r="AU361" s="762"/>
      <c r="AV361" s="786"/>
      <c r="AW361" s="762"/>
      <c r="AX361" s="786"/>
      <c r="AY361" s="762"/>
      <c r="AZ361" s="786"/>
      <c r="BA361" s="762"/>
      <c r="BB361" s="786"/>
      <c r="BC361" s="762"/>
      <c r="BD361" s="786"/>
      <c r="BE361" s="762"/>
    </row>
    <row r="362" spans="1:57" s="49" customFormat="1">
      <c r="A362" s="887"/>
      <c r="B362" s="887"/>
      <c r="C362" s="960"/>
      <c r="D362" s="925"/>
      <c r="E362" s="762"/>
      <c r="F362" s="925"/>
      <c r="G362" s="762"/>
      <c r="H362" s="925"/>
      <c r="I362" s="762"/>
      <c r="J362" s="925"/>
      <c r="K362" s="762"/>
      <c r="L362" s="925"/>
      <c r="M362" s="762"/>
      <c r="N362" s="762"/>
      <c r="O362" s="925"/>
      <c r="P362" s="762"/>
      <c r="Q362" s="925"/>
      <c r="R362" s="762"/>
      <c r="S362" s="925"/>
      <c r="T362" s="762"/>
      <c r="U362" s="925"/>
      <c r="V362" s="762"/>
      <c r="W362" s="925"/>
      <c r="X362" s="762"/>
      <c r="Y362" s="762"/>
      <c r="Z362" s="786"/>
      <c r="AA362" s="762"/>
      <c r="AB362" s="786"/>
      <c r="AC362" s="762"/>
      <c r="AD362" s="786"/>
      <c r="AE362" s="762"/>
      <c r="AF362" s="786"/>
      <c r="AG362" s="762"/>
      <c r="AH362" s="786"/>
      <c r="AI362" s="762"/>
      <c r="AJ362" s="762"/>
      <c r="AK362" s="786"/>
      <c r="AL362" s="762"/>
      <c r="AM362" s="786"/>
      <c r="AN362" s="762"/>
      <c r="AO362" s="786"/>
      <c r="AP362" s="762"/>
      <c r="AQ362" s="786"/>
      <c r="AR362" s="762"/>
      <c r="AS362" s="786"/>
      <c r="AT362" s="762"/>
      <c r="AU362" s="762"/>
      <c r="AV362" s="786"/>
      <c r="AW362" s="762"/>
      <c r="AX362" s="786"/>
      <c r="AY362" s="762"/>
      <c r="AZ362" s="786"/>
      <c r="BA362" s="762"/>
      <c r="BB362" s="786"/>
      <c r="BC362" s="762"/>
      <c r="BD362" s="786"/>
      <c r="BE362" s="762"/>
    </row>
    <row r="363" spans="1:57" s="49" customFormat="1">
      <c r="A363" s="887"/>
      <c r="B363" s="887"/>
      <c r="C363" s="960"/>
      <c r="D363" s="925"/>
      <c r="E363" s="762"/>
      <c r="F363" s="925"/>
      <c r="G363" s="762"/>
      <c r="H363" s="925"/>
      <c r="I363" s="762"/>
      <c r="J363" s="925"/>
      <c r="K363" s="762"/>
      <c r="L363" s="925"/>
      <c r="M363" s="762"/>
      <c r="N363" s="762"/>
      <c r="O363" s="925"/>
      <c r="P363" s="762"/>
      <c r="Q363" s="925"/>
      <c r="R363" s="762"/>
      <c r="S363" s="925"/>
      <c r="T363" s="762"/>
      <c r="U363" s="925"/>
      <c r="V363" s="762"/>
      <c r="W363" s="925"/>
      <c r="X363" s="762"/>
      <c r="Y363" s="762"/>
      <c r="Z363" s="786"/>
      <c r="AA363" s="762"/>
      <c r="AB363" s="786"/>
      <c r="AC363" s="762"/>
      <c r="AD363" s="786"/>
      <c r="AE363" s="762"/>
      <c r="AF363" s="786"/>
      <c r="AG363" s="762"/>
      <c r="AH363" s="786"/>
      <c r="AI363" s="762"/>
      <c r="AJ363" s="762"/>
      <c r="AK363" s="786"/>
      <c r="AL363" s="762"/>
      <c r="AM363" s="786"/>
      <c r="AN363" s="762"/>
      <c r="AO363" s="786"/>
      <c r="AP363" s="762"/>
      <c r="AQ363" s="786"/>
      <c r="AR363" s="762"/>
      <c r="AS363" s="786"/>
      <c r="AT363" s="762"/>
      <c r="AU363" s="762"/>
      <c r="AV363" s="786"/>
      <c r="AW363" s="762"/>
      <c r="AX363" s="786"/>
      <c r="AY363" s="762"/>
      <c r="AZ363" s="786"/>
      <c r="BA363" s="762"/>
      <c r="BB363" s="786"/>
      <c r="BC363" s="762"/>
      <c r="BD363" s="786"/>
      <c r="BE363" s="762"/>
    </row>
    <row r="364" spans="1:57" s="49" customFormat="1">
      <c r="A364" s="887"/>
      <c r="B364" s="887"/>
      <c r="C364" s="960"/>
      <c r="D364" s="925"/>
      <c r="E364" s="762"/>
      <c r="F364" s="925"/>
      <c r="G364" s="762"/>
      <c r="H364" s="925"/>
      <c r="I364" s="762"/>
      <c r="J364" s="925"/>
      <c r="K364" s="762"/>
      <c r="L364" s="925"/>
      <c r="M364" s="762"/>
      <c r="N364" s="762"/>
      <c r="O364" s="925"/>
      <c r="P364" s="762"/>
      <c r="Q364" s="925"/>
      <c r="R364" s="762"/>
      <c r="S364" s="925"/>
      <c r="T364" s="762"/>
      <c r="U364" s="925"/>
      <c r="V364" s="762"/>
      <c r="W364" s="925"/>
      <c r="X364" s="762"/>
      <c r="Y364" s="762"/>
      <c r="Z364" s="786"/>
      <c r="AA364" s="762"/>
      <c r="AB364" s="786"/>
      <c r="AC364" s="762"/>
      <c r="AD364" s="786"/>
      <c r="AE364" s="762"/>
      <c r="AF364" s="786"/>
      <c r="AG364" s="762"/>
      <c r="AH364" s="786"/>
      <c r="AI364" s="762"/>
      <c r="AJ364" s="762"/>
      <c r="AK364" s="786"/>
      <c r="AL364" s="762"/>
      <c r="AM364" s="786"/>
      <c r="AN364" s="762"/>
      <c r="AO364" s="786"/>
      <c r="AP364" s="762"/>
      <c r="AQ364" s="786"/>
      <c r="AR364" s="762"/>
      <c r="AS364" s="786"/>
      <c r="AT364" s="762"/>
      <c r="AU364" s="762"/>
      <c r="AV364" s="786"/>
      <c r="AW364" s="762"/>
      <c r="AX364" s="786"/>
      <c r="AY364" s="762"/>
      <c r="AZ364" s="786"/>
      <c r="BA364" s="762"/>
      <c r="BB364" s="786"/>
      <c r="BC364" s="762"/>
      <c r="BD364" s="786"/>
      <c r="BE364" s="762"/>
    </row>
    <row r="365" spans="1:57" s="49" customFormat="1">
      <c r="A365" s="887"/>
      <c r="B365" s="887"/>
      <c r="C365" s="960"/>
      <c r="D365" s="925"/>
      <c r="E365" s="762"/>
      <c r="F365" s="925"/>
      <c r="G365" s="762"/>
      <c r="H365" s="925"/>
      <c r="I365" s="762"/>
      <c r="J365" s="925"/>
      <c r="K365" s="762"/>
      <c r="L365" s="925"/>
      <c r="M365" s="762"/>
      <c r="N365" s="762"/>
      <c r="O365" s="925"/>
      <c r="P365" s="762"/>
      <c r="Q365" s="925"/>
      <c r="R365" s="762"/>
      <c r="S365" s="925"/>
      <c r="T365" s="762"/>
      <c r="U365" s="925"/>
      <c r="V365" s="762"/>
      <c r="W365" s="925"/>
      <c r="X365" s="762"/>
      <c r="Y365" s="762"/>
      <c r="Z365" s="786"/>
      <c r="AA365" s="762"/>
      <c r="AB365" s="786"/>
      <c r="AC365" s="762"/>
      <c r="AD365" s="786"/>
      <c r="AE365" s="762"/>
      <c r="AF365" s="786"/>
      <c r="AG365" s="762"/>
      <c r="AH365" s="786"/>
      <c r="AI365" s="762"/>
      <c r="AJ365" s="762"/>
      <c r="AK365" s="786"/>
      <c r="AL365" s="762"/>
      <c r="AM365" s="786"/>
      <c r="AN365" s="762"/>
      <c r="AO365" s="786"/>
      <c r="AP365" s="762"/>
      <c r="AQ365" s="786"/>
      <c r="AR365" s="762"/>
      <c r="AS365" s="786"/>
      <c r="AT365" s="762"/>
      <c r="AU365" s="762"/>
      <c r="AV365" s="786"/>
      <c r="AW365" s="762"/>
      <c r="AX365" s="786"/>
      <c r="AY365" s="762"/>
      <c r="AZ365" s="786"/>
      <c r="BA365" s="762"/>
      <c r="BB365" s="786"/>
      <c r="BC365" s="762"/>
      <c r="BD365" s="786"/>
      <c r="BE365" s="762"/>
    </row>
    <row r="366" spans="1:57" s="49" customFormat="1">
      <c r="A366" s="887"/>
      <c r="B366" s="887"/>
      <c r="C366" s="960"/>
      <c r="D366" s="925"/>
      <c r="E366" s="762"/>
      <c r="F366" s="925"/>
      <c r="G366" s="762"/>
      <c r="H366" s="925"/>
      <c r="I366" s="762"/>
      <c r="J366" s="925"/>
      <c r="K366" s="762"/>
      <c r="L366" s="925"/>
      <c r="M366" s="762"/>
      <c r="N366" s="762"/>
      <c r="O366" s="925"/>
      <c r="P366" s="762"/>
      <c r="Q366" s="925"/>
      <c r="R366" s="762"/>
      <c r="S366" s="925"/>
      <c r="T366" s="762"/>
      <c r="U366" s="925"/>
      <c r="V366" s="762"/>
      <c r="W366" s="925"/>
      <c r="X366" s="762"/>
      <c r="Y366" s="762"/>
      <c r="Z366" s="786"/>
      <c r="AA366" s="762"/>
      <c r="AB366" s="786"/>
      <c r="AC366" s="762"/>
      <c r="AD366" s="786"/>
      <c r="AE366" s="762"/>
      <c r="AF366" s="786"/>
      <c r="AG366" s="762"/>
      <c r="AH366" s="786"/>
      <c r="AI366" s="762"/>
      <c r="AJ366" s="762"/>
      <c r="AK366" s="786"/>
      <c r="AL366" s="762"/>
      <c r="AM366" s="786"/>
      <c r="AN366" s="762"/>
      <c r="AO366" s="786"/>
      <c r="AP366" s="762"/>
      <c r="AQ366" s="786"/>
      <c r="AR366" s="762"/>
      <c r="AS366" s="786"/>
      <c r="AT366" s="762"/>
      <c r="AU366" s="762"/>
      <c r="AV366" s="786"/>
      <c r="AW366" s="762"/>
      <c r="AX366" s="786"/>
      <c r="AY366" s="762"/>
      <c r="AZ366" s="786"/>
      <c r="BA366" s="762"/>
      <c r="BB366" s="786"/>
      <c r="BC366" s="762"/>
      <c r="BD366" s="786"/>
      <c r="BE366" s="762"/>
    </row>
    <row r="367" spans="1:57" s="49" customFormat="1">
      <c r="A367" s="887"/>
      <c r="B367" s="887"/>
      <c r="C367" s="960"/>
      <c r="D367" s="925"/>
      <c r="E367" s="762"/>
      <c r="F367" s="925"/>
      <c r="G367" s="762"/>
      <c r="H367" s="925"/>
      <c r="I367" s="762"/>
      <c r="J367" s="925"/>
      <c r="K367" s="762"/>
      <c r="L367" s="925"/>
      <c r="M367" s="762"/>
      <c r="N367" s="762"/>
      <c r="O367" s="925"/>
      <c r="P367" s="762"/>
      <c r="Q367" s="925"/>
      <c r="R367" s="762"/>
      <c r="S367" s="925"/>
      <c r="T367" s="762"/>
      <c r="U367" s="925"/>
      <c r="V367" s="762"/>
      <c r="W367" s="925"/>
      <c r="X367" s="762"/>
      <c r="Y367" s="762"/>
      <c r="Z367" s="786"/>
      <c r="AA367" s="762"/>
      <c r="AB367" s="786"/>
      <c r="AC367" s="762"/>
      <c r="AD367" s="786"/>
      <c r="AE367" s="762"/>
      <c r="AF367" s="786"/>
      <c r="AG367" s="762"/>
      <c r="AH367" s="786"/>
      <c r="AI367" s="762"/>
      <c r="AJ367" s="762"/>
      <c r="AK367" s="786"/>
      <c r="AL367" s="762"/>
      <c r="AM367" s="786"/>
      <c r="AN367" s="762"/>
      <c r="AO367" s="786"/>
      <c r="AP367" s="762"/>
      <c r="AQ367" s="786"/>
      <c r="AR367" s="762"/>
      <c r="AS367" s="786"/>
      <c r="AT367" s="762"/>
      <c r="AU367" s="762"/>
      <c r="AV367" s="786"/>
      <c r="AW367" s="762"/>
      <c r="AX367" s="786"/>
      <c r="AY367" s="762"/>
      <c r="AZ367" s="786"/>
      <c r="BA367" s="762"/>
      <c r="BB367" s="786"/>
      <c r="BC367" s="762"/>
      <c r="BD367" s="786"/>
      <c r="BE367" s="762"/>
    </row>
    <row r="368" spans="1:57" s="49" customFormat="1">
      <c r="A368" s="887"/>
      <c r="B368" s="887"/>
      <c r="C368" s="960"/>
      <c r="D368" s="925"/>
      <c r="E368" s="762"/>
      <c r="F368" s="925"/>
      <c r="G368" s="762"/>
      <c r="H368" s="925"/>
      <c r="I368" s="762"/>
      <c r="J368" s="925"/>
      <c r="K368" s="762"/>
      <c r="L368" s="925"/>
      <c r="M368" s="762"/>
      <c r="N368" s="762"/>
      <c r="O368" s="925"/>
      <c r="P368" s="762"/>
      <c r="Q368" s="925"/>
      <c r="R368" s="762"/>
      <c r="S368" s="925"/>
      <c r="T368" s="762"/>
      <c r="U368" s="925"/>
      <c r="V368" s="762"/>
      <c r="W368" s="925"/>
      <c r="X368" s="762"/>
      <c r="Y368" s="762"/>
      <c r="Z368" s="786"/>
      <c r="AA368" s="762"/>
      <c r="AB368" s="786"/>
      <c r="AC368" s="762"/>
      <c r="AD368" s="786"/>
      <c r="AE368" s="762"/>
      <c r="AF368" s="786"/>
      <c r="AG368" s="762"/>
      <c r="AH368" s="786"/>
      <c r="AI368" s="762"/>
      <c r="AJ368" s="762"/>
      <c r="AK368" s="786"/>
      <c r="AL368" s="762"/>
      <c r="AM368" s="786"/>
      <c r="AN368" s="762"/>
      <c r="AO368" s="786"/>
      <c r="AP368" s="762"/>
      <c r="AQ368" s="786"/>
      <c r="AR368" s="762"/>
      <c r="AS368" s="786"/>
      <c r="AT368" s="762"/>
      <c r="AU368" s="762"/>
      <c r="AV368" s="786"/>
      <c r="AW368" s="762"/>
      <c r="AX368" s="786"/>
      <c r="AY368" s="762"/>
      <c r="AZ368" s="786"/>
      <c r="BA368" s="762"/>
      <c r="BB368" s="786"/>
      <c r="BC368" s="762"/>
      <c r="BD368" s="786"/>
      <c r="BE368" s="762"/>
    </row>
    <row r="369" spans="1:57" s="49" customFormat="1">
      <c r="A369" s="887"/>
      <c r="B369" s="887"/>
      <c r="C369" s="960"/>
      <c r="D369" s="925"/>
      <c r="E369" s="762"/>
      <c r="F369" s="925"/>
      <c r="G369" s="762"/>
      <c r="H369" s="925"/>
      <c r="I369" s="762"/>
      <c r="J369" s="925"/>
      <c r="K369" s="762"/>
      <c r="L369" s="925"/>
      <c r="M369" s="762"/>
      <c r="N369" s="762"/>
      <c r="O369" s="925"/>
      <c r="P369" s="762"/>
      <c r="Q369" s="925"/>
      <c r="R369" s="762"/>
      <c r="S369" s="925"/>
      <c r="T369" s="762"/>
      <c r="U369" s="925"/>
      <c r="V369" s="762"/>
      <c r="W369" s="925"/>
      <c r="X369" s="762"/>
      <c r="Y369" s="762"/>
      <c r="Z369" s="786"/>
      <c r="AA369" s="762"/>
      <c r="AB369" s="786"/>
      <c r="AC369" s="762"/>
      <c r="AD369" s="786"/>
      <c r="AE369" s="762"/>
      <c r="AF369" s="786"/>
      <c r="AG369" s="762"/>
      <c r="AH369" s="786"/>
      <c r="AI369" s="762"/>
      <c r="AJ369" s="762"/>
      <c r="AK369" s="786"/>
      <c r="AL369" s="762"/>
      <c r="AM369" s="786"/>
      <c r="AN369" s="762"/>
      <c r="AO369" s="786"/>
      <c r="AP369" s="762"/>
      <c r="AQ369" s="786"/>
      <c r="AR369" s="762"/>
      <c r="AS369" s="786"/>
      <c r="AT369" s="762"/>
      <c r="AU369" s="762"/>
      <c r="AV369" s="786"/>
      <c r="AW369" s="762"/>
      <c r="AX369" s="786"/>
      <c r="AY369" s="762"/>
      <c r="AZ369" s="786"/>
      <c r="BA369" s="762"/>
      <c r="BB369" s="786"/>
      <c r="BC369" s="762"/>
      <c r="BD369" s="786"/>
      <c r="BE369" s="762"/>
    </row>
    <row r="370" spans="1:57" s="49" customFormat="1">
      <c r="A370" s="887"/>
      <c r="B370" s="887"/>
      <c r="C370" s="960"/>
      <c r="D370" s="925"/>
      <c r="E370" s="762"/>
      <c r="F370" s="925"/>
      <c r="G370" s="762"/>
      <c r="H370" s="925"/>
      <c r="I370" s="762"/>
      <c r="J370" s="925"/>
      <c r="K370" s="762"/>
      <c r="L370" s="925"/>
      <c r="M370" s="762"/>
      <c r="N370" s="762"/>
      <c r="O370" s="925"/>
      <c r="P370" s="762"/>
      <c r="Q370" s="925"/>
      <c r="R370" s="762"/>
      <c r="S370" s="925"/>
      <c r="T370" s="762"/>
      <c r="U370" s="925"/>
      <c r="V370" s="762"/>
      <c r="W370" s="925"/>
      <c r="X370" s="762"/>
      <c r="Y370" s="762"/>
      <c r="Z370" s="786"/>
      <c r="AA370" s="762"/>
      <c r="AB370" s="786"/>
      <c r="AC370" s="762"/>
      <c r="AD370" s="786"/>
      <c r="AE370" s="762"/>
      <c r="AF370" s="786"/>
      <c r="AG370" s="762"/>
      <c r="AH370" s="786"/>
      <c r="AI370" s="762"/>
      <c r="AJ370" s="762"/>
      <c r="AK370" s="786"/>
      <c r="AL370" s="762"/>
      <c r="AM370" s="786"/>
      <c r="AN370" s="762"/>
      <c r="AO370" s="786"/>
      <c r="AP370" s="762"/>
      <c r="AQ370" s="786"/>
      <c r="AR370" s="762"/>
      <c r="AS370" s="786"/>
      <c r="AT370" s="762"/>
      <c r="AU370" s="762"/>
      <c r="AV370" s="786"/>
      <c r="AW370" s="762"/>
      <c r="AX370" s="786"/>
      <c r="AY370" s="762"/>
      <c r="AZ370" s="786"/>
      <c r="BA370" s="762"/>
      <c r="BB370" s="786"/>
      <c r="BC370" s="762"/>
      <c r="BD370" s="786"/>
      <c r="BE370" s="762"/>
    </row>
    <row r="371" spans="1:57" s="49" customFormat="1">
      <c r="A371" s="887"/>
      <c r="B371" s="887"/>
      <c r="C371" s="960"/>
      <c r="D371" s="925"/>
      <c r="E371" s="762"/>
      <c r="F371" s="925"/>
      <c r="G371" s="762"/>
      <c r="H371" s="925"/>
      <c r="I371" s="762"/>
      <c r="J371" s="925"/>
      <c r="K371" s="762"/>
      <c r="L371" s="925"/>
      <c r="M371" s="762"/>
      <c r="N371" s="762"/>
      <c r="O371" s="925"/>
      <c r="P371" s="762"/>
      <c r="Q371" s="925"/>
      <c r="R371" s="762"/>
      <c r="S371" s="925"/>
      <c r="T371" s="762"/>
      <c r="U371" s="925"/>
      <c r="V371" s="762"/>
      <c r="W371" s="925"/>
      <c r="X371" s="762"/>
      <c r="Y371" s="762"/>
      <c r="Z371" s="786"/>
      <c r="AA371" s="762"/>
      <c r="AB371" s="786"/>
      <c r="AC371" s="762"/>
      <c r="AD371" s="786"/>
      <c r="AE371" s="762"/>
      <c r="AF371" s="786"/>
      <c r="AG371" s="762"/>
      <c r="AH371" s="786"/>
      <c r="AI371" s="762"/>
      <c r="AJ371" s="762"/>
      <c r="AK371" s="786"/>
      <c r="AL371" s="762"/>
      <c r="AM371" s="786"/>
      <c r="AN371" s="762"/>
      <c r="AO371" s="786"/>
      <c r="AP371" s="762"/>
      <c r="AQ371" s="786"/>
      <c r="AR371" s="762"/>
      <c r="AS371" s="786"/>
      <c r="AT371" s="762"/>
      <c r="AU371" s="762"/>
      <c r="AV371" s="786"/>
      <c r="AW371" s="762"/>
      <c r="AX371" s="786"/>
      <c r="AY371" s="762"/>
      <c r="AZ371" s="786"/>
      <c r="BA371" s="762"/>
      <c r="BB371" s="786"/>
      <c r="BC371" s="762"/>
      <c r="BD371" s="786"/>
      <c r="BE371" s="762"/>
    </row>
    <row r="372" spans="1:57" s="49" customFormat="1">
      <c r="A372" s="887"/>
      <c r="B372" s="887"/>
      <c r="C372" s="960"/>
      <c r="D372" s="925"/>
      <c r="E372" s="762"/>
      <c r="F372" s="925"/>
      <c r="G372" s="762"/>
      <c r="H372" s="925"/>
      <c r="I372" s="762"/>
      <c r="J372" s="925"/>
      <c r="K372" s="762"/>
      <c r="L372" s="925"/>
      <c r="M372" s="762"/>
      <c r="N372" s="762"/>
      <c r="O372" s="925"/>
      <c r="P372" s="762"/>
      <c r="Q372" s="925"/>
      <c r="R372" s="762"/>
      <c r="S372" s="925"/>
      <c r="T372" s="762"/>
      <c r="U372" s="925"/>
      <c r="V372" s="762"/>
      <c r="W372" s="925"/>
      <c r="X372" s="762"/>
      <c r="Y372" s="762"/>
      <c r="Z372" s="786"/>
      <c r="AA372" s="762"/>
      <c r="AB372" s="786"/>
      <c r="AC372" s="762"/>
      <c r="AD372" s="786"/>
      <c r="AE372" s="762"/>
      <c r="AF372" s="786"/>
      <c r="AG372" s="762"/>
      <c r="AH372" s="786"/>
      <c r="AI372" s="762"/>
      <c r="AJ372" s="762"/>
      <c r="AK372" s="786"/>
      <c r="AL372" s="762"/>
      <c r="AM372" s="786"/>
      <c r="AN372" s="762"/>
      <c r="AO372" s="786"/>
      <c r="AP372" s="762"/>
      <c r="AQ372" s="786"/>
      <c r="AR372" s="762"/>
      <c r="AS372" s="786"/>
      <c r="AT372" s="762"/>
      <c r="AU372" s="762"/>
      <c r="AV372" s="786"/>
      <c r="AW372" s="762"/>
      <c r="AX372" s="786"/>
      <c r="AY372" s="762"/>
      <c r="AZ372" s="786"/>
      <c r="BA372" s="762"/>
      <c r="BB372" s="786"/>
      <c r="BC372" s="762"/>
      <c r="BD372" s="786"/>
      <c r="BE372" s="762"/>
    </row>
    <row r="373" spans="1:57" s="49" customFormat="1">
      <c r="A373" s="887"/>
      <c r="B373" s="887"/>
      <c r="C373" s="960"/>
      <c r="D373" s="925"/>
      <c r="E373" s="762"/>
      <c r="F373" s="925"/>
      <c r="G373" s="762"/>
      <c r="H373" s="925"/>
      <c r="I373" s="762"/>
      <c r="J373" s="925"/>
      <c r="K373" s="762"/>
      <c r="L373" s="925"/>
      <c r="M373" s="762"/>
      <c r="N373" s="762"/>
      <c r="O373" s="925"/>
      <c r="P373" s="762"/>
      <c r="Q373" s="925"/>
      <c r="R373" s="762"/>
      <c r="S373" s="925"/>
      <c r="T373" s="762"/>
      <c r="U373" s="925"/>
      <c r="V373" s="762"/>
      <c r="W373" s="925"/>
      <c r="X373" s="762"/>
      <c r="Y373" s="762"/>
      <c r="Z373" s="786"/>
      <c r="AA373" s="762"/>
      <c r="AB373" s="786"/>
      <c r="AC373" s="762"/>
      <c r="AD373" s="786"/>
      <c r="AE373" s="762"/>
      <c r="AF373" s="786"/>
      <c r="AG373" s="762"/>
      <c r="AH373" s="786"/>
      <c r="AI373" s="762"/>
      <c r="AJ373" s="762"/>
      <c r="AK373" s="786"/>
      <c r="AL373" s="762"/>
      <c r="AM373" s="786"/>
      <c r="AN373" s="762"/>
      <c r="AO373" s="786"/>
      <c r="AP373" s="762"/>
      <c r="AQ373" s="786"/>
      <c r="AR373" s="762"/>
      <c r="AS373" s="786"/>
      <c r="AT373" s="762"/>
      <c r="AU373" s="762"/>
      <c r="AV373" s="786"/>
      <c r="AW373" s="762"/>
      <c r="AX373" s="786"/>
      <c r="AY373" s="762"/>
      <c r="AZ373" s="786"/>
      <c r="BA373" s="762"/>
      <c r="BB373" s="786"/>
      <c r="BC373" s="762"/>
      <c r="BD373" s="786"/>
      <c r="BE373" s="762"/>
    </row>
    <row r="374" spans="1:57" s="49" customFormat="1">
      <c r="A374" s="887"/>
      <c r="B374" s="887"/>
      <c r="C374" s="960"/>
      <c r="D374" s="925"/>
      <c r="E374" s="762"/>
      <c r="F374" s="925"/>
      <c r="G374" s="762"/>
      <c r="H374" s="925"/>
      <c r="I374" s="762"/>
      <c r="J374" s="925"/>
      <c r="K374" s="762"/>
      <c r="L374" s="925"/>
      <c r="M374" s="762"/>
      <c r="N374" s="762"/>
      <c r="O374" s="925"/>
      <c r="P374" s="762"/>
      <c r="Q374" s="925"/>
      <c r="R374" s="762"/>
      <c r="S374" s="925"/>
      <c r="T374" s="762"/>
      <c r="U374" s="925"/>
      <c r="V374" s="762"/>
      <c r="W374" s="925"/>
      <c r="X374" s="762"/>
      <c r="Y374" s="762"/>
      <c r="Z374" s="786"/>
      <c r="AA374" s="762"/>
      <c r="AB374" s="786"/>
      <c r="AC374" s="762"/>
      <c r="AD374" s="786"/>
      <c r="AE374" s="762"/>
      <c r="AF374" s="786"/>
      <c r="AG374" s="762"/>
      <c r="AH374" s="786"/>
      <c r="AI374" s="762"/>
      <c r="AJ374" s="762"/>
      <c r="AK374" s="786"/>
      <c r="AL374" s="762"/>
      <c r="AM374" s="786"/>
      <c r="AN374" s="762"/>
      <c r="AO374" s="786"/>
      <c r="AP374" s="762"/>
      <c r="AQ374" s="786"/>
      <c r="AR374" s="762"/>
      <c r="AS374" s="786"/>
      <c r="AT374" s="762"/>
      <c r="AU374" s="762"/>
      <c r="AV374" s="786"/>
      <c r="AW374" s="762"/>
      <c r="AX374" s="786"/>
      <c r="AY374" s="762"/>
      <c r="AZ374" s="786"/>
      <c r="BA374" s="762"/>
      <c r="BB374" s="786"/>
      <c r="BC374" s="762"/>
      <c r="BD374" s="786"/>
      <c r="BE374" s="762"/>
    </row>
    <row r="375" spans="1:57" s="49" customFormat="1">
      <c r="A375" s="887"/>
      <c r="B375" s="887"/>
      <c r="C375" s="960"/>
      <c r="D375" s="925"/>
      <c r="E375" s="762"/>
      <c r="F375" s="925"/>
      <c r="G375" s="762"/>
      <c r="H375" s="925"/>
      <c r="I375" s="762"/>
      <c r="J375" s="925"/>
      <c r="K375" s="762"/>
      <c r="L375" s="925"/>
      <c r="M375" s="762"/>
      <c r="N375" s="762"/>
      <c r="O375" s="925"/>
      <c r="P375" s="762"/>
      <c r="Q375" s="925"/>
      <c r="R375" s="762"/>
      <c r="S375" s="925"/>
      <c r="T375" s="762"/>
      <c r="U375" s="925"/>
      <c r="V375" s="762"/>
      <c r="W375" s="925"/>
      <c r="X375" s="762"/>
      <c r="Y375" s="762"/>
      <c r="Z375" s="786"/>
      <c r="AA375" s="762"/>
      <c r="AB375" s="786"/>
      <c r="AC375" s="762"/>
      <c r="AD375" s="786"/>
      <c r="AE375" s="762"/>
      <c r="AF375" s="786"/>
      <c r="AG375" s="762"/>
      <c r="AH375" s="786"/>
      <c r="AI375" s="762"/>
      <c r="AJ375" s="762"/>
      <c r="AK375" s="786"/>
      <c r="AL375" s="762"/>
      <c r="AM375" s="786"/>
      <c r="AN375" s="762"/>
      <c r="AO375" s="786"/>
      <c r="AP375" s="762"/>
      <c r="AQ375" s="786"/>
      <c r="AR375" s="762"/>
      <c r="AS375" s="786"/>
      <c r="AT375" s="762"/>
      <c r="AU375" s="762"/>
      <c r="AV375" s="786"/>
      <c r="AW375" s="762"/>
      <c r="AX375" s="786"/>
      <c r="AY375" s="762"/>
      <c r="AZ375" s="786"/>
      <c r="BA375" s="762"/>
      <c r="BB375" s="786"/>
      <c r="BC375" s="762"/>
      <c r="BD375" s="786"/>
      <c r="BE375" s="762"/>
    </row>
    <row r="376" spans="1:57" s="49" customFormat="1">
      <c r="A376" s="887"/>
      <c r="B376" s="887"/>
      <c r="C376" s="960"/>
      <c r="D376" s="925"/>
      <c r="E376" s="762"/>
      <c r="F376" s="925"/>
      <c r="G376" s="762"/>
      <c r="H376" s="925"/>
      <c r="I376" s="762"/>
      <c r="J376" s="925"/>
      <c r="K376" s="762"/>
      <c r="L376" s="925"/>
      <c r="M376" s="762"/>
      <c r="N376" s="762"/>
      <c r="O376" s="925"/>
      <c r="P376" s="762"/>
      <c r="Q376" s="925"/>
      <c r="R376" s="762"/>
      <c r="S376" s="925"/>
      <c r="T376" s="762"/>
      <c r="U376" s="925"/>
      <c r="V376" s="762"/>
      <c r="W376" s="925"/>
      <c r="X376" s="762"/>
      <c r="Y376" s="762"/>
      <c r="Z376" s="786"/>
      <c r="AA376" s="762"/>
      <c r="AB376" s="786"/>
      <c r="AC376" s="762"/>
      <c r="AD376" s="786"/>
      <c r="AE376" s="762"/>
      <c r="AF376" s="786"/>
      <c r="AG376" s="762"/>
      <c r="AH376" s="786"/>
      <c r="AI376" s="762"/>
      <c r="AJ376" s="762"/>
      <c r="AK376" s="786"/>
      <c r="AL376" s="762"/>
      <c r="AM376" s="786"/>
      <c r="AN376" s="762"/>
      <c r="AO376" s="786"/>
      <c r="AP376" s="762"/>
      <c r="AQ376" s="786"/>
      <c r="AR376" s="762"/>
      <c r="AS376" s="786"/>
      <c r="AT376" s="762"/>
      <c r="AU376" s="762"/>
      <c r="AV376" s="786"/>
      <c r="AW376" s="762"/>
      <c r="AX376" s="786"/>
      <c r="AY376" s="762"/>
      <c r="AZ376" s="786"/>
      <c r="BA376" s="762"/>
      <c r="BB376" s="786"/>
      <c r="BC376" s="762"/>
      <c r="BD376" s="786"/>
      <c r="BE376" s="762"/>
    </row>
    <row r="377" spans="1:57" s="49" customFormat="1">
      <c r="A377" s="887"/>
      <c r="B377" s="887"/>
      <c r="C377" s="960"/>
      <c r="D377" s="925"/>
      <c r="E377" s="762"/>
      <c r="F377" s="925"/>
      <c r="G377" s="762"/>
      <c r="H377" s="925"/>
      <c r="I377" s="762"/>
      <c r="J377" s="925"/>
      <c r="K377" s="762"/>
      <c r="L377" s="925"/>
      <c r="M377" s="762"/>
      <c r="N377" s="762"/>
      <c r="O377" s="925"/>
      <c r="P377" s="762"/>
      <c r="Q377" s="925"/>
      <c r="R377" s="762"/>
      <c r="S377" s="925"/>
      <c r="T377" s="762"/>
      <c r="U377" s="925"/>
      <c r="V377" s="762"/>
      <c r="W377" s="925"/>
      <c r="X377" s="762"/>
      <c r="Y377" s="762"/>
      <c r="Z377" s="786"/>
      <c r="AA377" s="762"/>
      <c r="AB377" s="786"/>
      <c r="AC377" s="762"/>
      <c r="AD377" s="786"/>
      <c r="AE377" s="762"/>
      <c r="AF377" s="786"/>
      <c r="AG377" s="762"/>
      <c r="AH377" s="786"/>
      <c r="AI377" s="762"/>
      <c r="AJ377" s="762"/>
      <c r="AK377" s="786"/>
      <c r="AL377" s="762"/>
      <c r="AM377" s="786"/>
      <c r="AN377" s="762"/>
      <c r="AO377" s="786"/>
      <c r="AP377" s="762"/>
      <c r="AQ377" s="786"/>
      <c r="AR377" s="762"/>
      <c r="AS377" s="786"/>
      <c r="AT377" s="762"/>
      <c r="AU377" s="762"/>
      <c r="AV377" s="786"/>
      <c r="AW377" s="762"/>
      <c r="AX377" s="786"/>
      <c r="AY377" s="762"/>
      <c r="AZ377" s="786"/>
      <c r="BA377" s="762"/>
      <c r="BB377" s="786"/>
      <c r="BC377" s="762"/>
      <c r="BD377" s="786"/>
      <c r="BE377" s="762"/>
    </row>
    <row r="378" spans="1:57" s="49" customFormat="1">
      <c r="A378" s="887"/>
      <c r="B378" s="887"/>
      <c r="C378" s="960"/>
      <c r="D378" s="925"/>
      <c r="E378" s="762"/>
      <c r="F378" s="925"/>
      <c r="G378" s="762"/>
      <c r="H378" s="925"/>
      <c r="I378" s="762"/>
      <c r="J378" s="925"/>
      <c r="K378" s="762"/>
      <c r="L378" s="925"/>
      <c r="M378" s="762"/>
      <c r="N378" s="762"/>
      <c r="O378" s="925"/>
      <c r="P378" s="762"/>
      <c r="Q378" s="925"/>
      <c r="R378" s="762"/>
      <c r="S378" s="925"/>
      <c r="T378" s="762"/>
      <c r="U378" s="925"/>
      <c r="V378" s="762"/>
      <c r="W378" s="925"/>
      <c r="X378" s="762"/>
      <c r="Y378" s="762"/>
      <c r="Z378" s="786"/>
      <c r="AA378" s="762"/>
      <c r="AB378" s="786"/>
      <c r="AC378" s="762"/>
      <c r="AD378" s="786"/>
      <c r="AE378" s="762"/>
      <c r="AF378" s="786"/>
      <c r="AG378" s="762"/>
      <c r="AH378" s="786"/>
      <c r="AI378" s="762"/>
      <c r="AJ378" s="762"/>
      <c r="AK378" s="786"/>
      <c r="AL378" s="762"/>
      <c r="AM378" s="786"/>
      <c r="AN378" s="762"/>
      <c r="AO378" s="786"/>
      <c r="AP378" s="762"/>
      <c r="AQ378" s="786"/>
      <c r="AR378" s="762"/>
      <c r="AS378" s="786"/>
      <c r="AT378" s="762"/>
      <c r="AU378" s="762"/>
      <c r="AV378" s="786"/>
      <c r="AW378" s="762"/>
      <c r="AX378" s="786"/>
      <c r="AY378" s="762"/>
      <c r="AZ378" s="786"/>
      <c r="BA378" s="762"/>
      <c r="BB378" s="786"/>
      <c r="BC378" s="762"/>
      <c r="BD378" s="786"/>
      <c r="BE378" s="762"/>
    </row>
    <row r="379" spans="1:57" s="49" customFormat="1">
      <c r="A379" s="887"/>
      <c r="B379" s="887"/>
      <c r="C379" s="960"/>
      <c r="D379" s="925"/>
      <c r="E379" s="762"/>
      <c r="F379" s="925"/>
      <c r="G379" s="762"/>
      <c r="H379" s="925"/>
      <c r="I379" s="762"/>
      <c r="J379" s="925"/>
      <c r="K379" s="762"/>
      <c r="L379" s="925"/>
      <c r="M379" s="762"/>
      <c r="N379" s="762"/>
      <c r="O379" s="925"/>
      <c r="P379" s="762"/>
      <c r="Q379" s="925"/>
      <c r="R379" s="762"/>
      <c r="S379" s="925"/>
      <c r="T379" s="762"/>
      <c r="U379" s="925"/>
      <c r="V379" s="762"/>
      <c r="W379" s="925"/>
      <c r="X379" s="762"/>
      <c r="Y379" s="762"/>
      <c r="Z379" s="786"/>
      <c r="AA379" s="762"/>
      <c r="AB379" s="786"/>
      <c r="AC379" s="762"/>
      <c r="AD379" s="786"/>
      <c r="AE379" s="762"/>
      <c r="AF379" s="786"/>
      <c r="AG379" s="762"/>
      <c r="AH379" s="786"/>
      <c r="AI379" s="762"/>
      <c r="AJ379" s="762"/>
      <c r="AK379" s="786"/>
      <c r="AL379" s="762"/>
      <c r="AM379" s="786"/>
      <c r="AN379" s="762"/>
      <c r="AO379" s="786"/>
      <c r="AP379" s="762"/>
      <c r="AQ379" s="786"/>
      <c r="AR379" s="762"/>
      <c r="AS379" s="786"/>
      <c r="AT379" s="762"/>
      <c r="AU379" s="762"/>
      <c r="AV379" s="786"/>
      <c r="AW379" s="762"/>
      <c r="AX379" s="786"/>
      <c r="AY379" s="762"/>
      <c r="AZ379" s="786"/>
      <c r="BA379" s="762"/>
      <c r="BB379" s="786"/>
      <c r="BC379" s="762"/>
      <c r="BD379" s="786"/>
      <c r="BE379" s="762"/>
    </row>
    <row r="380" spans="1:57" s="49" customFormat="1">
      <c r="A380" s="887"/>
      <c r="B380" s="887"/>
      <c r="C380" s="960"/>
      <c r="D380" s="925"/>
      <c r="E380" s="762"/>
      <c r="F380" s="925"/>
      <c r="G380" s="762"/>
      <c r="H380" s="925"/>
      <c r="I380" s="762"/>
      <c r="J380" s="925"/>
      <c r="K380" s="762"/>
      <c r="L380" s="925"/>
      <c r="M380" s="762"/>
      <c r="N380" s="762"/>
      <c r="O380" s="925"/>
      <c r="P380" s="762"/>
      <c r="Q380" s="925"/>
      <c r="R380" s="762"/>
      <c r="S380" s="925"/>
      <c r="T380" s="762"/>
      <c r="U380" s="925"/>
      <c r="V380" s="762"/>
      <c r="W380" s="925"/>
      <c r="X380" s="762"/>
      <c r="Y380" s="762"/>
      <c r="Z380" s="786"/>
      <c r="AA380" s="762"/>
      <c r="AB380" s="786"/>
      <c r="AC380" s="762"/>
      <c r="AD380" s="786"/>
      <c r="AE380" s="762"/>
      <c r="AF380" s="786"/>
      <c r="AG380" s="762"/>
      <c r="AH380" s="786"/>
      <c r="AI380" s="762"/>
      <c r="AJ380" s="762"/>
      <c r="AK380" s="786"/>
      <c r="AL380" s="762"/>
      <c r="AM380" s="786"/>
      <c r="AN380" s="762"/>
      <c r="AO380" s="786"/>
      <c r="AP380" s="762"/>
      <c r="AQ380" s="786"/>
      <c r="AR380" s="762"/>
      <c r="AS380" s="786"/>
      <c r="AT380" s="762"/>
      <c r="AU380" s="762"/>
      <c r="AV380" s="786"/>
      <c r="AW380" s="762"/>
      <c r="AX380" s="786"/>
      <c r="AY380" s="762"/>
      <c r="AZ380" s="786"/>
      <c r="BA380" s="762"/>
      <c r="BB380" s="786"/>
      <c r="BC380" s="762"/>
      <c r="BD380" s="786"/>
      <c r="BE380" s="762"/>
    </row>
    <row r="381" spans="1:57" s="49" customFormat="1">
      <c r="A381" s="887"/>
      <c r="B381" s="887"/>
      <c r="C381" s="960"/>
      <c r="D381" s="925"/>
      <c r="E381" s="762"/>
      <c r="F381" s="925"/>
      <c r="G381" s="762"/>
      <c r="H381" s="925"/>
      <c r="I381" s="762"/>
      <c r="J381" s="925"/>
      <c r="K381" s="762"/>
      <c r="L381" s="925"/>
      <c r="M381" s="762"/>
      <c r="N381" s="762"/>
      <c r="O381" s="925"/>
      <c r="P381" s="762"/>
      <c r="Q381" s="925"/>
      <c r="R381" s="762"/>
      <c r="S381" s="925"/>
      <c r="T381" s="762"/>
      <c r="U381" s="925"/>
      <c r="V381" s="762"/>
      <c r="W381" s="925"/>
      <c r="X381" s="762"/>
      <c r="Y381" s="762"/>
      <c r="Z381" s="786"/>
      <c r="AA381" s="762"/>
      <c r="AB381" s="786"/>
      <c r="AC381" s="762"/>
      <c r="AD381" s="786"/>
      <c r="AE381" s="762"/>
      <c r="AF381" s="786"/>
      <c r="AG381" s="762"/>
      <c r="AH381" s="786"/>
      <c r="AI381" s="762"/>
      <c r="AJ381" s="762"/>
      <c r="AK381" s="786"/>
      <c r="AL381" s="762"/>
      <c r="AM381" s="786"/>
      <c r="AN381" s="762"/>
      <c r="AO381" s="786"/>
      <c r="AP381" s="762"/>
      <c r="AQ381" s="786"/>
      <c r="AR381" s="762"/>
      <c r="AS381" s="786"/>
      <c r="AT381" s="762"/>
      <c r="AU381" s="762"/>
      <c r="AV381" s="786"/>
      <c r="AW381" s="762"/>
      <c r="AX381" s="786"/>
      <c r="AY381" s="762"/>
      <c r="AZ381" s="786"/>
      <c r="BA381" s="762"/>
      <c r="BB381" s="786"/>
      <c r="BC381" s="762"/>
      <c r="BD381" s="786"/>
      <c r="BE381" s="762"/>
    </row>
    <row r="382" spans="1:57" s="49" customFormat="1">
      <c r="A382" s="887"/>
      <c r="B382" s="887"/>
      <c r="C382" s="960"/>
      <c r="D382" s="925"/>
      <c r="E382" s="762"/>
      <c r="F382" s="925"/>
      <c r="G382" s="762"/>
      <c r="H382" s="925"/>
      <c r="I382" s="762"/>
      <c r="J382" s="925"/>
      <c r="K382" s="762"/>
      <c r="L382" s="925"/>
      <c r="M382" s="762"/>
      <c r="N382" s="762"/>
      <c r="O382" s="925"/>
      <c r="P382" s="762"/>
      <c r="Q382" s="925"/>
      <c r="R382" s="762"/>
      <c r="S382" s="925"/>
      <c r="T382" s="762"/>
      <c r="U382" s="925"/>
      <c r="V382" s="762"/>
      <c r="W382" s="925"/>
      <c r="X382" s="762"/>
      <c r="Y382" s="762"/>
      <c r="Z382" s="786"/>
      <c r="AA382" s="762"/>
      <c r="AB382" s="786"/>
      <c r="AC382" s="762"/>
      <c r="AD382" s="786"/>
      <c r="AE382" s="762"/>
      <c r="AF382" s="786"/>
      <c r="AG382" s="762"/>
      <c r="AH382" s="786"/>
      <c r="AI382" s="762"/>
      <c r="AJ382" s="762"/>
      <c r="AK382" s="786"/>
      <c r="AL382" s="762"/>
      <c r="AM382" s="786"/>
      <c r="AN382" s="762"/>
      <c r="AO382" s="786"/>
      <c r="AP382" s="762"/>
      <c r="AQ382" s="786"/>
      <c r="AR382" s="762"/>
      <c r="AS382" s="786"/>
      <c r="AT382" s="762"/>
      <c r="AU382" s="762"/>
      <c r="AV382" s="786"/>
      <c r="AW382" s="762"/>
      <c r="AX382" s="786"/>
      <c r="AY382" s="762"/>
      <c r="AZ382" s="786"/>
      <c r="BA382" s="762"/>
      <c r="BB382" s="786"/>
      <c r="BC382" s="762"/>
      <c r="BD382" s="786"/>
      <c r="BE382" s="762"/>
    </row>
    <row r="383" spans="1:57" s="49" customFormat="1">
      <c r="A383" s="887"/>
      <c r="B383" s="887"/>
      <c r="C383" s="960"/>
      <c r="D383" s="925"/>
      <c r="E383" s="762"/>
      <c r="F383" s="925"/>
      <c r="G383" s="762"/>
      <c r="H383" s="925"/>
      <c r="I383" s="762"/>
      <c r="J383" s="925"/>
      <c r="K383" s="762"/>
      <c r="L383" s="925"/>
      <c r="M383" s="762"/>
      <c r="N383" s="762"/>
      <c r="O383" s="925"/>
      <c r="P383" s="762"/>
      <c r="Q383" s="925"/>
      <c r="R383" s="762"/>
      <c r="S383" s="925"/>
      <c r="T383" s="762"/>
      <c r="U383" s="925"/>
      <c r="V383" s="762"/>
      <c r="W383" s="925"/>
      <c r="X383" s="762"/>
      <c r="Y383" s="762"/>
      <c r="Z383" s="786"/>
      <c r="AA383" s="762"/>
      <c r="AB383" s="786"/>
      <c r="AC383" s="762"/>
      <c r="AD383" s="786"/>
      <c r="AE383" s="762"/>
      <c r="AF383" s="786"/>
      <c r="AG383" s="762"/>
      <c r="AH383" s="786"/>
      <c r="AI383" s="762"/>
      <c r="AJ383" s="762"/>
      <c r="AK383" s="786"/>
      <c r="AL383" s="762"/>
      <c r="AM383" s="786"/>
      <c r="AN383" s="762"/>
      <c r="AO383" s="786"/>
      <c r="AP383" s="762"/>
      <c r="AQ383" s="786"/>
      <c r="AR383" s="762"/>
      <c r="AS383" s="786"/>
      <c r="AT383" s="762"/>
      <c r="AU383" s="762"/>
      <c r="AV383" s="786"/>
      <c r="AW383" s="762"/>
      <c r="AX383" s="786"/>
      <c r="AY383" s="762"/>
      <c r="AZ383" s="786"/>
      <c r="BA383" s="762"/>
      <c r="BB383" s="786"/>
      <c r="BC383" s="762"/>
      <c r="BD383" s="786"/>
      <c r="BE383" s="762"/>
    </row>
    <row r="384" spans="1:57" s="49" customFormat="1">
      <c r="A384" s="887"/>
      <c r="B384" s="887"/>
      <c r="C384" s="960"/>
      <c r="D384" s="925"/>
      <c r="E384" s="762"/>
      <c r="F384" s="925"/>
      <c r="G384" s="762"/>
      <c r="H384" s="925"/>
      <c r="I384" s="762"/>
      <c r="J384" s="925"/>
      <c r="K384" s="762"/>
      <c r="L384" s="925"/>
      <c r="M384" s="762"/>
      <c r="N384" s="762"/>
      <c r="O384" s="925"/>
      <c r="P384" s="762"/>
      <c r="Q384" s="925"/>
      <c r="R384" s="762"/>
      <c r="S384" s="925"/>
      <c r="T384" s="762"/>
      <c r="U384" s="925"/>
      <c r="V384" s="762"/>
      <c r="W384" s="925"/>
      <c r="X384" s="762"/>
      <c r="Y384" s="762"/>
      <c r="Z384" s="786"/>
      <c r="AA384" s="762"/>
      <c r="AB384" s="786"/>
      <c r="AC384" s="762"/>
      <c r="AD384" s="786"/>
      <c r="AE384" s="762"/>
      <c r="AF384" s="786"/>
      <c r="AG384" s="762"/>
      <c r="AH384" s="786"/>
      <c r="AI384" s="762"/>
      <c r="AJ384" s="762"/>
      <c r="AK384" s="786"/>
      <c r="AL384" s="762"/>
      <c r="AM384" s="786"/>
      <c r="AN384" s="762"/>
      <c r="AO384" s="786"/>
      <c r="AP384" s="762"/>
      <c r="AQ384" s="786"/>
      <c r="AR384" s="762"/>
      <c r="AS384" s="786"/>
      <c r="AT384" s="762"/>
      <c r="AU384" s="762"/>
      <c r="AV384" s="786"/>
      <c r="AW384" s="762"/>
      <c r="AX384" s="786"/>
      <c r="AY384" s="762"/>
      <c r="AZ384" s="786"/>
      <c r="BA384" s="762"/>
      <c r="BB384" s="786"/>
      <c r="BC384" s="762"/>
      <c r="BD384" s="786"/>
      <c r="BE384" s="762"/>
    </row>
    <row r="385" spans="1:57" s="49" customFormat="1">
      <c r="A385" s="887"/>
      <c r="B385" s="887"/>
      <c r="C385" s="960"/>
      <c r="D385" s="925"/>
      <c r="E385" s="762"/>
      <c r="F385" s="925"/>
      <c r="G385" s="762"/>
      <c r="H385" s="925"/>
      <c r="I385" s="762"/>
      <c r="J385" s="925"/>
      <c r="K385" s="762"/>
      <c r="L385" s="925"/>
      <c r="M385" s="762"/>
      <c r="N385" s="762"/>
      <c r="O385" s="925"/>
      <c r="P385" s="762"/>
      <c r="Q385" s="925"/>
      <c r="R385" s="762"/>
      <c r="S385" s="925"/>
      <c r="T385" s="762"/>
      <c r="U385" s="925"/>
      <c r="V385" s="762"/>
      <c r="W385" s="925"/>
      <c r="X385" s="762"/>
      <c r="Y385" s="762"/>
      <c r="Z385" s="786"/>
      <c r="AA385" s="762"/>
      <c r="AB385" s="786"/>
      <c r="AC385" s="762"/>
      <c r="AD385" s="786"/>
      <c r="AE385" s="762"/>
      <c r="AF385" s="786"/>
      <c r="AG385" s="762"/>
      <c r="AH385" s="786"/>
      <c r="AI385" s="762"/>
      <c r="AJ385" s="762"/>
      <c r="AK385" s="786"/>
      <c r="AL385" s="762"/>
      <c r="AM385" s="786"/>
      <c r="AN385" s="762"/>
      <c r="AO385" s="786"/>
      <c r="AP385" s="762"/>
      <c r="AQ385" s="786"/>
      <c r="AR385" s="762"/>
      <c r="AS385" s="786"/>
      <c r="AT385" s="762"/>
      <c r="AU385" s="762"/>
      <c r="AV385" s="786"/>
      <c r="AW385" s="762"/>
      <c r="AX385" s="786"/>
      <c r="AY385" s="762"/>
      <c r="AZ385" s="786"/>
      <c r="BA385" s="762"/>
      <c r="BB385" s="786"/>
      <c r="BC385" s="762"/>
      <c r="BD385" s="786"/>
      <c r="BE385" s="762"/>
    </row>
    <row r="386" spans="1:57" s="49" customFormat="1">
      <c r="A386" s="887"/>
      <c r="B386" s="887"/>
      <c r="C386" s="960"/>
      <c r="D386" s="925"/>
      <c r="E386" s="762"/>
      <c r="F386" s="925"/>
      <c r="G386" s="762"/>
      <c r="H386" s="925"/>
      <c r="I386" s="762"/>
      <c r="J386" s="925"/>
      <c r="K386" s="762"/>
      <c r="L386" s="925"/>
      <c r="M386" s="762"/>
      <c r="N386" s="762"/>
      <c r="O386" s="925"/>
      <c r="P386" s="762"/>
      <c r="Q386" s="925"/>
      <c r="R386" s="762"/>
      <c r="S386" s="925"/>
      <c r="T386" s="762"/>
      <c r="U386" s="925"/>
      <c r="V386" s="762"/>
      <c r="W386" s="925"/>
      <c r="X386" s="762"/>
      <c r="Y386" s="762"/>
      <c r="Z386" s="786"/>
      <c r="AA386" s="762"/>
      <c r="AB386" s="786"/>
      <c r="AC386" s="762"/>
      <c r="AD386" s="786"/>
      <c r="AE386" s="762"/>
      <c r="AF386" s="786"/>
      <c r="AG386" s="762"/>
      <c r="AH386" s="786"/>
      <c r="AI386" s="762"/>
      <c r="AJ386" s="762"/>
      <c r="AK386" s="786"/>
      <c r="AL386" s="762"/>
      <c r="AM386" s="786"/>
      <c r="AN386" s="762"/>
      <c r="AO386" s="786"/>
      <c r="AP386" s="762"/>
      <c r="AQ386" s="786"/>
      <c r="AR386" s="762"/>
      <c r="AS386" s="786"/>
      <c r="AT386" s="762"/>
      <c r="AU386" s="762"/>
      <c r="AV386" s="786"/>
      <c r="AW386" s="762"/>
      <c r="AX386" s="786"/>
      <c r="AY386" s="762"/>
      <c r="AZ386" s="786"/>
      <c r="BA386" s="762"/>
      <c r="BB386" s="786"/>
      <c r="BC386" s="762"/>
      <c r="BD386" s="786"/>
      <c r="BE386" s="762"/>
    </row>
    <row r="387" spans="1:57" s="49" customFormat="1">
      <c r="A387" s="887"/>
      <c r="B387" s="887"/>
      <c r="C387" s="960"/>
      <c r="D387" s="925"/>
      <c r="E387" s="762"/>
      <c r="F387" s="925"/>
      <c r="G387" s="762"/>
      <c r="H387" s="925"/>
      <c r="I387" s="762"/>
      <c r="J387" s="925"/>
      <c r="K387" s="762"/>
      <c r="L387" s="925"/>
      <c r="M387" s="762"/>
      <c r="N387" s="762"/>
      <c r="O387" s="925"/>
      <c r="P387" s="762"/>
      <c r="Q387" s="925"/>
      <c r="R387" s="762"/>
      <c r="S387" s="925"/>
      <c r="T387" s="762"/>
      <c r="U387" s="925"/>
      <c r="V387" s="762"/>
      <c r="W387" s="925"/>
      <c r="X387" s="762"/>
      <c r="Y387" s="762"/>
      <c r="Z387" s="786"/>
      <c r="AA387" s="762"/>
      <c r="AB387" s="786"/>
      <c r="AC387" s="762"/>
      <c r="AD387" s="786"/>
      <c r="AE387" s="762"/>
      <c r="AF387" s="786"/>
      <c r="AG387" s="762"/>
      <c r="AH387" s="786"/>
      <c r="AI387" s="762"/>
      <c r="AJ387" s="762"/>
      <c r="AK387" s="786"/>
      <c r="AL387" s="762"/>
      <c r="AM387" s="786"/>
      <c r="AN387" s="762"/>
      <c r="AO387" s="786"/>
      <c r="AP387" s="762"/>
      <c r="AQ387" s="786"/>
      <c r="AR387" s="762"/>
      <c r="AS387" s="786"/>
      <c r="AT387" s="762"/>
      <c r="AU387" s="762"/>
      <c r="AV387" s="786"/>
      <c r="AW387" s="762"/>
      <c r="AX387" s="786"/>
      <c r="AY387" s="762"/>
      <c r="AZ387" s="786"/>
      <c r="BA387" s="762"/>
      <c r="BB387" s="786"/>
      <c r="BC387" s="762"/>
      <c r="BD387" s="786"/>
      <c r="BE387" s="762"/>
    </row>
    <row r="388" spans="1:57" s="49" customFormat="1">
      <c r="A388" s="887"/>
      <c r="B388" s="887"/>
      <c r="C388" s="960"/>
      <c r="D388" s="925"/>
      <c r="E388" s="762"/>
      <c r="F388" s="925"/>
      <c r="G388" s="762"/>
      <c r="H388" s="925"/>
      <c r="I388" s="762"/>
      <c r="J388" s="925"/>
      <c r="K388" s="762"/>
      <c r="L388" s="925"/>
      <c r="M388" s="762"/>
      <c r="N388" s="762"/>
      <c r="O388" s="925"/>
      <c r="P388" s="762"/>
      <c r="Q388" s="925"/>
      <c r="R388" s="762"/>
      <c r="S388" s="925"/>
      <c r="T388" s="762"/>
      <c r="U388" s="925"/>
      <c r="V388" s="762"/>
      <c r="W388" s="925"/>
      <c r="X388" s="762"/>
      <c r="Y388" s="762"/>
      <c r="Z388" s="786"/>
      <c r="AA388" s="762"/>
      <c r="AB388" s="786"/>
      <c r="AC388" s="762"/>
      <c r="AD388" s="786"/>
      <c r="AE388" s="762"/>
      <c r="AF388" s="786"/>
      <c r="AG388" s="762"/>
      <c r="AH388" s="786"/>
      <c r="AI388" s="762"/>
      <c r="AJ388" s="762"/>
      <c r="AK388" s="786"/>
      <c r="AL388" s="762"/>
      <c r="AM388" s="786"/>
      <c r="AN388" s="762"/>
      <c r="AO388" s="786"/>
      <c r="AP388" s="762"/>
      <c r="AQ388" s="786"/>
      <c r="AR388" s="762"/>
      <c r="AS388" s="786"/>
      <c r="AT388" s="762"/>
      <c r="AU388" s="762"/>
      <c r="AV388" s="786"/>
      <c r="AW388" s="762"/>
      <c r="AX388" s="786"/>
      <c r="AY388" s="762"/>
      <c r="AZ388" s="786"/>
      <c r="BA388" s="762"/>
      <c r="BB388" s="786"/>
      <c r="BC388" s="762"/>
      <c r="BD388" s="786"/>
      <c r="BE388" s="762"/>
    </row>
    <row r="389" spans="1:57" s="49" customFormat="1">
      <c r="A389" s="887"/>
      <c r="B389" s="887"/>
      <c r="C389" s="960"/>
      <c r="D389" s="925"/>
      <c r="E389" s="762"/>
      <c r="F389" s="925"/>
      <c r="G389" s="762"/>
      <c r="H389" s="925"/>
      <c r="I389" s="762"/>
      <c r="J389" s="925"/>
      <c r="K389" s="762"/>
      <c r="L389" s="925"/>
      <c r="M389" s="762"/>
      <c r="N389" s="762"/>
      <c r="O389" s="925"/>
      <c r="P389" s="762"/>
      <c r="Q389" s="925"/>
      <c r="R389" s="762"/>
      <c r="S389" s="925"/>
      <c r="T389" s="762"/>
      <c r="U389" s="925"/>
      <c r="V389" s="762"/>
      <c r="W389" s="925"/>
      <c r="X389" s="762"/>
      <c r="Y389" s="762"/>
      <c r="Z389" s="786"/>
      <c r="AA389" s="762"/>
      <c r="AB389" s="786"/>
      <c r="AC389" s="762"/>
      <c r="AD389" s="786"/>
      <c r="AE389" s="762"/>
      <c r="AF389" s="786"/>
      <c r="AG389" s="762"/>
      <c r="AH389" s="786"/>
      <c r="AI389" s="762"/>
      <c r="AJ389" s="762"/>
      <c r="AK389" s="786"/>
      <c r="AL389" s="762"/>
      <c r="AM389" s="786"/>
      <c r="AN389" s="762"/>
      <c r="AO389" s="786"/>
      <c r="AP389" s="762"/>
      <c r="AQ389" s="786"/>
      <c r="AR389" s="762"/>
      <c r="AS389" s="786"/>
      <c r="AT389" s="762"/>
      <c r="AU389" s="762"/>
      <c r="AV389" s="786"/>
      <c r="AW389" s="762"/>
      <c r="AX389" s="786"/>
      <c r="AY389" s="762"/>
      <c r="AZ389" s="786"/>
      <c r="BA389" s="762"/>
      <c r="BB389" s="786"/>
      <c r="BC389" s="762"/>
      <c r="BD389" s="786"/>
      <c r="BE389" s="762"/>
    </row>
    <row r="390" spans="1:57" s="49" customFormat="1">
      <c r="A390" s="887"/>
      <c r="B390" s="887"/>
      <c r="C390" s="960"/>
      <c r="D390" s="925"/>
      <c r="E390" s="762"/>
      <c r="F390" s="925"/>
      <c r="G390" s="762"/>
      <c r="H390" s="925"/>
      <c r="I390" s="762"/>
      <c r="J390" s="925"/>
      <c r="K390" s="762"/>
      <c r="L390" s="925"/>
      <c r="M390" s="762"/>
      <c r="N390" s="762"/>
      <c r="O390" s="925"/>
      <c r="P390" s="762"/>
      <c r="Q390" s="925"/>
      <c r="R390" s="762"/>
      <c r="S390" s="925"/>
      <c r="T390" s="762"/>
      <c r="U390" s="925"/>
      <c r="V390" s="762"/>
      <c r="W390" s="925"/>
      <c r="X390" s="762"/>
      <c r="Y390" s="762"/>
      <c r="Z390" s="786"/>
      <c r="AA390" s="762"/>
      <c r="AB390" s="786"/>
      <c r="AC390" s="762"/>
      <c r="AD390" s="786"/>
      <c r="AE390" s="762"/>
      <c r="AF390" s="786"/>
      <c r="AG390" s="762"/>
      <c r="AH390" s="786"/>
      <c r="AI390" s="762"/>
      <c r="AJ390" s="762"/>
      <c r="AK390" s="786"/>
      <c r="AL390" s="762"/>
      <c r="AM390" s="786"/>
      <c r="AN390" s="762"/>
      <c r="AO390" s="786"/>
      <c r="AP390" s="762"/>
      <c r="AQ390" s="786"/>
      <c r="AR390" s="762"/>
      <c r="AS390" s="786"/>
      <c r="AT390" s="762"/>
      <c r="AU390" s="762"/>
      <c r="AV390" s="786"/>
      <c r="AW390" s="762"/>
      <c r="AX390" s="786"/>
      <c r="AY390" s="762"/>
      <c r="AZ390" s="786"/>
      <c r="BA390" s="762"/>
      <c r="BB390" s="786"/>
      <c r="BC390" s="762"/>
      <c r="BD390" s="786"/>
      <c r="BE390" s="762"/>
    </row>
    <row r="391" spans="1:57" s="49" customFormat="1">
      <c r="A391" s="887"/>
      <c r="B391" s="887"/>
      <c r="C391" s="960"/>
      <c r="D391" s="925"/>
      <c r="E391" s="762"/>
      <c r="F391" s="925"/>
      <c r="G391" s="762"/>
      <c r="H391" s="925"/>
      <c r="I391" s="762"/>
      <c r="J391" s="925"/>
      <c r="K391" s="762"/>
      <c r="L391" s="925"/>
      <c r="M391" s="762"/>
      <c r="N391" s="762"/>
      <c r="O391" s="925"/>
      <c r="P391" s="762"/>
      <c r="Q391" s="925"/>
      <c r="R391" s="762"/>
      <c r="S391" s="925"/>
      <c r="T391" s="762"/>
      <c r="U391" s="925"/>
      <c r="V391" s="762"/>
      <c r="W391" s="925"/>
      <c r="X391" s="762"/>
      <c r="Y391" s="762"/>
      <c r="Z391" s="786"/>
      <c r="AA391" s="762"/>
      <c r="AB391" s="786"/>
      <c r="AC391" s="762"/>
      <c r="AD391" s="786"/>
      <c r="AE391" s="762"/>
      <c r="AF391" s="786"/>
      <c r="AG391" s="762"/>
      <c r="AH391" s="786"/>
      <c r="AI391" s="762"/>
      <c r="AJ391" s="762"/>
      <c r="AK391" s="786"/>
      <c r="AL391" s="762"/>
      <c r="AM391" s="786"/>
      <c r="AN391" s="762"/>
      <c r="AO391" s="786"/>
      <c r="AP391" s="762"/>
      <c r="AQ391" s="786"/>
      <c r="AR391" s="762"/>
      <c r="AS391" s="786"/>
      <c r="AT391" s="762"/>
      <c r="AU391" s="762"/>
      <c r="AV391" s="786"/>
      <c r="AW391" s="762"/>
      <c r="AX391" s="786"/>
      <c r="AY391" s="762"/>
      <c r="AZ391" s="786"/>
      <c r="BA391" s="762"/>
      <c r="BB391" s="786"/>
      <c r="BC391" s="762"/>
      <c r="BD391" s="786"/>
      <c r="BE391" s="762"/>
    </row>
    <row r="392" spans="1:57" s="49" customFormat="1">
      <c r="A392" s="887"/>
      <c r="B392" s="887"/>
      <c r="C392" s="960"/>
      <c r="D392" s="925"/>
      <c r="E392" s="762"/>
      <c r="F392" s="925"/>
      <c r="G392" s="762"/>
      <c r="H392" s="925"/>
      <c r="I392" s="762"/>
      <c r="J392" s="925"/>
      <c r="K392" s="762"/>
      <c r="L392" s="925"/>
      <c r="M392" s="762"/>
      <c r="N392" s="762"/>
      <c r="O392" s="925"/>
      <c r="P392" s="762"/>
      <c r="Q392" s="925"/>
      <c r="R392" s="762"/>
      <c r="S392" s="925"/>
      <c r="T392" s="762"/>
      <c r="U392" s="925"/>
      <c r="V392" s="762"/>
      <c r="W392" s="925"/>
      <c r="X392" s="762"/>
      <c r="Y392" s="762"/>
      <c r="Z392" s="786"/>
      <c r="AA392" s="762"/>
      <c r="AB392" s="786"/>
      <c r="AC392" s="762"/>
      <c r="AD392" s="786"/>
      <c r="AE392" s="762"/>
      <c r="AF392" s="786"/>
      <c r="AG392" s="762"/>
      <c r="AH392" s="786"/>
      <c r="AI392" s="762"/>
      <c r="AJ392" s="762"/>
      <c r="AK392" s="786"/>
      <c r="AL392" s="762"/>
      <c r="AM392" s="786"/>
      <c r="AN392" s="762"/>
      <c r="AO392" s="786"/>
      <c r="AP392" s="762"/>
      <c r="AQ392" s="786"/>
      <c r="AR392" s="762"/>
      <c r="AS392" s="786"/>
      <c r="AT392" s="762"/>
      <c r="AU392" s="762"/>
      <c r="AV392" s="786"/>
      <c r="AW392" s="762"/>
      <c r="AX392" s="786"/>
      <c r="AY392" s="762"/>
      <c r="AZ392" s="786"/>
      <c r="BA392" s="762"/>
      <c r="BB392" s="786"/>
      <c r="BC392" s="762"/>
      <c r="BD392" s="786"/>
      <c r="BE392" s="762"/>
    </row>
    <row r="393" spans="1:57" s="49" customFormat="1">
      <c r="A393" s="887"/>
      <c r="B393" s="887"/>
      <c r="C393" s="960"/>
      <c r="D393" s="925"/>
      <c r="E393" s="762"/>
      <c r="F393" s="925"/>
      <c r="G393" s="762"/>
      <c r="H393" s="925"/>
      <c r="I393" s="762"/>
      <c r="J393" s="925"/>
      <c r="K393" s="762"/>
      <c r="L393" s="925"/>
      <c r="M393" s="762"/>
      <c r="N393" s="762"/>
      <c r="O393" s="925"/>
      <c r="P393" s="762"/>
      <c r="Q393" s="925"/>
      <c r="R393" s="762"/>
      <c r="S393" s="925"/>
      <c r="T393" s="762"/>
      <c r="U393" s="925"/>
      <c r="V393" s="762"/>
      <c r="W393" s="925"/>
      <c r="X393" s="762"/>
      <c r="Y393" s="762"/>
      <c r="Z393" s="786"/>
      <c r="AA393" s="762"/>
      <c r="AB393" s="786"/>
      <c r="AC393" s="762"/>
      <c r="AD393" s="786"/>
      <c r="AE393" s="762"/>
      <c r="AF393" s="786"/>
      <c r="AG393" s="762"/>
      <c r="AH393" s="786"/>
      <c r="AI393" s="762"/>
      <c r="AJ393" s="762"/>
      <c r="AK393" s="786"/>
      <c r="AL393" s="762"/>
      <c r="AM393" s="786"/>
      <c r="AN393" s="762"/>
      <c r="AO393" s="786"/>
      <c r="AP393" s="762"/>
      <c r="AQ393" s="786"/>
      <c r="AR393" s="762"/>
      <c r="AS393" s="786"/>
      <c r="AT393" s="762"/>
      <c r="AU393" s="762"/>
      <c r="AV393" s="786"/>
      <c r="AW393" s="762"/>
      <c r="AX393" s="786"/>
      <c r="AY393" s="762"/>
      <c r="AZ393" s="786"/>
      <c r="BA393" s="762"/>
      <c r="BB393" s="786"/>
      <c r="BC393" s="762"/>
      <c r="BD393" s="786"/>
      <c r="BE393" s="762"/>
    </row>
    <row r="394" spans="1:57" s="49" customFormat="1">
      <c r="A394" s="887"/>
      <c r="B394" s="887"/>
      <c r="C394" s="960"/>
      <c r="D394" s="925"/>
      <c r="E394" s="762"/>
      <c r="F394" s="925"/>
      <c r="G394" s="762"/>
      <c r="H394" s="925"/>
      <c r="I394" s="762"/>
      <c r="J394" s="925"/>
      <c r="K394" s="762"/>
      <c r="L394" s="925"/>
      <c r="M394" s="762"/>
      <c r="N394" s="762"/>
      <c r="O394" s="925"/>
      <c r="P394" s="762"/>
      <c r="Q394" s="925"/>
      <c r="R394" s="762"/>
      <c r="S394" s="925"/>
      <c r="T394" s="762"/>
      <c r="U394" s="925"/>
      <c r="V394" s="762"/>
      <c r="W394" s="925"/>
      <c r="X394" s="762"/>
      <c r="Y394" s="762"/>
      <c r="Z394" s="786"/>
      <c r="AA394" s="762"/>
      <c r="AB394" s="786"/>
      <c r="AC394" s="762"/>
      <c r="AD394" s="786"/>
      <c r="AE394" s="762"/>
      <c r="AF394" s="786"/>
      <c r="AG394" s="762"/>
      <c r="AH394" s="786"/>
      <c r="AI394" s="762"/>
      <c r="AJ394" s="762"/>
      <c r="AK394" s="786"/>
      <c r="AL394" s="762"/>
      <c r="AM394" s="786"/>
      <c r="AN394" s="762"/>
      <c r="AO394" s="786"/>
      <c r="AP394" s="762"/>
      <c r="AQ394" s="786"/>
      <c r="AR394" s="762"/>
      <c r="AS394" s="786"/>
      <c r="AT394" s="762"/>
      <c r="AU394" s="762"/>
      <c r="AV394" s="786"/>
      <c r="AW394" s="762"/>
      <c r="AX394" s="786"/>
      <c r="AY394" s="762"/>
      <c r="AZ394" s="786"/>
      <c r="BA394" s="762"/>
      <c r="BB394" s="786"/>
      <c r="BC394" s="762"/>
      <c r="BD394" s="786"/>
      <c r="BE394" s="762"/>
    </row>
    <row r="395" spans="1:57" s="49" customFormat="1">
      <c r="A395" s="887"/>
      <c r="B395" s="887"/>
      <c r="C395" s="960"/>
      <c r="D395" s="925"/>
      <c r="E395" s="762"/>
      <c r="F395" s="925"/>
      <c r="G395" s="762"/>
      <c r="H395" s="925"/>
      <c r="I395" s="762"/>
      <c r="J395" s="925"/>
      <c r="K395" s="762"/>
      <c r="L395" s="925"/>
      <c r="M395" s="762"/>
      <c r="N395" s="762"/>
      <c r="O395" s="925"/>
      <c r="P395" s="762"/>
      <c r="Q395" s="925"/>
      <c r="R395" s="762"/>
      <c r="S395" s="925"/>
      <c r="T395" s="762"/>
      <c r="U395" s="925"/>
      <c r="V395" s="762"/>
      <c r="W395" s="925"/>
      <c r="X395" s="762"/>
      <c r="Y395" s="762"/>
      <c r="Z395" s="786"/>
      <c r="AA395" s="762"/>
      <c r="AB395" s="786"/>
      <c r="AC395" s="762"/>
      <c r="AD395" s="786"/>
      <c r="AE395" s="762"/>
      <c r="AF395" s="786"/>
      <c r="AG395" s="762"/>
      <c r="AH395" s="786"/>
      <c r="AI395" s="762"/>
      <c r="AJ395" s="762"/>
      <c r="AK395" s="786"/>
      <c r="AL395" s="762"/>
      <c r="AM395" s="786"/>
      <c r="AN395" s="762"/>
      <c r="AO395" s="786"/>
      <c r="AP395" s="762"/>
      <c r="AQ395" s="786"/>
      <c r="AR395" s="762"/>
      <c r="AS395" s="786"/>
      <c r="AT395" s="762"/>
      <c r="AU395" s="762"/>
      <c r="AV395" s="786"/>
      <c r="AW395" s="762"/>
      <c r="AX395" s="786"/>
      <c r="AY395" s="762"/>
      <c r="AZ395" s="786"/>
      <c r="BA395" s="762"/>
      <c r="BB395" s="786"/>
      <c r="BC395" s="762"/>
      <c r="BD395" s="786"/>
      <c r="BE395" s="762"/>
    </row>
    <row r="396" spans="1:57" s="49" customFormat="1">
      <c r="A396" s="887"/>
      <c r="B396" s="887"/>
      <c r="C396" s="960"/>
      <c r="D396" s="925"/>
      <c r="E396" s="762"/>
      <c r="F396" s="925"/>
      <c r="G396" s="762"/>
      <c r="H396" s="925"/>
      <c r="I396" s="762"/>
      <c r="J396" s="925"/>
      <c r="K396" s="762"/>
      <c r="L396" s="925"/>
      <c r="M396" s="762"/>
      <c r="N396" s="762"/>
      <c r="O396" s="925"/>
      <c r="P396" s="762"/>
      <c r="Q396" s="925"/>
      <c r="R396" s="762"/>
      <c r="S396" s="925"/>
      <c r="T396" s="762"/>
      <c r="U396" s="925"/>
      <c r="V396" s="762"/>
      <c r="W396" s="925"/>
      <c r="X396" s="762"/>
      <c r="Y396" s="762"/>
      <c r="Z396" s="786"/>
      <c r="AA396" s="762"/>
      <c r="AB396" s="786"/>
      <c r="AC396" s="762"/>
      <c r="AD396" s="786"/>
      <c r="AE396" s="762"/>
      <c r="AF396" s="786"/>
      <c r="AG396" s="762"/>
      <c r="AH396" s="786"/>
      <c r="AI396" s="762"/>
      <c r="AJ396" s="762"/>
      <c r="AK396" s="786"/>
      <c r="AL396" s="762"/>
      <c r="AM396" s="786"/>
      <c r="AN396" s="762"/>
      <c r="AO396" s="786"/>
      <c r="AP396" s="762"/>
      <c r="AQ396" s="786"/>
      <c r="AR396" s="762"/>
      <c r="AS396" s="786"/>
      <c r="AT396" s="762"/>
      <c r="AU396" s="762"/>
      <c r="AV396" s="786"/>
      <c r="AW396" s="762"/>
      <c r="AX396" s="786"/>
      <c r="AY396" s="762"/>
      <c r="AZ396" s="786"/>
      <c r="BA396" s="762"/>
      <c r="BB396" s="786"/>
      <c r="BC396" s="762"/>
      <c r="BD396" s="786"/>
      <c r="BE396" s="762"/>
    </row>
    <row r="397" spans="1:57" s="49" customFormat="1">
      <c r="A397" s="887"/>
      <c r="B397" s="887"/>
      <c r="C397" s="960"/>
      <c r="D397" s="925"/>
      <c r="E397" s="762"/>
      <c r="F397" s="925"/>
      <c r="G397" s="762"/>
      <c r="H397" s="925"/>
      <c r="I397" s="762"/>
      <c r="J397" s="925"/>
      <c r="K397" s="762"/>
      <c r="L397" s="925"/>
      <c r="M397" s="762"/>
      <c r="N397" s="762"/>
      <c r="O397" s="925"/>
      <c r="P397" s="762"/>
      <c r="Q397" s="925"/>
      <c r="R397" s="762"/>
      <c r="S397" s="925"/>
      <c r="T397" s="762"/>
      <c r="U397" s="925"/>
      <c r="V397" s="762"/>
      <c r="W397" s="925"/>
      <c r="X397" s="762"/>
      <c r="Y397" s="762"/>
      <c r="Z397" s="786"/>
      <c r="AA397" s="762"/>
      <c r="AB397" s="786"/>
      <c r="AC397" s="762"/>
      <c r="AD397" s="786"/>
      <c r="AE397" s="762"/>
      <c r="AF397" s="786"/>
      <c r="AG397" s="762"/>
      <c r="AH397" s="786"/>
      <c r="AI397" s="762"/>
      <c r="AJ397" s="762"/>
      <c r="AK397" s="786"/>
      <c r="AL397" s="762"/>
      <c r="AM397" s="786"/>
      <c r="AN397" s="762"/>
      <c r="AO397" s="786"/>
      <c r="AP397" s="762"/>
      <c r="AQ397" s="786"/>
      <c r="AR397" s="762"/>
      <c r="AS397" s="786"/>
      <c r="AT397" s="762"/>
      <c r="AU397" s="762"/>
      <c r="AV397" s="786"/>
      <c r="AW397" s="762"/>
      <c r="AX397" s="786"/>
      <c r="AY397" s="762"/>
      <c r="AZ397" s="786"/>
      <c r="BA397" s="762"/>
      <c r="BB397" s="786"/>
      <c r="BC397" s="762"/>
      <c r="BD397" s="786"/>
      <c r="BE397" s="762"/>
    </row>
    <row r="398" spans="1:57" s="49" customFormat="1">
      <c r="A398" s="887"/>
      <c r="B398" s="887"/>
      <c r="C398" s="960"/>
      <c r="D398" s="925"/>
      <c r="E398" s="762"/>
      <c r="F398" s="925"/>
      <c r="G398" s="762"/>
      <c r="H398" s="925"/>
      <c r="I398" s="762"/>
      <c r="J398" s="925"/>
      <c r="K398" s="762"/>
      <c r="L398" s="925"/>
      <c r="M398" s="762"/>
      <c r="N398" s="762"/>
      <c r="O398" s="925"/>
      <c r="P398" s="762"/>
      <c r="Q398" s="925"/>
      <c r="R398" s="762"/>
      <c r="S398" s="925"/>
      <c r="T398" s="762"/>
      <c r="U398" s="925"/>
      <c r="V398" s="762"/>
      <c r="W398" s="925"/>
      <c r="X398" s="762"/>
      <c r="Y398" s="762"/>
      <c r="Z398" s="786"/>
      <c r="AA398" s="762"/>
      <c r="AB398" s="786"/>
      <c r="AC398" s="762"/>
      <c r="AD398" s="786"/>
      <c r="AE398" s="762"/>
      <c r="AF398" s="786"/>
      <c r="AG398" s="762"/>
      <c r="AH398" s="786"/>
      <c r="AI398" s="762"/>
      <c r="AJ398" s="762"/>
      <c r="AK398" s="786"/>
      <c r="AL398" s="762"/>
      <c r="AM398" s="786"/>
      <c r="AN398" s="762"/>
      <c r="AO398" s="786"/>
      <c r="AP398" s="762"/>
      <c r="AQ398" s="786"/>
      <c r="AR398" s="762"/>
      <c r="AS398" s="786"/>
      <c r="AT398" s="762"/>
      <c r="AU398" s="762"/>
      <c r="AV398" s="786"/>
      <c r="AW398" s="762"/>
      <c r="AX398" s="786"/>
      <c r="AY398" s="762"/>
      <c r="AZ398" s="786"/>
      <c r="BA398" s="762"/>
      <c r="BB398" s="786"/>
      <c r="BC398" s="762"/>
      <c r="BD398" s="786"/>
      <c r="BE398" s="762"/>
    </row>
    <row r="399" spans="1:57" s="49" customFormat="1">
      <c r="A399" s="887"/>
      <c r="B399" s="887"/>
      <c r="C399" s="960"/>
      <c r="D399" s="925"/>
      <c r="E399" s="762"/>
      <c r="F399" s="925"/>
      <c r="G399" s="762"/>
      <c r="H399" s="925"/>
      <c r="I399" s="762"/>
      <c r="J399" s="925"/>
      <c r="K399" s="762"/>
      <c r="L399" s="925"/>
      <c r="M399" s="762"/>
      <c r="N399" s="762"/>
      <c r="O399" s="925"/>
      <c r="P399" s="762"/>
      <c r="Q399" s="925"/>
      <c r="R399" s="762"/>
      <c r="S399" s="925"/>
      <c r="T399" s="762"/>
      <c r="U399" s="925"/>
      <c r="V399" s="762"/>
      <c r="W399" s="925"/>
      <c r="X399" s="762"/>
      <c r="Y399" s="762"/>
      <c r="Z399" s="786"/>
      <c r="AA399" s="762"/>
      <c r="AB399" s="786"/>
      <c r="AC399" s="762"/>
      <c r="AD399" s="786"/>
      <c r="AE399" s="762"/>
      <c r="AF399" s="786"/>
      <c r="AG399" s="762"/>
      <c r="AH399" s="786"/>
      <c r="AI399" s="762"/>
      <c r="AJ399" s="762"/>
      <c r="AK399" s="786"/>
      <c r="AL399" s="762"/>
      <c r="AM399" s="786"/>
      <c r="AN399" s="762"/>
      <c r="AO399" s="786"/>
      <c r="AP399" s="762"/>
      <c r="AQ399" s="786"/>
      <c r="AR399" s="762"/>
      <c r="AS399" s="786"/>
      <c r="AT399" s="762"/>
      <c r="AU399" s="762"/>
      <c r="AV399" s="786"/>
      <c r="AW399" s="762"/>
      <c r="AX399" s="786"/>
      <c r="AY399" s="762"/>
      <c r="AZ399" s="786"/>
      <c r="BA399" s="762"/>
      <c r="BB399" s="786"/>
      <c r="BC399" s="762"/>
      <c r="BD399" s="786"/>
      <c r="BE399" s="762"/>
    </row>
    <row r="400" spans="1:57" s="49" customFormat="1">
      <c r="A400" s="887"/>
      <c r="B400" s="887"/>
      <c r="C400" s="960"/>
      <c r="D400" s="925"/>
      <c r="E400" s="762"/>
      <c r="F400" s="925"/>
      <c r="G400" s="762"/>
      <c r="H400" s="925"/>
      <c r="I400" s="762"/>
      <c r="J400" s="925"/>
      <c r="K400" s="762"/>
      <c r="L400" s="925"/>
      <c r="M400" s="762"/>
      <c r="N400" s="762"/>
      <c r="O400" s="925"/>
      <c r="P400" s="762"/>
      <c r="Q400" s="925"/>
      <c r="R400" s="762"/>
      <c r="S400" s="925"/>
      <c r="T400" s="762"/>
      <c r="U400" s="925"/>
      <c r="V400" s="762"/>
      <c r="W400" s="925"/>
      <c r="X400" s="762"/>
      <c r="Y400" s="762"/>
      <c r="Z400" s="786"/>
      <c r="AA400" s="762"/>
      <c r="AB400" s="786"/>
      <c r="AC400" s="762"/>
      <c r="AD400" s="786"/>
      <c r="AE400" s="762"/>
      <c r="AF400" s="786"/>
      <c r="AG400" s="762"/>
      <c r="AH400" s="786"/>
      <c r="AI400" s="762"/>
      <c r="AJ400" s="762"/>
      <c r="AK400" s="786"/>
      <c r="AL400" s="762"/>
      <c r="AM400" s="786"/>
      <c r="AN400" s="762"/>
      <c r="AO400" s="786"/>
      <c r="AP400" s="762"/>
      <c r="AQ400" s="786"/>
      <c r="AR400" s="762"/>
      <c r="AS400" s="786"/>
      <c r="AT400" s="762"/>
      <c r="AU400" s="762"/>
      <c r="AV400" s="786"/>
      <c r="AW400" s="762"/>
      <c r="AX400" s="786"/>
      <c r="AY400" s="762"/>
      <c r="AZ400" s="786"/>
      <c r="BA400" s="762"/>
      <c r="BB400" s="786"/>
      <c r="BC400" s="762"/>
      <c r="BD400" s="786"/>
      <c r="BE400" s="762"/>
    </row>
    <row r="401" spans="1:57" s="49" customFormat="1">
      <c r="A401" s="887"/>
      <c r="B401" s="887"/>
      <c r="C401" s="960"/>
      <c r="D401" s="925"/>
      <c r="E401" s="762"/>
      <c r="F401" s="925"/>
      <c r="G401" s="762"/>
      <c r="H401" s="925"/>
      <c r="I401" s="762"/>
      <c r="J401" s="925"/>
      <c r="K401" s="762"/>
      <c r="L401" s="925"/>
      <c r="M401" s="762"/>
      <c r="N401" s="762"/>
      <c r="O401" s="925"/>
      <c r="P401" s="762"/>
      <c r="Q401" s="925"/>
      <c r="R401" s="762"/>
      <c r="S401" s="925"/>
      <c r="T401" s="762"/>
      <c r="U401" s="925"/>
      <c r="V401" s="762"/>
      <c r="W401" s="925"/>
      <c r="X401" s="762"/>
      <c r="Y401" s="762"/>
      <c r="Z401" s="786"/>
      <c r="AA401" s="762"/>
      <c r="AB401" s="786"/>
      <c r="AC401" s="762"/>
      <c r="AD401" s="786"/>
      <c r="AE401" s="762"/>
      <c r="AF401" s="786"/>
      <c r="AG401" s="762"/>
      <c r="AH401" s="786"/>
      <c r="AI401" s="762"/>
      <c r="AJ401" s="762"/>
      <c r="AK401" s="786"/>
      <c r="AL401" s="762"/>
      <c r="AM401" s="786"/>
      <c r="AN401" s="762"/>
      <c r="AO401" s="786"/>
      <c r="AP401" s="762"/>
      <c r="AQ401" s="786"/>
      <c r="AR401" s="762"/>
      <c r="AS401" s="786"/>
      <c r="AT401" s="762"/>
      <c r="AU401" s="762"/>
      <c r="AV401" s="786"/>
      <c r="AW401" s="762"/>
      <c r="AX401" s="786"/>
      <c r="AY401" s="762"/>
      <c r="AZ401" s="786"/>
      <c r="BA401" s="762"/>
      <c r="BB401" s="786"/>
      <c r="BC401" s="762"/>
      <c r="BD401" s="786"/>
      <c r="BE401" s="762"/>
    </row>
    <row r="402" spans="1:57" s="49" customFormat="1">
      <c r="A402" s="887"/>
      <c r="B402" s="887"/>
      <c r="C402" s="960"/>
      <c r="D402" s="925"/>
      <c r="E402" s="762"/>
      <c r="F402" s="925"/>
      <c r="G402" s="762"/>
      <c r="H402" s="925"/>
      <c r="I402" s="762"/>
      <c r="J402" s="925"/>
      <c r="K402" s="762"/>
      <c r="L402" s="925"/>
      <c r="M402" s="762"/>
      <c r="N402" s="762"/>
      <c r="O402" s="925"/>
      <c r="P402" s="762"/>
      <c r="Q402" s="925"/>
      <c r="R402" s="762"/>
      <c r="S402" s="925"/>
      <c r="T402" s="762"/>
      <c r="U402" s="925"/>
      <c r="V402" s="762"/>
      <c r="W402" s="925"/>
      <c r="X402" s="762"/>
      <c r="Y402" s="762"/>
      <c r="Z402" s="786"/>
      <c r="AA402" s="762"/>
      <c r="AB402" s="786"/>
      <c r="AC402" s="762"/>
      <c r="AD402" s="786"/>
      <c r="AE402" s="762"/>
      <c r="AF402" s="786"/>
      <c r="AG402" s="762"/>
      <c r="AH402" s="786"/>
      <c r="AI402" s="762"/>
      <c r="AJ402" s="762"/>
      <c r="AK402" s="786"/>
      <c r="AL402" s="762"/>
      <c r="AM402" s="786"/>
      <c r="AN402" s="762"/>
      <c r="AO402" s="786"/>
      <c r="AP402" s="762"/>
      <c r="AQ402" s="786"/>
      <c r="AR402" s="762"/>
      <c r="AS402" s="786"/>
      <c r="AT402" s="762"/>
      <c r="AU402" s="762"/>
      <c r="AV402" s="786"/>
      <c r="AW402" s="762"/>
      <c r="AX402" s="786"/>
      <c r="AY402" s="762"/>
      <c r="AZ402" s="786"/>
      <c r="BA402" s="762"/>
      <c r="BB402" s="786"/>
      <c r="BC402" s="762"/>
      <c r="BD402" s="786"/>
      <c r="BE402" s="762"/>
    </row>
    <row r="403" spans="1:57" s="49" customFormat="1">
      <c r="A403" s="887"/>
      <c r="B403" s="887"/>
      <c r="C403" s="960"/>
      <c r="D403" s="925"/>
      <c r="E403" s="762"/>
      <c r="F403" s="925"/>
      <c r="G403" s="762"/>
      <c r="H403" s="925"/>
      <c r="I403" s="762"/>
      <c r="J403" s="925"/>
      <c r="K403" s="762"/>
      <c r="L403" s="925"/>
      <c r="M403" s="762"/>
      <c r="N403" s="762"/>
      <c r="O403" s="925"/>
      <c r="P403" s="762"/>
      <c r="Q403" s="925"/>
      <c r="R403" s="762"/>
      <c r="S403" s="925"/>
      <c r="T403" s="762"/>
      <c r="U403" s="925"/>
      <c r="V403" s="762"/>
      <c r="W403" s="925"/>
      <c r="X403" s="762"/>
      <c r="Y403" s="762"/>
      <c r="Z403" s="786"/>
      <c r="AA403" s="762"/>
      <c r="AB403" s="786"/>
      <c r="AC403" s="762"/>
      <c r="AD403" s="786"/>
      <c r="AE403" s="762"/>
      <c r="AF403" s="786"/>
      <c r="AG403" s="762"/>
      <c r="AH403" s="786"/>
      <c r="AI403" s="762"/>
      <c r="AJ403" s="762"/>
      <c r="AK403" s="786"/>
      <c r="AL403" s="762"/>
      <c r="AM403" s="786"/>
      <c r="AN403" s="762"/>
      <c r="AO403" s="786"/>
      <c r="AP403" s="762"/>
      <c r="AQ403" s="786"/>
      <c r="AR403" s="762"/>
      <c r="AS403" s="786"/>
      <c r="AT403" s="762"/>
      <c r="AU403" s="762"/>
      <c r="AV403" s="786"/>
      <c r="AW403" s="762"/>
      <c r="AX403" s="786"/>
      <c r="AY403" s="762"/>
      <c r="AZ403" s="786"/>
      <c r="BA403" s="762"/>
      <c r="BB403" s="786"/>
      <c r="BC403" s="762"/>
      <c r="BD403" s="786"/>
      <c r="BE403" s="762"/>
    </row>
    <row r="404" spans="1:57" s="49" customFormat="1">
      <c r="A404" s="887"/>
      <c r="B404" s="887"/>
      <c r="C404" s="960"/>
      <c r="D404" s="925"/>
      <c r="E404" s="762"/>
      <c r="F404" s="925"/>
      <c r="G404" s="762"/>
      <c r="H404" s="925"/>
      <c r="I404" s="762"/>
      <c r="J404" s="925"/>
      <c r="K404" s="762"/>
      <c r="L404" s="925"/>
      <c r="M404" s="762"/>
      <c r="N404" s="762"/>
      <c r="O404" s="925"/>
      <c r="P404" s="762"/>
      <c r="Q404" s="925"/>
      <c r="R404" s="762"/>
      <c r="S404" s="925"/>
      <c r="T404" s="762"/>
      <c r="U404" s="925"/>
      <c r="V404" s="762"/>
      <c r="W404" s="925"/>
      <c r="X404" s="762"/>
      <c r="Y404" s="762"/>
      <c r="Z404" s="786"/>
      <c r="AA404" s="762"/>
      <c r="AB404" s="786"/>
      <c r="AC404" s="762"/>
      <c r="AD404" s="786"/>
      <c r="AE404" s="762"/>
      <c r="AF404" s="786"/>
      <c r="AG404" s="762"/>
      <c r="AH404" s="786"/>
      <c r="AI404" s="762"/>
      <c r="AJ404" s="762"/>
      <c r="AK404" s="786"/>
      <c r="AL404" s="762"/>
      <c r="AM404" s="786"/>
      <c r="AN404" s="762"/>
      <c r="AO404" s="786"/>
      <c r="AP404" s="762"/>
      <c r="AQ404" s="786"/>
      <c r="AR404" s="762"/>
      <c r="AS404" s="786"/>
      <c r="AT404" s="762"/>
      <c r="AU404" s="762"/>
      <c r="AV404" s="786"/>
      <c r="AW404" s="762"/>
      <c r="AX404" s="786"/>
      <c r="AY404" s="762"/>
      <c r="AZ404" s="786"/>
      <c r="BA404" s="762"/>
      <c r="BB404" s="786"/>
      <c r="BC404" s="762"/>
      <c r="BD404" s="786"/>
      <c r="BE404" s="762"/>
    </row>
    <row r="405" spans="1:57" s="49" customFormat="1">
      <c r="A405" s="768"/>
      <c r="B405" s="768"/>
      <c r="C405" s="768"/>
      <c r="D405" s="925"/>
      <c r="E405" s="762"/>
      <c r="F405" s="925"/>
      <c r="G405" s="762"/>
      <c r="H405" s="925"/>
      <c r="I405" s="762"/>
      <c r="J405" s="925"/>
      <c r="K405" s="762"/>
      <c r="L405" s="925"/>
      <c r="M405" s="762"/>
      <c r="N405" s="762"/>
      <c r="O405" s="925"/>
      <c r="P405" s="762"/>
      <c r="Q405" s="925"/>
      <c r="R405" s="762"/>
      <c r="S405" s="925"/>
      <c r="T405" s="762"/>
      <c r="U405" s="925"/>
      <c r="V405" s="762"/>
      <c r="W405" s="925"/>
      <c r="X405" s="762"/>
      <c r="Y405" s="762"/>
      <c r="Z405" s="786"/>
      <c r="AA405" s="762"/>
      <c r="AB405" s="786"/>
      <c r="AC405" s="762"/>
      <c r="AD405" s="786"/>
      <c r="AE405" s="762"/>
      <c r="AF405" s="786"/>
      <c r="AG405" s="762"/>
      <c r="AH405" s="786"/>
      <c r="AI405" s="762"/>
      <c r="AJ405" s="762"/>
      <c r="AK405" s="786"/>
      <c r="AL405" s="762"/>
      <c r="AM405" s="786"/>
      <c r="AN405" s="762"/>
      <c r="AO405" s="786"/>
      <c r="AP405" s="762"/>
      <c r="AQ405" s="786"/>
      <c r="AR405" s="762"/>
      <c r="AS405" s="786"/>
      <c r="AT405" s="762"/>
      <c r="AU405" s="762"/>
      <c r="AV405" s="786"/>
      <c r="AW405" s="762"/>
      <c r="AX405" s="786"/>
      <c r="AY405" s="762"/>
      <c r="AZ405" s="786"/>
      <c r="BA405" s="762"/>
      <c r="BB405" s="786"/>
      <c r="BC405" s="762"/>
      <c r="BD405" s="786"/>
      <c r="BE405" s="762"/>
    </row>
    <row r="406" spans="1:57" s="49" customFormat="1">
      <c r="A406" s="768"/>
      <c r="B406" s="768"/>
      <c r="C406" s="768"/>
      <c r="D406" s="925"/>
      <c r="E406" s="762"/>
      <c r="F406" s="925"/>
      <c r="G406" s="762"/>
      <c r="H406" s="925"/>
      <c r="I406" s="762"/>
      <c r="J406" s="925"/>
      <c r="K406" s="762"/>
      <c r="L406" s="925"/>
      <c r="M406" s="762"/>
      <c r="N406" s="762"/>
      <c r="O406" s="925"/>
      <c r="P406" s="762"/>
      <c r="Q406" s="925"/>
      <c r="R406" s="762"/>
      <c r="S406" s="925"/>
      <c r="T406" s="762"/>
      <c r="U406" s="925"/>
      <c r="V406" s="762"/>
      <c r="W406" s="925"/>
      <c r="X406" s="762"/>
      <c r="Y406" s="762"/>
      <c r="Z406" s="786"/>
      <c r="AA406" s="762"/>
      <c r="AB406" s="786"/>
      <c r="AC406" s="762"/>
      <c r="AD406" s="786"/>
      <c r="AE406" s="762"/>
      <c r="AF406" s="786"/>
      <c r="AG406" s="762"/>
      <c r="AH406" s="786"/>
      <c r="AI406" s="762"/>
      <c r="AJ406" s="762"/>
      <c r="AK406" s="786"/>
      <c r="AL406" s="762"/>
      <c r="AM406" s="786"/>
      <c r="AN406" s="762"/>
      <c r="AO406" s="786"/>
      <c r="AP406" s="762"/>
      <c r="AQ406" s="786"/>
      <c r="AR406" s="762"/>
      <c r="AS406" s="786"/>
      <c r="AT406" s="762"/>
      <c r="AU406" s="762"/>
      <c r="AV406" s="786"/>
      <c r="AW406" s="762"/>
      <c r="AX406" s="786"/>
      <c r="AY406" s="762"/>
      <c r="AZ406" s="786"/>
      <c r="BA406" s="762"/>
      <c r="BB406" s="786"/>
      <c r="BC406" s="762"/>
      <c r="BD406" s="786"/>
      <c r="BE406" s="762"/>
    </row>
    <row r="407" spans="1:57" s="49" customFormat="1">
      <c r="A407" s="768"/>
      <c r="B407" s="768"/>
      <c r="C407" s="768"/>
      <c r="D407" s="925"/>
      <c r="E407" s="762"/>
      <c r="F407" s="925"/>
      <c r="G407" s="762"/>
      <c r="H407" s="925"/>
      <c r="I407" s="762"/>
      <c r="J407" s="925"/>
      <c r="K407" s="762"/>
      <c r="L407" s="925"/>
      <c r="M407" s="762"/>
      <c r="N407" s="762"/>
      <c r="O407" s="925"/>
      <c r="P407" s="762"/>
      <c r="Q407" s="925"/>
      <c r="R407" s="762"/>
      <c r="S407" s="925"/>
      <c r="T407" s="762"/>
      <c r="U407" s="925"/>
      <c r="V407" s="762"/>
      <c r="W407" s="925"/>
      <c r="X407" s="762"/>
      <c r="Y407" s="762"/>
      <c r="Z407" s="786"/>
      <c r="AA407" s="762"/>
      <c r="AB407" s="786"/>
      <c r="AC407" s="762"/>
      <c r="AD407" s="786"/>
      <c r="AE407" s="762"/>
      <c r="AF407" s="786"/>
      <c r="AG407" s="762"/>
      <c r="AH407" s="786"/>
      <c r="AI407" s="762"/>
      <c r="AJ407" s="762"/>
      <c r="AK407" s="786"/>
      <c r="AL407" s="762"/>
      <c r="AM407" s="786"/>
      <c r="AN407" s="762"/>
      <c r="AO407" s="786"/>
      <c r="AP407" s="762"/>
      <c r="AQ407" s="786"/>
      <c r="AR407" s="762"/>
      <c r="AS407" s="786"/>
      <c r="AT407" s="762"/>
      <c r="AU407" s="762"/>
      <c r="AV407" s="786"/>
      <c r="AW407" s="762"/>
      <c r="AX407" s="786"/>
      <c r="AY407" s="762"/>
      <c r="AZ407" s="786"/>
      <c r="BA407" s="762"/>
      <c r="BB407" s="786"/>
      <c r="BC407" s="762"/>
      <c r="BD407" s="786"/>
      <c r="BE407" s="762"/>
    </row>
    <row r="408" spans="1:57" s="49" customFormat="1">
      <c r="A408" s="768"/>
      <c r="B408" s="768"/>
      <c r="C408" s="768"/>
      <c r="D408" s="925"/>
      <c r="E408" s="762"/>
      <c r="F408" s="925"/>
      <c r="G408" s="762"/>
      <c r="H408" s="925"/>
      <c r="I408" s="762"/>
      <c r="J408" s="925"/>
      <c r="K408" s="762"/>
      <c r="L408" s="925"/>
      <c r="M408" s="762"/>
      <c r="N408" s="762"/>
      <c r="O408" s="925"/>
      <c r="P408" s="762"/>
      <c r="Q408" s="925"/>
      <c r="R408" s="762"/>
      <c r="S408" s="925"/>
      <c r="T408" s="762"/>
      <c r="U408" s="925"/>
      <c r="V408" s="762"/>
      <c r="W408" s="925"/>
      <c r="X408" s="762"/>
      <c r="Y408" s="762"/>
      <c r="Z408" s="786"/>
      <c r="AA408" s="762"/>
      <c r="AB408" s="786"/>
      <c r="AC408" s="762"/>
      <c r="AD408" s="786"/>
      <c r="AE408" s="762"/>
      <c r="AF408" s="786"/>
      <c r="AG408" s="762"/>
      <c r="AH408" s="786"/>
      <c r="AI408" s="762"/>
      <c r="AJ408" s="762"/>
      <c r="AK408" s="786"/>
      <c r="AL408" s="762"/>
      <c r="AM408" s="786"/>
      <c r="AN408" s="762"/>
      <c r="AO408" s="786"/>
      <c r="AP408" s="762"/>
      <c r="AQ408" s="786"/>
      <c r="AR408" s="762"/>
      <c r="AS408" s="786"/>
      <c r="AT408" s="762"/>
      <c r="AU408" s="762"/>
      <c r="AV408" s="786"/>
      <c r="AW408" s="762"/>
      <c r="AX408" s="786"/>
      <c r="AY408" s="762"/>
      <c r="AZ408" s="786"/>
      <c r="BA408" s="762"/>
      <c r="BB408" s="786"/>
      <c r="BC408" s="762"/>
      <c r="BD408" s="786"/>
      <c r="BE408" s="762"/>
    </row>
    <row r="409" spans="1:57" s="49" customFormat="1">
      <c r="A409" s="768"/>
      <c r="B409" s="768"/>
      <c r="C409" s="768"/>
      <c r="D409" s="925"/>
      <c r="E409" s="762"/>
      <c r="F409" s="925"/>
      <c r="G409" s="762"/>
      <c r="H409" s="925"/>
      <c r="I409" s="762"/>
      <c r="J409" s="925"/>
      <c r="K409" s="762"/>
      <c r="L409" s="925"/>
      <c r="M409" s="762"/>
      <c r="N409" s="762"/>
      <c r="O409" s="925"/>
      <c r="P409" s="762"/>
      <c r="Q409" s="925"/>
      <c r="R409" s="762"/>
      <c r="S409" s="925"/>
      <c r="T409" s="762"/>
      <c r="U409" s="925"/>
      <c r="V409" s="762"/>
      <c r="W409" s="925"/>
      <c r="X409" s="762"/>
      <c r="Y409" s="762"/>
      <c r="Z409" s="786"/>
      <c r="AA409" s="762"/>
      <c r="AB409" s="786"/>
      <c r="AC409" s="762"/>
      <c r="AD409" s="786"/>
      <c r="AE409" s="762"/>
      <c r="AF409" s="786"/>
      <c r="AG409" s="762"/>
      <c r="AH409" s="786"/>
      <c r="AI409" s="762"/>
      <c r="AJ409" s="762"/>
      <c r="AK409" s="786"/>
      <c r="AL409" s="762"/>
      <c r="AM409" s="786"/>
      <c r="AN409" s="762"/>
      <c r="AO409" s="786"/>
      <c r="AP409" s="762"/>
      <c r="AQ409" s="786"/>
      <c r="AR409" s="762"/>
      <c r="AS409" s="786"/>
      <c r="AT409" s="762"/>
      <c r="AU409" s="762"/>
      <c r="AV409" s="786"/>
      <c r="AW409" s="762"/>
      <c r="AX409" s="786"/>
      <c r="AY409" s="762"/>
      <c r="AZ409" s="786"/>
      <c r="BA409" s="762"/>
      <c r="BB409" s="786"/>
      <c r="BC409" s="762"/>
      <c r="BD409" s="786"/>
      <c r="BE409" s="762"/>
    </row>
    <row r="410" spans="1:57" s="49" customFormat="1">
      <c r="A410" s="768"/>
      <c r="B410" s="768"/>
      <c r="C410" s="768"/>
      <c r="D410" s="925"/>
      <c r="E410" s="762"/>
      <c r="F410" s="925"/>
      <c r="G410" s="762"/>
      <c r="H410" s="925"/>
      <c r="I410" s="762"/>
      <c r="J410" s="925"/>
      <c r="K410" s="762"/>
      <c r="L410" s="925"/>
      <c r="M410" s="762"/>
      <c r="N410" s="762"/>
      <c r="O410" s="925"/>
      <c r="P410" s="762"/>
      <c r="Q410" s="925"/>
      <c r="R410" s="762"/>
      <c r="S410" s="925"/>
      <c r="T410" s="762"/>
      <c r="U410" s="925"/>
      <c r="V410" s="762"/>
      <c r="W410" s="925"/>
      <c r="X410" s="762"/>
      <c r="Y410" s="762"/>
      <c r="Z410" s="786"/>
      <c r="AA410" s="762"/>
      <c r="AB410" s="786"/>
      <c r="AC410" s="762"/>
      <c r="AD410" s="786"/>
      <c r="AE410" s="762"/>
      <c r="AF410" s="786"/>
      <c r="AG410" s="762"/>
      <c r="AH410" s="786"/>
      <c r="AI410" s="762"/>
      <c r="AJ410" s="762"/>
      <c r="AK410" s="786"/>
      <c r="AL410" s="762"/>
      <c r="AM410" s="786"/>
      <c r="AN410" s="762"/>
      <c r="AO410" s="786"/>
      <c r="AP410" s="762"/>
      <c r="AQ410" s="786"/>
      <c r="AR410" s="762"/>
      <c r="AS410" s="786"/>
      <c r="AT410" s="762"/>
      <c r="AU410" s="762"/>
      <c r="AV410" s="786"/>
      <c r="AW410" s="762"/>
      <c r="AX410" s="786"/>
      <c r="AY410" s="762"/>
      <c r="AZ410" s="786"/>
      <c r="BA410" s="762"/>
      <c r="BB410" s="786"/>
      <c r="BC410" s="762"/>
      <c r="BD410" s="786"/>
      <c r="BE410" s="762"/>
    </row>
    <row r="411" spans="1:57" s="49" customFormat="1">
      <c r="A411" s="768"/>
      <c r="B411" s="768"/>
      <c r="C411" s="768"/>
      <c r="D411" s="925"/>
      <c r="E411" s="762"/>
      <c r="F411" s="925"/>
      <c r="G411" s="762"/>
      <c r="H411" s="925"/>
      <c r="I411" s="762"/>
      <c r="J411" s="925"/>
      <c r="K411" s="762"/>
      <c r="L411" s="925"/>
      <c r="M411" s="762"/>
      <c r="N411" s="762"/>
      <c r="O411" s="925"/>
      <c r="P411" s="762"/>
      <c r="Q411" s="925"/>
      <c r="R411" s="762"/>
      <c r="S411" s="925"/>
      <c r="T411" s="762"/>
      <c r="U411" s="925"/>
      <c r="V411" s="762"/>
      <c r="W411" s="925"/>
      <c r="X411" s="762"/>
      <c r="Y411" s="762"/>
      <c r="Z411" s="786"/>
      <c r="AA411" s="762"/>
      <c r="AB411" s="786"/>
      <c r="AC411" s="762"/>
      <c r="AD411" s="786"/>
      <c r="AE411" s="762"/>
      <c r="AF411" s="786"/>
      <c r="AG411" s="762"/>
      <c r="AH411" s="786"/>
      <c r="AI411" s="762"/>
      <c r="AJ411" s="762"/>
      <c r="AK411" s="786"/>
      <c r="AL411" s="762"/>
      <c r="AM411" s="786"/>
      <c r="AN411" s="762"/>
      <c r="AO411" s="786"/>
      <c r="AP411" s="762"/>
      <c r="AQ411" s="786"/>
      <c r="AR411" s="762"/>
      <c r="AS411" s="786"/>
      <c r="AT411" s="762"/>
      <c r="AU411" s="762"/>
      <c r="AV411" s="786"/>
      <c r="AW411" s="762"/>
      <c r="AX411" s="786"/>
      <c r="AY411" s="762"/>
      <c r="AZ411" s="786"/>
      <c r="BA411" s="762"/>
      <c r="BB411" s="786"/>
      <c r="BC411" s="762"/>
      <c r="BD411" s="786"/>
      <c r="BE411" s="762"/>
    </row>
    <row r="412" spans="1:57" s="49" customFormat="1">
      <c r="A412" s="768"/>
      <c r="B412" s="768"/>
      <c r="C412" s="768"/>
      <c r="D412" s="925"/>
      <c r="E412" s="762"/>
      <c r="F412" s="925"/>
      <c r="G412" s="762"/>
      <c r="H412" s="925"/>
      <c r="I412" s="762"/>
      <c r="J412" s="925"/>
      <c r="K412" s="762"/>
      <c r="L412" s="925"/>
      <c r="M412" s="762"/>
      <c r="N412" s="762"/>
      <c r="O412" s="925"/>
      <c r="P412" s="762"/>
      <c r="Q412" s="925"/>
      <c r="R412" s="762"/>
      <c r="S412" s="925"/>
      <c r="T412" s="762"/>
      <c r="U412" s="925"/>
      <c r="V412" s="762"/>
      <c r="W412" s="925"/>
      <c r="X412" s="762"/>
      <c r="Y412" s="762"/>
      <c r="Z412" s="786"/>
      <c r="AA412" s="762"/>
      <c r="AB412" s="786"/>
      <c r="AC412" s="762"/>
      <c r="AD412" s="786"/>
      <c r="AE412" s="762"/>
      <c r="AF412" s="786"/>
      <c r="AG412" s="762"/>
      <c r="AH412" s="786"/>
      <c r="AI412" s="762"/>
      <c r="AJ412" s="762"/>
      <c r="AK412" s="786"/>
      <c r="AL412" s="762"/>
      <c r="AM412" s="786"/>
      <c r="AN412" s="762"/>
      <c r="AO412" s="786"/>
      <c r="AP412" s="762"/>
      <c r="AQ412" s="786"/>
      <c r="AR412" s="762"/>
      <c r="AS412" s="786"/>
      <c r="AT412" s="762"/>
      <c r="AU412" s="762"/>
      <c r="AV412" s="786"/>
      <c r="AW412" s="762"/>
      <c r="AX412" s="786"/>
      <c r="AY412" s="762"/>
      <c r="AZ412" s="786"/>
      <c r="BA412" s="762"/>
      <c r="BB412" s="786"/>
      <c r="BC412" s="762"/>
      <c r="BD412" s="786"/>
      <c r="BE412" s="762"/>
    </row>
    <row r="413" spans="1:57" s="49" customFormat="1">
      <c r="A413" s="768"/>
      <c r="B413" s="768"/>
      <c r="C413" s="768"/>
      <c r="D413" s="925"/>
      <c r="E413" s="762"/>
      <c r="F413" s="925"/>
      <c r="G413" s="762"/>
      <c r="H413" s="925"/>
      <c r="I413" s="762"/>
      <c r="J413" s="925"/>
      <c r="K413" s="762"/>
      <c r="L413" s="925"/>
      <c r="M413" s="762"/>
      <c r="N413" s="762"/>
      <c r="O413" s="925"/>
      <c r="P413" s="762"/>
      <c r="Q413" s="925"/>
      <c r="R413" s="762"/>
      <c r="S413" s="925"/>
      <c r="T413" s="762"/>
      <c r="U413" s="925"/>
      <c r="V413" s="762"/>
      <c r="W413" s="925"/>
      <c r="X413" s="762"/>
      <c r="Y413" s="762"/>
      <c r="Z413" s="786"/>
      <c r="AA413" s="762"/>
      <c r="AB413" s="786"/>
      <c r="AC413" s="762"/>
      <c r="AD413" s="786"/>
      <c r="AE413" s="762"/>
      <c r="AF413" s="786"/>
      <c r="AG413" s="762"/>
      <c r="AH413" s="786"/>
      <c r="AI413" s="762"/>
      <c r="AJ413" s="762"/>
      <c r="AK413" s="786"/>
      <c r="AL413" s="762"/>
      <c r="AM413" s="786"/>
      <c r="AN413" s="762"/>
      <c r="AO413" s="786"/>
      <c r="AP413" s="762"/>
      <c r="AQ413" s="786"/>
      <c r="AR413" s="762"/>
      <c r="AS413" s="786"/>
      <c r="AT413" s="762"/>
      <c r="AU413" s="762"/>
      <c r="AV413" s="786"/>
      <c r="AW413" s="762"/>
      <c r="AX413" s="786"/>
      <c r="AY413" s="762"/>
      <c r="AZ413" s="786"/>
      <c r="BA413" s="762"/>
      <c r="BB413" s="786"/>
      <c r="BC413" s="762"/>
      <c r="BD413" s="786"/>
      <c r="BE413" s="762"/>
    </row>
    <row r="414" spans="1:57" s="49" customFormat="1">
      <c r="A414" s="768"/>
      <c r="B414" s="768"/>
      <c r="C414" s="768"/>
      <c r="D414" s="925"/>
      <c r="E414" s="762"/>
      <c r="F414" s="925"/>
      <c r="G414" s="762"/>
      <c r="H414" s="925"/>
      <c r="I414" s="762"/>
      <c r="J414" s="925"/>
      <c r="K414" s="762"/>
      <c r="L414" s="925"/>
      <c r="M414" s="762"/>
      <c r="N414" s="762"/>
      <c r="O414" s="925"/>
      <c r="P414" s="762"/>
      <c r="Q414" s="925"/>
      <c r="R414" s="762"/>
      <c r="S414" s="925"/>
      <c r="T414" s="762"/>
      <c r="U414" s="925"/>
      <c r="V414" s="762"/>
      <c r="W414" s="925"/>
      <c r="X414" s="762"/>
      <c r="Y414" s="762"/>
      <c r="Z414" s="786"/>
      <c r="AA414" s="762"/>
      <c r="AB414" s="786"/>
      <c r="AC414" s="762"/>
      <c r="AD414" s="786"/>
      <c r="AE414" s="762"/>
      <c r="AF414" s="786"/>
      <c r="AG414" s="762"/>
      <c r="AH414" s="786"/>
      <c r="AI414" s="762"/>
      <c r="AJ414" s="762"/>
      <c r="AK414" s="786"/>
      <c r="AL414" s="762"/>
      <c r="AM414" s="786"/>
      <c r="AN414" s="762"/>
      <c r="AO414" s="786"/>
      <c r="AP414" s="762"/>
      <c r="AQ414" s="786"/>
      <c r="AR414" s="762"/>
      <c r="AS414" s="786"/>
      <c r="AT414" s="762"/>
      <c r="AU414" s="762"/>
      <c r="AV414" s="786"/>
      <c r="AW414" s="762"/>
      <c r="AX414" s="786"/>
      <c r="AY414" s="762"/>
      <c r="AZ414" s="786"/>
      <c r="BA414" s="762"/>
      <c r="BB414" s="786"/>
      <c r="BC414" s="762"/>
      <c r="BD414" s="786"/>
      <c r="BE414" s="762"/>
    </row>
    <row r="415" spans="1:57" s="49" customFormat="1">
      <c r="A415" s="768"/>
      <c r="B415" s="768"/>
      <c r="C415" s="768"/>
      <c r="D415" s="925"/>
      <c r="E415" s="762"/>
      <c r="F415" s="925"/>
      <c r="G415" s="762"/>
      <c r="H415" s="925"/>
      <c r="I415" s="762"/>
      <c r="J415" s="925"/>
      <c r="K415" s="762"/>
      <c r="L415" s="925"/>
      <c r="M415" s="762"/>
      <c r="N415" s="762"/>
      <c r="O415" s="925"/>
      <c r="P415" s="762"/>
      <c r="Q415" s="925"/>
      <c r="R415" s="762"/>
      <c r="S415" s="925"/>
      <c r="T415" s="762"/>
      <c r="U415" s="925"/>
      <c r="V415" s="762"/>
      <c r="W415" s="925"/>
      <c r="X415" s="762"/>
      <c r="Y415" s="762"/>
      <c r="Z415" s="786"/>
      <c r="AA415" s="762"/>
      <c r="AB415" s="786"/>
      <c r="AC415" s="762"/>
      <c r="AD415" s="786"/>
      <c r="AE415" s="762"/>
      <c r="AF415" s="786"/>
      <c r="AG415" s="762"/>
      <c r="AH415" s="786"/>
      <c r="AI415" s="762"/>
      <c r="AJ415" s="762"/>
      <c r="AK415" s="786"/>
      <c r="AL415" s="762"/>
      <c r="AM415" s="786"/>
      <c r="AN415" s="762"/>
      <c r="AO415" s="786"/>
      <c r="AP415" s="762"/>
      <c r="AQ415" s="786"/>
      <c r="AR415" s="762"/>
      <c r="AS415" s="786"/>
      <c r="AT415" s="762"/>
      <c r="AU415" s="762"/>
      <c r="AV415" s="786"/>
      <c r="AW415" s="762"/>
      <c r="AX415" s="786"/>
      <c r="AY415" s="762"/>
      <c r="AZ415" s="786"/>
      <c r="BA415" s="762"/>
      <c r="BB415" s="786"/>
      <c r="BC415" s="762"/>
      <c r="BD415" s="786"/>
      <c r="BE415" s="762"/>
    </row>
    <row r="416" spans="1:57" s="49" customFormat="1">
      <c r="A416" s="768"/>
      <c r="B416" s="768"/>
      <c r="C416" s="768"/>
      <c r="D416" s="925"/>
      <c r="E416" s="762"/>
      <c r="F416" s="925"/>
      <c r="G416" s="762"/>
      <c r="H416" s="925"/>
      <c r="I416" s="762"/>
      <c r="J416" s="925"/>
      <c r="K416" s="762"/>
      <c r="L416" s="925"/>
      <c r="M416" s="762"/>
      <c r="N416" s="762"/>
      <c r="O416" s="925"/>
      <c r="P416" s="762"/>
      <c r="Q416" s="925"/>
      <c r="R416" s="762"/>
      <c r="S416" s="925"/>
      <c r="T416" s="762"/>
      <c r="U416" s="925"/>
      <c r="V416" s="762"/>
      <c r="W416" s="925"/>
      <c r="X416" s="762"/>
      <c r="Y416" s="762"/>
      <c r="Z416" s="786"/>
      <c r="AA416" s="762"/>
      <c r="AB416" s="786"/>
      <c r="AC416" s="762"/>
      <c r="AD416" s="786"/>
      <c r="AE416" s="762"/>
      <c r="AF416" s="786"/>
      <c r="AG416" s="762"/>
      <c r="AH416" s="786"/>
      <c r="AI416" s="762"/>
      <c r="AJ416" s="762"/>
      <c r="AK416" s="786"/>
      <c r="AL416" s="762"/>
      <c r="AM416" s="786"/>
      <c r="AN416" s="762"/>
      <c r="AO416" s="786"/>
      <c r="AP416" s="762"/>
      <c r="AQ416" s="786"/>
      <c r="AR416" s="762"/>
      <c r="AS416" s="786"/>
      <c r="AT416" s="762"/>
      <c r="AU416" s="762"/>
      <c r="AV416" s="786"/>
      <c r="AW416" s="762"/>
      <c r="AX416" s="786"/>
      <c r="AY416" s="762"/>
      <c r="AZ416" s="786"/>
      <c r="BA416" s="762"/>
      <c r="BB416" s="786"/>
      <c r="BC416" s="762"/>
      <c r="BD416" s="786"/>
      <c r="BE416" s="762"/>
    </row>
    <row r="417" spans="1:57" s="49" customFormat="1">
      <c r="A417" s="768"/>
      <c r="B417" s="768"/>
      <c r="C417" s="768"/>
      <c r="D417" s="925"/>
      <c r="E417" s="762"/>
      <c r="F417" s="925"/>
      <c r="G417" s="762"/>
      <c r="H417" s="925"/>
      <c r="I417" s="762"/>
      <c r="J417" s="925"/>
      <c r="K417" s="762"/>
      <c r="L417" s="925"/>
      <c r="M417" s="762"/>
      <c r="N417" s="762"/>
      <c r="O417" s="925"/>
      <c r="P417" s="762"/>
      <c r="Q417" s="925"/>
      <c r="R417" s="762"/>
      <c r="S417" s="925"/>
      <c r="T417" s="762"/>
      <c r="U417" s="925"/>
      <c r="V417" s="762"/>
      <c r="W417" s="925"/>
      <c r="X417" s="762"/>
      <c r="Y417" s="762"/>
      <c r="Z417" s="786"/>
      <c r="AA417" s="762"/>
      <c r="AB417" s="786"/>
      <c r="AC417" s="762"/>
      <c r="AD417" s="786"/>
      <c r="AE417" s="762"/>
      <c r="AF417" s="786"/>
      <c r="AG417" s="762"/>
      <c r="AH417" s="786"/>
      <c r="AI417" s="762"/>
      <c r="AJ417" s="762"/>
      <c r="AK417" s="786"/>
      <c r="AL417" s="762"/>
      <c r="AM417" s="786"/>
      <c r="AN417" s="762"/>
      <c r="AO417" s="786"/>
      <c r="AP417" s="762"/>
      <c r="AQ417" s="786"/>
      <c r="AR417" s="762"/>
      <c r="AS417" s="786"/>
      <c r="AT417" s="762"/>
      <c r="AU417" s="762"/>
      <c r="AV417" s="786"/>
      <c r="AW417" s="762"/>
      <c r="AX417" s="786"/>
      <c r="AY417" s="762"/>
      <c r="AZ417" s="786"/>
      <c r="BA417" s="762"/>
      <c r="BB417" s="786"/>
      <c r="BC417" s="762"/>
      <c r="BD417" s="786"/>
      <c r="BE417" s="762"/>
    </row>
    <row r="418" spans="1:57" s="49" customFormat="1">
      <c r="D418" s="925"/>
      <c r="E418" s="762"/>
      <c r="F418" s="925"/>
      <c r="G418" s="762"/>
      <c r="H418" s="925"/>
      <c r="I418" s="762"/>
      <c r="J418" s="925"/>
      <c r="K418" s="762"/>
      <c r="L418" s="925"/>
      <c r="M418" s="762"/>
      <c r="N418" s="762"/>
      <c r="O418" s="925"/>
      <c r="P418" s="762"/>
      <c r="Q418" s="925"/>
      <c r="R418" s="762"/>
      <c r="S418" s="925"/>
      <c r="T418" s="762"/>
      <c r="U418" s="925"/>
      <c r="V418" s="762"/>
      <c r="W418" s="925"/>
      <c r="X418" s="762"/>
      <c r="Y418" s="762"/>
      <c r="Z418" s="786"/>
      <c r="AA418" s="762"/>
      <c r="AB418" s="786"/>
      <c r="AC418" s="762"/>
      <c r="AD418" s="786"/>
      <c r="AE418" s="762"/>
      <c r="AF418" s="786"/>
      <c r="AG418" s="762"/>
      <c r="AH418" s="786"/>
      <c r="AI418" s="762"/>
      <c r="AJ418" s="762"/>
      <c r="AK418" s="786"/>
      <c r="AL418" s="762"/>
      <c r="AM418" s="786"/>
      <c r="AN418" s="762"/>
      <c r="AO418" s="786"/>
      <c r="AP418" s="762"/>
      <c r="AQ418" s="786"/>
      <c r="AR418" s="762"/>
      <c r="AS418" s="786"/>
      <c r="AT418" s="762"/>
      <c r="AU418" s="762"/>
      <c r="AV418" s="786"/>
      <c r="AW418" s="762"/>
      <c r="AX418" s="786"/>
      <c r="AY418" s="762"/>
      <c r="AZ418" s="786"/>
      <c r="BA418" s="762"/>
      <c r="BB418" s="786"/>
      <c r="BC418" s="762"/>
      <c r="BD418" s="786"/>
      <c r="BE418" s="762"/>
    </row>
    <row r="419" spans="1:57" s="49" customFormat="1">
      <c r="D419" s="925"/>
      <c r="E419" s="762"/>
      <c r="F419" s="925"/>
      <c r="G419" s="762"/>
      <c r="H419" s="925"/>
      <c r="I419" s="762"/>
      <c r="J419" s="925"/>
      <c r="K419" s="762"/>
      <c r="L419" s="925"/>
      <c r="M419" s="762"/>
      <c r="N419" s="762"/>
      <c r="O419" s="925"/>
      <c r="P419" s="762"/>
      <c r="Q419" s="925"/>
      <c r="R419" s="762"/>
      <c r="S419" s="925"/>
      <c r="T419" s="762"/>
      <c r="U419" s="925"/>
      <c r="V419" s="762"/>
      <c r="W419" s="925"/>
      <c r="X419" s="762"/>
      <c r="Y419" s="762"/>
      <c r="Z419" s="786"/>
      <c r="AA419" s="762"/>
      <c r="AB419" s="786"/>
      <c r="AC419" s="762"/>
      <c r="AD419" s="786"/>
      <c r="AE419" s="762"/>
      <c r="AF419" s="786"/>
      <c r="AG419" s="762"/>
      <c r="AH419" s="786"/>
      <c r="AI419" s="762"/>
      <c r="AJ419" s="762"/>
      <c r="AK419" s="786"/>
      <c r="AL419" s="762"/>
      <c r="AM419" s="786"/>
      <c r="AN419" s="762"/>
      <c r="AO419" s="786"/>
      <c r="AP419" s="762"/>
      <c r="AQ419" s="786"/>
      <c r="AR419" s="762"/>
      <c r="AS419" s="786"/>
      <c r="AT419" s="762"/>
      <c r="AU419" s="762"/>
      <c r="AV419" s="786"/>
      <c r="AW419" s="762"/>
      <c r="AX419" s="786"/>
      <c r="AY419" s="762"/>
      <c r="AZ419" s="786"/>
      <c r="BA419" s="762"/>
      <c r="BB419" s="786"/>
      <c r="BC419" s="762"/>
      <c r="BD419" s="786"/>
      <c r="BE419" s="762"/>
    </row>
    <row r="420" spans="1:57" s="49" customFormat="1">
      <c r="D420" s="925"/>
      <c r="E420" s="762"/>
      <c r="F420" s="925"/>
      <c r="G420" s="762"/>
      <c r="H420" s="925"/>
      <c r="I420" s="762"/>
      <c r="J420" s="925"/>
      <c r="K420" s="762"/>
      <c r="L420" s="925"/>
      <c r="M420" s="762"/>
      <c r="N420" s="762"/>
      <c r="O420" s="925"/>
      <c r="P420" s="762"/>
      <c r="Q420" s="925"/>
      <c r="R420" s="762"/>
      <c r="S420" s="925"/>
      <c r="T420" s="762"/>
      <c r="U420" s="925"/>
      <c r="V420" s="762"/>
      <c r="W420" s="925"/>
      <c r="X420" s="762"/>
      <c r="Y420" s="762"/>
      <c r="Z420" s="786"/>
      <c r="AA420" s="762"/>
      <c r="AB420" s="786"/>
      <c r="AC420" s="762"/>
      <c r="AD420" s="786"/>
      <c r="AE420" s="762"/>
      <c r="AF420" s="786"/>
      <c r="AG420" s="762"/>
      <c r="AH420" s="786"/>
      <c r="AI420" s="762"/>
      <c r="AJ420" s="762"/>
      <c r="AK420" s="786"/>
      <c r="AL420" s="762"/>
      <c r="AM420" s="786"/>
      <c r="AN420" s="762"/>
      <c r="AO420" s="786"/>
      <c r="AP420" s="762"/>
      <c r="AQ420" s="786"/>
      <c r="AR420" s="762"/>
      <c r="AS420" s="786"/>
      <c r="AT420" s="762"/>
      <c r="AU420" s="762"/>
      <c r="AV420" s="786"/>
      <c r="AW420" s="762"/>
      <c r="AX420" s="786"/>
      <c r="AY420" s="762"/>
      <c r="AZ420" s="786"/>
      <c r="BA420" s="762"/>
      <c r="BB420" s="786"/>
      <c r="BC420" s="762"/>
      <c r="BD420" s="786"/>
      <c r="BE420" s="762"/>
    </row>
    <row r="421" spans="1:57" s="49" customFormat="1">
      <c r="D421" s="925"/>
      <c r="E421" s="762"/>
      <c r="F421" s="925"/>
      <c r="G421" s="762"/>
      <c r="H421" s="925"/>
      <c r="I421" s="762"/>
      <c r="J421" s="925"/>
      <c r="K421" s="762"/>
      <c r="L421" s="925"/>
      <c r="M421" s="762"/>
      <c r="N421" s="762"/>
      <c r="O421" s="925"/>
      <c r="P421" s="762"/>
      <c r="Q421" s="925"/>
      <c r="R421" s="762"/>
      <c r="S421" s="925"/>
      <c r="T421" s="762"/>
      <c r="U421" s="925"/>
      <c r="V421" s="762"/>
      <c r="W421" s="925"/>
      <c r="X421" s="762"/>
      <c r="Y421" s="762"/>
      <c r="Z421" s="786"/>
      <c r="AA421" s="762"/>
      <c r="AB421" s="786"/>
      <c r="AC421" s="762"/>
      <c r="AD421" s="786"/>
      <c r="AE421" s="762"/>
      <c r="AF421" s="786"/>
      <c r="AG421" s="762"/>
      <c r="AH421" s="786"/>
      <c r="AI421" s="762"/>
      <c r="AJ421" s="762"/>
      <c r="AK421" s="786"/>
      <c r="AL421" s="762"/>
      <c r="AM421" s="786"/>
      <c r="AN421" s="762"/>
      <c r="AO421" s="786"/>
      <c r="AP421" s="762"/>
      <c r="AQ421" s="786"/>
      <c r="AR421" s="762"/>
      <c r="AS421" s="786"/>
      <c r="AT421" s="762"/>
      <c r="AU421" s="762"/>
      <c r="AV421" s="786"/>
      <c r="AW421" s="762"/>
      <c r="AX421" s="786"/>
      <c r="AY421" s="762"/>
      <c r="AZ421" s="786"/>
      <c r="BA421" s="762"/>
      <c r="BB421" s="786"/>
      <c r="BC421" s="762"/>
      <c r="BD421" s="786"/>
      <c r="BE421" s="762"/>
    </row>
    <row r="422" spans="1:57" s="49" customFormat="1">
      <c r="D422" s="925"/>
      <c r="E422" s="762"/>
      <c r="F422" s="925"/>
      <c r="G422" s="762"/>
      <c r="H422" s="925"/>
      <c r="I422" s="762"/>
      <c r="J422" s="925"/>
      <c r="K422" s="762"/>
      <c r="L422" s="925"/>
      <c r="M422" s="762"/>
      <c r="N422" s="762"/>
      <c r="O422" s="925"/>
      <c r="P422" s="762"/>
      <c r="Q422" s="925"/>
      <c r="R422" s="762"/>
      <c r="S422" s="925"/>
      <c r="T422" s="762"/>
      <c r="U422" s="925"/>
      <c r="V422" s="762"/>
      <c r="W422" s="925"/>
      <c r="X422" s="762"/>
      <c r="Y422" s="762"/>
      <c r="Z422" s="786"/>
      <c r="AA422" s="762"/>
      <c r="AB422" s="786"/>
      <c r="AC422" s="762"/>
      <c r="AD422" s="786"/>
      <c r="AE422" s="762"/>
      <c r="AF422" s="786"/>
      <c r="AG422" s="762"/>
      <c r="AH422" s="786"/>
      <c r="AI422" s="762"/>
      <c r="AJ422" s="762"/>
      <c r="AK422" s="786"/>
      <c r="AL422" s="762"/>
      <c r="AM422" s="786"/>
      <c r="AN422" s="762"/>
      <c r="AO422" s="786"/>
      <c r="AP422" s="762"/>
      <c r="AQ422" s="786"/>
      <c r="AR422" s="762"/>
      <c r="AS422" s="786"/>
      <c r="AT422" s="762"/>
      <c r="AU422" s="762"/>
      <c r="AV422" s="786"/>
      <c r="AW422" s="762"/>
      <c r="AX422" s="786"/>
      <c r="AY422" s="762"/>
      <c r="AZ422" s="786"/>
      <c r="BA422" s="762"/>
      <c r="BB422" s="786"/>
      <c r="BC422" s="762"/>
      <c r="BD422" s="786"/>
      <c r="BE422" s="762"/>
    </row>
    <row r="423" spans="1:57" s="49" customFormat="1">
      <c r="D423" s="925"/>
      <c r="E423" s="762"/>
      <c r="F423" s="925"/>
      <c r="G423" s="762"/>
      <c r="H423" s="925"/>
      <c r="I423" s="762"/>
      <c r="J423" s="925"/>
      <c r="K423" s="762"/>
      <c r="L423" s="925"/>
      <c r="M423" s="762"/>
      <c r="N423" s="762"/>
      <c r="O423" s="925"/>
      <c r="P423" s="762"/>
      <c r="Q423" s="925"/>
      <c r="R423" s="762"/>
      <c r="S423" s="925"/>
      <c r="T423" s="762"/>
      <c r="U423" s="925"/>
      <c r="V423" s="762"/>
      <c r="W423" s="925"/>
      <c r="X423" s="762"/>
      <c r="Y423" s="762"/>
      <c r="Z423" s="786"/>
      <c r="AA423" s="762"/>
      <c r="AB423" s="786"/>
      <c r="AC423" s="762"/>
      <c r="AD423" s="786"/>
      <c r="AE423" s="762"/>
      <c r="AF423" s="786"/>
      <c r="AG423" s="762"/>
      <c r="AH423" s="786"/>
      <c r="AI423" s="762"/>
      <c r="AJ423" s="762"/>
      <c r="AK423" s="786"/>
      <c r="AL423" s="762"/>
      <c r="AM423" s="786"/>
      <c r="AN423" s="762"/>
      <c r="AO423" s="786"/>
      <c r="AP423" s="762"/>
      <c r="AQ423" s="786"/>
      <c r="AR423" s="762"/>
      <c r="AS423" s="786"/>
      <c r="AT423" s="762"/>
      <c r="AU423" s="762"/>
      <c r="AV423" s="786"/>
      <c r="AW423" s="762"/>
      <c r="AX423" s="786"/>
      <c r="AY423" s="762"/>
      <c r="AZ423" s="786"/>
      <c r="BA423" s="762"/>
      <c r="BB423" s="786"/>
      <c r="BC423" s="762"/>
      <c r="BD423" s="786"/>
      <c r="BE423" s="762"/>
    </row>
    <row r="424" spans="1:57" s="49" customFormat="1">
      <c r="D424" s="925"/>
      <c r="E424" s="762"/>
      <c r="F424" s="925"/>
      <c r="G424" s="762"/>
      <c r="H424" s="925"/>
      <c r="I424" s="762"/>
      <c r="J424" s="925"/>
      <c r="K424" s="762"/>
      <c r="L424" s="925"/>
      <c r="M424" s="762"/>
      <c r="N424" s="762"/>
      <c r="O424" s="925"/>
      <c r="P424" s="762"/>
      <c r="Q424" s="925"/>
      <c r="R424" s="762"/>
      <c r="S424" s="925"/>
      <c r="T424" s="762"/>
      <c r="U424" s="925"/>
      <c r="V424" s="762"/>
      <c r="W424" s="925"/>
      <c r="X424" s="762"/>
      <c r="Y424" s="762"/>
      <c r="Z424" s="786"/>
      <c r="AA424" s="762"/>
      <c r="AB424" s="786"/>
      <c r="AC424" s="762"/>
      <c r="AD424" s="786"/>
      <c r="AE424" s="762"/>
      <c r="AF424" s="786"/>
      <c r="AG424" s="762"/>
      <c r="AH424" s="786"/>
      <c r="AI424" s="762"/>
      <c r="AJ424" s="762"/>
      <c r="AK424" s="786"/>
      <c r="AL424" s="762"/>
      <c r="AM424" s="786"/>
      <c r="AN424" s="762"/>
      <c r="AO424" s="786"/>
      <c r="AP424" s="762"/>
      <c r="AQ424" s="786"/>
      <c r="AR424" s="762"/>
      <c r="AS424" s="786"/>
      <c r="AT424" s="762"/>
      <c r="AU424" s="762"/>
      <c r="AV424" s="786"/>
      <c r="AW424" s="762"/>
      <c r="AX424" s="786"/>
      <c r="AY424" s="762"/>
      <c r="AZ424" s="786"/>
      <c r="BA424" s="762"/>
      <c r="BB424" s="786"/>
      <c r="BC424" s="762"/>
      <c r="BD424" s="786"/>
      <c r="BE424" s="762"/>
    </row>
    <row r="425" spans="1:57" s="49" customFormat="1">
      <c r="D425" s="925"/>
      <c r="E425" s="762"/>
      <c r="F425" s="925"/>
      <c r="G425" s="762"/>
      <c r="H425" s="925"/>
      <c r="I425" s="762"/>
      <c r="J425" s="925"/>
      <c r="K425" s="762"/>
      <c r="L425" s="925"/>
      <c r="M425" s="762"/>
      <c r="N425" s="762"/>
      <c r="O425" s="925"/>
      <c r="P425" s="762"/>
      <c r="Q425" s="925"/>
      <c r="R425" s="762"/>
      <c r="S425" s="925"/>
      <c r="T425" s="762"/>
      <c r="U425" s="925"/>
      <c r="V425" s="762"/>
      <c r="W425" s="925"/>
      <c r="X425" s="762"/>
      <c r="Y425" s="762"/>
      <c r="Z425" s="786"/>
      <c r="AA425" s="762"/>
      <c r="AB425" s="786"/>
      <c r="AC425" s="762"/>
      <c r="AD425" s="786"/>
      <c r="AE425" s="762"/>
      <c r="AF425" s="786"/>
      <c r="AG425" s="762"/>
      <c r="AH425" s="786"/>
      <c r="AI425" s="762"/>
      <c r="AJ425" s="762"/>
      <c r="AK425" s="786"/>
      <c r="AL425" s="762"/>
      <c r="AM425" s="786"/>
      <c r="AN425" s="762"/>
      <c r="AO425" s="786"/>
      <c r="AP425" s="762"/>
      <c r="AQ425" s="786"/>
      <c r="AR425" s="762"/>
      <c r="AS425" s="786"/>
      <c r="AT425" s="762"/>
      <c r="AU425" s="762"/>
      <c r="AV425" s="786"/>
      <c r="AW425" s="762"/>
      <c r="AX425" s="786"/>
      <c r="AY425" s="762"/>
      <c r="AZ425" s="786"/>
      <c r="BA425" s="762"/>
      <c r="BB425" s="786"/>
      <c r="BC425" s="762"/>
      <c r="BD425" s="786"/>
      <c r="BE425" s="762"/>
    </row>
    <row r="426" spans="1:57" s="49" customFormat="1">
      <c r="D426" s="925"/>
      <c r="E426" s="762"/>
      <c r="F426" s="925"/>
      <c r="G426" s="762"/>
      <c r="H426" s="925"/>
      <c r="I426" s="762"/>
      <c r="J426" s="925"/>
      <c r="K426" s="762"/>
      <c r="L426" s="925"/>
      <c r="M426" s="762"/>
      <c r="N426" s="762"/>
      <c r="O426" s="925"/>
      <c r="P426" s="762"/>
      <c r="Q426" s="925"/>
      <c r="R426" s="762"/>
      <c r="S426" s="925"/>
      <c r="T426" s="762"/>
      <c r="U426" s="925"/>
      <c r="V426" s="762"/>
      <c r="W426" s="925"/>
      <c r="X426" s="762"/>
      <c r="Y426" s="762"/>
      <c r="Z426" s="786"/>
      <c r="AA426" s="762"/>
      <c r="AB426" s="786"/>
      <c r="AC426" s="762"/>
      <c r="AD426" s="786"/>
      <c r="AE426" s="762"/>
      <c r="AF426" s="786"/>
      <c r="AG426" s="762"/>
      <c r="AH426" s="786"/>
      <c r="AI426" s="762"/>
      <c r="AJ426" s="762"/>
      <c r="AK426" s="786"/>
      <c r="AL426" s="762"/>
      <c r="AM426" s="786"/>
      <c r="AN426" s="762"/>
      <c r="AO426" s="786"/>
      <c r="AP426" s="762"/>
      <c r="AQ426" s="786"/>
      <c r="AR426" s="762"/>
      <c r="AS426" s="786"/>
      <c r="AT426" s="762"/>
      <c r="AU426" s="762"/>
      <c r="AV426" s="786"/>
      <c r="AW426" s="762"/>
      <c r="AX426" s="786"/>
      <c r="AY426" s="762"/>
      <c r="AZ426" s="786"/>
      <c r="BA426" s="762"/>
      <c r="BB426" s="786"/>
      <c r="BC426" s="762"/>
      <c r="BD426" s="786"/>
      <c r="BE426" s="762"/>
    </row>
    <row r="427" spans="1:57" s="49" customFormat="1">
      <c r="D427" s="925"/>
      <c r="E427" s="762"/>
      <c r="F427" s="925"/>
      <c r="G427" s="762"/>
      <c r="H427" s="925"/>
      <c r="I427" s="762"/>
      <c r="J427" s="925"/>
      <c r="K427" s="762"/>
      <c r="L427" s="925"/>
      <c r="M427" s="762"/>
      <c r="N427" s="762"/>
      <c r="O427" s="925"/>
      <c r="P427" s="762"/>
      <c r="Q427" s="925"/>
      <c r="R427" s="762"/>
      <c r="S427" s="925"/>
      <c r="T427" s="762"/>
      <c r="U427" s="925"/>
      <c r="V427" s="762"/>
      <c r="W427" s="925"/>
      <c r="X427" s="762"/>
      <c r="Y427" s="762"/>
      <c r="Z427" s="786"/>
      <c r="AA427" s="762"/>
      <c r="AB427" s="786"/>
      <c r="AC427" s="762"/>
      <c r="AD427" s="786"/>
      <c r="AE427" s="762"/>
      <c r="AF427" s="786"/>
      <c r="AG427" s="762"/>
      <c r="AH427" s="786"/>
      <c r="AI427" s="762"/>
      <c r="AJ427" s="762"/>
      <c r="AK427" s="786"/>
      <c r="AL427" s="762"/>
      <c r="AM427" s="786"/>
      <c r="AN427" s="762"/>
      <c r="AO427" s="786"/>
      <c r="AP427" s="762"/>
      <c r="AQ427" s="786"/>
      <c r="AR427" s="762"/>
      <c r="AS427" s="786"/>
      <c r="AT427" s="762"/>
      <c r="AU427" s="762"/>
      <c r="AV427" s="786"/>
      <c r="AW427" s="762"/>
      <c r="AX427" s="786"/>
      <c r="AY427" s="762"/>
      <c r="AZ427" s="786"/>
      <c r="BA427" s="762"/>
      <c r="BB427" s="786"/>
      <c r="BC427" s="762"/>
      <c r="BD427" s="786"/>
      <c r="BE427" s="762"/>
    </row>
    <row r="428" spans="1:57" s="49" customFormat="1">
      <c r="D428" s="925"/>
      <c r="E428" s="762"/>
      <c r="F428" s="925"/>
      <c r="G428" s="762"/>
      <c r="H428" s="925"/>
      <c r="I428" s="762"/>
      <c r="J428" s="925"/>
      <c r="K428" s="762"/>
      <c r="L428" s="925"/>
      <c r="M428" s="762"/>
      <c r="N428" s="762"/>
      <c r="O428" s="925"/>
      <c r="P428" s="762"/>
      <c r="Q428" s="925"/>
      <c r="R428" s="762"/>
      <c r="S428" s="925"/>
      <c r="T428" s="762"/>
      <c r="U428" s="925"/>
      <c r="V428" s="762"/>
      <c r="W428" s="925"/>
      <c r="X428" s="762"/>
      <c r="Y428" s="762"/>
      <c r="Z428" s="786"/>
      <c r="AA428" s="762"/>
      <c r="AB428" s="786"/>
      <c r="AC428" s="762"/>
      <c r="AD428" s="786"/>
      <c r="AE428" s="762"/>
      <c r="AF428" s="786"/>
      <c r="AG428" s="762"/>
      <c r="AH428" s="786"/>
      <c r="AI428" s="762"/>
      <c r="AJ428" s="762"/>
      <c r="AK428" s="786"/>
      <c r="AL428" s="762"/>
      <c r="AM428" s="786"/>
      <c r="AN428" s="762"/>
      <c r="AO428" s="786"/>
      <c r="AP428" s="762"/>
      <c r="AQ428" s="786"/>
      <c r="AR428" s="762"/>
      <c r="AS428" s="786"/>
      <c r="AT428" s="762"/>
      <c r="AU428" s="762"/>
      <c r="AV428" s="786"/>
      <c r="AW428" s="762"/>
      <c r="AX428" s="786"/>
      <c r="AY428" s="762"/>
      <c r="AZ428" s="786"/>
      <c r="BA428" s="762"/>
      <c r="BB428" s="786"/>
      <c r="BC428" s="762"/>
      <c r="BD428" s="786"/>
      <c r="BE428" s="762"/>
    </row>
    <row r="429" spans="1:57" s="49" customFormat="1">
      <c r="D429" s="925"/>
      <c r="E429" s="762"/>
      <c r="F429" s="925"/>
      <c r="G429" s="762"/>
      <c r="H429" s="925"/>
      <c r="I429" s="762"/>
      <c r="J429" s="925"/>
      <c r="K429" s="762"/>
      <c r="L429" s="925"/>
      <c r="M429" s="762"/>
      <c r="N429" s="762"/>
      <c r="O429" s="925"/>
      <c r="P429" s="762"/>
      <c r="Q429" s="925"/>
      <c r="R429" s="762"/>
      <c r="S429" s="925"/>
      <c r="T429" s="762"/>
      <c r="U429" s="925"/>
      <c r="V429" s="762"/>
      <c r="W429" s="925"/>
      <c r="X429" s="762"/>
      <c r="Y429" s="762"/>
      <c r="Z429" s="786"/>
      <c r="AA429" s="762"/>
      <c r="AB429" s="786"/>
      <c r="AC429" s="762"/>
      <c r="AD429" s="786"/>
      <c r="AE429" s="762"/>
      <c r="AF429" s="786"/>
      <c r="AG429" s="762"/>
      <c r="AH429" s="786"/>
      <c r="AI429" s="762"/>
      <c r="AJ429" s="762"/>
      <c r="AK429" s="786"/>
      <c r="AL429" s="762"/>
      <c r="AM429" s="786"/>
      <c r="AN429" s="762"/>
      <c r="AO429" s="786"/>
      <c r="AP429" s="762"/>
      <c r="AQ429" s="786"/>
      <c r="AR429" s="762"/>
      <c r="AS429" s="786"/>
      <c r="AT429" s="762"/>
      <c r="AU429" s="762"/>
      <c r="AV429" s="786"/>
      <c r="AW429" s="762"/>
      <c r="AX429" s="786"/>
      <c r="AY429" s="762"/>
      <c r="AZ429" s="786"/>
      <c r="BA429" s="762"/>
      <c r="BB429" s="786"/>
      <c r="BC429" s="762"/>
      <c r="BD429" s="786"/>
      <c r="BE429" s="762"/>
    </row>
    <row r="430" spans="1:57" s="49" customFormat="1">
      <c r="D430" s="925"/>
      <c r="E430" s="762"/>
      <c r="F430" s="925"/>
      <c r="G430" s="762"/>
      <c r="H430" s="925"/>
      <c r="I430" s="762"/>
      <c r="J430" s="925"/>
      <c r="K430" s="762"/>
      <c r="L430" s="925"/>
      <c r="M430" s="762"/>
      <c r="N430" s="762"/>
      <c r="O430" s="925"/>
      <c r="P430" s="762"/>
      <c r="Q430" s="925"/>
      <c r="R430" s="762"/>
      <c r="S430" s="925"/>
      <c r="T430" s="762"/>
      <c r="U430" s="925"/>
      <c r="V430" s="762"/>
      <c r="W430" s="925"/>
      <c r="X430" s="762"/>
      <c r="Y430" s="762"/>
      <c r="Z430" s="786"/>
      <c r="AA430" s="762"/>
      <c r="AB430" s="786"/>
      <c r="AC430" s="762"/>
      <c r="AD430" s="786"/>
      <c r="AE430" s="762"/>
      <c r="AF430" s="786"/>
      <c r="AG430" s="762"/>
      <c r="AH430" s="786"/>
      <c r="AI430" s="762"/>
      <c r="AJ430" s="762"/>
      <c r="AK430" s="786"/>
      <c r="AL430" s="762"/>
      <c r="AM430" s="786"/>
      <c r="AN430" s="762"/>
      <c r="AO430" s="786"/>
      <c r="AP430" s="762"/>
      <c r="AQ430" s="786"/>
      <c r="AR430" s="762"/>
      <c r="AS430" s="786"/>
      <c r="AT430" s="762"/>
      <c r="AU430" s="762"/>
      <c r="AV430" s="786"/>
      <c r="AW430" s="762"/>
      <c r="AX430" s="786"/>
      <c r="AY430" s="762"/>
      <c r="AZ430" s="786"/>
      <c r="BA430" s="762"/>
      <c r="BB430" s="786"/>
      <c r="BC430" s="762"/>
      <c r="BD430" s="786"/>
      <c r="BE430" s="762"/>
    </row>
    <row r="431" spans="1:57" s="49" customFormat="1">
      <c r="D431" s="925"/>
      <c r="E431" s="762"/>
      <c r="F431" s="925"/>
      <c r="G431" s="762"/>
      <c r="H431" s="925"/>
      <c r="I431" s="762"/>
      <c r="J431" s="925"/>
      <c r="K431" s="762"/>
      <c r="L431" s="925"/>
      <c r="M431" s="762"/>
      <c r="N431" s="762"/>
      <c r="O431" s="925"/>
      <c r="P431" s="762"/>
      <c r="Q431" s="925"/>
      <c r="R431" s="762"/>
      <c r="S431" s="925"/>
      <c r="T431" s="762"/>
      <c r="U431" s="925"/>
      <c r="V431" s="762"/>
      <c r="W431" s="925"/>
      <c r="X431" s="762"/>
      <c r="Y431" s="762"/>
      <c r="Z431" s="786"/>
      <c r="AA431" s="762"/>
      <c r="AB431" s="786"/>
      <c r="AC431" s="762"/>
      <c r="AD431" s="786"/>
      <c r="AE431" s="762"/>
      <c r="AF431" s="786"/>
      <c r="AG431" s="762"/>
      <c r="AH431" s="786"/>
      <c r="AI431" s="762"/>
      <c r="AJ431" s="762"/>
      <c r="AK431" s="786"/>
      <c r="AL431" s="762"/>
      <c r="AM431" s="786"/>
      <c r="AN431" s="762"/>
      <c r="AO431" s="786"/>
      <c r="AP431" s="762"/>
      <c r="AQ431" s="786"/>
      <c r="AR431" s="762"/>
      <c r="AS431" s="786"/>
      <c r="AT431" s="762"/>
      <c r="AU431" s="762"/>
      <c r="AV431" s="786"/>
      <c r="AW431" s="762"/>
      <c r="AX431" s="786"/>
      <c r="AY431" s="762"/>
      <c r="AZ431" s="786"/>
      <c r="BA431" s="762"/>
      <c r="BB431" s="786"/>
      <c r="BC431" s="762"/>
      <c r="BD431" s="786"/>
      <c r="BE431" s="762"/>
    </row>
    <row r="432" spans="1:57" s="49" customFormat="1">
      <c r="D432" s="925"/>
      <c r="E432" s="762"/>
      <c r="F432" s="925"/>
      <c r="G432" s="762"/>
      <c r="H432" s="925"/>
      <c r="I432" s="762"/>
      <c r="J432" s="925"/>
      <c r="K432" s="762"/>
      <c r="L432" s="925"/>
      <c r="M432" s="762"/>
      <c r="N432" s="762"/>
      <c r="O432" s="925"/>
      <c r="P432" s="762"/>
      <c r="Q432" s="925"/>
      <c r="R432" s="762"/>
      <c r="S432" s="925"/>
      <c r="T432" s="762"/>
      <c r="U432" s="925"/>
      <c r="V432" s="762"/>
      <c r="W432" s="925"/>
      <c r="X432" s="762"/>
      <c r="Y432" s="762"/>
      <c r="Z432" s="786"/>
      <c r="AA432" s="762"/>
      <c r="AB432" s="786"/>
      <c r="AC432" s="762"/>
      <c r="AD432" s="786"/>
      <c r="AE432" s="762"/>
      <c r="AF432" s="786"/>
      <c r="AG432" s="762"/>
      <c r="AH432" s="786"/>
      <c r="AI432" s="762"/>
      <c r="AJ432" s="762"/>
      <c r="AK432" s="786"/>
      <c r="AL432" s="762"/>
      <c r="AM432" s="786"/>
      <c r="AN432" s="762"/>
      <c r="AO432" s="786"/>
      <c r="AP432" s="762"/>
      <c r="AQ432" s="786"/>
      <c r="AR432" s="762"/>
      <c r="AS432" s="786"/>
      <c r="AT432" s="762"/>
      <c r="AU432" s="762"/>
      <c r="AV432" s="786"/>
      <c r="AW432" s="762"/>
      <c r="AX432" s="786"/>
      <c r="AY432" s="762"/>
      <c r="AZ432" s="786"/>
      <c r="BA432" s="762"/>
      <c r="BB432" s="786"/>
      <c r="BC432" s="762"/>
      <c r="BD432" s="786"/>
      <c r="BE432" s="762"/>
    </row>
    <row r="433" spans="4:57" s="49" customFormat="1">
      <c r="D433" s="925"/>
      <c r="E433" s="762"/>
      <c r="F433" s="925"/>
      <c r="G433" s="762"/>
      <c r="H433" s="925"/>
      <c r="I433" s="762"/>
      <c r="J433" s="925"/>
      <c r="K433" s="762"/>
      <c r="L433" s="925"/>
      <c r="M433" s="762"/>
      <c r="N433" s="762"/>
      <c r="O433" s="925"/>
      <c r="P433" s="762"/>
      <c r="Q433" s="925"/>
      <c r="R433" s="762"/>
      <c r="S433" s="925"/>
      <c r="T433" s="762"/>
      <c r="U433" s="925"/>
      <c r="V433" s="762"/>
      <c r="W433" s="925"/>
      <c r="X433" s="762"/>
      <c r="Y433" s="762"/>
      <c r="Z433" s="786"/>
      <c r="AA433" s="762"/>
      <c r="AB433" s="786"/>
      <c r="AC433" s="762"/>
      <c r="AD433" s="786"/>
      <c r="AE433" s="762"/>
      <c r="AF433" s="786"/>
      <c r="AG433" s="762"/>
      <c r="AH433" s="786"/>
      <c r="AI433" s="762"/>
      <c r="AJ433" s="762"/>
      <c r="AK433" s="786"/>
      <c r="AL433" s="762"/>
      <c r="AM433" s="786"/>
      <c r="AN433" s="762"/>
      <c r="AO433" s="786"/>
      <c r="AP433" s="762"/>
      <c r="AQ433" s="786"/>
      <c r="AR433" s="762"/>
      <c r="AS433" s="786"/>
      <c r="AT433" s="762"/>
      <c r="AU433" s="762"/>
      <c r="AV433" s="786"/>
      <c r="AW433" s="762"/>
      <c r="AX433" s="786"/>
      <c r="AY433" s="762"/>
      <c r="AZ433" s="786"/>
      <c r="BA433" s="762"/>
      <c r="BB433" s="786"/>
      <c r="BC433" s="762"/>
      <c r="BD433" s="786"/>
      <c r="BE433" s="762"/>
    </row>
    <row r="434" spans="4:57" s="49" customFormat="1">
      <c r="D434" s="925"/>
      <c r="E434" s="762"/>
      <c r="F434" s="925"/>
      <c r="G434" s="762"/>
      <c r="H434" s="925"/>
      <c r="I434" s="762"/>
      <c r="J434" s="925"/>
      <c r="K434" s="762"/>
      <c r="L434" s="925"/>
      <c r="M434" s="762"/>
      <c r="N434" s="762"/>
      <c r="O434" s="925"/>
      <c r="P434" s="762"/>
      <c r="Q434" s="925"/>
      <c r="R434" s="762"/>
      <c r="S434" s="925"/>
      <c r="T434" s="762"/>
      <c r="U434" s="925"/>
      <c r="V434" s="762"/>
      <c r="W434" s="925"/>
      <c r="X434" s="762"/>
      <c r="Y434" s="762"/>
      <c r="Z434" s="786"/>
      <c r="AA434" s="762"/>
      <c r="AB434" s="786"/>
      <c r="AC434" s="762"/>
      <c r="AD434" s="786"/>
      <c r="AE434" s="762"/>
      <c r="AF434" s="786"/>
      <c r="AG434" s="762"/>
      <c r="AH434" s="786"/>
      <c r="AI434" s="762"/>
      <c r="AJ434" s="762"/>
      <c r="AK434" s="786"/>
      <c r="AL434" s="762"/>
      <c r="AM434" s="786"/>
      <c r="AN434" s="762"/>
      <c r="AO434" s="786"/>
      <c r="AP434" s="762"/>
      <c r="AQ434" s="786"/>
      <c r="AR434" s="762"/>
      <c r="AS434" s="786"/>
      <c r="AT434" s="762"/>
      <c r="AU434" s="762"/>
      <c r="AV434" s="786"/>
      <c r="AW434" s="762"/>
      <c r="AX434" s="786"/>
      <c r="AY434" s="762"/>
      <c r="AZ434" s="786"/>
      <c r="BA434" s="762"/>
      <c r="BB434" s="786"/>
      <c r="BC434" s="762"/>
      <c r="BD434" s="786"/>
      <c r="BE434" s="762"/>
    </row>
    <row r="435" spans="4:57" s="49" customFormat="1">
      <c r="D435" s="925"/>
      <c r="E435" s="762"/>
      <c r="F435" s="925"/>
      <c r="G435" s="762"/>
      <c r="H435" s="925"/>
      <c r="I435" s="762"/>
      <c r="J435" s="925"/>
      <c r="K435" s="762"/>
      <c r="L435" s="925"/>
      <c r="M435" s="762"/>
      <c r="N435" s="762"/>
      <c r="O435" s="925"/>
      <c r="P435" s="762"/>
      <c r="Q435" s="925"/>
      <c r="R435" s="762"/>
      <c r="S435" s="925"/>
      <c r="T435" s="762"/>
      <c r="U435" s="925"/>
      <c r="V435" s="762"/>
      <c r="W435" s="925"/>
      <c r="X435" s="762"/>
      <c r="Y435" s="762"/>
      <c r="Z435" s="786"/>
      <c r="AA435" s="762"/>
      <c r="AB435" s="786"/>
      <c r="AC435" s="762"/>
      <c r="AD435" s="786"/>
      <c r="AE435" s="762"/>
      <c r="AF435" s="786"/>
      <c r="AG435" s="762"/>
      <c r="AH435" s="786"/>
      <c r="AI435" s="762"/>
      <c r="AJ435" s="762"/>
      <c r="AK435" s="786"/>
      <c r="AL435" s="762"/>
      <c r="AM435" s="786"/>
      <c r="AN435" s="762"/>
      <c r="AO435" s="786"/>
      <c r="AP435" s="762"/>
      <c r="AQ435" s="786"/>
      <c r="AR435" s="762"/>
      <c r="AS435" s="786"/>
      <c r="AT435" s="762"/>
      <c r="AU435" s="762"/>
      <c r="AV435" s="786"/>
      <c r="AW435" s="762"/>
      <c r="AX435" s="786"/>
      <c r="AY435" s="762"/>
      <c r="AZ435" s="786"/>
      <c r="BA435" s="762"/>
      <c r="BB435" s="786"/>
      <c r="BC435" s="762"/>
      <c r="BD435" s="786"/>
      <c r="BE435" s="762"/>
    </row>
    <row r="436" spans="4:57" s="49" customFormat="1">
      <c r="D436" s="925"/>
      <c r="E436" s="762"/>
      <c r="F436" s="925"/>
      <c r="G436" s="762"/>
      <c r="H436" s="925"/>
      <c r="I436" s="762"/>
      <c r="J436" s="925"/>
      <c r="K436" s="762"/>
      <c r="L436" s="925"/>
      <c r="M436" s="762"/>
      <c r="N436" s="762"/>
      <c r="O436" s="925"/>
      <c r="P436" s="762"/>
      <c r="Q436" s="925"/>
      <c r="R436" s="762"/>
      <c r="S436" s="925"/>
      <c r="T436" s="762"/>
      <c r="U436" s="925"/>
      <c r="V436" s="762"/>
      <c r="W436" s="925"/>
      <c r="X436" s="762"/>
      <c r="Y436" s="762"/>
      <c r="Z436" s="786"/>
      <c r="AA436" s="762"/>
      <c r="AB436" s="786"/>
      <c r="AC436" s="762"/>
      <c r="AD436" s="786"/>
      <c r="AE436" s="762"/>
      <c r="AF436" s="786"/>
      <c r="AG436" s="762"/>
      <c r="AH436" s="786"/>
      <c r="AI436" s="762"/>
      <c r="AJ436" s="762"/>
      <c r="AK436" s="786"/>
      <c r="AL436" s="762"/>
      <c r="AM436" s="786"/>
      <c r="AN436" s="762"/>
      <c r="AO436" s="786"/>
      <c r="AP436" s="762"/>
      <c r="AQ436" s="786"/>
      <c r="AR436" s="762"/>
      <c r="AS436" s="786"/>
      <c r="AT436" s="762"/>
      <c r="AU436" s="762"/>
      <c r="AV436" s="786"/>
      <c r="AW436" s="762"/>
      <c r="AX436" s="786"/>
      <c r="AY436" s="762"/>
      <c r="AZ436" s="786"/>
      <c r="BA436" s="762"/>
      <c r="BB436" s="786"/>
      <c r="BC436" s="762"/>
      <c r="BD436" s="786"/>
      <c r="BE436" s="762"/>
    </row>
    <row r="437" spans="4:57" s="49" customFormat="1">
      <c r="D437" s="925"/>
      <c r="E437" s="762"/>
      <c r="F437" s="925"/>
      <c r="G437" s="762"/>
      <c r="H437" s="925"/>
      <c r="I437" s="762"/>
      <c r="J437" s="925"/>
      <c r="K437" s="762"/>
      <c r="L437" s="925"/>
      <c r="M437" s="762"/>
      <c r="N437" s="762"/>
      <c r="O437" s="925"/>
      <c r="P437" s="762"/>
      <c r="Q437" s="925"/>
      <c r="R437" s="762"/>
      <c r="S437" s="925"/>
      <c r="T437" s="762"/>
      <c r="U437" s="925"/>
      <c r="V437" s="762"/>
      <c r="W437" s="925"/>
      <c r="X437" s="762"/>
      <c r="Y437" s="762"/>
      <c r="Z437" s="786"/>
      <c r="AA437" s="762"/>
      <c r="AB437" s="786"/>
      <c r="AC437" s="762"/>
      <c r="AD437" s="786"/>
      <c r="AE437" s="762"/>
      <c r="AF437" s="786"/>
      <c r="AG437" s="762"/>
      <c r="AH437" s="786"/>
      <c r="AI437" s="762"/>
      <c r="AJ437" s="762"/>
      <c r="AK437" s="786"/>
      <c r="AL437" s="762"/>
      <c r="AM437" s="786"/>
      <c r="AN437" s="762"/>
      <c r="AO437" s="786"/>
      <c r="AP437" s="762"/>
      <c r="AQ437" s="786"/>
      <c r="AR437" s="762"/>
      <c r="AS437" s="786"/>
      <c r="AT437" s="762"/>
      <c r="AU437" s="762"/>
      <c r="AV437" s="786"/>
      <c r="AW437" s="762"/>
      <c r="AX437" s="786"/>
      <c r="AY437" s="762"/>
      <c r="AZ437" s="786"/>
      <c r="BA437" s="762"/>
      <c r="BB437" s="786"/>
      <c r="BC437" s="762"/>
      <c r="BD437" s="786"/>
      <c r="BE437" s="762"/>
    </row>
    <row r="438" spans="4:57" s="49" customFormat="1">
      <c r="D438" s="925"/>
      <c r="E438" s="762"/>
      <c r="F438" s="925"/>
      <c r="G438" s="762"/>
      <c r="H438" s="925"/>
      <c r="I438" s="762"/>
      <c r="J438" s="925"/>
      <c r="K438" s="762"/>
      <c r="L438" s="925"/>
      <c r="M438" s="762"/>
      <c r="N438" s="762"/>
      <c r="O438" s="925"/>
      <c r="P438" s="762"/>
      <c r="Q438" s="925"/>
      <c r="R438" s="762"/>
      <c r="S438" s="925"/>
      <c r="T438" s="762"/>
      <c r="U438" s="925"/>
      <c r="V438" s="762"/>
      <c r="W438" s="925"/>
      <c r="X438" s="762"/>
      <c r="Y438" s="762"/>
      <c r="Z438" s="786"/>
      <c r="AA438" s="762"/>
      <c r="AB438" s="786"/>
      <c r="AC438" s="762"/>
      <c r="AD438" s="786"/>
      <c r="AE438" s="762"/>
      <c r="AF438" s="786"/>
      <c r="AG438" s="762"/>
      <c r="AH438" s="786"/>
      <c r="AI438" s="762"/>
      <c r="AJ438" s="762"/>
      <c r="AK438" s="786"/>
      <c r="AL438" s="762"/>
      <c r="AM438" s="786"/>
      <c r="AN438" s="762"/>
      <c r="AO438" s="786"/>
      <c r="AP438" s="762"/>
      <c r="AQ438" s="786"/>
      <c r="AR438" s="762"/>
      <c r="AS438" s="786"/>
      <c r="AT438" s="762"/>
      <c r="AU438" s="762"/>
      <c r="AV438" s="786"/>
      <c r="AW438" s="762"/>
      <c r="AX438" s="786"/>
      <c r="AY438" s="762"/>
      <c r="AZ438" s="786"/>
      <c r="BA438" s="762"/>
      <c r="BB438" s="786"/>
      <c r="BC438" s="762"/>
      <c r="BD438" s="786"/>
      <c r="BE438" s="762"/>
    </row>
    <row r="439" spans="4:57" s="49" customFormat="1">
      <c r="D439" s="925"/>
      <c r="E439" s="762"/>
      <c r="F439" s="925"/>
      <c r="G439" s="762"/>
      <c r="H439" s="925"/>
      <c r="I439" s="762"/>
      <c r="J439" s="925"/>
      <c r="K439" s="762"/>
      <c r="L439" s="925"/>
      <c r="M439" s="762"/>
      <c r="N439" s="762"/>
      <c r="O439" s="925"/>
      <c r="P439" s="762"/>
      <c r="Q439" s="925"/>
      <c r="R439" s="762"/>
      <c r="S439" s="925"/>
      <c r="T439" s="762"/>
      <c r="U439" s="925"/>
      <c r="V439" s="762"/>
      <c r="W439" s="925"/>
      <c r="X439" s="762"/>
      <c r="Y439" s="762"/>
      <c r="Z439" s="786"/>
      <c r="AA439" s="762"/>
      <c r="AB439" s="786"/>
      <c r="AC439" s="762"/>
      <c r="AD439" s="786"/>
      <c r="AE439" s="762"/>
      <c r="AF439" s="786"/>
      <c r="AG439" s="762"/>
      <c r="AH439" s="786"/>
      <c r="AI439" s="762"/>
      <c r="AJ439" s="762"/>
      <c r="AK439" s="786"/>
      <c r="AL439" s="762"/>
      <c r="AM439" s="786"/>
      <c r="AN439" s="762"/>
      <c r="AO439" s="786"/>
      <c r="AP439" s="762"/>
      <c r="AQ439" s="786"/>
      <c r="AR439" s="762"/>
      <c r="AS439" s="786"/>
      <c r="AT439" s="762"/>
      <c r="AU439" s="762"/>
      <c r="AV439" s="786"/>
      <c r="AW439" s="762"/>
      <c r="AX439" s="786"/>
      <c r="AY439" s="762"/>
      <c r="AZ439" s="786"/>
      <c r="BA439" s="762"/>
      <c r="BB439" s="786"/>
      <c r="BC439" s="762"/>
      <c r="BD439" s="786"/>
      <c r="BE439" s="762"/>
    </row>
    <row r="440" spans="4:57" s="49" customFormat="1">
      <c r="D440" s="925"/>
      <c r="E440" s="762"/>
      <c r="F440" s="925"/>
      <c r="G440" s="762"/>
      <c r="H440" s="925"/>
      <c r="I440" s="762"/>
      <c r="J440" s="925"/>
      <c r="K440" s="762"/>
      <c r="L440" s="925"/>
      <c r="M440" s="762"/>
      <c r="N440" s="762"/>
      <c r="O440" s="925"/>
      <c r="P440" s="762"/>
      <c r="Q440" s="925"/>
      <c r="R440" s="762"/>
      <c r="S440" s="925"/>
      <c r="T440" s="762"/>
      <c r="U440" s="925"/>
      <c r="V440" s="762"/>
      <c r="W440" s="925"/>
      <c r="X440" s="762"/>
      <c r="Y440" s="762"/>
      <c r="Z440" s="786"/>
      <c r="AA440" s="762"/>
      <c r="AB440" s="786"/>
      <c r="AC440" s="762"/>
      <c r="AD440" s="786"/>
      <c r="AE440" s="762"/>
      <c r="AF440" s="786"/>
      <c r="AG440" s="762"/>
      <c r="AH440" s="786"/>
      <c r="AI440" s="762"/>
      <c r="AJ440" s="762"/>
      <c r="AK440" s="786"/>
      <c r="AL440" s="762"/>
      <c r="AM440" s="786"/>
      <c r="AN440" s="762"/>
      <c r="AO440" s="786"/>
      <c r="AP440" s="762"/>
      <c r="AQ440" s="786"/>
      <c r="AR440" s="762"/>
      <c r="AS440" s="786"/>
      <c r="AT440" s="762"/>
      <c r="AU440" s="762"/>
      <c r="AV440" s="786"/>
      <c r="AW440" s="762"/>
      <c r="AX440" s="786"/>
      <c r="AY440" s="762"/>
      <c r="AZ440" s="786"/>
      <c r="BA440" s="762"/>
      <c r="BB440" s="786"/>
      <c r="BC440" s="762"/>
      <c r="BD440" s="786"/>
      <c r="BE440" s="762"/>
    </row>
    <row r="441" spans="4:57" s="49" customFormat="1">
      <c r="D441" s="925"/>
      <c r="E441" s="762"/>
      <c r="F441" s="925"/>
      <c r="G441" s="762"/>
      <c r="H441" s="925"/>
      <c r="I441" s="762"/>
      <c r="J441" s="925"/>
      <c r="K441" s="762"/>
      <c r="L441" s="925"/>
      <c r="M441" s="762"/>
      <c r="N441" s="762"/>
      <c r="O441" s="925"/>
      <c r="P441" s="762"/>
      <c r="Q441" s="925"/>
      <c r="R441" s="762"/>
      <c r="S441" s="925"/>
      <c r="T441" s="762"/>
      <c r="U441" s="925"/>
      <c r="V441" s="762"/>
      <c r="W441" s="925"/>
      <c r="X441" s="762"/>
      <c r="Y441" s="762"/>
      <c r="Z441" s="786"/>
      <c r="AA441" s="762"/>
      <c r="AB441" s="786"/>
      <c r="AC441" s="762"/>
      <c r="AD441" s="786"/>
      <c r="AE441" s="762"/>
      <c r="AF441" s="786"/>
      <c r="AG441" s="762"/>
      <c r="AH441" s="786"/>
      <c r="AI441" s="762"/>
      <c r="AJ441" s="762"/>
      <c r="AK441" s="786"/>
      <c r="AL441" s="762"/>
      <c r="AM441" s="786"/>
      <c r="AN441" s="762"/>
      <c r="AO441" s="786"/>
      <c r="AP441" s="762"/>
      <c r="AQ441" s="786"/>
      <c r="AR441" s="762"/>
      <c r="AS441" s="786"/>
      <c r="AT441" s="762"/>
      <c r="AU441" s="762"/>
      <c r="AV441" s="786"/>
      <c r="AW441" s="762"/>
      <c r="AX441" s="786"/>
      <c r="AY441" s="762"/>
      <c r="AZ441" s="786"/>
      <c r="BA441" s="762"/>
      <c r="BB441" s="786"/>
      <c r="BC441" s="762"/>
      <c r="BD441" s="786"/>
      <c r="BE441" s="762"/>
    </row>
    <row r="442" spans="4:57" s="49" customFormat="1">
      <c r="D442" s="925"/>
      <c r="E442" s="762"/>
      <c r="F442" s="925"/>
      <c r="G442" s="762"/>
      <c r="H442" s="925"/>
      <c r="I442" s="762"/>
      <c r="J442" s="925"/>
      <c r="K442" s="762"/>
      <c r="L442" s="925"/>
      <c r="M442" s="762"/>
      <c r="N442" s="762"/>
      <c r="O442" s="925"/>
      <c r="P442" s="762"/>
      <c r="Q442" s="925"/>
      <c r="R442" s="762"/>
      <c r="S442" s="925"/>
      <c r="T442" s="762"/>
      <c r="U442" s="925"/>
      <c r="V442" s="762"/>
      <c r="W442" s="925"/>
      <c r="X442" s="762"/>
      <c r="Y442" s="762"/>
      <c r="Z442" s="786"/>
      <c r="AA442" s="762"/>
      <c r="AB442" s="786"/>
      <c r="AC442" s="762"/>
      <c r="AD442" s="786"/>
      <c r="AE442" s="762"/>
      <c r="AF442" s="786"/>
      <c r="AG442" s="762"/>
      <c r="AH442" s="786"/>
      <c r="AI442" s="762"/>
      <c r="AJ442" s="762"/>
      <c r="AK442" s="786"/>
      <c r="AL442" s="762"/>
      <c r="AM442" s="786"/>
      <c r="AN442" s="762"/>
      <c r="AO442" s="786"/>
      <c r="AP442" s="762"/>
      <c r="AQ442" s="786"/>
      <c r="AR442" s="762"/>
      <c r="AS442" s="786"/>
      <c r="AT442" s="762"/>
      <c r="AU442" s="762"/>
      <c r="AV442" s="786"/>
      <c r="AW442" s="762"/>
      <c r="AX442" s="786"/>
      <c r="AY442" s="762"/>
      <c r="AZ442" s="786"/>
      <c r="BA442" s="762"/>
      <c r="BB442" s="786"/>
      <c r="BC442" s="762"/>
      <c r="BD442" s="786"/>
      <c r="BE442" s="762"/>
    </row>
    <row r="443" spans="4:57" s="49" customFormat="1">
      <c r="D443" s="925"/>
      <c r="E443" s="762"/>
      <c r="F443" s="925"/>
      <c r="G443" s="762"/>
      <c r="H443" s="925"/>
      <c r="I443" s="762"/>
      <c r="J443" s="925"/>
      <c r="K443" s="762"/>
      <c r="L443" s="925"/>
      <c r="M443" s="762"/>
      <c r="N443" s="762"/>
      <c r="O443" s="925"/>
      <c r="P443" s="762"/>
      <c r="Q443" s="925"/>
      <c r="R443" s="762"/>
      <c r="S443" s="925"/>
      <c r="T443" s="762"/>
      <c r="U443" s="925"/>
      <c r="V443" s="762"/>
      <c r="W443" s="925"/>
      <c r="X443" s="762"/>
      <c r="Y443" s="762"/>
      <c r="Z443" s="786"/>
      <c r="AA443" s="762"/>
      <c r="AB443" s="786"/>
      <c r="AC443" s="762"/>
      <c r="AD443" s="786"/>
      <c r="AE443" s="762"/>
      <c r="AF443" s="786"/>
      <c r="AG443" s="762"/>
      <c r="AH443" s="786"/>
      <c r="AI443" s="762"/>
      <c r="AJ443" s="762"/>
      <c r="AK443" s="786"/>
      <c r="AL443" s="762"/>
      <c r="AM443" s="786"/>
      <c r="AN443" s="762"/>
      <c r="AO443" s="786"/>
      <c r="AP443" s="762"/>
      <c r="AQ443" s="786"/>
      <c r="AR443" s="762"/>
      <c r="AS443" s="786"/>
      <c r="AT443" s="762"/>
      <c r="AU443" s="762"/>
      <c r="AV443" s="786"/>
      <c r="AW443" s="762"/>
      <c r="AX443" s="786"/>
      <c r="AY443" s="762"/>
      <c r="AZ443" s="786"/>
      <c r="BA443" s="762"/>
      <c r="BB443" s="786"/>
      <c r="BC443" s="762"/>
      <c r="BD443" s="786"/>
      <c r="BE443" s="762"/>
    </row>
    <row r="444" spans="4:57" s="49" customFormat="1">
      <c r="D444" s="925"/>
      <c r="E444" s="762"/>
      <c r="F444" s="925"/>
      <c r="G444" s="762"/>
      <c r="H444" s="925"/>
      <c r="I444" s="762"/>
      <c r="J444" s="925"/>
      <c r="K444" s="762"/>
      <c r="L444" s="925"/>
      <c r="M444" s="762"/>
      <c r="N444" s="762"/>
      <c r="O444" s="925"/>
      <c r="P444" s="762"/>
      <c r="Q444" s="925"/>
      <c r="R444" s="762"/>
      <c r="S444" s="925"/>
      <c r="T444" s="762"/>
      <c r="U444" s="925"/>
      <c r="V444" s="762"/>
      <c r="W444" s="925"/>
      <c r="X444" s="762"/>
      <c r="Y444" s="762"/>
      <c r="Z444" s="786"/>
      <c r="AA444" s="762"/>
      <c r="AB444" s="786"/>
      <c r="AC444" s="762"/>
      <c r="AD444" s="786"/>
      <c r="AE444" s="762"/>
      <c r="AF444" s="786"/>
      <c r="AG444" s="762"/>
      <c r="AH444" s="786"/>
      <c r="AI444" s="762"/>
      <c r="AJ444" s="762"/>
      <c r="AK444" s="786"/>
      <c r="AL444" s="762"/>
      <c r="AM444" s="786"/>
      <c r="AN444" s="762"/>
      <c r="AO444" s="786"/>
      <c r="AP444" s="762"/>
      <c r="AQ444" s="786"/>
      <c r="AR444" s="762"/>
      <c r="AS444" s="786"/>
      <c r="AT444" s="762"/>
      <c r="AU444" s="762"/>
      <c r="AV444" s="786"/>
      <c r="AW444" s="762"/>
      <c r="AX444" s="786"/>
      <c r="AY444" s="762"/>
      <c r="AZ444" s="786"/>
      <c r="BA444" s="762"/>
      <c r="BB444" s="786"/>
      <c r="BC444" s="762"/>
      <c r="BD444" s="786"/>
      <c r="BE444" s="762"/>
    </row>
    <row r="445" spans="4:57" s="49" customFormat="1">
      <c r="D445" s="925"/>
      <c r="E445" s="762"/>
      <c r="F445" s="925"/>
      <c r="G445" s="762"/>
      <c r="H445" s="925"/>
      <c r="I445" s="762"/>
      <c r="J445" s="925"/>
      <c r="K445" s="762"/>
      <c r="L445" s="925"/>
      <c r="M445" s="762"/>
      <c r="N445" s="762"/>
      <c r="O445" s="925"/>
      <c r="P445" s="762"/>
      <c r="Q445" s="925"/>
      <c r="R445" s="762"/>
      <c r="S445" s="925"/>
      <c r="T445" s="762"/>
      <c r="U445" s="925"/>
      <c r="V445" s="762"/>
      <c r="W445" s="925"/>
      <c r="X445" s="762"/>
      <c r="Y445" s="762"/>
      <c r="Z445" s="786"/>
      <c r="AA445" s="762"/>
      <c r="AB445" s="786"/>
      <c r="AC445" s="762"/>
      <c r="AD445" s="786"/>
      <c r="AE445" s="762"/>
      <c r="AF445" s="786"/>
      <c r="AG445" s="762"/>
      <c r="AH445" s="786"/>
      <c r="AI445" s="762"/>
      <c r="AJ445" s="762"/>
      <c r="AK445" s="786"/>
      <c r="AL445" s="762"/>
      <c r="AM445" s="786"/>
      <c r="AN445" s="762"/>
      <c r="AO445" s="786"/>
      <c r="AP445" s="762"/>
      <c r="AQ445" s="786"/>
      <c r="AR445" s="762"/>
      <c r="AS445" s="786"/>
      <c r="AT445" s="762"/>
      <c r="AU445" s="762"/>
      <c r="AV445" s="786"/>
      <c r="AW445" s="762"/>
      <c r="AX445" s="786"/>
      <c r="AY445" s="762"/>
      <c r="AZ445" s="786"/>
      <c r="BA445" s="762"/>
      <c r="BB445" s="786"/>
      <c r="BC445" s="762"/>
      <c r="BD445" s="786"/>
      <c r="BE445" s="762"/>
    </row>
    <row r="446" spans="4:57" s="49" customFormat="1">
      <c r="D446" s="925"/>
      <c r="E446" s="762"/>
      <c r="F446" s="925"/>
      <c r="G446" s="762"/>
      <c r="H446" s="925"/>
      <c r="I446" s="762"/>
      <c r="J446" s="925"/>
      <c r="K446" s="762"/>
      <c r="L446" s="925"/>
      <c r="M446" s="762"/>
      <c r="N446" s="762"/>
      <c r="O446" s="925"/>
      <c r="P446" s="762"/>
      <c r="Q446" s="925"/>
      <c r="R446" s="762"/>
      <c r="S446" s="925"/>
      <c r="T446" s="762"/>
      <c r="U446" s="925"/>
      <c r="V446" s="762"/>
      <c r="W446" s="925"/>
      <c r="X446" s="762"/>
      <c r="Y446" s="762"/>
      <c r="Z446" s="786"/>
      <c r="AA446" s="762"/>
      <c r="AB446" s="786"/>
      <c r="AC446" s="762"/>
      <c r="AD446" s="786"/>
      <c r="AE446" s="762"/>
      <c r="AF446" s="786"/>
      <c r="AG446" s="762"/>
      <c r="AH446" s="786"/>
      <c r="AI446" s="762"/>
      <c r="AJ446" s="762"/>
      <c r="AK446" s="786"/>
      <c r="AL446" s="762"/>
      <c r="AM446" s="786"/>
      <c r="AN446" s="762"/>
      <c r="AO446" s="786"/>
      <c r="AP446" s="762"/>
      <c r="AQ446" s="786"/>
      <c r="AR446" s="762"/>
      <c r="AS446" s="786"/>
      <c r="AT446" s="762"/>
      <c r="AU446" s="762"/>
      <c r="AV446" s="786"/>
      <c r="AW446" s="762"/>
      <c r="AX446" s="786"/>
      <c r="AY446" s="762"/>
      <c r="AZ446" s="786"/>
      <c r="BA446" s="762"/>
      <c r="BB446" s="786"/>
      <c r="BC446" s="762"/>
      <c r="BD446" s="786"/>
      <c r="BE446" s="762"/>
    </row>
    <row r="447" spans="4:57" s="49" customFormat="1">
      <c r="D447" s="925"/>
      <c r="E447" s="762"/>
      <c r="F447" s="925"/>
      <c r="G447" s="762"/>
      <c r="H447" s="925"/>
      <c r="I447" s="762"/>
      <c r="J447" s="925"/>
      <c r="K447" s="762"/>
      <c r="L447" s="925"/>
      <c r="M447" s="762"/>
      <c r="N447" s="762"/>
      <c r="O447" s="925"/>
      <c r="P447" s="762"/>
      <c r="Q447" s="925"/>
      <c r="R447" s="762"/>
      <c r="S447" s="925"/>
      <c r="T447" s="762"/>
      <c r="U447" s="925"/>
      <c r="V447" s="762"/>
      <c r="W447" s="925"/>
      <c r="X447" s="762"/>
      <c r="Y447" s="762"/>
      <c r="Z447" s="786"/>
      <c r="AA447" s="762"/>
      <c r="AB447" s="786"/>
      <c r="AC447" s="762"/>
      <c r="AD447" s="786"/>
      <c r="AE447" s="762"/>
      <c r="AF447" s="786"/>
      <c r="AG447" s="762"/>
      <c r="AH447" s="786"/>
      <c r="AI447" s="762"/>
      <c r="AJ447" s="762"/>
      <c r="AK447" s="786"/>
      <c r="AL447" s="762"/>
      <c r="AM447" s="786"/>
      <c r="AN447" s="762"/>
      <c r="AO447" s="786"/>
      <c r="AP447" s="762"/>
      <c r="AQ447" s="786"/>
      <c r="AR447" s="762"/>
      <c r="AS447" s="786"/>
      <c r="AT447" s="762"/>
      <c r="AU447" s="762"/>
      <c r="AV447" s="786"/>
      <c r="AW447" s="762"/>
      <c r="AX447" s="786"/>
      <c r="AY447" s="762"/>
      <c r="AZ447" s="786"/>
      <c r="BA447" s="762"/>
      <c r="BB447" s="786"/>
      <c r="BC447" s="762"/>
      <c r="BD447" s="786"/>
      <c r="BE447" s="762"/>
    </row>
    <row r="448" spans="4:57" s="49" customFormat="1">
      <c r="D448" s="925"/>
      <c r="E448" s="762"/>
      <c r="F448" s="925"/>
      <c r="G448" s="762"/>
      <c r="H448" s="925"/>
      <c r="I448" s="762"/>
      <c r="J448" s="925"/>
      <c r="K448" s="762"/>
      <c r="L448" s="925"/>
      <c r="M448" s="762"/>
      <c r="N448" s="762"/>
      <c r="O448" s="925"/>
      <c r="P448" s="762"/>
      <c r="Q448" s="925"/>
      <c r="R448" s="762"/>
      <c r="S448" s="925"/>
      <c r="T448" s="762"/>
      <c r="U448" s="925"/>
      <c r="V448" s="762"/>
      <c r="W448" s="925"/>
      <c r="X448" s="762"/>
      <c r="Y448" s="762"/>
      <c r="Z448" s="786"/>
      <c r="AA448" s="762"/>
      <c r="AB448" s="786"/>
      <c r="AC448" s="762"/>
      <c r="AD448" s="786"/>
      <c r="AE448" s="762"/>
      <c r="AF448" s="786"/>
      <c r="AG448" s="762"/>
      <c r="AH448" s="786"/>
      <c r="AI448" s="762"/>
      <c r="AJ448" s="762"/>
      <c r="AK448" s="786"/>
      <c r="AL448" s="762"/>
      <c r="AM448" s="786"/>
      <c r="AN448" s="762"/>
      <c r="AO448" s="786"/>
      <c r="AP448" s="762"/>
      <c r="AQ448" s="786"/>
      <c r="AR448" s="762"/>
      <c r="AS448" s="786"/>
      <c r="AT448" s="762"/>
      <c r="AU448" s="762"/>
      <c r="AV448" s="786"/>
      <c r="AW448" s="762"/>
      <c r="AX448" s="786"/>
      <c r="AY448" s="762"/>
      <c r="AZ448" s="786"/>
      <c r="BA448" s="762"/>
      <c r="BB448" s="786"/>
      <c r="BC448" s="762"/>
      <c r="BD448" s="786"/>
      <c r="BE448" s="762"/>
    </row>
    <row r="449" spans="4:57" s="49" customFormat="1">
      <c r="D449" s="925"/>
      <c r="E449" s="762"/>
      <c r="F449" s="925"/>
      <c r="G449" s="762"/>
      <c r="H449" s="925"/>
      <c r="I449" s="762"/>
      <c r="J449" s="925"/>
      <c r="K449" s="762"/>
      <c r="L449" s="925"/>
      <c r="M449" s="762"/>
      <c r="N449" s="762"/>
      <c r="O449" s="925"/>
      <c r="P449" s="762"/>
      <c r="Q449" s="925"/>
      <c r="R449" s="762"/>
      <c r="S449" s="925"/>
      <c r="T449" s="762"/>
      <c r="U449" s="925"/>
      <c r="V449" s="762"/>
      <c r="W449" s="925"/>
      <c r="X449" s="762"/>
      <c r="Y449" s="762"/>
      <c r="Z449" s="786"/>
      <c r="AA449" s="762"/>
      <c r="AB449" s="786"/>
      <c r="AC449" s="762"/>
      <c r="AD449" s="786"/>
      <c r="AE449" s="762"/>
      <c r="AF449" s="786"/>
      <c r="AG449" s="762"/>
      <c r="AH449" s="786"/>
      <c r="AI449" s="762"/>
      <c r="AJ449" s="762"/>
      <c r="AK449" s="786"/>
      <c r="AL449" s="762"/>
      <c r="AM449" s="786"/>
      <c r="AN449" s="762"/>
      <c r="AO449" s="786"/>
      <c r="AP449" s="762"/>
      <c r="AQ449" s="786"/>
      <c r="AR449" s="762"/>
      <c r="AS449" s="786"/>
      <c r="AT449" s="762"/>
      <c r="AU449" s="762"/>
      <c r="AV449" s="786"/>
      <c r="AW449" s="762"/>
      <c r="AX449" s="786"/>
      <c r="AY449" s="762"/>
      <c r="AZ449" s="786"/>
      <c r="BA449" s="762"/>
      <c r="BB449" s="786"/>
      <c r="BC449" s="762"/>
      <c r="BD449" s="786"/>
      <c r="BE449" s="762"/>
    </row>
    <row r="450" spans="4:57" s="49" customFormat="1">
      <c r="D450" s="925"/>
      <c r="E450" s="762"/>
      <c r="F450" s="925"/>
      <c r="G450" s="762"/>
      <c r="H450" s="925"/>
      <c r="I450" s="762"/>
      <c r="J450" s="925"/>
      <c r="K450" s="762"/>
      <c r="L450" s="925"/>
      <c r="M450" s="762"/>
      <c r="N450" s="762"/>
      <c r="O450" s="925"/>
      <c r="P450" s="762"/>
      <c r="Q450" s="925"/>
      <c r="R450" s="762"/>
      <c r="S450" s="925"/>
      <c r="T450" s="762"/>
      <c r="U450" s="925"/>
      <c r="V450" s="762"/>
      <c r="W450" s="925"/>
      <c r="X450" s="762"/>
      <c r="Y450" s="762"/>
      <c r="Z450" s="786"/>
      <c r="AA450" s="762"/>
      <c r="AB450" s="786"/>
      <c r="AC450" s="762"/>
      <c r="AD450" s="786"/>
      <c r="AE450" s="762"/>
      <c r="AF450" s="786"/>
      <c r="AG450" s="762"/>
      <c r="AH450" s="786"/>
      <c r="AI450" s="762"/>
      <c r="AJ450" s="762"/>
      <c r="AK450" s="786"/>
      <c r="AL450" s="762"/>
      <c r="AM450" s="786"/>
      <c r="AN450" s="762"/>
      <c r="AO450" s="786"/>
      <c r="AP450" s="762"/>
      <c r="AQ450" s="786"/>
      <c r="AR450" s="762"/>
      <c r="AS450" s="786"/>
      <c r="AT450" s="762"/>
      <c r="AU450" s="762"/>
      <c r="AV450" s="786"/>
      <c r="AW450" s="762"/>
      <c r="AX450" s="786"/>
      <c r="AY450" s="762"/>
      <c r="AZ450" s="786"/>
      <c r="BA450" s="762"/>
      <c r="BB450" s="786"/>
      <c r="BC450" s="762"/>
      <c r="BD450" s="786"/>
      <c r="BE450" s="762"/>
    </row>
    <row r="451" spans="4:57" s="49" customFormat="1">
      <c r="D451" s="925"/>
      <c r="E451" s="762"/>
      <c r="F451" s="925"/>
      <c r="G451" s="762"/>
      <c r="H451" s="925"/>
      <c r="I451" s="762"/>
      <c r="J451" s="925"/>
      <c r="K451" s="762"/>
      <c r="L451" s="925"/>
      <c r="M451" s="762"/>
      <c r="N451" s="762"/>
      <c r="O451" s="925"/>
      <c r="P451" s="762"/>
      <c r="Q451" s="925"/>
      <c r="R451" s="762"/>
      <c r="S451" s="925"/>
      <c r="T451" s="762"/>
      <c r="U451" s="925"/>
      <c r="V451" s="762"/>
      <c r="W451" s="925"/>
      <c r="X451" s="762"/>
      <c r="Y451" s="762"/>
      <c r="Z451" s="786"/>
      <c r="AA451" s="762"/>
      <c r="AB451" s="786"/>
      <c r="AC451" s="762"/>
      <c r="AD451" s="786"/>
      <c r="AE451" s="762"/>
      <c r="AF451" s="786"/>
      <c r="AG451" s="762"/>
      <c r="AH451" s="786"/>
      <c r="AI451" s="762"/>
      <c r="AJ451" s="762"/>
      <c r="AK451" s="786"/>
      <c r="AL451" s="762"/>
      <c r="AM451" s="786"/>
      <c r="AN451" s="762"/>
      <c r="AO451" s="786"/>
      <c r="AP451" s="762"/>
      <c r="AQ451" s="786"/>
      <c r="AR451" s="762"/>
      <c r="AS451" s="786"/>
      <c r="AT451" s="762"/>
      <c r="AU451" s="762"/>
      <c r="AV451" s="786"/>
      <c r="AW451" s="762"/>
      <c r="AX451" s="786"/>
      <c r="AY451" s="762"/>
      <c r="AZ451" s="786"/>
      <c r="BA451" s="762"/>
      <c r="BB451" s="786"/>
      <c r="BC451" s="762"/>
      <c r="BD451" s="786"/>
      <c r="BE451" s="762"/>
    </row>
    <row r="452" spans="4:57" s="49" customFormat="1">
      <c r="D452" s="925"/>
      <c r="E452" s="762"/>
      <c r="F452" s="925"/>
      <c r="G452" s="762"/>
      <c r="H452" s="925"/>
      <c r="I452" s="762"/>
      <c r="J452" s="925"/>
      <c r="K452" s="762"/>
      <c r="L452" s="925"/>
      <c r="M452" s="762"/>
      <c r="N452" s="762"/>
      <c r="O452" s="925"/>
      <c r="P452" s="762"/>
      <c r="Q452" s="925"/>
      <c r="R452" s="762"/>
      <c r="S452" s="925"/>
      <c r="T452" s="762"/>
      <c r="U452" s="925"/>
      <c r="V452" s="762"/>
      <c r="W452" s="925"/>
      <c r="X452" s="762"/>
      <c r="Y452" s="762"/>
      <c r="Z452" s="786"/>
      <c r="AA452" s="762"/>
      <c r="AB452" s="786"/>
      <c r="AC452" s="762"/>
      <c r="AD452" s="786"/>
      <c r="AE452" s="762"/>
      <c r="AF452" s="786"/>
      <c r="AG452" s="762"/>
      <c r="AH452" s="786"/>
      <c r="AI452" s="762"/>
      <c r="AJ452" s="762"/>
      <c r="AK452" s="786"/>
      <c r="AL452" s="762"/>
      <c r="AM452" s="786"/>
      <c r="AN452" s="762"/>
      <c r="AO452" s="786"/>
      <c r="AP452" s="762"/>
      <c r="AQ452" s="786"/>
      <c r="AR452" s="762"/>
      <c r="AS452" s="786"/>
      <c r="AT452" s="762"/>
      <c r="AU452" s="762"/>
      <c r="AV452" s="786"/>
      <c r="AW452" s="762"/>
      <c r="AX452" s="786"/>
      <c r="AY452" s="762"/>
      <c r="AZ452" s="786"/>
      <c r="BA452" s="762"/>
      <c r="BB452" s="786"/>
      <c r="BC452" s="762"/>
      <c r="BD452" s="786"/>
      <c r="BE452" s="762"/>
    </row>
    <row r="453" spans="4:57" s="49" customFormat="1">
      <c r="D453" s="925"/>
      <c r="E453" s="762"/>
      <c r="F453" s="925"/>
      <c r="G453" s="762"/>
      <c r="H453" s="925"/>
      <c r="I453" s="762"/>
      <c r="J453" s="925"/>
      <c r="K453" s="762"/>
      <c r="L453" s="925"/>
      <c r="M453" s="762"/>
      <c r="N453" s="762"/>
      <c r="O453" s="925"/>
      <c r="P453" s="762"/>
      <c r="Q453" s="925"/>
      <c r="R453" s="762"/>
      <c r="S453" s="925"/>
      <c r="T453" s="762"/>
      <c r="U453" s="925"/>
      <c r="V453" s="762"/>
      <c r="W453" s="925"/>
      <c r="X453" s="762"/>
      <c r="Y453" s="762"/>
      <c r="Z453" s="786"/>
      <c r="AA453" s="762"/>
      <c r="AB453" s="786"/>
      <c r="AC453" s="762"/>
      <c r="AD453" s="786"/>
      <c r="AE453" s="762"/>
      <c r="AF453" s="786"/>
      <c r="AG453" s="762"/>
      <c r="AH453" s="786"/>
      <c r="AI453" s="762"/>
      <c r="AJ453" s="762"/>
      <c r="AK453" s="786"/>
      <c r="AL453" s="762"/>
      <c r="AM453" s="786"/>
      <c r="AN453" s="762"/>
      <c r="AO453" s="786"/>
      <c r="AP453" s="762"/>
      <c r="AQ453" s="786"/>
      <c r="AR453" s="762"/>
      <c r="AS453" s="786"/>
      <c r="AT453" s="762"/>
      <c r="AU453" s="762"/>
      <c r="AV453" s="786"/>
      <c r="AW453" s="762"/>
      <c r="AX453" s="786"/>
      <c r="AY453" s="762"/>
      <c r="AZ453" s="786"/>
      <c r="BA453" s="762"/>
      <c r="BB453" s="786"/>
      <c r="BC453" s="762"/>
      <c r="BD453" s="786"/>
      <c r="BE453" s="762"/>
    </row>
    <row r="454" spans="4:57" s="49" customFormat="1">
      <c r="D454" s="925"/>
      <c r="E454" s="762"/>
      <c r="F454" s="925"/>
      <c r="G454" s="762"/>
      <c r="H454" s="925"/>
      <c r="I454" s="762"/>
      <c r="J454" s="925"/>
      <c r="K454" s="762"/>
      <c r="L454" s="925"/>
      <c r="M454" s="762"/>
      <c r="N454" s="762"/>
      <c r="O454" s="925"/>
      <c r="P454" s="762"/>
      <c r="Q454" s="925"/>
      <c r="R454" s="762"/>
      <c r="S454" s="925"/>
      <c r="T454" s="762"/>
      <c r="U454" s="925"/>
      <c r="V454" s="762"/>
      <c r="W454" s="925"/>
      <c r="X454" s="762"/>
      <c r="Y454" s="762"/>
      <c r="Z454" s="786"/>
      <c r="AA454" s="762"/>
      <c r="AB454" s="786"/>
      <c r="AC454" s="762"/>
      <c r="AD454" s="786"/>
      <c r="AE454" s="762"/>
      <c r="AF454" s="786"/>
      <c r="AG454" s="762"/>
      <c r="AH454" s="786"/>
      <c r="AI454" s="762"/>
      <c r="AJ454" s="762"/>
      <c r="AK454" s="786"/>
      <c r="AL454" s="762"/>
      <c r="AM454" s="786"/>
      <c r="AN454" s="762"/>
      <c r="AO454" s="786"/>
      <c r="AP454" s="762"/>
      <c r="AQ454" s="786"/>
      <c r="AR454" s="762"/>
      <c r="AS454" s="786"/>
      <c r="AT454" s="762"/>
      <c r="AU454" s="762"/>
      <c r="AV454" s="786"/>
      <c r="AW454" s="762"/>
      <c r="AX454" s="786"/>
      <c r="AY454" s="762"/>
      <c r="AZ454" s="786"/>
      <c r="BA454" s="762"/>
      <c r="BB454" s="786"/>
      <c r="BC454" s="762"/>
      <c r="BD454" s="786"/>
      <c r="BE454" s="762"/>
    </row>
    <row r="455" spans="4:57" s="49" customFormat="1">
      <c r="D455" s="925"/>
      <c r="E455" s="762"/>
      <c r="F455" s="925"/>
      <c r="G455" s="762"/>
      <c r="H455" s="925"/>
      <c r="I455" s="762"/>
      <c r="J455" s="925"/>
      <c r="K455" s="762"/>
      <c r="L455" s="925"/>
      <c r="M455" s="762"/>
      <c r="N455" s="762"/>
      <c r="O455" s="925"/>
      <c r="P455" s="762"/>
      <c r="Q455" s="925"/>
      <c r="R455" s="762"/>
      <c r="S455" s="925"/>
      <c r="T455" s="762"/>
      <c r="U455" s="925"/>
      <c r="V455" s="762"/>
      <c r="W455" s="925"/>
      <c r="X455" s="762"/>
      <c r="Y455" s="762"/>
      <c r="Z455" s="786"/>
      <c r="AA455" s="762"/>
      <c r="AB455" s="786"/>
      <c r="AC455" s="762"/>
      <c r="AD455" s="786"/>
      <c r="AE455" s="762"/>
      <c r="AF455" s="786"/>
      <c r="AG455" s="762"/>
      <c r="AH455" s="786"/>
      <c r="AI455" s="762"/>
      <c r="AJ455" s="762"/>
      <c r="AK455" s="786"/>
      <c r="AL455" s="762"/>
      <c r="AM455" s="786"/>
      <c r="AN455" s="762"/>
      <c r="AO455" s="786"/>
      <c r="AP455" s="762"/>
      <c r="AQ455" s="786"/>
      <c r="AR455" s="762"/>
      <c r="AS455" s="786"/>
      <c r="AT455" s="762"/>
      <c r="AU455" s="762"/>
      <c r="AV455" s="786"/>
      <c r="AW455" s="762"/>
      <c r="AX455" s="786"/>
      <c r="AY455" s="762"/>
      <c r="AZ455" s="786"/>
      <c r="BA455" s="762"/>
      <c r="BB455" s="786"/>
      <c r="BC455" s="762"/>
      <c r="BD455" s="786"/>
      <c r="BE455" s="762"/>
    </row>
    <row r="456" spans="4:57" s="49" customFormat="1">
      <c r="D456" s="925"/>
      <c r="E456" s="762"/>
      <c r="F456" s="925"/>
      <c r="G456" s="762"/>
      <c r="H456" s="925"/>
      <c r="I456" s="762"/>
      <c r="J456" s="925"/>
      <c r="K456" s="762"/>
      <c r="L456" s="925"/>
      <c r="M456" s="762"/>
      <c r="N456" s="762"/>
      <c r="O456" s="925"/>
      <c r="P456" s="762"/>
      <c r="Q456" s="925"/>
      <c r="R456" s="762"/>
      <c r="S456" s="925"/>
      <c r="T456" s="762"/>
      <c r="U456" s="925"/>
      <c r="V456" s="762"/>
      <c r="W456" s="925"/>
      <c r="X456" s="762"/>
      <c r="Y456" s="762"/>
      <c r="Z456" s="786"/>
      <c r="AA456" s="762"/>
      <c r="AB456" s="786"/>
      <c r="AC456" s="762"/>
      <c r="AD456" s="786"/>
      <c r="AE456" s="762"/>
      <c r="AF456" s="786"/>
      <c r="AG456" s="762"/>
      <c r="AH456" s="786"/>
      <c r="AI456" s="762"/>
      <c r="AJ456" s="762"/>
      <c r="AK456" s="786"/>
      <c r="AL456" s="762"/>
      <c r="AM456" s="786"/>
      <c r="AN456" s="762"/>
      <c r="AO456" s="786"/>
      <c r="AP456" s="762"/>
      <c r="AQ456" s="786"/>
      <c r="AR456" s="762"/>
      <c r="AS456" s="786"/>
      <c r="AT456" s="762"/>
      <c r="AU456" s="762"/>
      <c r="AV456" s="786"/>
      <c r="AW456" s="762"/>
      <c r="AX456" s="786"/>
      <c r="AY456" s="762"/>
      <c r="AZ456" s="786"/>
      <c r="BA456" s="762"/>
      <c r="BB456" s="786"/>
      <c r="BC456" s="762"/>
      <c r="BD456" s="786"/>
      <c r="BE456" s="762"/>
    </row>
    <row r="457" spans="4:57" s="49" customFormat="1">
      <c r="D457" s="925"/>
      <c r="E457" s="762"/>
      <c r="F457" s="925"/>
      <c r="G457" s="762"/>
      <c r="H457" s="925"/>
      <c r="I457" s="762"/>
      <c r="J457" s="925"/>
      <c r="K457" s="762"/>
      <c r="L457" s="925"/>
      <c r="M457" s="762"/>
      <c r="N457" s="762"/>
      <c r="O457" s="925"/>
      <c r="P457" s="762"/>
      <c r="Q457" s="925"/>
      <c r="R457" s="762"/>
      <c r="S457" s="925"/>
      <c r="T457" s="762"/>
      <c r="U457" s="925"/>
      <c r="V457" s="762"/>
      <c r="W457" s="925"/>
      <c r="X457" s="762"/>
      <c r="Y457" s="762"/>
      <c r="Z457" s="786"/>
      <c r="AA457" s="762"/>
      <c r="AB457" s="786"/>
      <c r="AC457" s="762"/>
      <c r="AD457" s="786"/>
      <c r="AE457" s="762"/>
      <c r="AF457" s="786"/>
      <c r="AG457" s="762"/>
      <c r="AH457" s="786"/>
      <c r="AI457" s="762"/>
      <c r="AJ457" s="762"/>
      <c r="AK457" s="786"/>
      <c r="AL457" s="762"/>
      <c r="AM457" s="786"/>
      <c r="AN457" s="762"/>
      <c r="AO457" s="786"/>
      <c r="AP457" s="762"/>
      <c r="AQ457" s="786"/>
      <c r="AR457" s="762"/>
      <c r="AS457" s="786"/>
      <c r="AT457" s="762"/>
      <c r="AU457" s="762"/>
      <c r="AV457" s="786"/>
      <c r="AW457" s="762"/>
      <c r="AX457" s="786"/>
      <c r="AY457" s="762"/>
      <c r="AZ457" s="786"/>
      <c r="BA457" s="762"/>
      <c r="BB457" s="786"/>
      <c r="BC457" s="762"/>
      <c r="BD457" s="786"/>
      <c r="BE457" s="762"/>
    </row>
    <row r="458" spans="4:57" s="49" customFormat="1">
      <c r="D458" s="925"/>
      <c r="E458" s="762"/>
      <c r="F458" s="925"/>
      <c r="G458" s="762"/>
      <c r="H458" s="925"/>
      <c r="I458" s="762"/>
      <c r="J458" s="925"/>
      <c r="K458" s="762"/>
      <c r="L458" s="925"/>
      <c r="M458" s="762"/>
      <c r="N458" s="762"/>
      <c r="O458" s="925"/>
      <c r="P458" s="762"/>
      <c r="Q458" s="925"/>
      <c r="R458" s="762"/>
      <c r="S458" s="925"/>
      <c r="T458" s="762"/>
      <c r="U458" s="925"/>
      <c r="V458" s="762"/>
      <c r="W458" s="925"/>
      <c r="X458" s="762"/>
      <c r="Y458" s="762"/>
      <c r="Z458" s="786"/>
      <c r="AA458" s="762"/>
      <c r="AB458" s="786"/>
      <c r="AC458" s="762"/>
      <c r="AD458" s="786"/>
      <c r="AE458" s="762"/>
      <c r="AF458" s="786"/>
      <c r="AG458" s="762"/>
      <c r="AH458" s="786"/>
      <c r="AI458" s="762"/>
      <c r="AJ458" s="762"/>
      <c r="AK458" s="786"/>
      <c r="AL458" s="762"/>
      <c r="AM458" s="786"/>
      <c r="AN458" s="762"/>
      <c r="AO458" s="786"/>
      <c r="AP458" s="762"/>
      <c r="AQ458" s="786"/>
      <c r="AR458" s="762"/>
      <c r="AS458" s="786"/>
      <c r="AT458" s="762"/>
      <c r="AU458" s="762"/>
      <c r="AV458" s="786"/>
      <c r="AW458" s="762"/>
      <c r="AX458" s="786"/>
      <c r="AY458" s="762"/>
      <c r="AZ458" s="786"/>
      <c r="BA458" s="762"/>
      <c r="BB458" s="786"/>
      <c r="BC458" s="762"/>
      <c r="BD458" s="786"/>
      <c r="BE458" s="762"/>
    </row>
    <row r="459" spans="4:57" s="49" customFormat="1">
      <c r="D459" s="925"/>
      <c r="E459" s="762"/>
      <c r="F459" s="925"/>
      <c r="G459" s="762"/>
      <c r="H459" s="925"/>
      <c r="I459" s="762"/>
      <c r="J459" s="925"/>
      <c r="K459" s="762"/>
      <c r="L459" s="925"/>
      <c r="M459" s="762"/>
      <c r="N459" s="762"/>
      <c r="O459" s="925"/>
      <c r="P459" s="762"/>
      <c r="Q459" s="925"/>
      <c r="R459" s="762"/>
      <c r="S459" s="925"/>
      <c r="T459" s="762"/>
      <c r="U459" s="925"/>
      <c r="V459" s="762"/>
      <c r="W459" s="925"/>
      <c r="X459" s="762"/>
      <c r="Y459" s="762"/>
      <c r="Z459" s="786"/>
      <c r="AA459" s="762"/>
      <c r="AB459" s="786"/>
      <c r="AC459" s="762"/>
      <c r="AD459" s="786"/>
      <c r="AE459" s="762"/>
      <c r="AF459" s="786"/>
      <c r="AG459" s="762"/>
      <c r="AH459" s="786"/>
      <c r="AI459" s="762"/>
      <c r="AJ459" s="762"/>
      <c r="AK459" s="786"/>
      <c r="AL459" s="762"/>
      <c r="AM459" s="786"/>
      <c r="AN459" s="762"/>
      <c r="AO459" s="786"/>
      <c r="AP459" s="762"/>
      <c r="AQ459" s="786"/>
      <c r="AR459" s="762"/>
      <c r="AS459" s="786"/>
      <c r="AT459" s="762"/>
      <c r="AU459" s="762"/>
      <c r="AV459" s="786"/>
      <c r="AW459" s="762"/>
      <c r="AX459" s="786"/>
      <c r="AY459" s="762"/>
      <c r="AZ459" s="786"/>
      <c r="BA459" s="762"/>
      <c r="BB459" s="786"/>
      <c r="BC459" s="762"/>
      <c r="BD459" s="786"/>
      <c r="BE459" s="762"/>
    </row>
    <row r="460" spans="4:57" s="49" customFormat="1">
      <c r="D460" s="925"/>
      <c r="E460" s="762"/>
      <c r="F460" s="925"/>
      <c r="G460" s="762"/>
      <c r="H460" s="925"/>
      <c r="I460" s="762"/>
      <c r="J460" s="925"/>
      <c r="K460" s="762"/>
      <c r="L460" s="925"/>
      <c r="M460" s="762"/>
      <c r="N460" s="762"/>
      <c r="O460" s="925"/>
      <c r="P460" s="762"/>
      <c r="Q460" s="925"/>
      <c r="R460" s="762"/>
      <c r="S460" s="925"/>
      <c r="T460" s="762"/>
      <c r="U460" s="925"/>
      <c r="V460" s="762"/>
      <c r="W460" s="925"/>
      <c r="X460" s="762"/>
      <c r="Y460" s="762"/>
      <c r="Z460" s="786"/>
      <c r="AA460" s="762"/>
      <c r="AB460" s="786"/>
      <c r="AC460" s="762"/>
      <c r="AD460" s="786"/>
      <c r="AE460" s="762"/>
      <c r="AF460" s="786"/>
      <c r="AG460" s="762"/>
      <c r="AH460" s="786"/>
      <c r="AI460" s="762"/>
      <c r="AJ460" s="762"/>
      <c r="AK460" s="786"/>
      <c r="AL460" s="762"/>
      <c r="AM460" s="786"/>
      <c r="AN460" s="762"/>
      <c r="AO460" s="786"/>
      <c r="AP460" s="762"/>
      <c r="AQ460" s="786"/>
      <c r="AR460" s="762"/>
      <c r="AS460" s="786"/>
      <c r="AT460" s="762"/>
      <c r="AU460" s="762"/>
      <c r="AV460" s="786"/>
      <c r="AW460" s="762"/>
      <c r="AX460" s="786"/>
      <c r="AY460" s="762"/>
      <c r="AZ460" s="786"/>
      <c r="BA460" s="762"/>
      <c r="BB460" s="786"/>
      <c r="BC460" s="762"/>
      <c r="BD460" s="786"/>
      <c r="BE460" s="762"/>
    </row>
    <row r="461" spans="4:57" s="49" customFormat="1">
      <c r="D461" s="925"/>
      <c r="E461" s="762"/>
      <c r="F461" s="925"/>
      <c r="G461" s="762"/>
      <c r="H461" s="925"/>
      <c r="I461" s="762"/>
      <c r="J461" s="925"/>
      <c r="K461" s="762"/>
      <c r="L461" s="925"/>
      <c r="M461" s="762"/>
      <c r="N461" s="762"/>
      <c r="O461" s="925"/>
      <c r="P461" s="762"/>
      <c r="Q461" s="925"/>
      <c r="R461" s="762"/>
      <c r="S461" s="925"/>
      <c r="T461" s="762"/>
      <c r="U461" s="925"/>
      <c r="V461" s="762"/>
      <c r="W461" s="925"/>
      <c r="X461" s="762"/>
      <c r="Y461" s="762"/>
      <c r="Z461" s="786"/>
      <c r="AA461" s="762"/>
      <c r="AB461" s="786"/>
      <c r="AC461" s="762"/>
      <c r="AD461" s="786"/>
      <c r="AE461" s="762"/>
      <c r="AF461" s="786"/>
      <c r="AG461" s="762"/>
      <c r="AH461" s="786"/>
      <c r="AI461" s="762"/>
      <c r="AJ461" s="762"/>
      <c r="AK461" s="786"/>
      <c r="AL461" s="762"/>
      <c r="AM461" s="786"/>
      <c r="AN461" s="762"/>
      <c r="AO461" s="786"/>
      <c r="AP461" s="762"/>
      <c r="AQ461" s="786"/>
      <c r="AR461" s="762"/>
      <c r="AS461" s="786"/>
      <c r="AT461" s="762"/>
      <c r="AU461" s="762"/>
      <c r="AV461" s="786"/>
      <c r="AW461" s="762"/>
      <c r="AX461" s="786"/>
      <c r="AY461" s="762"/>
      <c r="AZ461" s="786"/>
      <c r="BA461" s="762"/>
      <c r="BB461" s="786"/>
      <c r="BC461" s="762"/>
      <c r="BD461" s="786"/>
      <c r="BE461" s="762"/>
    </row>
    <row r="462" spans="4:57" s="49" customFormat="1">
      <c r="D462" s="925"/>
      <c r="E462" s="762"/>
      <c r="F462" s="925"/>
      <c r="G462" s="762"/>
      <c r="H462" s="925"/>
      <c r="I462" s="762"/>
      <c r="J462" s="925"/>
      <c r="K462" s="762"/>
      <c r="L462" s="925"/>
      <c r="M462" s="762"/>
      <c r="N462" s="762"/>
      <c r="O462" s="925"/>
      <c r="P462" s="762"/>
      <c r="Q462" s="925"/>
      <c r="R462" s="762"/>
      <c r="S462" s="925"/>
      <c r="T462" s="762"/>
      <c r="U462" s="925"/>
      <c r="V462" s="762"/>
      <c r="W462" s="925"/>
      <c r="X462" s="762"/>
      <c r="Y462" s="762"/>
      <c r="Z462" s="786"/>
      <c r="AA462" s="762"/>
      <c r="AB462" s="786"/>
      <c r="AC462" s="762"/>
      <c r="AD462" s="786"/>
      <c r="AE462" s="762"/>
      <c r="AF462" s="786"/>
      <c r="AG462" s="762"/>
      <c r="AH462" s="786"/>
      <c r="AI462" s="762"/>
      <c r="AJ462" s="762"/>
      <c r="AK462" s="786"/>
      <c r="AL462" s="762"/>
      <c r="AM462" s="786"/>
      <c r="AN462" s="762"/>
      <c r="AO462" s="786"/>
      <c r="AP462" s="762"/>
      <c r="AQ462" s="786"/>
      <c r="AR462" s="762"/>
      <c r="AS462" s="786"/>
      <c r="AT462" s="762"/>
      <c r="AU462" s="762"/>
      <c r="AV462" s="786"/>
      <c r="AW462" s="762"/>
      <c r="AX462" s="786"/>
      <c r="AY462" s="762"/>
      <c r="AZ462" s="786"/>
      <c r="BA462" s="762"/>
      <c r="BB462" s="786"/>
      <c r="BC462" s="762"/>
      <c r="BD462" s="786"/>
      <c r="BE462" s="762"/>
    </row>
    <row r="463" spans="4:57" s="49" customFormat="1">
      <c r="D463" s="925"/>
      <c r="E463" s="762"/>
      <c r="F463" s="925"/>
      <c r="G463" s="762"/>
      <c r="H463" s="925"/>
      <c r="I463" s="762"/>
      <c r="J463" s="925"/>
      <c r="K463" s="762"/>
      <c r="L463" s="925"/>
      <c r="M463" s="762"/>
      <c r="N463" s="762"/>
      <c r="O463" s="925"/>
      <c r="P463" s="762"/>
      <c r="Q463" s="925"/>
      <c r="R463" s="762"/>
      <c r="S463" s="925"/>
      <c r="T463" s="762"/>
      <c r="U463" s="925"/>
      <c r="V463" s="762"/>
      <c r="W463" s="925"/>
      <c r="X463" s="762"/>
      <c r="Y463" s="762"/>
      <c r="Z463" s="786"/>
      <c r="AA463" s="762"/>
      <c r="AB463" s="786"/>
      <c r="AC463" s="762"/>
      <c r="AD463" s="786"/>
      <c r="AE463" s="762"/>
      <c r="AF463" s="786"/>
      <c r="AG463" s="762"/>
      <c r="AH463" s="786"/>
      <c r="AI463" s="762"/>
      <c r="AJ463" s="762"/>
      <c r="AK463" s="786"/>
      <c r="AL463" s="762"/>
      <c r="AM463" s="786"/>
      <c r="AN463" s="762"/>
      <c r="AO463" s="786"/>
      <c r="AP463" s="762"/>
      <c r="AQ463" s="786"/>
      <c r="AR463" s="762"/>
      <c r="AS463" s="786"/>
      <c r="AT463" s="762"/>
      <c r="AU463" s="762"/>
      <c r="AV463" s="786"/>
      <c r="AW463" s="762"/>
      <c r="AX463" s="786"/>
      <c r="AY463" s="762"/>
      <c r="AZ463" s="786"/>
      <c r="BA463" s="762"/>
      <c r="BB463" s="786"/>
      <c r="BC463" s="762"/>
      <c r="BD463" s="786"/>
      <c r="BE463" s="762"/>
    </row>
    <row r="464" spans="4:57" s="49" customFormat="1">
      <c r="D464" s="925"/>
      <c r="E464" s="762"/>
      <c r="F464" s="925"/>
      <c r="G464" s="762"/>
      <c r="H464" s="925"/>
      <c r="I464" s="762"/>
      <c r="J464" s="925"/>
      <c r="K464" s="762"/>
      <c r="L464" s="925"/>
      <c r="M464" s="762"/>
      <c r="N464" s="762"/>
      <c r="O464" s="925"/>
      <c r="P464" s="762"/>
      <c r="Q464" s="925"/>
      <c r="R464" s="762"/>
      <c r="S464" s="925"/>
      <c r="T464" s="762"/>
      <c r="U464" s="925"/>
      <c r="V464" s="762"/>
      <c r="W464" s="925"/>
      <c r="X464" s="762"/>
      <c r="Y464" s="762"/>
      <c r="Z464" s="786"/>
      <c r="AA464" s="762"/>
      <c r="AB464" s="786"/>
      <c r="AC464" s="762"/>
      <c r="AD464" s="786"/>
      <c r="AE464" s="762"/>
      <c r="AF464" s="786"/>
      <c r="AG464" s="762"/>
      <c r="AH464" s="786"/>
      <c r="AI464" s="762"/>
      <c r="AJ464" s="762"/>
      <c r="AK464" s="786"/>
      <c r="AL464" s="762"/>
      <c r="AM464" s="786"/>
      <c r="AN464" s="762"/>
      <c r="AO464" s="786"/>
      <c r="AP464" s="762"/>
      <c r="AQ464" s="786"/>
      <c r="AR464" s="762"/>
      <c r="AS464" s="786"/>
      <c r="AT464" s="762"/>
      <c r="AU464" s="762"/>
      <c r="AV464" s="786"/>
      <c r="AW464" s="762"/>
      <c r="AX464" s="786"/>
      <c r="AY464" s="762"/>
      <c r="AZ464" s="786"/>
      <c r="BA464" s="762"/>
      <c r="BB464" s="786"/>
      <c r="BC464" s="762"/>
      <c r="BD464" s="786"/>
      <c r="BE464" s="762"/>
    </row>
    <row r="465" spans="4:57" s="49" customFormat="1">
      <c r="D465" s="925"/>
      <c r="E465" s="762"/>
      <c r="F465" s="925"/>
      <c r="G465" s="762"/>
      <c r="H465" s="925"/>
      <c r="I465" s="762"/>
      <c r="J465" s="925"/>
      <c r="K465" s="762"/>
      <c r="L465" s="925"/>
      <c r="M465" s="762"/>
      <c r="N465" s="762"/>
      <c r="O465" s="925"/>
      <c r="P465" s="762"/>
      <c r="Q465" s="925"/>
      <c r="R465" s="762"/>
      <c r="S465" s="925"/>
      <c r="T465" s="762"/>
      <c r="U465" s="925"/>
      <c r="V465" s="762"/>
      <c r="W465" s="925"/>
      <c r="X465" s="762"/>
      <c r="Y465" s="762"/>
      <c r="Z465" s="786"/>
      <c r="AA465" s="762"/>
      <c r="AB465" s="786"/>
      <c r="AC465" s="762"/>
      <c r="AD465" s="786"/>
      <c r="AE465" s="762"/>
      <c r="AF465" s="786"/>
      <c r="AG465" s="762"/>
      <c r="AH465" s="786"/>
      <c r="AI465" s="762"/>
      <c r="AJ465" s="762"/>
      <c r="AK465" s="786"/>
      <c r="AL465" s="762"/>
      <c r="AM465" s="786"/>
      <c r="AN465" s="762"/>
      <c r="AO465" s="786"/>
      <c r="AP465" s="762"/>
      <c r="AQ465" s="786"/>
      <c r="AR465" s="762"/>
      <c r="AS465" s="786"/>
      <c r="AT465" s="762"/>
      <c r="AU465" s="762"/>
      <c r="AV465" s="786"/>
      <c r="AW465" s="762"/>
      <c r="AX465" s="786"/>
      <c r="AY465" s="762"/>
      <c r="AZ465" s="786"/>
      <c r="BA465" s="762"/>
      <c r="BB465" s="786"/>
      <c r="BC465" s="762"/>
      <c r="BD465" s="786"/>
      <c r="BE465" s="762"/>
    </row>
    <row r="466" spans="4:57" s="49" customFormat="1">
      <c r="D466" s="925"/>
      <c r="E466" s="762"/>
      <c r="F466" s="925"/>
      <c r="G466" s="762"/>
      <c r="H466" s="925"/>
      <c r="I466" s="762"/>
      <c r="J466" s="925"/>
      <c r="K466" s="762"/>
      <c r="L466" s="925"/>
      <c r="M466" s="762"/>
      <c r="N466" s="762"/>
      <c r="O466" s="925"/>
      <c r="P466" s="762"/>
      <c r="Q466" s="925"/>
      <c r="R466" s="762"/>
      <c r="S466" s="925"/>
      <c r="T466" s="762"/>
      <c r="U466" s="925"/>
      <c r="V466" s="762"/>
      <c r="W466" s="925"/>
      <c r="X466" s="762"/>
      <c r="Y466" s="762"/>
      <c r="Z466" s="786"/>
      <c r="AA466" s="762"/>
      <c r="AB466" s="786"/>
      <c r="AC466" s="762"/>
      <c r="AD466" s="786"/>
      <c r="AE466" s="762"/>
      <c r="AF466" s="786"/>
      <c r="AG466" s="762"/>
      <c r="AH466" s="786"/>
      <c r="AI466" s="762"/>
      <c r="AJ466" s="762"/>
      <c r="AK466" s="786"/>
      <c r="AL466" s="762"/>
      <c r="AM466" s="786"/>
      <c r="AN466" s="762"/>
      <c r="AO466" s="786"/>
      <c r="AP466" s="762"/>
      <c r="AQ466" s="786"/>
      <c r="AR466" s="762"/>
      <c r="AS466" s="786"/>
      <c r="AT466" s="762"/>
      <c r="AU466" s="762"/>
      <c r="AV466" s="786"/>
      <c r="AW466" s="762"/>
      <c r="AX466" s="786"/>
      <c r="AY466" s="762"/>
      <c r="AZ466" s="786"/>
      <c r="BA466" s="762"/>
      <c r="BB466" s="786"/>
      <c r="BC466" s="762"/>
      <c r="BD466" s="786"/>
      <c r="BE466" s="762"/>
    </row>
    <row r="467" spans="4:57" s="49" customFormat="1">
      <c r="D467" s="925"/>
      <c r="E467" s="762"/>
      <c r="F467" s="925"/>
      <c r="G467" s="762"/>
      <c r="H467" s="925"/>
      <c r="I467" s="762"/>
      <c r="J467" s="925"/>
      <c r="K467" s="762"/>
      <c r="L467" s="925"/>
      <c r="M467" s="762"/>
      <c r="N467" s="762"/>
      <c r="O467" s="925"/>
      <c r="P467" s="762"/>
      <c r="Q467" s="925"/>
      <c r="R467" s="762"/>
      <c r="S467" s="925"/>
      <c r="T467" s="762"/>
      <c r="U467" s="925"/>
      <c r="V467" s="762"/>
      <c r="W467" s="925"/>
      <c r="X467" s="762"/>
      <c r="Y467" s="762"/>
      <c r="Z467" s="786"/>
      <c r="AA467" s="762"/>
      <c r="AB467" s="786"/>
      <c r="AC467" s="762"/>
      <c r="AD467" s="786"/>
      <c r="AE467" s="762"/>
      <c r="AF467" s="786"/>
      <c r="AG467" s="762"/>
      <c r="AH467" s="786"/>
      <c r="AI467" s="762"/>
      <c r="AJ467" s="762"/>
      <c r="AK467" s="786"/>
      <c r="AL467" s="762"/>
      <c r="AM467" s="786"/>
      <c r="AN467" s="762"/>
      <c r="AO467" s="786"/>
      <c r="AP467" s="762"/>
      <c r="AQ467" s="786"/>
      <c r="AR467" s="762"/>
      <c r="AS467" s="786"/>
      <c r="AT467" s="762"/>
      <c r="AU467" s="762"/>
      <c r="AV467" s="786"/>
      <c r="AW467" s="762"/>
      <c r="AX467" s="786"/>
      <c r="AY467" s="762"/>
      <c r="AZ467" s="786"/>
      <c r="BA467" s="762"/>
      <c r="BB467" s="786"/>
      <c r="BC467" s="762"/>
      <c r="BD467" s="786"/>
      <c r="BE467" s="762"/>
    </row>
    <row r="468" spans="4:57" s="49" customFormat="1">
      <c r="D468" s="925"/>
      <c r="E468" s="762"/>
      <c r="F468" s="925"/>
      <c r="G468" s="762"/>
      <c r="H468" s="925"/>
      <c r="I468" s="762"/>
      <c r="J468" s="925"/>
      <c r="K468" s="762"/>
      <c r="L468" s="925"/>
      <c r="M468" s="762"/>
      <c r="N468" s="762"/>
      <c r="O468" s="925"/>
      <c r="P468" s="762"/>
      <c r="Q468" s="925"/>
      <c r="R468" s="762"/>
      <c r="S468" s="925"/>
      <c r="T468" s="762"/>
      <c r="U468" s="925"/>
      <c r="V468" s="762"/>
      <c r="W468" s="925"/>
      <c r="X468" s="762"/>
      <c r="Y468" s="762"/>
      <c r="Z468" s="786"/>
      <c r="AA468" s="762"/>
      <c r="AB468" s="786"/>
      <c r="AC468" s="762"/>
      <c r="AD468" s="786"/>
      <c r="AE468" s="762"/>
      <c r="AF468" s="786"/>
      <c r="AG468" s="762"/>
      <c r="AH468" s="786"/>
      <c r="AI468" s="762"/>
      <c r="AJ468" s="762"/>
      <c r="AK468" s="786"/>
      <c r="AL468" s="762"/>
      <c r="AM468" s="786"/>
      <c r="AN468" s="762"/>
      <c r="AO468" s="786"/>
      <c r="AP468" s="762"/>
      <c r="AQ468" s="786"/>
      <c r="AR468" s="762"/>
      <c r="AS468" s="786"/>
      <c r="AT468" s="762"/>
      <c r="AU468" s="762"/>
      <c r="AV468" s="786"/>
      <c r="AW468" s="762"/>
      <c r="AX468" s="786"/>
      <c r="AY468" s="762"/>
      <c r="AZ468" s="786"/>
      <c r="BA468" s="762"/>
      <c r="BB468" s="786"/>
      <c r="BC468" s="762"/>
      <c r="BD468" s="786"/>
      <c r="BE468" s="762"/>
    </row>
    <row r="469" spans="4:57" s="49" customFormat="1">
      <c r="D469" s="925"/>
      <c r="E469" s="762"/>
      <c r="F469" s="925"/>
      <c r="G469" s="762"/>
      <c r="H469" s="925"/>
      <c r="I469" s="762"/>
      <c r="J469" s="925"/>
      <c r="K469" s="762"/>
      <c r="L469" s="925"/>
      <c r="M469" s="762"/>
      <c r="N469" s="762"/>
      <c r="O469" s="925"/>
      <c r="P469" s="762"/>
      <c r="Q469" s="925"/>
      <c r="R469" s="762"/>
      <c r="S469" s="925"/>
      <c r="T469" s="762"/>
      <c r="U469" s="925"/>
      <c r="V469" s="762"/>
      <c r="W469" s="925"/>
      <c r="X469" s="762"/>
      <c r="Y469" s="762"/>
      <c r="Z469" s="786"/>
      <c r="AA469" s="762"/>
      <c r="AB469" s="786"/>
      <c r="AC469" s="762"/>
      <c r="AD469" s="786"/>
      <c r="AE469" s="762"/>
      <c r="AF469" s="786"/>
      <c r="AG469" s="762"/>
      <c r="AH469" s="786"/>
      <c r="AI469" s="762"/>
      <c r="AJ469" s="762"/>
      <c r="AK469" s="786"/>
      <c r="AL469" s="762"/>
      <c r="AM469" s="786"/>
      <c r="AN469" s="762"/>
      <c r="AO469" s="786"/>
      <c r="AP469" s="762"/>
      <c r="AQ469" s="786"/>
      <c r="AR469" s="762"/>
      <c r="AS469" s="786"/>
      <c r="AT469" s="762"/>
      <c r="AU469" s="762"/>
      <c r="AV469" s="786"/>
      <c r="AW469" s="762"/>
      <c r="AX469" s="786"/>
      <c r="AY469" s="762"/>
      <c r="AZ469" s="786"/>
      <c r="BA469" s="762"/>
      <c r="BB469" s="786"/>
      <c r="BC469" s="762"/>
      <c r="BD469" s="786"/>
      <c r="BE469" s="762"/>
    </row>
    <row r="470" spans="4:57" s="49" customFormat="1">
      <c r="D470" s="925"/>
      <c r="E470" s="762"/>
      <c r="F470" s="925"/>
      <c r="G470" s="762"/>
      <c r="H470" s="925"/>
      <c r="I470" s="762"/>
      <c r="J470" s="925"/>
      <c r="K470" s="762"/>
      <c r="L470" s="925"/>
      <c r="M470" s="762"/>
      <c r="N470" s="762"/>
      <c r="O470" s="925"/>
      <c r="P470" s="762"/>
      <c r="Q470" s="925"/>
      <c r="R470" s="762"/>
      <c r="S470" s="925"/>
      <c r="T470" s="762"/>
      <c r="U470" s="925"/>
      <c r="V470" s="762"/>
      <c r="W470" s="925"/>
      <c r="X470" s="762"/>
      <c r="Y470" s="762"/>
      <c r="Z470" s="786"/>
      <c r="AA470" s="762"/>
      <c r="AB470" s="786"/>
      <c r="AC470" s="762"/>
      <c r="AD470" s="786"/>
      <c r="AE470" s="762"/>
      <c r="AF470" s="786"/>
      <c r="AG470" s="762"/>
      <c r="AH470" s="786"/>
      <c r="AI470" s="762"/>
      <c r="AJ470" s="762"/>
      <c r="AK470" s="786"/>
      <c r="AL470" s="762"/>
      <c r="AM470" s="786"/>
      <c r="AN470" s="762"/>
      <c r="AO470" s="786"/>
      <c r="AP470" s="762"/>
      <c r="AQ470" s="786"/>
      <c r="AR470" s="762"/>
      <c r="AS470" s="786"/>
      <c r="AT470" s="762"/>
      <c r="AU470" s="762"/>
      <c r="AV470" s="786"/>
      <c r="AW470" s="762"/>
      <c r="AX470" s="786"/>
      <c r="AY470" s="762"/>
      <c r="AZ470" s="786"/>
      <c r="BA470" s="762"/>
      <c r="BB470" s="786"/>
      <c r="BC470" s="762"/>
      <c r="BD470" s="786"/>
      <c r="BE470" s="762"/>
    </row>
    <row r="471" spans="4:57" s="49" customFormat="1">
      <c r="D471" s="925"/>
      <c r="E471" s="762"/>
      <c r="F471" s="925"/>
      <c r="G471" s="762"/>
      <c r="H471" s="925"/>
      <c r="I471" s="762"/>
      <c r="J471" s="925"/>
      <c r="K471" s="762"/>
      <c r="L471" s="925"/>
      <c r="M471" s="762"/>
      <c r="N471" s="762"/>
      <c r="O471" s="925"/>
      <c r="P471" s="762"/>
      <c r="Q471" s="925"/>
      <c r="R471" s="762"/>
      <c r="S471" s="925"/>
      <c r="T471" s="762"/>
      <c r="U471" s="925"/>
      <c r="V471" s="762"/>
      <c r="W471" s="925"/>
      <c r="X471" s="762"/>
      <c r="Y471" s="762"/>
      <c r="Z471" s="786"/>
      <c r="AA471" s="762"/>
      <c r="AB471" s="786"/>
      <c r="AC471" s="762"/>
      <c r="AD471" s="786"/>
      <c r="AE471" s="762"/>
      <c r="AF471" s="786"/>
      <c r="AG471" s="762"/>
      <c r="AH471" s="786"/>
      <c r="AI471" s="762"/>
      <c r="AJ471" s="762"/>
      <c r="AK471" s="786"/>
      <c r="AL471" s="762"/>
      <c r="AM471" s="786"/>
      <c r="AN471" s="762"/>
      <c r="AO471" s="786"/>
      <c r="AP471" s="762"/>
      <c r="AQ471" s="786"/>
      <c r="AR471" s="762"/>
      <c r="AS471" s="786"/>
      <c r="AT471" s="762"/>
      <c r="AU471" s="762"/>
      <c r="AV471" s="786"/>
      <c r="AW471" s="762"/>
      <c r="AX471" s="786"/>
      <c r="AY471" s="762"/>
      <c r="AZ471" s="786"/>
      <c r="BA471" s="762"/>
      <c r="BB471" s="786"/>
      <c r="BC471" s="762"/>
      <c r="BD471" s="786"/>
      <c r="BE471" s="762"/>
    </row>
    <row r="472" spans="4:57" s="49" customFormat="1">
      <c r="D472" s="925"/>
      <c r="E472" s="762"/>
      <c r="F472" s="925"/>
      <c r="G472" s="762"/>
      <c r="H472" s="925"/>
      <c r="I472" s="762"/>
      <c r="J472" s="925"/>
      <c r="K472" s="762"/>
      <c r="L472" s="925"/>
      <c r="M472" s="762"/>
      <c r="N472" s="762"/>
      <c r="O472" s="925"/>
      <c r="P472" s="762"/>
      <c r="Q472" s="925"/>
      <c r="R472" s="762"/>
      <c r="S472" s="925"/>
      <c r="T472" s="762"/>
      <c r="U472" s="925"/>
      <c r="V472" s="762"/>
      <c r="W472" s="925"/>
      <c r="X472" s="762"/>
      <c r="Y472" s="762"/>
      <c r="Z472" s="786"/>
      <c r="AA472" s="762"/>
      <c r="AB472" s="786"/>
      <c r="AC472" s="762"/>
      <c r="AD472" s="786"/>
      <c r="AE472" s="762"/>
      <c r="AF472" s="786"/>
      <c r="AG472" s="762"/>
      <c r="AH472" s="786"/>
      <c r="AI472" s="762"/>
      <c r="AJ472" s="762"/>
      <c r="AK472" s="786"/>
      <c r="AL472" s="762"/>
      <c r="AM472" s="786"/>
      <c r="AN472" s="762"/>
      <c r="AO472" s="786"/>
      <c r="AP472" s="762"/>
      <c r="AQ472" s="786"/>
      <c r="AR472" s="762"/>
      <c r="AS472" s="786"/>
      <c r="AT472" s="762"/>
      <c r="AU472" s="762"/>
      <c r="AV472" s="786"/>
      <c r="AW472" s="762"/>
      <c r="AX472" s="786"/>
      <c r="AY472" s="762"/>
      <c r="AZ472" s="786"/>
      <c r="BA472" s="762"/>
      <c r="BB472" s="786"/>
      <c r="BC472" s="762"/>
      <c r="BD472" s="786"/>
      <c r="BE472" s="762"/>
    </row>
    <row r="473" spans="4:57" s="49" customFormat="1">
      <c r="D473" s="925"/>
      <c r="E473" s="762"/>
      <c r="F473" s="925"/>
      <c r="G473" s="762"/>
      <c r="H473" s="925"/>
      <c r="I473" s="762"/>
      <c r="J473" s="925"/>
      <c r="K473" s="762"/>
      <c r="L473" s="925"/>
      <c r="M473" s="762"/>
      <c r="N473" s="762"/>
      <c r="O473" s="925"/>
      <c r="P473" s="762"/>
      <c r="Q473" s="925"/>
      <c r="R473" s="762"/>
      <c r="S473" s="925"/>
      <c r="T473" s="762"/>
      <c r="U473" s="925"/>
      <c r="V473" s="762"/>
      <c r="W473" s="925"/>
      <c r="X473" s="762"/>
      <c r="Y473" s="762"/>
      <c r="Z473" s="786"/>
      <c r="AA473" s="762"/>
      <c r="AB473" s="786"/>
      <c r="AC473" s="762"/>
      <c r="AD473" s="786"/>
      <c r="AE473" s="762"/>
      <c r="AF473" s="786"/>
      <c r="AG473" s="762"/>
      <c r="AH473" s="786"/>
      <c r="AI473" s="762"/>
      <c r="AJ473" s="762"/>
      <c r="AK473" s="786"/>
      <c r="AL473" s="762"/>
      <c r="AM473" s="786"/>
      <c r="AN473" s="762"/>
      <c r="AO473" s="786"/>
      <c r="AP473" s="762"/>
      <c r="AQ473" s="786"/>
      <c r="AR473" s="762"/>
      <c r="AS473" s="786"/>
      <c r="AT473" s="762"/>
      <c r="AU473" s="762"/>
      <c r="AV473" s="786"/>
      <c r="AW473" s="762"/>
      <c r="AX473" s="786"/>
      <c r="AY473" s="762"/>
      <c r="AZ473" s="786"/>
      <c r="BA473" s="762"/>
      <c r="BB473" s="786"/>
      <c r="BC473" s="762"/>
      <c r="BD473" s="786"/>
      <c r="BE473" s="762"/>
    </row>
    <row r="474" spans="4:57" s="49" customFormat="1">
      <c r="D474" s="925"/>
      <c r="E474" s="762"/>
      <c r="F474" s="925"/>
      <c r="G474" s="762"/>
      <c r="H474" s="925"/>
      <c r="I474" s="762"/>
      <c r="J474" s="925"/>
      <c r="K474" s="762"/>
      <c r="L474" s="925"/>
      <c r="M474" s="762"/>
      <c r="N474" s="762"/>
      <c r="O474" s="925"/>
      <c r="P474" s="762"/>
      <c r="Q474" s="925"/>
      <c r="R474" s="762"/>
      <c r="S474" s="925"/>
      <c r="T474" s="762"/>
      <c r="U474" s="925"/>
      <c r="V474" s="762"/>
      <c r="W474" s="925"/>
      <c r="X474" s="762"/>
      <c r="Y474" s="762"/>
      <c r="Z474" s="786"/>
      <c r="AA474" s="762"/>
      <c r="AB474" s="786"/>
      <c r="AC474" s="762"/>
      <c r="AD474" s="786"/>
      <c r="AE474" s="762"/>
      <c r="AF474" s="786"/>
      <c r="AG474" s="762"/>
      <c r="AH474" s="786"/>
      <c r="AI474" s="762"/>
      <c r="AJ474" s="762"/>
      <c r="AK474" s="786"/>
      <c r="AL474" s="762"/>
      <c r="AM474" s="786"/>
      <c r="AN474" s="762"/>
      <c r="AO474" s="786"/>
      <c r="AP474" s="762"/>
      <c r="AQ474" s="786"/>
      <c r="AR474" s="762"/>
      <c r="AS474" s="786"/>
      <c r="AT474" s="762"/>
      <c r="AU474" s="762"/>
      <c r="AV474" s="786"/>
      <c r="AW474" s="762"/>
      <c r="AX474" s="786"/>
      <c r="AY474" s="762"/>
      <c r="AZ474" s="786"/>
      <c r="BA474" s="762"/>
      <c r="BB474" s="786"/>
      <c r="BC474" s="762"/>
      <c r="BD474" s="786"/>
      <c r="BE474" s="762"/>
    </row>
    <row r="475" spans="4:57" s="49" customFormat="1">
      <c r="D475" s="925"/>
      <c r="E475" s="762"/>
      <c r="F475" s="925"/>
      <c r="G475" s="762"/>
      <c r="H475" s="925"/>
      <c r="I475" s="762"/>
      <c r="J475" s="925"/>
      <c r="K475" s="762"/>
      <c r="L475" s="925"/>
      <c r="M475" s="762"/>
      <c r="N475" s="762"/>
      <c r="O475" s="925"/>
      <c r="P475" s="762"/>
      <c r="Q475" s="925"/>
      <c r="R475" s="762"/>
      <c r="S475" s="925"/>
      <c r="T475" s="762"/>
      <c r="U475" s="925"/>
      <c r="V475" s="762"/>
      <c r="W475" s="925"/>
      <c r="X475" s="762"/>
      <c r="Y475" s="762"/>
      <c r="Z475" s="786"/>
      <c r="AA475" s="762"/>
      <c r="AB475" s="786"/>
      <c r="AC475" s="762"/>
      <c r="AD475" s="786"/>
      <c r="AE475" s="762"/>
      <c r="AF475" s="786"/>
      <c r="AG475" s="762"/>
      <c r="AH475" s="786"/>
      <c r="AI475" s="762"/>
      <c r="AJ475" s="762"/>
      <c r="AK475" s="786"/>
      <c r="AL475" s="762"/>
      <c r="AM475" s="786"/>
      <c r="AN475" s="762"/>
      <c r="AO475" s="786"/>
      <c r="AP475" s="762"/>
      <c r="AQ475" s="786"/>
      <c r="AR475" s="762"/>
      <c r="AS475" s="786"/>
      <c r="AT475" s="762"/>
      <c r="AU475" s="762"/>
      <c r="AV475" s="786"/>
      <c r="AW475" s="762"/>
      <c r="AX475" s="786"/>
      <c r="AY475" s="762"/>
      <c r="AZ475" s="786"/>
      <c r="BA475" s="762"/>
      <c r="BB475" s="786"/>
      <c r="BC475" s="762"/>
      <c r="BD475" s="786"/>
      <c r="BE475" s="762"/>
    </row>
  </sheetData>
  <sheetProtection password="EB75" sheet="1" objects="1" scenarios="1" formatCells="0" formatColumns="0" formatRows="0"/>
  <mergeCells count="59">
    <mergeCell ref="Q9:R9"/>
    <mergeCell ref="Z9:AA9"/>
    <mergeCell ref="W9:X9"/>
    <mergeCell ref="AB9:AC9"/>
    <mergeCell ref="Y97:AI97"/>
    <mergeCell ref="Z98:AA98"/>
    <mergeCell ref="AB98:AC98"/>
    <mergeCell ref="AD98:AE98"/>
    <mergeCell ref="AF98:AG98"/>
    <mergeCell ref="AH98:AI98"/>
    <mergeCell ref="O98:P98"/>
    <mergeCell ref="Q98:R98"/>
    <mergeCell ref="S98:T98"/>
    <mergeCell ref="U98:V98"/>
    <mergeCell ref="W98:X98"/>
    <mergeCell ref="AS9:AT9"/>
    <mergeCell ref="AK9:AL9"/>
    <mergeCell ref="AH9:AI9"/>
    <mergeCell ref="AV9:AW9"/>
    <mergeCell ref="AO9:AP9"/>
    <mergeCell ref="AM9:AN9"/>
    <mergeCell ref="A100:A106"/>
    <mergeCell ref="D98:E98"/>
    <mergeCell ref="F98:G98"/>
    <mergeCell ref="H98:I98"/>
    <mergeCell ref="J98:K98"/>
    <mergeCell ref="A97:B99"/>
    <mergeCell ref="BD9:BE9"/>
    <mergeCell ref="AD9:AE9"/>
    <mergeCell ref="AF9:AG9"/>
    <mergeCell ref="A88:B88"/>
    <mergeCell ref="A7:A10"/>
    <mergeCell ref="B7:B10"/>
    <mergeCell ref="F9:G9"/>
    <mergeCell ref="H9:I9"/>
    <mergeCell ref="S9:T9"/>
    <mergeCell ref="U9:V9"/>
    <mergeCell ref="D9:E9"/>
    <mergeCell ref="J9:K9"/>
    <mergeCell ref="L9:M9"/>
    <mergeCell ref="O9:P9"/>
    <mergeCell ref="AX9:AY9"/>
    <mergeCell ref="AQ9:AR9"/>
    <mergeCell ref="C108:X108"/>
    <mergeCell ref="A2:X2"/>
    <mergeCell ref="A3:X3"/>
    <mergeCell ref="A4:X4"/>
    <mergeCell ref="A5:X5"/>
    <mergeCell ref="L98:M98"/>
    <mergeCell ref="C97:M97"/>
    <mergeCell ref="N97:X97"/>
    <mergeCell ref="C7:BD7"/>
    <mergeCell ref="C8:M8"/>
    <mergeCell ref="N8:X8"/>
    <mergeCell ref="Y8:AI8"/>
    <mergeCell ref="AJ8:AT8"/>
    <mergeCell ref="AU8:BE8"/>
    <mergeCell ref="AZ9:BA9"/>
    <mergeCell ref="BB9:BC9"/>
  </mergeCells>
  <conditionalFormatting sqref="BE95 BC95 BA95 AY95 AW95 AT95 AR95 AP95 AN95 AL95 E11:E95 G11:G95 I11:I95 K11:K95 M11:M95 P11:P95 R11:R95 T11:T95 V11:V95 X11:X95 AA11:AA95 AC11:AC95 AE11:AE95 AG11:AG95 AI11:AI95 AL11:AL92 AN11:AN92 AP11:AP92 AR11:AR92 AT11:AT92 AW11:AW92 AY11:AY92 BA11:BA92 BC11:BC92 BE11:BE92">
    <cfRule type="cellIs" dxfId="12" priority="13" operator="lessThan">
      <formula>0</formula>
    </cfRule>
    <cfRule type="cellIs" dxfId="11" priority="14" operator="greaterThan">
      <formula>0.1</formula>
    </cfRule>
  </conditionalFormatting>
  <conditionalFormatting sqref="D100:M106 O100:X106 Z100:AI106">
    <cfRule type="cellIs" dxfId="10" priority="11" operator="lessThan">
      <formula>0</formula>
    </cfRule>
    <cfRule type="cellIs" dxfId="9" priority="12" operator="greaterThan">
      <formula>0</formula>
    </cfRule>
  </conditionalFormatting>
  <conditionalFormatting sqref="AL93:AL94 AN93:AN94 AP93:AP94 AR93:AR94 AT93:AT94">
    <cfRule type="cellIs" dxfId="8" priority="5" operator="lessThan">
      <formula>0</formula>
    </cfRule>
    <cfRule type="cellIs" dxfId="7" priority="6" operator="greaterThan">
      <formula>0.1</formula>
    </cfRule>
  </conditionalFormatting>
  <conditionalFormatting sqref="AW93:AW94 AY93:AY94 BA93:BA94 BC93:BC94 BE93:BE94">
    <cfRule type="cellIs" dxfId="6" priority="3" operator="lessThan">
      <formula>0</formula>
    </cfRule>
    <cfRule type="cellIs" dxfId="5" priority="4" operator="greaterThan">
      <formula>0.1</formula>
    </cfRule>
  </conditionalFormatting>
  <printOptions horizontalCentered="1"/>
  <pageMargins left="0" right="0" top="0.55118110236220474" bottom="0.15748031496062992" header="0.31496062992125984" footer="7.874015748031496E-2"/>
  <pageSetup paperSize="9" scale="64" orientation="landscape" r:id="rId1"/>
  <headerFooter alignWithMargins="0">
    <oddFooter>&amp;C&amp;A&amp;RСтр. &amp;P от &amp;N</oddFooter>
  </headerFooter>
  <rowBreaks count="1" manualBreakCount="1">
    <brk id="48" max="56" man="1"/>
  </rowBreaks>
  <colBreaks count="3" manualBreakCount="3">
    <brk id="24" max="92" man="1"/>
    <brk id="24" min="96" max="107" man="1"/>
    <brk id="46" max="9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N157"/>
  <sheetViews>
    <sheetView view="pageBreakPreview" topLeftCell="A97" zoomScale="80" zoomScaleNormal="70" zoomScaleSheetLayoutView="80" workbookViewId="0">
      <selection activeCell="K120" sqref="K120:M120"/>
    </sheetView>
  </sheetViews>
  <sheetFormatPr defaultColWidth="9.140625" defaultRowHeight="12.75"/>
  <cols>
    <col min="1" max="1" width="14.42578125" style="3522" customWidth="1"/>
    <col min="2" max="2" width="61" style="3522" customWidth="1"/>
    <col min="3" max="4" width="9.140625" style="3522"/>
    <col min="5" max="5" width="10.5703125" style="3522" customWidth="1"/>
    <col min="6" max="6" width="11.28515625" style="3522" customWidth="1"/>
    <col min="7" max="7" width="10.7109375" style="3522" customWidth="1"/>
    <col min="8" max="8" width="11.28515625" style="3522" customWidth="1"/>
    <col min="9" max="16384" width="9.140625" style="3522"/>
  </cols>
  <sheetData>
    <row r="1" spans="1:32" ht="18.75">
      <c r="A1" s="1366"/>
      <c r="B1" s="1366"/>
      <c r="C1" s="1366"/>
      <c r="D1" s="1366"/>
      <c r="E1" s="1366"/>
      <c r="F1" s="1366"/>
      <c r="G1" s="1366"/>
      <c r="H1" s="1366"/>
      <c r="I1" s="1366"/>
      <c r="J1" s="1366"/>
      <c r="K1" s="1366"/>
      <c r="L1" s="1366"/>
      <c r="M1" s="1366"/>
      <c r="N1" s="1366"/>
      <c r="O1" s="1366"/>
      <c r="P1" s="1366"/>
      <c r="Q1" s="1366"/>
      <c r="R1" s="1366"/>
      <c r="S1" s="1366"/>
      <c r="T1" s="3488" t="s">
        <v>193</v>
      </c>
      <c r="U1" s="5495"/>
      <c r="V1" s="5495"/>
      <c r="W1" s="5495"/>
      <c r="X1" s="5495"/>
      <c r="Y1" s="5495"/>
      <c r="Z1" s="5495"/>
      <c r="AA1" s="5495"/>
      <c r="AB1" s="5495"/>
      <c r="AC1" s="3521"/>
      <c r="AD1" s="3521"/>
      <c r="AE1" s="3521"/>
      <c r="AF1" s="3521"/>
    </row>
    <row r="2" spans="1:32" ht="18.75" customHeight="1">
      <c r="A2" s="5495" t="s">
        <v>1542</v>
      </c>
      <c r="B2" s="5495"/>
      <c r="C2" s="5495"/>
      <c r="D2" s="5495"/>
      <c r="E2" s="5495"/>
      <c r="F2" s="5495"/>
      <c r="G2" s="5495"/>
      <c r="H2" s="5495"/>
      <c r="I2" s="5495"/>
      <c r="J2" s="5495"/>
      <c r="K2" s="5495"/>
      <c r="L2" s="5495"/>
      <c r="M2" s="5495"/>
      <c r="N2" s="5495"/>
      <c r="O2" s="5495"/>
      <c r="P2" s="5495"/>
      <c r="Q2" s="5495"/>
      <c r="R2" s="5495"/>
      <c r="S2" s="5495"/>
      <c r="T2" s="5495"/>
      <c r="U2" s="5495"/>
      <c r="V2" s="5495"/>
      <c r="W2" s="5495"/>
      <c r="X2" s="5495"/>
      <c r="Y2" s="5495"/>
      <c r="Z2" s="5495"/>
      <c r="AA2" s="5495"/>
      <c r="AB2" s="5495"/>
      <c r="AC2" s="3521"/>
      <c r="AD2" s="3521"/>
      <c r="AE2" s="3521"/>
      <c r="AF2" s="3521"/>
    </row>
    <row r="3" spans="1:32" ht="45" customHeight="1">
      <c r="C3" s="5495" t="s">
        <v>1583</v>
      </c>
      <c r="D3" s="5495"/>
      <c r="E3" s="5495"/>
      <c r="F3" s="5495"/>
      <c r="G3" s="5495"/>
      <c r="H3" s="5495"/>
      <c r="I3" s="5495"/>
      <c r="J3" s="5495"/>
      <c r="K3" s="5495"/>
      <c r="L3" s="5495"/>
      <c r="M3" s="5495"/>
      <c r="N3" s="5495"/>
      <c r="O3" s="1366"/>
      <c r="P3" s="1366"/>
      <c r="Q3" s="1366"/>
      <c r="R3" s="1366"/>
      <c r="S3" s="1366"/>
      <c r="T3" s="1366"/>
      <c r="U3" s="1366"/>
      <c r="V3" s="1366"/>
      <c r="W3" s="1366"/>
      <c r="X3" s="1366"/>
      <c r="Y3" s="1366"/>
      <c r="Z3" s="1366"/>
      <c r="AA3" s="1366"/>
      <c r="AB3" s="1366"/>
      <c r="AC3" s="3521"/>
      <c r="AD3" s="3521"/>
      <c r="AE3" s="3521"/>
      <c r="AF3" s="3521"/>
    </row>
    <row r="4" spans="1:32" ht="18.75">
      <c r="A4" s="5539" t="str">
        <f>'1. Обща информация'!A4:D4</f>
        <v>на "Водоснабдяване и канализаиця"ООД, гр. Перник</v>
      </c>
      <c r="B4" s="5539"/>
      <c r="C4" s="5539"/>
      <c r="D4" s="5539"/>
      <c r="E4" s="5539"/>
      <c r="F4" s="5539"/>
      <c r="G4" s="5539"/>
      <c r="H4" s="5539"/>
      <c r="I4" s="5539"/>
      <c r="J4" s="5539"/>
      <c r="K4" s="5539"/>
      <c r="L4" s="5539"/>
      <c r="M4" s="5539"/>
      <c r="N4" s="5539"/>
      <c r="O4" s="5539"/>
      <c r="P4" s="5539"/>
      <c r="Q4" s="5539"/>
      <c r="R4" s="5539"/>
      <c r="S4" s="5539"/>
      <c r="T4" s="5539"/>
      <c r="V4" s="3523"/>
      <c r="W4" s="3523"/>
      <c r="X4" s="3523"/>
      <c r="Y4" s="3523"/>
      <c r="Z4" s="3523"/>
      <c r="AA4" s="3523"/>
      <c r="AB4" s="3523"/>
      <c r="AC4" s="3521"/>
      <c r="AD4" s="3521"/>
      <c r="AE4" s="3521"/>
      <c r="AF4" s="3521"/>
    </row>
    <row r="5" spans="1:32" ht="18.75">
      <c r="A5" s="5539" t="str">
        <f>'1. Обща информация'!A5:D5</f>
        <v>ЕИК по БУЛСТАТ: 823073638</v>
      </c>
      <c r="B5" s="5539"/>
      <c r="C5" s="5539"/>
      <c r="D5" s="5539"/>
      <c r="E5" s="5539"/>
      <c r="F5" s="5539"/>
      <c r="G5" s="5539"/>
      <c r="H5" s="5539"/>
      <c r="I5" s="5539"/>
      <c r="J5" s="5539"/>
      <c r="K5" s="5539"/>
      <c r="L5" s="5539"/>
      <c r="M5" s="5539"/>
      <c r="N5" s="5539"/>
      <c r="O5" s="5539"/>
      <c r="P5" s="5539"/>
      <c r="Q5" s="5539"/>
      <c r="R5" s="5539"/>
      <c r="S5" s="5539"/>
      <c r="T5" s="5539"/>
      <c r="U5" s="3523"/>
      <c r="V5" s="3523"/>
      <c r="W5" s="3523"/>
      <c r="X5" s="3523"/>
      <c r="Y5" s="3523"/>
      <c r="Z5" s="3523"/>
      <c r="AA5" s="3523"/>
      <c r="AB5" s="3523"/>
      <c r="AC5" s="3521"/>
      <c r="AD5" s="3521"/>
      <c r="AE5" s="3521"/>
      <c r="AF5" s="3521"/>
    </row>
    <row r="6" spans="1:32" ht="5.25" customHeight="1">
      <c r="A6" s="3521"/>
      <c r="B6" s="3521"/>
      <c r="C6" s="3521"/>
      <c r="D6" s="3521"/>
      <c r="E6" s="3521"/>
      <c r="F6" s="3521"/>
      <c r="G6" s="3521"/>
      <c r="H6" s="3521"/>
      <c r="I6" s="3521"/>
      <c r="J6" s="3521"/>
      <c r="K6" s="3521"/>
      <c r="L6" s="3521"/>
      <c r="M6" s="3521"/>
      <c r="N6" s="3521"/>
      <c r="O6" s="3521"/>
      <c r="P6" s="3521"/>
      <c r="Q6" s="3521"/>
      <c r="R6" s="3521"/>
      <c r="S6" s="3521"/>
      <c r="T6" s="3521"/>
      <c r="U6" s="3521"/>
      <c r="V6" s="3521"/>
      <c r="W6" s="3521"/>
      <c r="X6" s="3521"/>
      <c r="Y6" s="3521"/>
      <c r="Z6" s="3521"/>
      <c r="AA6" s="3521"/>
      <c r="AB6" s="3521"/>
      <c r="AC6" s="3521"/>
      <c r="AD6" s="3521"/>
      <c r="AE6" s="3521"/>
      <c r="AF6" s="3521"/>
    </row>
    <row r="7" spans="1:32" ht="5.25" customHeight="1" thickBot="1">
      <c r="A7" s="3521"/>
      <c r="B7" s="3521"/>
      <c r="C7" s="3521"/>
      <c r="D7" s="3521"/>
      <c r="E7" s="3521"/>
      <c r="F7" s="3521"/>
      <c r="G7" s="3521"/>
      <c r="H7" s="3521"/>
      <c r="I7" s="3521"/>
      <c r="J7" s="3521"/>
      <c r="K7" s="3521"/>
      <c r="L7" s="3521"/>
      <c r="M7" s="3521"/>
      <c r="N7" s="3521"/>
      <c r="O7" s="3521"/>
      <c r="P7" s="3521"/>
      <c r="Q7" s="3521"/>
      <c r="R7" s="3521"/>
      <c r="S7" s="3521"/>
      <c r="T7" s="3521"/>
      <c r="U7" s="3521"/>
      <c r="V7" s="3521"/>
      <c r="W7" s="3521"/>
      <c r="X7" s="3521"/>
      <c r="Y7" s="3521"/>
      <c r="Z7" s="3521"/>
      <c r="AA7" s="3521"/>
      <c r="AB7" s="3521"/>
      <c r="AC7" s="3521"/>
      <c r="AD7" s="3521"/>
      <c r="AE7" s="3521"/>
      <c r="AF7" s="3521"/>
    </row>
    <row r="8" spans="1:32" ht="21" customHeight="1" thickBot="1">
      <c r="A8" s="1664" t="s">
        <v>172</v>
      </c>
      <c r="B8" s="1665"/>
      <c r="C8" s="1665"/>
      <c r="D8" s="1665"/>
      <c r="E8" s="1665"/>
      <c r="F8" s="1665"/>
      <c r="G8" s="1665"/>
      <c r="H8" s="1665"/>
      <c r="I8" s="1665"/>
      <c r="J8" s="1665"/>
      <c r="K8" s="1665"/>
      <c r="L8" s="1665"/>
      <c r="M8" s="1665"/>
      <c r="N8" s="1665"/>
      <c r="O8" s="1665"/>
      <c r="P8" s="1665"/>
      <c r="Q8" s="1665"/>
      <c r="R8" s="1665"/>
      <c r="S8" s="1665"/>
      <c r="T8" s="1665"/>
      <c r="U8" s="1665"/>
      <c r="V8" s="1665"/>
      <c r="W8" s="1665"/>
      <c r="X8" s="1665"/>
      <c r="Y8" s="1665"/>
      <c r="Z8" s="1665"/>
      <c r="AA8" s="1665"/>
      <c r="AB8" s="1665"/>
      <c r="AC8" s="1665"/>
      <c r="AD8" s="1665"/>
      <c r="AE8" s="1665"/>
      <c r="AF8" s="1666"/>
    </row>
    <row r="9" spans="1:32" ht="21" customHeight="1">
      <c r="A9" s="5496" t="s">
        <v>1191</v>
      </c>
      <c r="B9" s="5497"/>
      <c r="C9" s="5496">
        <v>1</v>
      </c>
      <c r="D9" s="5538"/>
      <c r="E9" s="5538"/>
      <c r="F9" s="5538"/>
      <c r="G9" s="5538"/>
      <c r="H9" s="5497"/>
      <c r="I9" s="5496">
        <f>C9+1</f>
        <v>2</v>
      </c>
      <c r="J9" s="5538"/>
      <c r="K9" s="5538"/>
      <c r="L9" s="5538"/>
      <c r="M9" s="5538"/>
      <c r="N9" s="5497"/>
      <c r="O9" s="5496">
        <f t="shared" ref="O9" si="0">I9+1</f>
        <v>3</v>
      </c>
      <c r="P9" s="5538"/>
      <c r="Q9" s="5538"/>
      <c r="R9" s="5538"/>
      <c r="S9" s="5538"/>
      <c r="T9" s="5497"/>
      <c r="U9" s="5496">
        <f t="shared" ref="U9" si="1">O9+1</f>
        <v>4</v>
      </c>
      <c r="V9" s="5538"/>
      <c r="W9" s="5538"/>
      <c r="X9" s="5538"/>
      <c r="Y9" s="5538"/>
      <c r="Z9" s="5497"/>
      <c r="AA9" s="5496">
        <f t="shared" ref="AA9" si="2">U9+1</f>
        <v>5</v>
      </c>
      <c r="AB9" s="5538"/>
      <c r="AC9" s="5538"/>
      <c r="AD9" s="5538"/>
      <c r="AE9" s="5538"/>
      <c r="AF9" s="5497"/>
    </row>
    <row r="10" spans="1:32">
      <c r="A10" s="5518" t="s">
        <v>1324</v>
      </c>
      <c r="B10" s="3524" t="s">
        <v>1505</v>
      </c>
      <c r="C10" s="4889"/>
      <c r="D10" s="4890"/>
      <c r="E10" s="4890"/>
      <c r="F10" s="4890"/>
      <c r="G10" s="4890"/>
      <c r="H10" s="4891"/>
      <c r="I10" s="5510"/>
      <c r="J10" s="5511"/>
      <c r="K10" s="5511"/>
      <c r="L10" s="5511"/>
      <c r="M10" s="5511"/>
      <c r="N10" s="5512"/>
      <c r="O10" s="5510"/>
      <c r="P10" s="5511"/>
      <c r="Q10" s="5511"/>
      <c r="R10" s="5511"/>
      <c r="S10" s="5511"/>
      <c r="T10" s="5512"/>
      <c r="U10" s="5510"/>
      <c r="V10" s="5511"/>
      <c r="W10" s="5511"/>
      <c r="X10" s="5511"/>
      <c r="Y10" s="5511"/>
      <c r="Z10" s="5512"/>
      <c r="AA10" s="5510"/>
      <c r="AB10" s="5511"/>
      <c r="AC10" s="5511"/>
      <c r="AD10" s="5511"/>
      <c r="AE10" s="5511"/>
      <c r="AF10" s="5512"/>
    </row>
    <row r="11" spans="1:32">
      <c r="A11" s="5518"/>
      <c r="B11" s="3524" t="s">
        <v>1325</v>
      </c>
      <c r="C11" s="4889"/>
      <c r="D11" s="4890"/>
      <c r="E11" s="4890"/>
      <c r="F11" s="4890"/>
      <c r="G11" s="4890"/>
      <c r="H11" s="4891"/>
      <c r="I11" s="5510"/>
      <c r="J11" s="5511"/>
      <c r="K11" s="5511"/>
      <c r="L11" s="5511"/>
      <c r="M11" s="5511"/>
      <c r="N11" s="5512"/>
      <c r="O11" s="5510"/>
      <c r="P11" s="5511"/>
      <c r="Q11" s="5511"/>
      <c r="R11" s="5511"/>
      <c r="S11" s="5511"/>
      <c r="T11" s="5512"/>
      <c r="U11" s="5510"/>
      <c r="V11" s="5511"/>
      <c r="W11" s="5511"/>
      <c r="X11" s="5511"/>
      <c r="Y11" s="5511"/>
      <c r="Z11" s="5512"/>
      <c r="AA11" s="5510"/>
      <c r="AB11" s="5511"/>
      <c r="AC11" s="5511"/>
      <c r="AD11" s="5511"/>
      <c r="AE11" s="5511"/>
      <c r="AF11" s="5512"/>
    </row>
    <row r="12" spans="1:32">
      <c r="A12" s="5519" t="s">
        <v>1326</v>
      </c>
      <c r="B12" s="3525" t="s">
        <v>1327</v>
      </c>
      <c r="C12" s="4889"/>
      <c r="D12" s="4890"/>
      <c r="E12" s="4890"/>
      <c r="F12" s="4890"/>
      <c r="G12" s="4890"/>
      <c r="H12" s="4891"/>
      <c r="I12" s="5510"/>
      <c r="J12" s="5511"/>
      <c r="K12" s="5511"/>
      <c r="L12" s="5511"/>
      <c r="M12" s="5511"/>
      <c r="N12" s="5512"/>
      <c r="O12" s="5510"/>
      <c r="P12" s="5511"/>
      <c r="Q12" s="5511"/>
      <c r="R12" s="5511"/>
      <c r="S12" s="5511"/>
      <c r="T12" s="5512"/>
      <c r="U12" s="5510"/>
      <c r="V12" s="5511"/>
      <c r="W12" s="5511"/>
      <c r="X12" s="5511"/>
      <c r="Y12" s="5511"/>
      <c r="Z12" s="5512"/>
      <c r="AA12" s="5510"/>
      <c r="AB12" s="5511"/>
      <c r="AC12" s="5511"/>
      <c r="AD12" s="5511"/>
      <c r="AE12" s="5511"/>
      <c r="AF12" s="5512"/>
    </row>
    <row r="13" spans="1:32" ht="40.5" customHeight="1">
      <c r="A13" s="5520"/>
      <c r="B13" s="3524" t="s">
        <v>1328</v>
      </c>
      <c r="C13" s="4889"/>
      <c r="D13" s="4890"/>
      <c r="E13" s="4890"/>
      <c r="F13" s="4890"/>
      <c r="G13" s="4890"/>
      <c r="H13" s="4891"/>
      <c r="I13" s="5510"/>
      <c r="J13" s="5511"/>
      <c r="K13" s="5511"/>
      <c r="L13" s="5511"/>
      <c r="M13" s="5511"/>
      <c r="N13" s="5512"/>
      <c r="O13" s="5510"/>
      <c r="P13" s="5511"/>
      <c r="Q13" s="5511"/>
      <c r="R13" s="5511"/>
      <c r="S13" s="5511"/>
      <c r="T13" s="5512"/>
      <c r="U13" s="5510"/>
      <c r="V13" s="5511"/>
      <c r="W13" s="5511"/>
      <c r="X13" s="5511"/>
      <c r="Y13" s="5511"/>
      <c r="Z13" s="5512"/>
      <c r="AA13" s="5510"/>
      <c r="AB13" s="5511"/>
      <c r="AC13" s="5511"/>
      <c r="AD13" s="5511"/>
      <c r="AE13" s="5511"/>
      <c r="AF13" s="5512"/>
    </row>
    <row r="14" spans="1:32" ht="25.5">
      <c r="A14" s="4523" t="s">
        <v>1329</v>
      </c>
      <c r="B14" s="3524" t="s">
        <v>1330</v>
      </c>
      <c r="C14" s="4883"/>
      <c r="D14" s="4884"/>
      <c r="E14" s="4884"/>
      <c r="F14" s="4884"/>
      <c r="G14" s="4884"/>
      <c r="H14" s="4885"/>
      <c r="I14" s="5510"/>
      <c r="J14" s="5511"/>
      <c r="K14" s="5511"/>
      <c r="L14" s="5511"/>
      <c r="M14" s="5511"/>
      <c r="N14" s="5512"/>
      <c r="O14" s="5510"/>
      <c r="P14" s="5511"/>
      <c r="Q14" s="5511"/>
      <c r="R14" s="5511"/>
      <c r="S14" s="5511"/>
      <c r="T14" s="5512"/>
      <c r="U14" s="5510"/>
      <c r="V14" s="5511"/>
      <c r="W14" s="5511"/>
      <c r="X14" s="5511"/>
      <c r="Y14" s="5511"/>
      <c r="Z14" s="5512"/>
      <c r="AA14" s="5510"/>
      <c r="AB14" s="5511"/>
      <c r="AC14" s="5511"/>
      <c r="AD14" s="5511"/>
      <c r="AE14" s="5511"/>
      <c r="AF14" s="5512"/>
    </row>
    <row r="15" spans="1:32" ht="26.25" thickBot="1">
      <c r="A15" s="3526" t="s">
        <v>1331</v>
      </c>
      <c r="B15" s="3527" t="s">
        <v>1332</v>
      </c>
      <c r="C15" s="4886"/>
      <c r="D15" s="4887"/>
      <c r="E15" s="4887"/>
      <c r="F15" s="4887"/>
      <c r="G15" s="4887"/>
      <c r="H15" s="4888"/>
      <c r="I15" s="5513"/>
      <c r="J15" s="5514"/>
      <c r="K15" s="5514"/>
      <c r="L15" s="5514"/>
      <c r="M15" s="5514"/>
      <c r="N15" s="5515"/>
      <c r="O15" s="5513"/>
      <c r="P15" s="5514"/>
      <c r="Q15" s="5514"/>
      <c r="R15" s="5514"/>
      <c r="S15" s="5514"/>
      <c r="T15" s="5515"/>
      <c r="U15" s="5513"/>
      <c r="V15" s="5514"/>
      <c r="W15" s="5514"/>
      <c r="X15" s="5514"/>
      <c r="Y15" s="5514"/>
      <c r="Z15" s="5515"/>
      <c r="AA15" s="5513"/>
      <c r="AB15" s="5514"/>
      <c r="AC15" s="5514"/>
      <c r="AD15" s="5514"/>
      <c r="AE15" s="5514"/>
      <c r="AF15" s="5515"/>
    </row>
    <row r="16" spans="1:32" ht="26.25" thickBot="1">
      <c r="A16" s="5498" t="s">
        <v>1520</v>
      </c>
      <c r="B16" s="5499"/>
      <c r="C16" s="3528" t="s">
        <v>1072</v>
      </c>
      <c r="D16" s="3529" t="s">
        <v>1073</v>
      </c>
      <c r="E16" s="3529" t="s">
        <v>1074</v>
      </c>
      <c r="F16" s="3529" t="s">
        <v>1075</v>
      </c>
      <c r="G16" s="3529" t="s">
        <v>1076</v>
      </c>
      <c r="H16" s="3530" t="s">
        <v>1333</v>
      </c>
      <c r="I16" s="3528" t="s">
        <v>1072</v>
      </c>
      <c r="J16" s="3529" t="s">
        <v>1073</v>
      </c>
      <c r="K16" s="3529" t="s">
        <v>1074</v>
      </c>
      <c r="L16" s="3529" t="s">
        <v>1075</v>
      </c>
      <c r="M16" s="3529" t="s">
        <v>1076</v>
      </c>
      <c r="N16" s="3530" t="s">
        <v>1333</v>
      </c>
      <c r="O16" s="3528" t="s">
        <v>1072</v>
      </c>
      <c r="P16" s="3529" t="s">
        <v>1073</v>
      </c>
      <c r="Q16" s="3529" t="s">
        <v>1074</v>
      </c>
      <c r="R16" s="3529" t="s">
        <v>1075</v>
      </c>
      <c r="S16" s="3529" t="s">
        <v>1076</v>
      </c>
      <c r="T16" s="3530" t="s">
        <v>1333</v>
      </c>
      <c r="U16" s="3528" t="s">
        <v>1072</v>
      </c>
      <c r="V16" s="3529" t="s">
        <v>1073</v>
      </c>
      <c r="W16" s="3529" t="s">
        <v>1074</v>
      </c>
      <c r="X16" s="3529" t="s">
        <v>1075</v>
      </c>
      <c r="Y16" s="3529" t="s">
        <v>1076</v>
      </c>
      <c r="Z16" s="3530" t="s">
        <v>1333</v>
      </c>
      <c r="AA16" s="3528" t="s">
        <v>1072</v>
      </c>
      <c r="AB16" s="3529" t="s">
        <v>1073</v>
      </c>
      <c r="AC16" s="3529" t="s">
        <v>1074</v>
      </c>
      <c r="AD16" s="3529" t="s">
        <v>1075</v>
      </c>
      <c r="AE16" s="3529" t="s">
        <v>1076</v>
      </c>
      <c r="AF16" s="3530" t="s">
        <v>1333</v>
      </c>
    </row>
    <row r="17" spans="1:32">
      <c r="A17" s="5536" t="s">
        <v>1506</v>
      </c>
      <c r="B17" s="5537"/>
      <c r="C17" s="3531"/>
      <c r="D17" s="3532"/>
      <c r="E17" s="3532"/>
      <c r="F17" s="3532"/>
      <c r="G17" s="3532"/>
      <c r="H17" s="3533">
        <f>SUM(C17:G17)</f>
        <v>0</v>
      </c>
      <c r="I17" s="3531"/>
      <c r="J17" s="3532"/>
      <c r="K17" s="3532"/>
      <c r="L17" s="3532"/>
      <c r="M17" s="3532"/>
      <c r="N17" s="3533">
        <f>SUM(I17:M17)</f>
        <v>0</v>
      </c>
      <c r="O17" s="3531"/>
      <c r="P17" s="3532"/>
      <c r="Q17" s="3532"/>
      <c r="R17" s="3532"/>
      <c r="S17" s="3532"/>
      <c r="T17" s="3533">
        <f>SUM(O17:S17)</f>
        <v>0</v>
      </c>
      <c r="U17" s="3531"/>
      <c r="V17" s="3532"/>
      <c r="W17" s="3532"/>
      <c r="X17" s="3532"/>
      <c r="Y17" s="3532"/>
      <c r="Z17" s="3533">
        <f>SUM(U17:Y17)</f>
        <v>0</v>
      </c>
      <c r="AA17" s="3531"/>
      <c r="AB17" s="3532"/>
      <c r="AC17" s="3532"/>
      <c r="AD17" s="3532"/>
      <c r="AE17" s="3532"/>
      <c r="AF17" s="3533">
        <f>SUM(AA17:AE17)</f>
        <v>0</v>
      </c>
    </row>
    <row r="18" spans="1:32">
      <c r="A18" s="5530" t="s">
        <v>1507</v>
      </c>
      <c r="B18" s="5531"/>
      <c r="C18" s="3534"/>
      <c r="D18" s="3535"/>
      <c r="E18" s="3535"/>
      <c r="F18" s="3535"/>
      <c r="G18" s="3535"/>
      <c r="H18" s="3536">
        <f t="shared" ref="H18:H31" si="3">SUM(C18:G18)</f>
        <v>0</v>
      </c>
      <c r="I18" s="3534"/>
      <c r="J18" s="3535"/>
      <c r="K18" s="3535"/>
      <c r="L18" s="3535"/>
      <c r="M18" s="3535"/>
      <c r="N18" s="3536">
        <f t="shared" ref="N18:N31" si="4">SUM(I18:M18)</f>
        <v>0</v>
      </c>
      <c r="O18" s="3534"/>
      <c r="P18" s="3535"/>
      <c r="Q18" s="3535"/>
      <c r="R18" s="3535"/>
      <c r="S18" s="3535"/>
      <c r="T18" s="3536">
        <f t="shared" ref="T18:T31" si="5">SUM(O18:S18)</f>
        <v>0</v>
      </c>
      <c r="U18" s="3534"/>
      <c r="V18" s="3535"/>
      <c r="W18" s="3535"/>
      <c r="X18" s="3535"/>
      <c r="Y18" s="3535"/>
      <c r="Z18" s="3536">
        <f t="shared" ref="Z18:Z31" si="6">SUM(U18:Y18)</f>
        <v>0</v>
      </c>
      <c r="AA18" s="3534"/>
      <c r="AB18" s="3535"/>
      <c r="AC18" s="3535"/>
      <c r="AD18" s="3535"/>
      <c r="AE18" s="3535"/>
      <c r="AF18" s="3536">
        <f t="shared" ref="AF18:AF31" si="7">SUM(AA18:AE18)</f>
        <v>0</v>
      </c>
    </row>
    <row r="19" spans="1:32">
      <c r="A19" s="5532" t="s">
        <v>1508</v>
      </c>
      <c r="B19" s="5533"/>
      <c r="C19" s="3537"/>
      <c r="D19" s="3538"/>
      <c r="E19" s="3538"/>
      <c r="F19" s="3538"/>
      <c r="G19" s="3538"/>
      <c r="H19" s="3539">
        <f t="shared" si="3"/>
        <v>0</v>
      </c>
      <c r="I19" s="3537"/>
      <c r="J19" s="3538"/>
      <c r="K19" s="3538"/>
      <c r="L19" s="3538"/>
      <c r="M19" s="3538"/>
      <c r="N19" s="3539">
        <f t="shared" si="4"/>
        <v>0</v>
      </c>
      <c r="O19" s="3537"/>
      <c r="P19" s="3538"/>
      <c r="Q19" s="3538"/>
      <c r="R19" s="3538"/>
      <c r="S19" s="3538"/>
      <c r="T19" s="3539">
        <f t="shared" si="5"/>
        <v>0</v>
      </c>
      <c r="U19" s="3537"/>
      <c r="V19" s="3538"/>
      <c r="W19" s="3538"/>
      <c r="X19" s="3538"/>
      <c r="Y19" s="3538"/>
      <c r="Z19" s="3539">
        <f t="shared" si="6"/>
        <v>0</v>
      </c>
      <c r="AA19" s="3537"/>
      <c r="AB19" s="3538"/>
      <c r="AC19" s="3538"/>
      <c r="AD19" s="3538"/>
      <c r="AE19" s="3538"/>
      <c r="AF19" s="3539">
        <f t="shared" si="7"/>
        <v>0</v>
      </c>
    </row>
    <row r="20" spans="1:32" ht="13.5" thickBot="1">
      <c r="A20" s="5521" t="s">
        <v>1509</v>
      </c>
      <c r="B20" s="5522"/>
      <c r="C20" s="3540"/>
      <c r="D20" s="3541"/>
      <c r="E20" s="3541"/>
      <c r="F20" s="3541"/>
      <c r="G20" s="3541"/>
      <c r="H20" s="3542">
        <f t="shared" si="3"/>
        <v>0</v>
      </c>
      <c r="I20" s="3540"/>
      <c r="J20" s="3541"/>
      <c r="K20" s="3541"/>
      <c r="L20" s="3541"/>
      <c r="M20" s="3541"/>
      <c r="N20" s="3542">
        <f t="shared" si="4"/>
        <v>0</v>
      </c>
      <c r="O20" s="3540"/>
      <c r="P20" s="3541"/>
      <c r="Q20" s="3541"/>
      <c r="R20" s="3541"/>
      <c r="S20" s="3541"/>
      <c r="T20" s="3542">
        <f t="shared" si="5"/>
        <v>0</v>
      </c>
      <c r="U20" s="3540"/>
      <c r="V20" s="3541"/>
      <c r="W20" s="3541"/>
      <c r="X20" s="3541"/>
      <c r="Y20" s="3541"/>
      <c r="Z20" s="3542">
        <f t="shared" si="6"/>
        <v>0</v>
      </c>
      <c r="AA20" s="3540"/>
      <c r="AB20" s="3541"/>
      <c r="AC20" s="3541"/>
      <c r="AD20" s="3541"/>
      <c r="AE20" s="3541"/>
      <c r="AF20" s="3542">
        <f>SUM(AA20:AE20)</f>
        <v>0</v>
      </c>
    </row>
    <row r="21" spans="1:32" s="4146" customFormat="1" ht="25.5" customHeight="1">
      <c r="A21" s="5534" t="s">
        <v>1511</v>
      </c>
      <c r="B21" s="5535"/>
      <c r="C21" s="3543">
        <f>SUM(C22,C27:C31)</f>
        <v>0</v>
      </c>
      <c r="D21" s="3544">
        <f>SUM(D22,D27:D31)</f>
        <v>0</v>
      </c>
      <c r="E21" s="3544">
        <f>SUM(E22,E27:E31)</f>
        <v>0</v>
      </c>
      <c r="F21" s="3544">
        <f>SUM(F22,F27:F31)</f>
        <v>0</v>
      </c>
      <c r="G21" s="3544">
        <f>SUM(G22,G27:G31)</f>
        <v>0</v>
      </c>
      <c r="H21" s="3545">
        <f t="shared" si="3"/>
        <v>0</v>
      </c>
      <c r="I21" s="3543">
        <f>SUM(I22,I27:I31)</f>
        <v>0</v>
      </c>
      <c r="J21" s="3544">
        <f>SUM(J22,J27:J31)</f>
        <v>0</v>
      </c>
      <c r="K21" s="3544">
        <f>SUM(K22,K27:K31)</f>
        <v>0</v>
      </c>
      <c r="L21" s="3544">
        <f>SUM(L22,L27:L31)</f>
        <v>0</v>
      </c>
      <c r="M21" s="3544">
        <f>SUM(M22,M27:M31)</f>
        <v>0</v>
      </c>
      <c r="N21" s="3545">
        <f t="shared" si="4"/>
        <v>0</v>
      </c>
      <c r="O21" s="3543">
        <f>SUM(O22,O27:O31)</f>
        <v>0</v>
      </c>
      <c r="P21" s="3544">
        <f>SUM(P22,P27:P31)</f>
        <v>0</v>
      </c>
      <c r="Q21" s="3544">
        <f>SUM(Q22,Q27:Q31)</f>
        <v>0</v>
      </c>
      <c r="R21" s="3544">
        <f>SUM(R22,R27:R31)</f>
        <v>0</v>
      </c>
      <c r="S21" s="3544">
        <f>SUM(S22,S27:S31)</f>
        <v>0</v>
      </c>
      <c r="T21" s="3545">
        <f t="shared" si="5"/>
        <v>0</v>
      </c>
      <c r="U21" s="3543">
        <f>SUM(U22,U27:U31)</f>
        <v>0</v>
      </c>
      <c r="V21" s="3544">
        <f>SUM(V22,V27:V31)</f>
        <v>0</v>
      </c>
      <c r="W21" s="3544">
        <f>SUM(W22,W27:W31)</f>
        <v>0</v>
      </c>
      <c r="X21" s="3544">
        <f>SUM(X22,X27:X31)</f>
        <v>0</v>
      </c>
      <c r="Y21" s="3544">
        <f>SUM(Y22,Y27:Y31)</f>
        <v>0</v>
      </c>
      <c r="Z21" s="3545">
        <f t="shared" si="6"/>
        <v>0</v>
      </c>
      <c r="AA21" s="3543">
        <f>SUM(AA22,AA27:AA31)</f>
        <v>0</v>
      </c>
      <c r="AB21" s="3544">
        <f>SUM(AB22,AB27:AB31)</f>
        <v>0</v>
      </c>
      <c r="AC21" s="3544">
        <f>SUM(AC22,AC27:AC31)</f>
        <v>0</v>
      </c>
      <c r="AD21" s="3544">
        <f>SUM(AD22,AD27:AD31)</f>
        <v>0</v>
      </c>
      <c r="AE21" s="3544">
        <f>SUM(AE22,AE27:AE31)</f>
        <v>0</v>
      </c>
      <c r="AF21" s="3545">
        <f t="shared" si="7"/>
        <v>0</v>
      </c>
    </row>
    <row r="22" spans="1:32">
      <c r="A22" s="5500" t="s">
        <v>1510</v>
      </c>
      <c r="B22" s="5501"/>
      <c r="C22" s="3534"/>
      <c r="D22" s="3535"/>
      <c r="E22" s="3535"/>
      <c r="F22" s="3535"/>
      <c r="G22" s="3535"/>
      <c r="H22" s="3536">
        <f t="shared" si="3"/>
        <v>0</v>
      </c>
      <c r="I22" s="3534"/>
      <c r="J22" s="3535"/>
      <c r="K22" s="3535"/>
      <c r="L22" s="3535"/>
      <c r="M22" s="3535"/>
      <c r="N22" s="3536">
        <f t="shared" si="4"/>
        <v>0</v>
      </c>
      <c r="O22" s="3534"/>
      <c r="P22" s="3535"/>
      <c r="Q22" s="3535"/>
      <c r="R22" s="3535"/>
      <c r="S22" s="3535"/>
      <c r="T22" s="3536">
        <f t="shared" si="5"/>
        <v>0</v>
      </c>
      <c r="U22" s="3534"/>
      <c r="V22" s="3535"/>
      <c r="W22" s="3535"/>
      <c r="X22" s="3535"/>
      <c r="Y22" s="3535"/>
      <c r="Z22" s="3536">
        <f t="shared" si="6"/>
        <v>0</v>
      </c>
      <c r="AA22" s="3534"/>
      <c r="AB22" s="3535"/>
      <c r="AC22" s="3535"/>
      <c r="AD22" s="3535"/>
      <c r="AE22" s="3535"/>
      <c r="AF22" s="3536">
        <f t="shared" si="7"/>
        <v>0</v>
      </c>
    </row>
    <row r="23" spans="1:32">
      <c r="A23" s="5502" t="s">
        <v>1522</v>
      </c>
      <c r="B23" s="5503"/>
      <c r="C23" s="3534"/>
      <c r="D23" s="3535"/>
      <c r="E23" s="3535"/>
      <c r="F23" s="3535"/>
      <c r="G23" s="3535"/>
      <c r="H23" s="3536">
        <f>SUM(C23:G23)</f>
        <v>0</v>
      </c>
      <c r="I23" s="3534"/>
      <c r="J23" s="3535"/>
      <c r="K23" s="3535"/>
      <c r="L23" s="3535"/>
      <c r="M23" s="3535"/>
      <c r="N23" s="3536">
        <f>SUM(I23:M23)</f>
        <v>0</v>
      </c>
      <c r="O23" s="3534"/>
      <c r="P23" s="3535"/>
      <c r="Q23" s="3535"/>
      <c r="R23" s="3535"/>
      <c r="S23" s="3535"/>
      <c r="T23" s="3536">
        <f>SUM(O23:S23)</f>
        <v>0</v>
      </c>
      <c r="U23" s="3534"/>
      <c r="V23" s="3535"/>
      <c r="W23" s="3535"/>
      <c r="X23" s="3535"/>
      <c r="Y23" s="3535"/>
      <c r="Z23" s="3536">
        <f>SUM(U23:Y23)</f>
        <v>0</v>
      </c>
      <c r="AA23" s="3534"/>
      <c r="AB23" s="3535"/>
      <c r="AC23" s="3535"/>
      <c r="AD23" s="3535"/>
      <c r="AE23" s="3535"/>
      <c r="AF23" s="3536">
        <f>SUM(AA23:AE23)</f>
        <v>0</v>
      </c>
    </row>
    <row r="24" spans="1:32">
      <c r="A24" s="5516" t="s">
        <v>1512</v>
      </c>
      <c r="B24" s="5517"/>
      <c r="C24" s="3534"/>
      <c r="D24" s="3535"/>
      <c r="E24" s="3535"/>
      <c r="F24" s="3535"/>
      <c r="G24" s="3535"/>
      <c r="H24" s="3536">
        <f t="shared" si="3"/>
        <v>0</v>
      </c>
      <c r="I24" s="3534"/>
      <c r="J24" s="3535"/>
      <c r="K24" s="3535"/>
      <c r="L24" s="3535"/>
      <c r="M24" s="3535"/>
      <c r="N24" s="3536">
        <f t="shared" si="4"/>
        <v>0</v>
      </c>
      <c r="O24" s="3534"/>
      <c r="P24" s="3535"/>
      <c r="Q24" s="3535"/>
      <c r="R24" s="3535"/>
      <c r="S24" s="3535"/>
      <c r="T24" s="3536">
        <f t="shared" si="5"/>
        <v>0</v>
      </c>
      <c r="U24" s="3534"/>
      <c r="V24" s="3535"/>
      <c r="W24" s="3535"/>
      <c r="X24" s="3535"/>
      <c r="Y24" s="3535"/>
      <c r="Z24" s="3536">
        <f t="shared" si="6"/>
        <v>0</v>
      </c>
      <c r="AA24" s="3534"/>
      <c r="AB24" s="3535"/>
      <c r="AC24" s="3535"/>
      <c r="AD24" s="3535"/>
      <c r="AE24" s="3535"/>
      <c r="AF24" s="3536">
        <f t="shared" si="7"/>
        <v>0</v>
      </c>
    </row>
    <row r="25" spans="1:32">
      <c r="A25" s="5516" t="s">
        <v>1513</v>
      </c>
      <c r="B25" s="5517"/>
      <c r="C25" s="3534"/>
      <c r="D25" s="3535"/>
      <c r="E25" s="3535"/>
      <c r="F25" s="3535"/>
      <c r="G25" s="3535"/>
      <c r="H25" s="3536">
        <f t="shared" si="3"/>
        <v>0</v>
      </c>
      <c r="I25" s="3534"/>
      <c r="J25" s="3535"/>
      <c r="K25" s="3535"/>
      <c r="L25" s="3535"/>
      <c r="M25" s="3535"/>
      <c r="N25" s="3536">
        <f t="shared" si="4"/>
        <v>0</v>
      </c>
      <c r="O25" s="3534"/>
      <c r="P25" s="3535"/>
      <c r="Q25" s="3535"/>
      <c r="R25" s="3535"/>
      <c r="S25" s="3535"/>
      <c r="T25" s="3536">
        <f t="shared" si="5"/>
        <v>0</v>
      </c>
      <c r="U25" s="3534"/>
      <c r="V25" s="3535"/>
      <c r="W25" s="3535"/>
      <c r="X25" s="3535"/>
      <c r="Y25" s="3535"/>
      <c r="Z25" s="3536">
        <f t="shared" si="6"/>
        <v>0</v>
      </c>
      <c r="AA25" s="3534"/>
      <c r="AB25" s="3535"/>
      <c r="AC25" s="3535"/>
      <c r="AD25" s="3535"/>
      <c r="AE25" s="3535"/>
      <c r="AF25" s="3536">
        <f t="shared" si="7"/>
        <v>0</v>
      </c>
    </row>
    <row r="26" spans="1:32">
      <c r="A26" s="5516" t="s">
        <v>1514</v>
      </c>
      <c r="B26" s="5517"/>
      <c r="C26" s="3534"/>
      <c r="D26" s="3535"/>
      <c r="E26" s="3535"/>
      <c r="F26" s="3535"/>
      <c r="G26" s="3535"/>
      <c r="H26" s="3536">
        <f t="shared" si="3"/>
        <v>0</v>
      </c>
      <c r="I26" s="3534"/>
      <c r="J26" s="3535"/>
      <c r="K26" s="3535"/>
      <c r="L26" s="3535"/>
      <c r="M26" s="3535"/>
      <c r="N26" s="3536">
        <f t="shared" si="4"/>
        <v>0</v>
      </c>
      <c r="O26" s="3534"/>
      <c r="P26" s="3535"/>
      <c r="Q26" s="3535"/>
      <c r="R26" s="3535"/>
      <c r="S26" s="3535"/>
      <c r="T26" s="3536">
        <f t="shared" si="5"/>
        <v>0</v>
      </c>
      <c r="U26" s="3534"/>
      <c r="V26" s="3535"/>
      <c r="W26" s="3535"/>
      <c r="X26" s="3535"/>
      <c r="Y26" s="3535"/>
      <c r="Z26" s="3536">
        <f t="shared" si="6"/>
        <v>0</v>
      </c>
      <c r="AA26" s="3534"/>
      <c r="AB26" s="3535"/>
      <c r="AC26" s="3535"/>
      <c r="AD26" s="3535"/>
      <c r="AE26" s="3535"/>
      <c r="AF26" s="3536">
        <f t="shared" si="7"/>
        <v>0</v>
      </c>
    </row>
    <row r="27" spans="1:32">
      <c r="A27" s="5506" t="s">
        <v>1515</v>
      </c>
      <c r="B27" s="5507"/>
      <c r="C27" s="3534"/>
      <c r="D27" s="3535"/>
      <c r="E27" s="3535"/>
      <c r="F27" s="3535"/>
      <c r="G27" s="3535"/>
      <c r="H27" s="3536">
        <f t="shared" si="3"/>
        <v>0</v>
      </c>
      <c r="I27" s="3534"/>
      <c r="J27" s="3535"/>
      <c r="K27" s="3535"/>
      <c r="L27" s="3535"/>
      <c r="M27" s="3535"/>
      <c r="N27" s="3536">
        <f t="shared" si="4"/>
        <v>0</v>
      </c>
      <c r="O27" s="3534"/>
      <c r="P27" s="3535"/>
      <c r="Q27" s="3535"/>
      <c r="R27" s="3535"/>
      <c r="S27" s="3535"/>
      <c r="T27" s="3536">
        <f t="shared" si="5"/>
        <v>0</v>
      </c>
      <c r="U27" s="3534"/>
      <c r="V27" s="3535"/>
      <c r="W27" s="3535"/>
      <c r="X27" s="3535"/>
      <c r="Y27" s="3535"/>
      <c r="Z27" s="3536">
        <f t="shared" si="6"/>
        <v>0</v>
      </c>
      <c r="AA27" s="3534"/>
      <c r="AB27" s="3535"/>
      <c r="AC27" s="3535"/>
      <c r="AD27" s="3535"/>
      <c r="AE27" s="3535"/>
      <c r="AF27" s="3536">
        <f t="shared" si="7"/>
        <v>0</v>
      </c>
    </row>
    <row r="28" spans="1:32">
      <c r="A28" s="5508" t="s">
        <v>1516</v>
      </c>
      <c r="B28" s="5509"/>
      <c r="C28" s="3534"/>
      <c r="D28" s="3535"/>
      <c r="E28" s="3535"/>
      <c r="F28" s="3535"/>
      <c r="G28" s="3535"/>
      <c r="H28" s="3536">
        <f t="shared" si="3"/>
        <v>0</v>
      </c>
      <c r="I28" s="3534"/>
      <c r="J28" s="3535"/>
      <c r="K28" s="3535"/>
      <c r="L28" s="3535"/>
      <c r="M28" s="3535"/>
      <c r="N28" s="3536">
        <f t="shared" si="4"/>
        <v>0</v>
      </c>
      <c r="O28" s="3534"/>
      <c r="P28" s="3535"/>
      <c r="Q28" s="3535"/>
      <c r="R28" s="3535"/>
      <c r="S28" s="3535"/>
      <c r="T28" s="3536">
        <f t="shared" si="5"/>
        <v>0</v>
      </c>
      <c r="U28" s="3534"/>
      <c r="V28" s="3535"/>
      <c r="W28" s="3535"/>
      <c r="X28" s="3535"/>
      <c r="Y28" s="3535"/>
      <c r="Z28" s="3536">
        <f t="shared" si="6"/>
        <v>0</v>
      </c>
      <c r="AA28" s="3534"/>
      <c r="AB28" s="3535"/>
      <c r="AC28" s="3535"/>
      <c r="AD28" s="3535"/>
      <c r="AE28" s="3535"/>
      <c r="AF28" s="3536">
        <f t="shared" si="7"/>
        <v>0</v>
      </c>
    </row>
    <row r="29" spans="1:32">
      <c r="A29" s="5508" t="s">
        <v>1517</v>
      </c>
      <c r="B29" s="5509"/>
      <c r="C29" s="3534"/>
      <c r="D29" s="3535"/>
      <c r="E29" s="3535"/>
      <c r="F29" s="3535"/>
      <c r="G29" s="3535"/>
      <c r="H29" s="3536">
        <f t="shared" si="3"/>
        <v>0</v>
      </c>
      <c r="I29" s="3534"/>
      <c r="J29" s="3535"/>
      <c r="K29" s="3535"/>
      <c r="L29" s="3535"/>
      <c r="M29" s="3535"/>
      <c r="N29" s="3536">
        <f t="shared" si="4"/>
        <v>0</v>
      </c>
      <c r="O29" s="3534"/>
      <c r="P29" s="3535"/>
      <c r="Q29" s="3535"/>
      <c r="R29" s="3535"/>
      <c r="S29" s="3535"/>
      <c r="T29" s="3536">
        <f t="shared" si="5"/>
        <v>0</v>
      </c>
      <c r="U29" s="3534"/>
      <c r="V29" s="3535"/>
      <c r="W29" s="3535"/>
      <c r="X29" s="3535"/>
      <c r="Y29" s="3535"/>
      <c r="Z29" s="3536">
        <f t="shared" si="6"/>
        <v>0</v>
      </c>
      <c r="AA29" s="3534"/>
      <c r="AB29" s="3535"/>
      <c r="AC29" s="3535"/>
      <c r="AD29" s="3535"/>
      <c r="AE29" s="3535"/>
      <c r="AF29" s="3536">
        <f t="shared" si="7"/>
        <v>0</v>
      </c>
    </row>
    <row r="30" spans="1:32">
      <c r="A30" s="5508" t="s">
        <v>1518</v>
      </c>
      <c r="B30" s="5509"/>
      <c r="C30" s="3534"/>
      <c r="D30" s="3535"/>
      <c r="E30" s="3535"/>
      <c r="F30" s="3535"/>
      <c r="G30" s="3535"/>
      <c r="H30" s="3536">
        <f t="shared" si="3"/>
        <v>0</v>
      </c>
      <c r="I30" s="3534"/>
      <c r="J30" s="3535"/>
      <c r="K30" s="3535"/>
      <c r="L30" s="3535"/>
      <c r="M30" s="3535"/>
      <c r="N30" s="3536">
        <f t="shared" si="4"/>
        <v>0</v>
      </c>
      <c r="O30" s="3534"/>
      <c r="P30" s="3535"/>
      <c r="Q30" s="3535"/>
      <c r="R30" s="3535"/>
      <c r="S30" s="3535"/>
      <c r="T30" s="3536">
        <f t="shared" si="5"/>
        <v>0</v>
      </c>
      <c r="U30" s="3534"/>
      <c r="V30" s="3535"/>
      <c r="W30" s="3535"/>
      <c r="X30" s="3535"/>
      <c r="Y30" s="3535"/>
      <c r="Z30" s="3536">
        <f t="shared" si="6"/>
        <v>0</v>
      </c>
      <c r="AA30" s="3534"/>
      <c r="AB30" s="3535"/>
      <c r="AC30" s="3535"/>
      <c r="AD30" s="3535"/>
      <c r="AE30" s="3535"/>
      <c r="AF30" s="3536">
        <f t="shared" si="7"/>
        <v>0</v>
      </c>
    </row>
    <row r="31" spans="1:32" ht="13.5" thickBot="1">
      <c r="A31" s="5504" t="s">
        <v>1519</v>
      </c>
      <c r="B31" s="5505"/>
      <c r="C31" s="3540"/>
      <c r="D31" s="3541"/>
      <c r="E31" s="3541"/>
      <c r="F31" s="3541"/>
      <c r="G31" s="3541"/>
      <c r="H31" s="3542">
        <f t="shared" si="3"/>
        <v>0</v>
      </c>
      <c r="I31" s="3540"/>
      <c r="J31" s="3541"/>
      <c r="K31" s="3541"/>
      <c r="L31" s="3541"/>
      <c r="M31" s="3541"/>
      <c r="N31" s="3542">
        <f t="shared" si="4"/>
        <v>0</v>
      </c>
      <c r="O31" s="3540"/>
      <c r="P31" s="3541"/>
      <c r="Q31" s="3541"/>
      <c r="R31" s="3541"/>
      <c r="S31" s="3541"/>
      <c r="T31" s="3542">
        <f t="shared" si="5"/>
        <v>0</v>
      </c>
      <c r="U31" s="3540"/>
      <c r="V31" s="3541"/>
      <c r="W31" s="3541"/>
      <c r="X31" s="3541"/>
      <c r="Y31" s="3541"/>
      <c r="Z31" s="3542">
        <f t="shared" si="6"/>
        <v>0</v>
      </c>
      <c r="AA31" s="3540"/>
      <c r="AB31" s="3541"/>
      <c r="AC31" s="3541"/>
      <c r="AD31" s="3541"/>
      <c r="AE31" s="3541"/>
      <c r="AF31" s="3542">
        <f t="shared" si="7"/>
        <v>0</v>
      </c>
    </row>
    <row r="32" spans="1:32" ht="20.25" customHeight="1">
      <c r="A32" s="5496" t="s">
        <v>1191</v>
      </c>
      <c r="B32" s="5497"/>
      <c r="C32" s="5523">
        <v>6</v>
      </c>
      <c r="D32" s="5524"/>
      <c r="E32" s="5524"/>
      <c r="F32" s="5524"/>
      <c r="G32" s="5524"/>
      <c r="H32" s="5525"/>
      <c r="I32" s="5523">
        <f>C32+1</f>
        <v>7</v>
      </c>
      <c r="J32" s="5524"/>
      <c r="K32" s="5524"/>
      <c r="L32" s="5524"/>
      <c r="M32" s="5524"/>
      <c r="N32" s="5525"/>
      <c r="O32" s="5523">
        <f t="shared" ref="O32" si="8">I32+1</f>
        <v>8</v>
      </c>
      <c r="P32" s="5524"/>
      <c r="Q32" s="5524"/>
      <c r="R32" s="5524"/>
      <c r="S32" s="5524"/>
      <c r="T32" s="5525"/>
      <c r="U32" s="5523">
        <f t="shared" ref="U32" si="9">O32+1</f>
        <v>9</v>
      </c>
      <c r="V32" s="5524"/>
      <c r="W32" s="5524"/>
      <c r="X32" s="5524"/>
      <c r="Y32" s="5524"/>
      <c r="Z32" s="5525"/>
      <c r="AA32" s="5523">
        <f t="shared" ref="AA32" si="10">U32+1</f>
        <v>10</v>
      </c>
      <c r="AB32" s="5524"/>
      <c r="AC32" s="5524"/>
      <c r="AD32" s="5524"/>
      <c r="AE32" s="5524"/>
      <c r="AF32" s="5525"/>
    </row>
    <row r="33" spans="1:32" ht="12.75" customHeight="1">
      <c r="A33" s="5518" t="s">
        <v>1324</v>
      </c>
      <c r="B33" s="3524" t="s">
        <v>1505</v>
      </c>
      <c r="C33" s="5510"/>
      <c r="D33" s="5511"/>
      <c r="E33" s="5511"/>
      <c r="F33" s="5511"/>
      <c r="G33" s="5511"/>
      <c r="H33" s="5512"/>
      <c r="I33" s="5510"/>
      <c r="J33" s="5511"/>
      <c r="K33" s="5511"/>
      <c r="L33" s="5511"/>
      <c r="M33" s="5511"/>
      <c r="N33" s="5512"/>
      <c r="O33" s="5510"/>
      <c r="P33" s="5511"/>
      <c r="Q33" s="5511"/>
      <c r="R33" s="5511"/>
      <c r="S33" s="5511"/>
      <c r="T33" s="5512"/>
      <c r="U33" s="5510"/>
      <c r="V33" s="5511"/>
      <c r="W33" s="5511"/>
      <c r="X33" s="5511"/>
      <c r="Y33" s="5511"/>
      <c r="Z33" s="5512"/>
      <c r="AA33" s="5510"/>
      <c r="AB33" s="5511"/>
      <c r="AC33" s="5511"/>
      <c r="AD33" s="5511"/>
      <c r="AE33" s="5511"/>
      <c r="AF33" s="5512"/>
    </row>
    <row r="34" spans="1:32">
      <c r="A34" s="5518"/>
      <c r="B34" s="3524" t="s">
        <v>1325</v>
      </c>
      <c r="C34" s="5510"/>
      <c r="D34" s="5511"/>
      <c r="E34" s="5511"/>
      <c r="F34" s="5511"/>
      <c r="G34" s="5511"/>
      <c r="H34" s="5512"/>
      <c r="I34" s="5510"/>
      <c r="J34" s="5511"/>
      <c r="K34" s="5511"/>
      <c r="L34" s="5511"/>
      <c r="M34" s="5511"/>
      <c r="N34" s="5512"/>
      <c r="O34" s="5510"/>
      <c r="P34" s="5511"/>
      <c r="Q34" s="5511"/>
      <c r="R34" s="5511"/>
      <c r="S34" s="5511"/>
      <c r="T34" s="5512"/>
      <c r="U34" s="5510"/>
      <c r="V34" s="5511"/>
      <c r="W34" s="5511"/>
      <c r="X34" s="5511"/>
      <c r="Y34" s="5511"/>
      <c r="Z34" s="5512"/>
      <c r="AA34" s="5510"/>
      <c r="AB34" s="5511"/>
      <c r="AC34" s="5511"/>
      <c r="AD34" s="5511"/>
      <c r="AE34" s="5511"/>
      <c r="AF34" s="5512"/>
    </row>
    <row r="35" spans="1:32" ht="12.75" customHeight="1">
      <c r="A35" s="5519" t="s">
        <v>1326</v>
      </c>
      <c r="B35" s="3525" t="s">
        <v>1327</v>
      </c>
      <c r="C35" s="5510"/>
      <c r="D35" s="5511"/>
      <c r="E35" s="5511"/>
      <c r="F35" s="5511"/>
      <c r="G35" s="5511"/>
      <c r="H35" s="5512"/>
      <c r="I35" s="5510"/>
      <c r="J35" s="5511"/>
      <c r="K35" s="5511"/>
      <c r="L35" s="5511"/>
      <c r="M35" s="5511"/>
      <c r="N35" s="5512"/>
      <c r="O35" s="5510"/>
      <c r="P35" s="5511"/>
      <c r="Q35" s="5511"/>
      <c r="R35" s="5511"/>
      <c r="S35" s="5511"/>
      <c r="T35" s="5512"/>
      <c r="U35" s="5510"/>
      <c r="V35" s="5511"/>
      <c r="W35" s="5511"/>
      <c r="X35" s="5511"/>
      <c r="Y35" s="5511"/>
      <c r="Z35" s="5512"/>
      <c r="AA35" s="5510"/>
      <c r="AB35" s="5511"/>
      <c r="AC35" s="5511"/>
      <c r="AD35" s="5511"/>
      <c r="AE35" s="5511"/>
      <c r="AF35" s="5512"/>
    </row>
    <row r="36" spans="1:32">
      <c r="A36" s="5520"/>
      <c r="B36" s="3524" t="s">
        <v>1328</v>
      </c>
      <c r="C36" s="5510"/>
      <c r="D36" s="5511"/>
      <c r="E36" s="5511"/>
      <c r="F36" s="5511"/>
      <c r="G36" s="5511"/>
      <c r="H36" s="5512"/>
      <c r="I36" s="5510"/>
      <c r="J36" s="5511"/>
      <c r="K36" s="5511"/>
      <c r="L36" s="5511"/>
      <c r="M36" s="5511"/>
      <c r="N36" s="5512"/>
      <c r="O36" s="5510"/>
      <c r="P36" s="5511"/>
      <c r="Q36" s="5511"/>
      <c r="R36" s="5511"/>
      <c r="S36" s="5511"/>
      <c r="T36" s="5512"/>
      <c r="U36" s="5510"/>
      <c r="V36" s="5511"/>
      <c r="W36" s="5511"/>
      <c r="X36" s="5511"/>
      <c r="Y36" s="5511"/>
      <c r="Z36" s="5512"/>
      <c r="AA36" s="5510"/>
      <c r="AB36" s="5511"/>
      <c r="AC36" s="5511"/>
      <c r="AD36" s="5511"/>
      <c r="AE36" s="5511"/>
      <c r="AF36" s="5512"/>
    </row>
    <row r="37" spans="1:32" ht="25.5">
      <c r="A37" s="4523" t="s">
        <v>1329</v>
      </c>
      <c r="B37" s="3524" t="s">
        <v>1330</v>
      </c>
      <c r="C37" s="5510"/>
      <c r="D37" s="5511"/>
      <c r="E37" s="5511"/>
      <c r="F37" s="5511"/>
      <c r="G37" s="5511"/>
      <c r="H37" s="5512"/>
      <c r="I37" s="5510"/>
      <c r="J37" s="5511"/>
      <c r="K37" s="5511"/>
      <c r="L37" s="5511"/>
      <c r="M37" s="5511"/>
      <c r="N37" s="5512"/>
      <c r="O37" s="5510"/>
      <c r="P37" s="5511"/>
      <c r="Q37" s="5511"/>
      <c r="R37" s="5511"/>
      <c r="S37" s="5511"/>
      <c r="T37" s="5512"/>
      <c r="U37" s="5510"/>
      <c r="V37" s="5511"/>
      <c r="W37" s="5511"/>
      <c r="X37" s="5511"/>
      <c r="Y37" s="5511"/>
      <c r="Z37" s="5512"/>
      <c r="AA37" s="5510"/>
      <c r="AB37" s="5511"/>
      <c r="AC37" s="5511"/>
      <c r="AD37" s="5511"/>
      <c r="AE37" s="5511"/>
      <c r="AF37" s="5512"/>
    </row>
    <row r="38" spans="1:32" ht="26.25" thickBot="1">
      <c r="A38" s="3526" t="s">
        <v>1331</v>
      </c>
      <c r="B38" s="3527" t="s">
        <v>1332</v>
      </c>
      <c r="C38" s="5513"/>
      <c r="D38" s="5514"/>
      <c r="E38" s="5514"/>
      <c r="F38" s="5514"/>
      <c r="G38" s="5514"/>
      <c r="H38" s="5515"/>
      <c r="I38" s="5513"/>
      <c r="J38" s="5514"/>
      <c r="K38" s="5514"/>
      <c r="L38" s="5514"/>
      <c r="M38" s="5514"/>
      <c r="N38" s="5515"/>
      <c r="O38" s="5513"/>
      <c r="P38" s="5514"/>
      <c r="Q38" s="5514"/>
      <c r="R38" s="5514"/>
      <c r="S38" s="5514"/>
      <c r="T38" s="5515"/>
      <c r="U38" s="5513"/>
      <c r="V38" s="5514"/>
      <c r="W38" s="5514"/>
      <c r="X38" s="5514"/>
      <c r="Y38" s="5514"/>
      <c r="Z38" s="5515"/>
      <c r="AA38" s="5513"/>
      <c r="AB38" s="5514"/>
      <c r="AC38" s="5514"/>
      <c r="AD38" s="5514"/>
      <c r="AE38" s="5514"/>
      <c r="AF38" s="5515"/>
    </row>
    <row r="39" spans="1:32" ht="26.25" thickBot="1">
      <c r="A39" s="5498" t="s">
        <v>1520</v>
      </c>
      <c r="B39" s="5499"/>
      <c r="C39" s="3546" t="s">
        <v>1072</v>
      </c>
      <c r="D39" s="3547" t="s">
        <v>1073</v>
      </c>
      <c r="E39" s="3547" t="s">
        <v>1074</v>
      </c>
      <c r="F39" s="3547" t="s">
        <v>1075</v>
      </c>
      <c r="G39" s="3547" t="s">
        <v>1076</v>
      </c>
      <c r="H39" s="3548" t="s">
        <v>1333</v>
      </c>
      <c r="I39" s="3546" t="s">
        <v>1072</v>
      </c>
      <c r="J39" s="3547" t="s">
        <v>1073</v>
      </c>
      <c r="K39" s="3547" t="s">
        <v>1074</v>
      </c>
      <c r="L39" s="3547" t="s">
        <v>1075</v>
      </c>
      <c r="M39" s="3547" t="s">
        <v>1076</v>
      </c>
      <c r="N39" s="3548" t="s">
        <v>1333</v>
      </c>
      <c r="O39" s="3546" t="s">
        <v>1072</v>
      </c>
      <c r="P39" s="3547" t="s">
        <v>1073</v>
      </c>
      <c r="Q39" s="3547" t="s">
        <v>1074</v>
      </c>
      <c r="R39" s="3547" t="s">
        <v>1075</v>
      </c>
      <c r="S39" s="3547" t="s">
        <v>1076</v>
      </c>
      <c r="T39" s="3548" t="s">
        <v>1333</v>
      </c>
      <c r="U39" s="3546" t="s">
        <v>1072</v>
      </c>
      <c r="V39" s="3547" t="s">
        <v>1073</v>
      </c>
      <c r="W39" s="3547" t="s">
        <v>1074</v>
      </c>
      <c r="X39" s="3547" t="s">
        <v>1075</v>
      </c>
      <c r="Y39" s="3547" t="s">
        <v>1076</v>
      </c>
      <c r="Z39" s="3548" t="s">
        <v>1333</v>
      </c>
      <c r="AA39" s="3546" t="s">
        <v>1072</v>
      </c>
      <c r="AB39" s="3547" t="s">
        <v>1073</v>
      </c>
      <c r="AC39" s="3547" t="s">
        <v>1074</v>
      </c>
      <c r="AD39" s="3547" t="s">
        <v>1075</v>
      </c>
      <c r="AE39" s="3547" t="s">
        <v>1076</v>
      </c>
      <c r="AF39" s="3548" t="s">
        <v>1333</v>
      </c>
    </row>
    <row r="40" spans="1:32" ht="12.75" customHeight="1">
      <c r="A40" s="5536" t="s">
        <v>1506</v>
      </c>
      <c r="B40" s="5537"/>
      <c r="C40" s="3531"/>
      <c r="D40" s="3532"/>
      <c r="E40" s="3532"/>
      <c r="F40" s="3532"/>
      <c r="G40" s="3532"/>
      <c r="H40" s="3533">
        <f>SUM(C40:G40)</f>
        <v>0</v>
      </c>
      <c r="I40" s="3531"/>
      <c r="J40" s="3532"/>
      <c r="K40" s="3532"/>
      <c r="L40" s="3532"/>
      <c r="M40" s="3532"/>
      <c r="N40" s="3533">
        <f>SUM(I40:M40)</f>
        <v>0</v>
      </c>
      <c r="O40" s="3531"/>
      <c r="P40" s="3532"/>
      <c r="Q40" s="3532"/>
      <c r="R40" s="3532"/>
      <c r="S40" s="3532"/>
      <c r="T40" s="3533">
        <f>SUM(O40:S40)</f>
        <v>0</v>
      </c>
      <c r="U40" s="3531"/>
      <c r="V40" s="3532"/>
      <c r="W40" s="3532"/>
      <c r="X40" s="3532"/>
      <c r="Y40" s="3532"/>
      <c r="Z40" s="3533">
        <f>SUM(U40:Y40)</f>
        <v>0</v>
      </c>
      <c r="AA40" s="3531"/>
      <c r="AB40" s="3532"/>
      <c r="AC40" s="3532"/>
      <c r="AD40" s="3532"/>
      <c r="AE40" s="3532"/>
      <c r="AF40" s="3533">
        <f>SUM(AA40:AE40)</f>
        <v>0</v>
      </c>
    </row>
    <row r="41" spans="1:32" ht="12.75" customHeight="1">
      <c r="A41" s="5530" t="s">
        <v>1507</v>
      </c>
      <c r="B41" s="5531"/>
      <c r="C41" s="3534"/>
      <c r="D41" s="3535"/>
      <c r="E41" s="3535"/>
      <c r="F41" s="3535"/>
      <c r="G41" s="3535"/>
      <c r="H41" s="3536">
        <f t="shared" ref="H41:H45" si="11">SUM(C41:G41)</f>
        <v>0</v>
      </c>
      <c r="I41" s="3534"/>
      <c r="J41" s="3535"/>
      <c r="K41" s="3535"/>
      <c r="L41" s="3535"/>
      <c r="M41" s="3535"/>
      <c r="N41" s="3536">
        <f t="shared" ref="N41:N45" si="12">SUM(I41:M41)</f>
        <v>0</v>
      </c>
      <c r="O41" s="3534"/>
      <c r="P41" s="3535"/>
      <c r="Q41" s="3535"/>
      <c r="R41" s="3535"/>
      <c r="S41" s="3535"/>
      <c r="T41" s="3536">
        <f t="shared" ref="T41:T45" si="13">SUM(O41:S41)</f>
        <v>0</v>
      </c>
      <c r="U41" s="3534"/>
      <c r="V41" s="3535"/>
      <c r="W41" s="3535"/>
      <c r="X41" s="3535"/>
      <c r="Y41" s="3535"/>
      <c r="Z41" s="3536">
        <f t="shared" ref="Z41:Z45" si="14">SUM(U41:Y41)</f>
        <v>0</v>
      </c>
      <c r="AA41" s="3534"/>
      <c r="AB41" s="3535"/>
      <c r="AC41" s="3535"/>
      <c r="AD41" s="3535"/>
      <c r="AE41" s="3535"/>
      <c r="AF41" s="3536">
        <f t="shared" ref="AF41:AF45" si="15">SUM(AA41:AE41)</f>
        <v>0</v>
      </c>
    </row>
    <row r="42" spans="1:32" ht="12.75" customHeight="1">
      <c r="A42" s="5532" t="s">
        <v>1508</v>
      </c>
      <c r="B42" s="5533"/>
      <c r="C42" s="3537"/>
      <c r="D42" s="3538"/>
      <c r="E42" s="3538"/>
      <c r="F42" s="3538"/>
      <c r="G42" s="3538"/>
      <c r="H42" s="3539">
        <f t="shared" si="11"/>
        <v>0</v>
      </c>
      <c r="I42" s="3537"/>
      <c r="J42" s="3538"/>
      <c r="K42" s="3538"/>
      <c r="L42" s="3538"/>
      <c r="M42" s="3538"/>
      <c r="N42" s="3539">
        <f t="shared" si="12"/>
        <v>0</v>
      </c>
      <c r="O42" s="3537"/>
      <c r="P42" s="3538"/>
      <c r="Q42" s="3538"/>
      <c r="R42" s="3538"/>
      <c r="S42" s="3538"/>
      <c r="T42" s="3539">
        <f t="shared" si="13"/>
        <v>0</v>
      </c>
      <c r="U42" s="3537"/>
      <c r="V42" s="3538"/>
      <c r="W42" s="3538"/>
      <c r="X42" s="3538"/>
      <c r="Y42" s="3538"/>
      <c r="Z42" s="3539">
        <f t="shared" si="14"/>
        <v>0</v>
      </c>
      <c r="AA42" s="3537"/>
      <c r="AB42" s="3538"/>
      <c r="AC42" s="3538"/>
      <c r="AD42" s="3538"/>
      <c r="AE42" s="3538"/>
      <c r="AF42" s="3539">
        <f t="shared" si="15"/>
        <v>0</v>
      </c>
    </row>
    <row r="43" spans="1:32" ht="13.5" thickBot="1">
      <c r="A43" s="5521" t="s">
        <v>1509</v>
      </c>
      <c r="B43" s="5522"/>
      <c r="C43" s="3540"/>
      <c r="D43" s="3541"/>
      <c r="E43" s="3541"/>
      <c r="F43" s="3541"/>
      <c r="G43" s="3541"/>
      <c r="H43" s="3542">
        <f>SUM(C43:G43)</f>
        <v>0</v>
      </c>
      <c r="I43" s="3540"/>
      <c r="J43" s="3541"/>
      <c r="K43" s="3541"/>
      <c r="L43" s="3541"/>
      <c r="M43" s="3541"/>
      <c r="N43" s="3542">
        <f>SUM(I43:M43)</f>
        <v>0</v>
      </c>
      <c r="O43" s="3540"/>
      <c r="P43" s="3541"/>
      <c r="Q43" s="3541"/>
      <c r="R43" s="3541"/>
      <c r="S43" s="3541"/>
      <c r="T43" s="3542">
        <f>SUM(O43:S43)</f>
        <v>0</v>
      </c>
      <c r="U43" s="3540"/>
      <c r="V43" s="3541"/>
      <c r="W43" s="3541"/>
      <c r="X43" s="3541"/>
      <c r="Y43" s="3541"/>
      <c r="Z43" s="3542">
        <f>SUM(U43:Y43)</f>
        <v>0</v>
      </c>
      <c r="AA43" s="3540"/>
      <c r="AB43" s="3541"/>
      <c r="AC43" s="3541"/>
      <c r="AD43" s="3541"/>
      <c r="AE43" s="3541"/>
      <c r="AF43" s="3542">
        <f>SUM(AA43:AE43)</f>
        <v>0</v>
      </c>
    </row>
    <row r="44" spans="1:32" s="4146" customFormat="1" ht="25.5" customHeight="1">
      <c r="A44" s="5534" t="s">
        <v>1511</v>
      </c>
      <c r="B44" s="5535"/>
      <c r="C44" s="3543">
        <f>SUM(C45,C50:C54)</f>
        <v>0</v>
      </c>
      <c r="D44" s="3544">
        <f>SUM(D45,D50:D54)</f>
        <v>0</v>
      </c>
      <c r="E44" s="3544">
        <f>SUM(E45,E50:E54)</f>
        <v>0</v>
      </c>
      <c r="F44" s="3544">
        <f>SUM(F45,F50:F54)</f>
        <v>0</v>
      </c>
      <c r="G44" s="3544">
        <f>SUM(G45,G50:G54)</f>
        <v>0</v>
      </c>
      <c r="H44" s="3545">
        <f>SUM(C44:G44)</f>
        <v>0</v>
      </c>
      <c r="I44" s="3543">
        <f>SUM(I45,I50:I54)</f>
        <v>0</v>
      </c>
      <c r="J44" s="3544">
        <f>SUM(J45,J50:J54)</f>
        <v>0</v>
      </c>
      <c r="K44" s="3544">
        <f>SUM(K45,K50:K54)</f>
        <v>0</v>
      </c>
      <c r="L44" s="3544">
        <f>SUM(L45,L50:L54)</f>
        <v>0</v>
      </c>
      <c r="M44" s="3544">
        <f>SUM(M45,M50:M54)</f>
        <v>0</v>
      </c>
      <c r="N44" s="3545">
        <f t="shared" si="12"/>
        <v>0</v>
      </c>
      <c r="O44" s="3543">
        <f>SUM(O45,O50:O54)</f>
        <v>0</v>
      </c>
      <c r="P44" s="3544">
        <f>SUM(P45,P50:P54)</f>
        <v>0</v>
      </c>
      <c r="Q44" s="3544">
        <f>SUM(Q45,Q50:Q54)</f>
        <v>0</v>
      </c>
      <c r="R44" s="3544">
        <f>SUM(R45,R50:R54)</f>
        <v>0</v>
      </c>
      <c r="S44" s="3544">
        <f>SUM(S45,S50:S54)</f>
        <v>0</v>
      </c>
      <c r="T44" s="3545">
        <f t="shared" si="13"/>
        <v>0</v>
      </c>
      <c r="U44" s="3543">
        <f>SUM(U45,U50:U54)</f>
        <v>0</v>
      </c>
      <c r="V44" s="3544">
        <f>SUM(V45,V50:V54)</f>
        <v>0</v>
      </c>
      <c r="W44" s="3544">
        <f>SUM(W45,W50:W54)</f>
        <v>0</v>
      </c>
      <c r="X44" s="3544">
        <f>SUM(X45,X50:X54)</f>
        <v>0</v>
      </c>
      <c r="Y44" s="3544">
        <f>SUM(Y45,Y50:Y54)</f>
        <v>0</v>
      </c>
      <c r="Z44" s="3545">
        <f t="shared" si="14"/>
        <v>0</v>
      </c>
      <c r="AA44" s="3543">
        <f>SUM(AA45,AA50:AA54)</f>
        <v>0</v>
      </c>
      <c r="AB44" s="3544">
        <f>SUM(AB45,AB50:AB54)</f>
        <v>0</v>
      </c>
      <c r="AC44" s="3544">
        <f>SUM(AC45,AC50:AC54)</f>
        <v>0</v>
      </c>
      <c r="AD44" s="3544">
        <f>SUM(AD45,AD50:AD54)</f>
        <v>0</v>
      </c>
      <c r="AE44" s="3544">
        <f>SUM(AE45,AE50:AE54)</f>
        <v>0</v>
      </c>
      <c r="AF44" s="3545">
        <f t="shared" si="15"/>
        <v>0</v>
      </c>
    </row>
    <row r="45" spans="1:32" ht="12.75" customHeight="1">
      <c r="A45" s="5500" t="s">
        <v>1510</v>
      </c>
      <c r="B45" s="5501"/>
      <c r="C45" s="3534"/>
      <c r="D45" s="3535"/>
      <c r="E45" s="3535"/>
      <c r="F45" s="3535"/>
      <c r="G45" s="3535"/>
      <c r="H45" s="3536">
        <f t="shared" si="11"/>
        <v>0</v>
      </c>
      <c r="I45" s="3534"/>
      <c r="J45" s="3535"/>
      <c r="K45" s="3535"/>
      <c r="L45" s="3535"/>
      <c r="M45" s="3535"/>
      <c r="N45" s="3536">
        <f t="shared" si="12"/>
        <v>0</v>
      </c>
      <c r="O45" s="3534"/>
      <c r="P45" s="3535"/>
      <c r="Q45" s="3535"/>
      <c r="R45" s="3535"/>
      <c r="S45" s="3535"/>
      <c r="T45" s="3536">
        <f t="shared" si="13"/>
        <v>0</v>
      </c>
      <c r="U45" s="3534"/>
      <c r="V45" s="3535"/>
      <c r="W45" s="3535"/>
      <c r="X45" s="3535"/>
      <c r="Y45" s="3535"/>
      <c r="Z45" s="3536">
        <f t="shared" si="14"/>
        <v>0</v>
      </c>
      <c r="AA45" s="3534"/>
      <c r="AB45" s="3535"/>
      <c r="AC45" s="3535"/>
      <c r="AD45" s="3535"/>
      <c r="AE45" s="3535"/>
      <c r="AF45" s="3536">
        <f t="shared" si="15"/>
        <v>0</v>
      </c>
    </row>
    <row r="46" spans="1:32">
      <c r="A46" s="5502" t="s">
        <v>1522</v>
      </c>
      <c r="B46" s="5503"/>
      <c r="C46" s="3534"/>
      <c r="D46" s="3535"/>
      <c r="E46" s="3535"/>
      <c r="F46" s="3535"/>
      <c r="G46" s="3535"/>
      <c r="H46" s="3536">
        <f>SUM(C46:G46)</f>
        <v>0</v>
      </c>
      <c r="I46" s="3534"/>
      <c r="J46" s="3535"/>
      <c r="K46" s="3535"/>
      <c r="L46" s="3535"/>
      <c r="M46" s="3535"/>
      <c r="N46" s="3536">
        <f>SUM(I46:M46)</f>
        <v>0</v>
      </c>
      <c r="O46" s="3534"/>
      <c r="P46" s="3535"/>
      <c r="Q46" s="3535"/>
      <c r="R46" s="3535"/>
      <c r="S46" s="3535"/>
      <c r="T46" s="3536">
        <f>SUM(O46:S46)</f>
        <v>0</v>
      </c>
      <c r="U46" s="3534"/>
      <c r="V46" s="3535"/>
      <c r="W46" s="3535"/>
      <c r="X46" s="3535"/>
      <c r="Y46" s="3535"/>
      <c r="Z46" s="3536">
        <f>SUM(U46:Y46)</f>
        <v>0</v>
      </c>
      <c r="AA46" s="3534"/>
      <c r="AB46" s="3535"/>
      <c r="AC46" s="3535"/>
      <c r="AD46" s="3535"/>
      <c r="AE46" s="3535"/>
      <c r="AF46" s="3536">
        <f>SUM(AA46:AE46)</f>
        <v>0</v>
      </c>
    </row>
    <row r="47" spans="1:32" ht="12.75" customHeight="1">
      <c r="A47" s="5516" t="s">
        <v>1512</v>
      </c>
      <c r="B47" s="5517"/>
      <c r="C47" s="3534"/>
      <c r="D47" s="3535"/>
      <c r="E47" s="3535"/>
      <c r="F47" s="3535"/>
      <c r="G47" s="3535"/>
      <c r="H47" s="3536">
        <f t="shared" ref="H47:H54" si="16">SUM(C47:G47)</f>
        <v>0</v>
      </c>
      <c r="I47" s="3534"/>
      <c r="J47" s="3535"/>
      <c r="K47" s="3535"/>
      <c r="L47" s="3535"/>
      <c r="M47" s="3535"/>
      <c r="N47" s="3536">
        <f t="shared" ref="N47:N54" si="17">SUM(I47:M47)</f>
        <v>0</v>
      </c>
      <c r="O47" s="3534"/>
      <c r="P47" s="3535"/>
      <c r="Q47" s="3535"/>
      <c r="R47" s="3535"/>
      <c r="S47" s="3535"/>
      <c r="T47" s="3536">
        <f t="shared" ref="T47:T54" si="18">SUM(O47:S47)</f>
        <v>0</v>
      </c>
      <c r="U47" s="3534"/>
      <c r="V47" s="3535"/>
      <c r="W47" s="3535"/>
      <c r="X47" s="3535"/>
      <c r="Y47" s="3535"/>
      <c r="Z47" s="3536">
        <f t="shared" ref="Z47:Z54" si="19">SUM(U47:Y47)</f>
        <v>0</v>
      </c>
      <c r="AA47" s="3534"/>
      <c r="AB47" s="3535"/>
      <c r="AC47" s="3535"/>
      <c r="AD47" s="3535"/>
      <c r="AE47" s="3535"/>
      <c r="AF47" s="3536">
        <f t="shared" ref="AF47:AF54" si="20">SUM(AA47:AE47)</f>
        <v>0</v>
      </c>
    </row>
    <row r="48" spans="1:32" ht="12.75" customHeight="1">
      <c r="A48" s="5516" t="s">
        <v>1513</v>
      </c>
      <c r="B48" s="5517"/>
      <c r="C48" s="3534"/>
      <c r="D48" s="3535"/>
      <c r="E48" s="3535"/>
      <c r="F48" s="3535"/>
      <c r="G48" s="3535"/>
      <c r="H48" s="3536">
        <f t="shared" si="16"/>
        <v>0</v>
      </c>
      <c r="I48" s="3534"/>
      <c r="J48" s="3535"/>
      <c r="K48" s="3535"/>
      <c r="L48" s="3535"/>
      <c r="M48" s="3535"/>
      <c r="N48" s="3536">
        <f t="shared" si="17"/>
        <v>0</v>
      </c>
      <c r="O48" s="3534"/>
      <c r="P48" s="3535"/>
      <c r="Q48" s="3535"/>
      <c r="R48" s="3535"/>
      <c r="S48" s="3535"/>
      <c r="T48" s="3536">
        <f t="shared" si="18"/>
        <v>0</v>
      </c>
      <c r="U48" s="3534"/>
      <c r="V48" s="3535"/>
      <c r="W48" s="3535"/>
      <c r="X48" s="3535"/>
      <c r="Y48" s="3535"/>
      <c r="Z48" s="3536">
        <f t="shared" si="19"/>
        <v>0</v>
      </c>
      <c r="AA48" s="3534"/>
      <c r="AB48" s="3535"/>
      <c r="AC48" s="3535"/>
      <c r="AD48" s="3535"/>
      <c r="AE48" s="3535"/>
      <c r="AF48" s="3536">
        <f t="shared" si="20"/>
        <v>0</v>
      </c>
    </row>
    <row r="49" spans="1:32" ht="12.75" customHeight="1">
      <c r="A49" s="5516" t="s">
        <v>1514</v>
      </c>
      <c r="B49" s="5517"/>
      <c r="C49" s="3534"/>
      <c r="D49" s="3535"/>
      <c r="E49" s="3535"/>
      <c r="F49" s="3535"/>
      <c r="G49" s="3535"/>
      <c r="H49" s="3536">
        <f t="shared" si="16"/>
        <v>0</v>
      </c>
      <c r="I49" s="3534"/>
      <c r="J49" s="3535"/>
      <c r="K49" s="3535"/>
      <c r="L49" s="3535"/>
      <c r="M49" s="3535"/>
      <c r="N49" s="3536">
        <f t="shared" si="17"/>
        <v>0</v>
      </c>
      <c r="O49" s="3534"/>
      <c r="P49" s="3535"/>
      <c r="Q49" s="3535"/>
      <c r="R49" s="3535"/>
      <c r="S49" s="3535"/>
      <c r="T49" s="3536">
        <f t="shared" si="18"/>
        <v>0</v>
      </c>
      <c r="U49" s="3534"/>
      <c r="V49" s="3535"/>
      <c r="W49" s="3535"/>
      <c r="X49" s="3535"/>
      <c r="Y49" s="3535"/>
      <c r="Z49" s="3536">
        <f t="shared" si="19"/>
        <v>0</v>
      </c>
      <c r="AA49" s="3534"/>
      <c r="AB49" s="3535"/>
      <c r="AC49" s="3535"/>
      <c r="AD49" s="3535"/>
      <c r="AE49" s="3535"/>
      <c r="AF49" s="3536">
        <f t="shared" si="20"/>
        <v>0</v>
      </c>
    </row>
    <row r="50" spans="1:32">
      <c r="A50" s="5506" t="s">
        <v>1515</v>
      </c>
      <c r="B50" s="5507"/>
      <c r="C50" s="3534"/>
      <c r="D50" s="3535"/>
      <c r="E50" s="3535"/>
      <c r="F50" s="3535"/>
      <c r="G50" s="3535"/>
      <c r="H50" s="3536">
        <f t="shared" si="16"/>
        <v>0</v>
      </c>
      <c r="I50" s="3534"/>
      <c r="J50" s="3535"/>
      <c r="K50" s="3535"/>
      <c r="L50" s="3535"/>
      <c r="M50" s="3535"/>
      <c r="N50" s="3536">
        <f t="shared" si="17"/>
        <v>0</v>
      </c>
      <c r="O50" s="3534"/>
      <c r="P50" s="3535"/>
      <c r="Q50" s="3535"/>
      <c r="R50" s="3535"/>
      <c r="S50" s="3535"/>
      <c r="T50" s="3536">
        <f t="shared" si="18"/>
        <v>0</v>
      </c>
      <c r="U50" s="3534"/>
      <c r="V50" s="3535"/>
      <c r="W50" s="3535"/>
      <c r="X50" s="3535"/>
      <c r="Y50" s="3535"/>
      <c r="Z50" s="3536">
        <f t="shared" si="19"/>
        <v>0</v>
      </c>
      <c r="AA50" s="3534"/>
      <c r="AB50" s="3535"/>
      <c r="AC50" s="3535"/>
      <c r="AD50" s="3535"/>
      <c r="AE50" s="3535"/>
      <c r="AF50" s="3536">
        <f t="shared" si="20"/>
        <v>0</v>
      </c>
    </row>
    <row r="51" spans="1:32" ht="12.75" customHeight="1">
      <c r="A51" s="5508" t="s">
        <v>1516</v>
      </c>
      <c r="B51" s="5509"/>
      <c r="C51" s="3534"/>
      <c r="D51" s="3535"/>
      <c r="E51" s="3535"/>
      <c r="F51" s="3535"/>
      <c r="G51" s="3535"/>
      <c r="H51" s="3536">
        <f t="shared" si="16"/>
        <v>0</v>
      </c>
      <c r="I51" s="3534"/>
      <c r="J51" s="3535"/>
      <c r="K51" s="3535"/>
      <c r="L51" s="3535"/>
      <c r="M51" s="3535"/>
      <c r="N51" s="3536">
        <f t="shared" si="17"/>
        <v>0</v>
      </c>
      <c r="O51" s="3534"/>
      <c r="P51" s="3535"/>
      <c r="Q51" s="3535"/>
      <c r="R51" s="3535"/>
      <c r="S51" s="3535"/>
      <c r="T51" s="3536">
        <f t="shared" si="18"/>
        <v>0</v>
      </c>
      <c r="U51" s="3534"/>
      <c r="V51" s="3535"/>
      <c r="W51" s="3535"/>
      <c r="X51" s="3535"/>
      <c r="Y51" s="3535"/>
      <c r="Z51" s="3536">
        <f t="shared" si="19"/>
        <v>0</v>
      </c>
      <c r="AA51" s="3534"/>
      <c r="AB51" s="3535"/>
      <c r="AC51" s="3535"/>
      <c r="AD51" s="3535"/>
      <c r="AE51" s="3535"/>
      <c r="AF51" s="3536">
        <f t="shared" si="20"/>
        <v>0</v>
      </c>
    </row>
    <row r="52" spans="1:32" ht="12.75" customHeight="1">
      <c r="A52" s="5508" t="s">
        <v>1517</v>
      </c>
      <c r="B52" s="5509"/>
      <c r="C52" s="3534"/>
      <c r="D52" s="3535"/>
      <c r="E52" s="3535"/>
      <c r="F52" s="3535"/>
      <c r="G52" s="3535"/>
      <c r="H52" s="3536">
        <f t="shared" si="16"/>
        <v>0</v>
      </c>
      <c r="I52" s="3534"/>
      <c r="J52" s="3535"/>
      <c r="K52" s="3535"/>
      <c r="L52" s="3535"/>
      <c r="M52" s="3535"/>
      <c r="N52" s="3536">
        <f t="shared" si="17"/>
        <v>0</v>
      </c>
      <c r="O52" s="3534"/>
      <c r="P52" s="3535"/>
      <c r="Q52" s="3535"/>
      <c r="R52" s="3535"/>
      <c r="S52" s="3535"/>
      <c r="T52" s="3536">
        <f t="shared" si="18"/>
        <v>0</v>
      </c>
      <c r="U52" s="3534"/>
      <c r="V52" s="3535"/>
      <c r="W52" s="3535"/>
      <c r="X52" s="3535"/>
      <c r="Y52" s="3535"/>
      <c r="Z52" s="3536">
        <f t="shared" si="19"/>
        <v>0</v>
      </c>
      <c r="AA52" s="3534"/>
      <c r="AB52" s="3535"/>
      <c r="AC52" s="3535"/>
      <c r="AD52" s="3535"/>
      <c r="AE52" s="3535"/>
      <c r="AF52" s="3536">
        <f t="shared" si="20"/>
        <v>0</v>
      </c>
    </row>
    <row r="53" spans="1:32" ht="12.75" customHeight="1">
      <c r="A53" s="5508" t="s">
        <v>1518</v>
      </c>
      <c r="B53" s="5509"/>
      <c r="C53" s="3534"/>
      <c r="D53" s="3535"/>
      <c r="E53" s="3535"/>
      <c r="F53" s="3535"/>
      <c r="G53" s="3535"/>
      <c r="H53" s="3536">
        <f t="shared" si="16"/>
        <v>0</v>
      </c>
      <c r="I53" s="3534"/>
      <c r="J53" s="3535"/>
      <c r="K53" s="3535"/>
      <c r="L53" s="3535"/>
      <c r="M53" s="3535"/>
      <c r="N53" s="3536">
        <f t="shared" si="17"/>
        <v>0</v>
      </c>
      <c r="O53" s="3534"/>
      <c r="P53" s="3535"/>
      <c r="Q53" s="3535"/>
      <c r="R53" s="3535"/>
      <c r="S53" s="3535"/>
      <c r="T53" s="3536">
        <f t="shared" si="18"/>
        <v>0</v>
      </c>
      <c r="U53" s="3534"/>
      <c r="V53" s="3535"/>
      <c r="W53" s="3535"/>
      <c r="X53" s="3535"/>
      <c r="Y53" s="3535"/>
      <c r="Z53" s="3536">
        <f t="shared" si="19"/>
        <v>0</v>
      </c>
      <c r="AA53" s="3534"/>
      <c r="AB53" s="3535"/>
      <c r="AC53" s="3535"/>
      <c r="AD53" s="3535"/>
      <c r="AE53" s="3535"/>
      <c r="AF53" s="3536">
        <f t="shared" si="20"/>
        <v>0</v>
      </c>
    </row>
    <row r="54" spans="1:32" ht="13.5" customHeight="1" thickBot="1">
      <c r="A54" s="5504" t="s">
        <v>1519</v>
      </c>
      <c r="B54" s="5505"/>
      <c r="C54" s="3540"/>
      <c r="D54" s="3541"/>
      <c r="E54" s="3541"/>
      <c r="F54" s="3541"/>
      <c r="G54" s="3541"/>
      <c r="H54" s="3542">
        <f t="shared" si="16"/>
        <v>0</v>
      </c>
      <c r="I54" s="3540"/>
      <c r="J54" s="3541"/>
      <c r="K54" s="3541"/>
      <c r="L54" s="3541"/>
      <c r="M54" s="3541"/>
      <c r="N54" s="3542">
        <f t="shared" si="17"/>
        <v>0</v>
      </c>
      <c r="O54" s="3540"/>
      <c r="P54" s="3541"/>
      <c r="Q54" s="3541"/>
      <c r="R54" s="3541"/>
      <c r="S54" s="3541"/>
      <c r="T54" s="3542">
        <f t="shared" si="18"/>
        <v>0</v>
      </c>
      <c r="U54" s="3540"/>
      <c r="V54" s="3541"/>
      <c r="W54" s="3541"/>
      <c r="X54" s="3541"/>
      <c r="Y54" s="3541"/>
      <c r="Z54" s="3542">
        <f t="shared" si="19"/>
        <v>0</v>
      </c>
      <c r="AA54" s="3540"/>
      <c r="AB54" s="3541"/>
      <c r="AC54" s="3541"/>
      <c r="AD54" s="3541"/>
      <c r="AE54" s="3541"/>
      <c r="AF54" s="3542">
        <f t="shared" si="20"/>
        <v>0</v>
      </c>
    </row>
    <row r="55" spans="1:32" ht="21.75" customHeight="1" thickBot="1">
      <c r="A55" s="1664" t="s">
        <v>178</v>
      </c>
      <c r="B55" s="1665"/>
      <c r="C55" s="3549"/>
      <c r="D55" s="3549"/>
      <c r="E55" s="3549"/>
      <c r="F55" s="3549"/>
      <c r="G55" s="3549"/>
      <c r="H55" s="3549"/>
      <c r="I55" s="3549"/>
      <c r="J55" s="3549"/>
      <c r="K55" s="3549"/>
      <c r="L55" s="3549"/>
      <c r="M55" s="3549"/>
      <c r="N55" s="3549"/>
      <c r="O55" s="3549"/>
      <c r="P55" s="3549"/>
      <c r="Q55" s="3549"/>
      <c r="R55" s="3549"/>
      <c r="S55" s="3549"/>
      <c r="T55" s="3549"/>
      <c r="U55" s="3549"/>
      <c r="V55" s="3549"/>
      <c r="W55" s="3549"/>
      <c r="X55" s="3549"/>
      <c r="Y55" s="3549"/>
      <c r="Z55" s="3549"/>
      <c r="AA55" s="3549"/>
      <c r="AB55" s="3549"/>
      <c r="AC55" s="3549"/>
      <c r="AD55" s="3549"/>
      <c r="AE55" s="3549"/>
      <c r="AF55" s="3550"/>
    </row>
    <row r="56" spans="1:32" ht="21" customHeight="1">
      <c r="A56" s="5496" t="s">
        <v>1191</v>
      </c>
      <c r="B56" s="5497"/>
      <c r="C56" s="5523">
        <v>1</v>
      </c>
      <c r="D56" s="5524"/>
      <c r="E56" s="5524"/>
      <c r="F56" s="5524"/>
      <c r="G56" s="5524"/>
      <c r="H56" s="5525"/>
      <c r="I56" s="5523">
        <f>C56+1</f>
        <v>2</v>
      </c>
      <c r="J56" s="5524"/>
      <c r="K56" s="5524"/>
      <c r="L56" s="5524"/>
      <c r="M56" s="5524"/>
      <c r="N56" s="5525"/>
      <c r="O56" s="5523">
        <f t="shared" ref="O56" si="21">I56+1</f>
        <v>3</v>
      </c>
      <c r="P56" s="5524"/>
      <c r="Q56" s="5524"/>
      <c r="R56" s="5524"/>
      <c r="S56" s="5524"/>
      <c r="T56" s="5525"/>
      <c r="U56" s="5523">
        <f t="shared" ref="U56" si="22">O56+1</f>
        <v>4</v>
      </c>
      <c r="V56" s="5524"/>
      <c r="W56" s="5524"/>
      <c r="X56" s="5524"/>
      <c r="Y56" s="5524"/>
      <c r="Z56" s="5525"/>
      <c r="AA56" s="5523">
        <f t="shared" ref="AA56" si="23">U56+1</f>
        <v>5</v>
      </c>
      <c r="AB56" s="5524"/>
      <c r="AC56" s="5524"/>
      <c r="AD56" s="5524"/>
      <c r="AE56" s="5524"/>
      <c r="AF56" s="5525"/>
    </row>
    <row r="57" spans="1:32" ht="12.75" customHeight="1">
      <c r="A57" s="5518" t="s">
        <v>1324</v>
      </c>
      <c r="B57" s="3524" t="s">
        <v>1505</v>
      </c>
      <c r="C57" s="5510" t="s">
        <v>2029</v>
      </c>
      <c r="D57" s="5511"/>
      <c r="E57" s="5511"/>
      <c r="F57" s="5511"/>
      <c r="G57" s="5511"/>
      <c r="H57" s="5512"/>
      <c r="I57" s="5510"/>
      <c r="J57" s="5511"/>
      <c r="K57" s="5511"/>
      <c r="L57" s="5511"/>
      <c r="M57" s="5511"/>
      <c r="N57" s="5512"/>
      <c r="O57" s="5510"/>
      <c r="P57" s="5511"/>
      <c r="Q57" s="5511"/>
      <c r="R57" s="5511"/>
      <c r="S57" s="5511"/>
      <c r="T57" s="5512"/>
      <c r="U57" s="5510"/>
      <c r="V57" s="5511"/>
      <c r="W57" s="5511"/>
      <c r="X57" s="5511"/>
      <c r="Y57" s="5511"/>
      <c r="Z57" s="5512"/>
      <c r="AA57" s="5510"/>
      <c r="AB57" s="5511"/>
      <c r="AC57" s="5511"/>
      <c r="AD57" s="5511"/>
      <c r="AE57" s="5511"/>
      <c r="AF57" s="5512"/>
    </row>
    <row r="58" spans="1:32">
      <c r="A58" s="5518"/>
      <c r="B58" s="3524" t="s">
        <v>1325</v>
      </c>
      <c r="C58" s="5510" t="s">
        <v>2033</v>
      </c>
      <c r="D58" s="5511"/>
      <c r="E58" s="5511"/>
      <c r="F58" s="5511"/>
      <c r="G58" s="5511"/>
      <c r="H58" s="5512"/>
      <c r="I58" s="5510"/>
      <c r="J58" s="5511"/>
      <c r="K58" s="5511"/>
      <c r="L58" s="5511"/>
      <c r="M58" s="5511"/>
      <c r="N58" s="5512"/>
      <c r="O58" s="5510"/>
      <c r="P58" s="5511"/>
      <c r="Q58" s="5511"/>
      <c r="R58" s="5511"/>
      <c r="S58" s="5511"/>
      <c r="T58" s="5512"/>
      <c r="U58" s="5510"/>
      <c r="V58" s="5511"/>
      <c r="W58" s="5511"/>
      <c r="X58" s="5511"/>
      <c r="Y58" s="5511"/>
      <c r="Z58" s="5512"/>
      <c r="AA58" s="5510"/>
      <c r="AB58" s="5511"/>
      <c r="AC58" s="5511"/>
      <c r="AD58" s="5511"/>
      <c r="AE58" s="5511"/>
      <c r="AF58" s="5512"/>
    </row>
    <row r="59" spans="1:32" ht="12.75" customHeight="1">
      <c r="A59" s="5519" t="s">
        <v>1326</v>
      </c>
      <c r="B59" s="3525" t="s">
        <v>1327</v>
      </c>
      <c r="C59" s="5510" t="s">
        <v>2030</v>
      </c>
      <c r="D59" s="5511"/>
      <c r="E59" s="5511"/>
      <c r="F59" s="5511"/>
      <c r="G59" s="5511"/>
      <c r="H59" s="5512"/>
      <c r="I59" s="5510"/>
      <c r="J59" s="5511"/>
      <c r="K59" s="5511"/>
      <c r="L59" s="5511"/>
      <c r="M59" s="5511"/>
      <c r="N59" s="5512"/>
      <c r="O59" s="5510"/>
      <c r="P59" s="5511"/>
      <c r="Q59" s="5511"/>
      <c r="R59" s="5511"/>
      <c r="S59" s="5511"/>
      <c r="T59" s="5512"/>
      <c r="U59" s="5510"/>
      <c r="V59" s="5511"/>
      <c r="W59" s="5511"/>
      <c r="X59" s="5511"/>
      <c r="Y59" s="5511"/>
      <c r="Z59" s="5512"/>
      <c r="AA59" s="5510"/>
      <c r="AB59" s="5511"/>
      <c r="AC59" s="5511"/>
      <c r="AD59" s="5511"/>
      <c r="AE59" s="5511"/>
      <c r="AF59" s="5512"/>
    </row>
    <row r="60" spans="1:32">
      <c r="A60" s="5520"/>
      <c r="B60" s="3524" t="s">
        <v>1328</v>
      </c>
      <c r="C60" s="5527" t="s">
        <v>2032</v>
      </c>
      <c r="D60" s="5528"/>
      <c r="E60" s="5528"/>
      <c r="F60" s="5528"/>
      <c r="G60" s="5528"/>
      <c r="H60" s="5529"/>
      <c r="I60" s="5510"/>
      <c r="J60" s="5511"/>
      <c r="K60" s="5511"/>
      <c r="L60" s="5511"/>
      <c r="M60" s="5511"/>
      <c r="N60" s="5512"/>
      <c r="O60" s="5510"/>
      <c r="P60" s="5511"/>
      <c r="Q60" s="5511"/>
      <c r="R60" s="5511"/>
      <c r="S60" s="5511"/>
      <c r="T60" s="5512"/>
      <c r="U60" s="5510"/>
      <c r="V60" s="5511"/>
      <c r="W60" s="5511"/>
      <c r="X60" s="5511"/>
      <c r="Y60" s="5511"/>
      <c r="Z60" s="5512"/>
      <c r="AA60" s="5510"/>
      <c r="AB60" s="5511"/>
      <c r="AC60" s="5511"/>
      <c r="AD60" s="5511"/>
      <c r="AE60" s="5511"/>
      <c r="AF60" s="5512"/>
    </row>
    <row r="61" spans="1:32" ht="25.5">
      <c r="A61" s="4523" t="s">
        <v>1329</v>
      </c>
      <c r="B61" s="3524" t="s">
        <v>1330</v>
      </c>
      <c r="C61" s="5510" t="s">
        <v>2031</v>
      </c>
      <c r="D61" s="5511"/>
      <c r="E61" s="5511"/>
      <c r="F61" s="5511"/>
      <c r="G61" s="5511"/>
      <c r="H61" s="5512"/>
      <c r="I61" s="5510"/>
      <c r="J61" s="5511"/>
      <c r="K61" s="5511"/>
      <c r="L61" s="5511"/>
      <c r="M61" s="5511"/>
      <c r="N61" s="5512"/>
      <c r="O61" s="5510"/>
      <c r="P61" s="5511"/>
      <c r="Q61" s="5511"/>
      <c r="R61" s="5511"/>
      <c r="S61" s="5511"/>
      <c r="T61" s="5512"/>
      <c r="U61" s="5510"/>
      <c r="V61" s="5511"/>
      <c r="W61" s="5511"/>
      <c r="X61" s="5511"/>
      <c r="Y61" s="5511"/>
      <c r="Z61" s="5512"/>
      <c r="AA61" s="5510"/>
      <c r="AB61" s="5511"/>
      <c r="AC61" s="5511"/>
      <c r="AD61" s="5511"/>
      <c r="AE61" s="5511"/>
      <c r="AF61" s="5512"/>
    </row>
    <row r="62" spans="1:32" ht="26.25" thickBot="1">
      <c r="A62" s="3526" t="s">
        <v>1331</v>
      </c>
      <c r="B62" s="3527" t="s">
        <v>1332</v>
      </c>
      <c r="C62" s="5513" t="s">
        <v>2037</v>
      </c>
      <c r="D62" s="5514"/>
      <c r="E62" s="5514"/>
      <c r="F62" s="5514"/>
      <c r="G62" s="5514"/>
      <c r="H62" s="5515"/>
      <c r="I62" s="5513"/>
      <c r="J62" s="5514"/>
      <c r="K62" s="5514"/>
      <c r="L62" s="5514"/>
      <c r="M62" s="5514"/>
      <c r="N62" s="5515"/>
      <c r="O62" s="5513"/>
      <c r="P62" s="5514"/>
      <c r="Q62" s="5514"/>
      <c r="R62" s="5514"/>
      <c r="S62" s="5514"/>
      <c r="T62" s="5515"/>
      <c r="U62" s="5513"/>
      <c r="V62" s="5514"/>
      <c r="W62" s="5514"/>
      <c r="X62" s="5514"/>
      <c r="Y62" s="5514"/>
      <c r="Z62" s="5515"/>
      <c r="AA62" s="5513"/>
      <c r="AB62" s="5514"/>
      <c r="AC62" s="5514"/>
      <c r="AD62" s="5514"/>
      <c r="AE62" s="5514"/>
      <c r="AF62" s="5515"/>
    </row>
    <row r="63" spans="1:32" ht="26.25" thickBot="1">
      <c r="A63" s="5498" t="s">
        <v>1520</v>
      </c>
      <c r="B63" s="5499"/>
      <c r="C63" s="3546" t="s">
        <v>1072</v>
      </c>
      <c r="D63" s="3547" t="s">
        <v>1073</v>
      </c>
      <c r="E63" s="3547" t="s">
        <v>1074</v>
      </c>
      <c r="F63" s="3547" t="s">
        <v>1075</v>
      </c>
      <c r="G63" s="3547" t="s">
        <v>1076</v>
      </c>
      <c r="H63" s="3548" t="s">
        <v>1333</v>
      </c>
      <c r="I63" s="3546" t="s">
        <v>1072</v>
      </c>
      <c r="J63" s="3547" t="s">
        <v>1073</v>
      </c>
      <c r="K63" s="3547" t="s">
        <v>1074</v>
      </c>
      <c r="L63" s="3547" t="s">
        <v>1075</v>
      </c>
      <c r="M63" s="3547" t="s">
        <v>1076</v>
      </c>
      <c r="N63" s="3548" t="s">
        <v>1333</v>
      </c>
      <c r="O63" s="3546" t="s">
        <v>1072</v>
      </c>
      <c r="P63" s="3547" t="s">
        <v>1073</v>
      </c>
      <c r="Q63" s="3547" t="s">
        <v>1074</v>
      </c>
      <c r="R63" s="3547" t="s">
        <v>1075</v>
      </c>
      <c r="S63" s="3547" t="s">
        <v>1076</v>
      </c>
      <c r="T63" s="3548" t="s">
        <v>1333</v>
      </c>
      <c r="U63" s="3546" t="s">
        <v>1072</v>
      </c>
      <c r="V63" s="3547" t="s">
        <v>1073</v>
      </c>
      <c r="W63" s="3547" t="s">
        <v>1074</v>
      </c>
      <c r="X63" s="3547" t="s">
        <v>1075</v>
      </c>
      <c r="Y63" s="3547" t="s">
        <v>1076</v>
      </c>
      <c r="Z63" s="3548" t="s">
        <v>1333</v>
      </c>
      <c r="AA63" s="3546" t="s">
        <v>1072</v>
      </c>
      <c r="AB63" s="3547" t="s">
        <v>1073</v>
      </c>
      <c r="AC63" s="3547" t="s">
        <v>1074</v>
      </c>
      <c r="AD63" s="3547" t="s">
        <v>1075</v>
      </c>
      <c r="AE63" s="3547" t="s">
        <v>1076</v>
      </c>
      <c r="AF63" s="3548" t="s">
        <v>1333</v>
      </c>
    </row>
    <row r="64" spans="1:32" ht="12.75" customHeight="1">
      <c r="A64" s="5536" t="s">
        <v>1506</v>
      </c>
      <c r="B64" s="5537"/>
      <c r="C64" s="3531"/>
      <c r="D64" s="3532"/>
      <c r="E64" s="3532">
        <v>12054</v>
      </c>
      <c r="F64" s="3532">
        <v>11911</v>
      </c>
      <c r="G64" s="3532">
        <v>11770</v>
      </c>
      <c r="H64" s="3533">
        <f>SUM(C64:G64)</f>
        <v>35735</v>
      </c>
      <c r="I64" s="3531"/>
      <c r="J64" s="3532"/>
      <c r="K64" s="3532"/>
      <c r="L64" s="3532"/>
      <c r="M64" s="3532"/>
      <c r="N64" s="3533">
        <f>SUM(I64:M64)</f>
        <v>0</v>
      </c>
      <c r="O64" s="3531"/>
      <c r="P64" s="3532"/>
      <c r="Q64" s="3532"/>
      <c r="R64" s="3532"/>
      <c r="S64" s="3532"/>
      <c r="T64" s="3533">
        <f>SUM(O64:S64)</f>
        <v>0</v>
      </c>
      <c r="U64" s="3531"/>
      <c r="V64" s="3532"/>
      <c r="W64" s="3532"/>
      <c r="X64" s="3532"/>
      <c r="Y64" s="3532"/>
      <c r="Z64" s="3533">
        <f>SUM(U64:Y64)</f>
        <v>0</v>
      </c>
      <c r="AA64" s="3531"/>
      <c r="AB64" s="3532"/>
      <c r="AC64" s="3532"/>
      <c r="AD64" s="3532"/>
      <c r="AE64" s="3532"/>
      <c r="AF64" s="3533">
        <f>SUM(AA64:AE64)</f>
        <v>0</v>
      </c>
    </row>
    <row r="65" spans="1:32" ht="12.75" customHeight="1">
      <c r="A65" s="5530" t="s">
        <v>1507</v>
      </c>
      <c r="B65" s="5531"/>
      <c r="C65" s="3534"/>
      <c r="D65" s="3535"/>
      <c r="E65" s="3535">
        <v>635278</v>
      </c>
      <c r="F65" s="3535">
        <v>628944</v>
      </c>
      <c r="G65" s="3535">
        <v>622684</v>
      </c>
      <c r="H65" s="3536">
        <f t="shared" ref="H65:H69" si="24">SUM(C65:G65)</f>
        <v>1886906</v>
      </c>
      <c r="I65" s="3534"/>
      <c r="J65" s="3535"/>
      <c r="K65" s="3535"/>
      <c r="L65" s="3535"/>
      <c r="M65" s="3535"/>
      <c r="N65" s="3536">
        <f t="shared" ref="N65:N69" si="25">SUM(I65:M65)</f>
        <v>0</v>
      </c>
      <c r="O65" s="3534"/>
      <c r="P65" s="3535"/>
      <c r="Q65" s="3535"/>
      <c r="R65" s="3535"/>
      <c r="S65" s="3535"/>
      <c r="T65" s="3536">
        <f t="shared" ref="T65:T69" si="26">SUM(O65:S65)</f>
        <v>0</v>
      </c>
      <c r="U65" s="3534"/>
      <c r="V65" s="3535"/>
      <c r="W65" s="3535"/>
      <c r="X65" s="3535"/>
      <c r="Y65" s="3535"/>
      <c r="Z65" s="3536">
        <f t="shared" ref="Z65:Z69" si="27">SUM(U65:Y65)</f>
        <v>0</v>
      </c>
      <c r="AA65" s="3534"/>
      <c r="AB65" s="3535"/>
      <c r="AC65" s="3535"/>
      <c r="AD65" s="3535"/>
      <c r="AE65" s="3535"/>
      <c r="AF65" s="3536">
        <f t="shared" ref="AF65:AF69" si="28">SUM(AA65:AE65)</f>
        <v>0</v>
      </c>
    </row>
    <row r="66" spans="1:32" ht="12.75" customHeight="1">
      <c r="A66" s="5532" t="s">
        <v>1508</v>
      </c>
      <c r="B66" s="5533"/>
      <c r="C66" s="3537"/>
      <c r="D66" s="3538"/>
      <c r="E66" s="3538">
        <v>650161</v>
      </c>
      <c r="F66" s="3538">
        <v>650161</v>
      </c>
      <c r="G66" s="3538">
        <v>650161</v>
      </c>
      <c r="H66" s="3539">
        <f t="shared" si="24"/>
        <v>1950483</v>
      </c>
      <c r="I66" s="3537"/>
      <c r="J66" s="3538"/>
      <c r="K66" s="3538"/>
      <c r="L66" s="3538"/>
      <c r="M66" s="3538"/>
      <c r="N66" s="3539">
        <f t="shared" si="25"/>
        <v>0</v>
      </c>
      <c r="O66" s="3537"/>
      <c r="P66" s="3538"/>
      <c r="Q66" s="3538"/>
      <c r="R66" s="3538"/>
      <c r="S66" s="3538"/>
      <c r="T66" s="3539">
        <f t="shared" si="26"/>
        <v>0</v>
      </c>
      <c r="U66" s="3537"/>
      <c r="V66" s="3538"/>
      <c r="W66" s="3538"/>
      <c r="X66" s="3538"/>
      <c r="Y66" s="3538"/>
      <c r="Z66" s="3539">
        <f t="shared" si="27"/>
        <v>0</v>
      </c>
      <c r="AA66" s="3537"/>
      <c r="AB66" s="3538"/>
      <c r="AC66" s="3538"/>
      <c r="AD66" s="3538"/>
      <c r="AE66" s="3538"/>
      <c r="AF66" s="3539">
        <f t="shared" si="28"/>
        <v>0</v>
      </c>
    </row>
    <row r="67" spans="1:32" ht="13.5" thickBot="1">
      <c r="A67" s="5521" t="s">
        <v>1509</v>
      </c>
      <c r="B67" s="5522"/>
      <c r="C67" s="3540"/>
      <c r="D67" s="3541"/>
      <c r="E67" s="3541"/>
      <c r="F67" s="3541"/>
      <c r="G67" s="3541"/>
      <c r="H67" s="3542">
        <f>SUM(C67:G67)</f>
        <v>0</v>
      </c>
      <c r="I67" s="3540"/>
      <c r="J67" s="3541"/>
      <c r="K67" s="3541"/>
      <c r="L67" s="3541"/>
      <c r="M67" s="3541"/>
      <c r="N67" s="3542">
        <f>SUM(I67:M67)</f>
        <v>0</v>
      </c>
      <c r="O67" s="3540"/>
      <c r="P67" s="3541"/>
      <c r="Q67" s="3541"/>
      <c r="R67" s="3541"/>
      <c r="S67" s="3541"/>
      <c r="T67" s="3542">
        <f>SUM(O67:S67)</f>
        <v>0</v>
      </c>
      <c r="U67" s="3540"/>
      <c r="V67" s="3541"/>
      <c r="W67" s="3541"/>
      <c r="X67" s="3541"/>
      <c r="Y67" s="3541"/>
      <c r="Z67" s="3542">
        <f>SUM(U67:Y67)</f>
        <v>0</v>
      </c>
      <c r="AA67" s="3540"/>
      <c r="AB67" s="3541"/>
      <c r="AC67" s="3541"/>
      <c r="AD67" s="3541"/>
      <c r="AE67" s="3541"/>
      <c r="AF67" s="3542">
        <f>SUM(AA67:AE67)</f>
        <v>0</v>
      </c>
    </row>
    <row r="68" spans="1:32" s="4146" customFormat="1" ht="27" customHeight="1">
      <c r="A68" s="5534" t="s">
        <v>1511</v>
      </c>
      <c r="B68" s="5535"/>
      <c r="C68" s="3543">
        <f>SUM(C69,C74:C78)</f>
        <v>0</v>
      </c>
      <c r="D68" s="3544">
        <f>SUM(D69,D74:D78)</f>
        <v>0</v>
      </c>
      <c r="E68" s="3544">
        <f>SUM(E69,E74:E78)</f>
        <v>226.306740558</v>
      </c>
      <c r="F68" s="3544">
        <f>SUM(F69,F74:F78)</f>
        <v>226.306740558</v>
      </c>
      <c r="G68" s="3544">
        <f>SUM(G69,G74:G78)</f>
        <v>226.306740558</v>
      </c>
      <c r="H68" s="3545">
        <f t="shared" si="24"/>
        <v>678.920221674</v>
      </c>
      <c r="I68" s="3543">
        <f>SUM(I69,I74:I78)</f>
        <v>0</v>
      </c>
      <c r="J68" s="3544">
        <f>SUM(J69,J74:J78)</f>
        <v>0</v>
      </c>
      <c r="K68" s="3544">
        <f>SUM(K69,K74:K78)</f>
        <v>0</v>
      </c>
      <c r="L68" s="3544">
        <f>SUM(L69,L74:L78)</f>
        <v>0</v>
      </c>
      <c r="M68" s="3544">
        <f>SUM(M69,M74:M78)</f>
        <v>0</v>
      </c>
      <c r="N68" s="3545">
        <f t="shared" si="25"/>
        <v>0</v>
      </c>
      <c r="O68" s="3543">
        <f>SUM(O69,O74:O78)</f>
        <v>0</v>
      </c>
      <c r="P68" s="3544">
        <f>SUM(P69,P74:P78)</f>
        <v>0</v>
      </c>
      <c r="Q68" s="3544">
        <f>SUM(Q69,Q74:Q78)</f>
        <v>0</v>
      </c>
      <c r="R68" s="3544">
        <f>SUM(R69,R74:R78)</f>
        <v>0</v>
      </c>
      <c r="S68" s="3544">
        <f>SUM(S69,S74:S78)</f>
        <v>0</v>
      </c>
      <c r="T68" s="3545">
        <f t="shared" si="26"/>
        <v>0</v>
      </c>
      <c r="U68" s="3543">
        <f>SUM(U69,U74:U78)</f>
        <v>0</v>
      </c>
      <c r="V68" s="3544">
        <f>SUM(V69,V74:V78)</f>
        <v>0</v>
      </c>
      <c r="W68" s="3544">
        <f>SUM(W69,W74:W78)</f>
        <v>0</v>
      </c>
      <c r="X68" s="3544">
        <f>SUM(X69,X74:X78)</f>
        <v>0</v>
      </c>
      <c r="Y68" s="3544">
        <f>SUM(Y69,Y74:Y78)</f>
        <v>0</v>
      </c>
      <c r="Z68" s="3545">
        <f t="shared" si="27"/>
        <v>0</v>
      </c>
      <c r="AA68" s="3543">
        <f>SUM(AA69,AA74:AA78)</f>
        <v>0</v>
      </c>
      <c r="AB68" s="3544">
        <f>SUM(AB69,AB74:AB78)</f>
        <v>0</v>
      </c>
      <c r="AC68" s="3544">
        <f>SUM(AC69,AC74:AC78)</f>
        <v>0</v>
      </c>
      <c r="AD68" s="3544">
        <f>SUM(AD69,AD74:AD78)</f>
        <v>0</v>
      </c>
      <c r="AE68" s="3544">
        <f>SUM(AE69,AE74:AE78)</f>
        <v>0</v>
      </c>
      <c r="AF68" s="3545">
        <f t="shared" si="28"/>
        <v>0</v>
      </c>
    </row>
    <row r="69" spans="1:32" ht="12.75" customHeight="1">
      <c r="A69" s="5500" t="s">
        <v>1510</v>
      </c>
      <c r="B69" s="5501"/>
      <c r="C69" s="3534">
        <v>0</v>
      </c>
      <c r="D69" s="3535">
        <v>0</v>
      </c>
      <c r="E69" s="3535">
        <f>E70+E71+E72+E73</f>
        <v>226.306740558</v>
      </c>
      <c r="F69" s="3535">
        <f t="shared" ref="F69:G69" si="29">F70+F71+F72+F73</f>
        <v>226.306740558</v>
      </c>
      <c r="G69" s="3535">
        <f t="shared" si="29"/>
        <v>226.306740558</v>
      </c>
      <c r="H69" s="3536">
        <f t="shared" si="24"/>
        <v>678.920221674</v>
      </c>
      <c r="I69" s="3534"/>
      <c r="J69" s="3535"/>
      <c r="K69" s="3535"/>
      <c r="L69" s="3535"/>
      <c r="M69" s="3535"/>
      <c r="N69" s="3536">
        <f t="shared" si="25"/>
        <v>0</v>
      </c>
      <c r="O69" s="3534"/>
      <c r="P69" s="3535"/>
      <c r="Q69" s="3535"/>
      <c r="R69" s="3535"/>
      <c r="S69" s="3535"/>
      <c r="T69" s="3536">
        <f t="shared" si="26"/>
        <v>0</v>
      </c>
      <c r="U69" s="3534"/>
      <c r="V69" s="3535"/>
      <c r="W69" s="3535"/>
      <c r="X69" s="3535"/>
      <c r="Y69" s="3535"/>
      <c r="Z69" s="3536">
        <f t="shared" si="27"/>
        <v>0</v>
      </c>
      <c r="AA69" s="3534"/>
      <c r="AB69" s="3535"/>
      <c r="AC69" s="3535"/>
      <c r="AD69" s="3535"/>
      <c r="AE69" s="3535"/>
      <c r="AF69" s="3536">
        <f t="shared" si="28"/>
        <v>0</v>
      </c>
    </row>
    <row r="70" spans="1:32">
      <c r="A70" s="5502" t="s">
        <v>1522</v>
      </c>
      <c r="B70" s="5503"/>
      <c r="C70" s="3534"/>
      <c r="D70" s="3535"/>
      <c r="E70" s="3535"/>
      <c r="F70" s="3535"/>
      <c r="G70" s="3535"/>
      <c r="H70" s="3536">
        <f>SUM(C70:G70)</f>
        <v>0</v>
      </c>
      <c r="I70" s="3534"/>
      <c r="J70" s="3535"/>
      <c r="K70" s="3535"/>
      <c r="L70" s="3535"/>
      <c r="M70" s="3535"/>
      <c r="N70" s="3536">
        <f>SUM(I70:M70)</f>
        <v>0</v>
      </c>
      <c r="O70" s="3534"/>
      <c r="P70" s="3535"/>
      <c r="Q70" s="3535"/>
      <c r="R70" s="3535"/>
      <c r="S70" s="3535"/>
      <c r="T70" s="3536">
        <f>SUM(O70:S70)</f>
        <v>0</v>
      </c>
      <c r="U70" s="3534"/>
      <c r="V70" s="3535"/>
      <c r="W70" s="3535"/>
      <c r="X70" s="3535"/>
      <c r="Y70" s="3535"/>
      <c r="Z70" s="3536">
        <f>SUM(U70:Y70)</f>
        <v>0</v>
      </c>
      <c r="AA70" s="3534"/>
      <c r="AB70" s="3535"/>
      <c r="AC70" s="3535"/>
      <c r="AD70" s="3535"/>
      <c r="AE70" s="3535"/>
      <c r="AF70" s="3536">
        <f>SUM(AA70:AE70)</f>
        <v>0</v>
      </c>
    </row>
    <row r="71" spans="1:32" ht="12.75" customHeight="1">
      <c r="A71" s="5516" t="s">
        <v>1512</v>
      </c>
      <c r="B71" s="5517"/>
      <c r="C71" s="3534"/>
      <c r="D71" s="3535"/>
      <c r="E71" s="3535"/>
      <c r="F71" s="3535"/>
      <c r="G71" s="3535"/>
      <c r="H71" s="3536">
        <f t="shared" ref="H71:H78" si="30">SUM(C71:G71)</f>
        <v>0</v>
      </c>
      <c r="I71" s="3534"/>
      <c r="J71" s="3535"/>
      <c r="K71" s="3535"/>
      <c r="L71" s="3535"/>
      <c r="M71" s="3535"/>
      <c r="N71" s="3536">
        <f t="shared" ref="N71:N78" si="31">SUM(I71:M71)</f>
        <v>0</v>
      </c>
      <c r="O71" s="3534"/>
      <c r="P71" s="3535"/>
      <c r="Q71" s="3535"/>
      <c r="R71" s="3535"/>
      <c r="S71" s="3535"/>
      <c r="T71" s="3536">
        <f t="shared" ref="T71:T78" si="32">SUM(O71:S71)</f>
        <v>0</v>
      </c>
      <c r="U71" s="3534"/>
      <c r="V71" s="3535"/>
      <c r="W71" s="3535"/>
      <c r="X71" s="3535"/>
      <c r="Y71" s="3535"/>
      <c r="Z71" s="3536">
        <f t="shared" ref="Z71:Z78" si="33">SUM(U71:Y71)</f>
        <v>0</v>
      </c>
      <c r="AA71" s="3534"/>
      <c r="AB71" s="3535"/>
      <c r="AC71" s="3535"/>
      <c r="AD71" s="3535"/>
      <c r="AE71" s="3535"/>
      <c r="AF71" s="3536">
        <f t="shared" ref="AF71:AF78" si="34">SUM(AA71:AE71)</f>
        <v>0</v>
      </c>
    </row>
    <row r="72" spans="1:32" ht="12.75" customHeight="1">
      <c r="A72" s="5516" t="s">
        <v>1513</v>
      </c>
      <c r="B72" s="5517"/>
      <c r="C72" s="3534"/>
      <c r="D72" s="3535"/>
      <c r="E72" s="3535"/>
      <c r="F72" s="3535"/>
      <c r="G72" s="3535"/>
      <c r="H72" s="3536">
        <f t="shared" si="30"/>
        <v>0</v>
      </c>
      <c r="I72" s="3534"/>
      <c r="J72" s="3535"/>
      <c r="K72" s="3535"/>
      <c r="L72" s="3535"/>
      <c r="M72" s="3535"/>
      <c r="N72" s="3536">
        <f t="shared" si="31"/>
        <v>0</v>
      </c>
      <c r="O72" s="3534"/>
      <c r="P72" s="3535"/>
      <c r="Q72" s="3535"/>
      <c r="R72" s="3535"/>
      <c r="S72" s="3535"/>
      <c r="T72" s="3536">
        <f t="shared" si="32"/>
        <v>0</v>
      </c>
      <c r="U72" s="3534"/>
      <c r="V72" s="3535"/>
      <c r="W72" s="3535"/>
      <c r="X72" s="3535"/>
      <c r="Y72" s="3535"/>
      <c r="Z72" s="3536">
        <f t="shared" si="33"/>
        <v>0</v>
      </c>
      <c r="AA72" s="3534"/>
      <c r="AB72" s="3535"/>
      <c r="AC72" s="3535"/>
      <c r="AD72" s="3535"/>
      <c r="AE72" s="3535"/>
      <c r="AF72" s="3536">
        <f t="shared" si="34"/>
        <v>0</v>
      </c>
    </row>
    <row r="73" spans="1:32" ht="12.75" customHeight="1">
      <c r="A73" s="5516" t="s">
        <v>1514</v>
      </c>
      <c r="B73" s="5517"/>
      <c r="C73" s="3534">
        <v>0</v>
      </c>
      <c r="D73" s="3535">
        <v>0</v>
      </c>
      <c r="E73" s="3535">
        <f>((E66*348.078)/1000)/1000</f>
        <v>226.306740558</v>
      </c>
      <c r="F73" s="3535">
        <f t="shared" ref="F73:G73" si="35">((F66*348.078)/1000)/1000</f>
        <v>226.306740558</v>
      </c>
      <c r="G73" s="3535">
        <f t="shared" si="35"/>
        <v>226.306740558</v>
      </c>
      <c r="H73" s="3536">
        <f t="shared" si="30"/>
        <v>678.920221674</v>
      </c>
      <c r="I73" s="3534"/>
      <c r="J73" s="3535"/>
      <c r="K73" s="3535"/>
      <c r="L73" s="3535"/>
      <c r="M73" s="3535"/>
      <c r="N73" s="3536">
        <f t="shared" si="31"/>
        <v>0</v>
      </c>
      <c r="O73" s="3534"/>
      <c r="P73" s="3535"/>
      <c r="Q73" s="3535"/>
      <c r="R73" s="3535"/>
      <c r="S73" s="3535"/>
      <c r="T73" s="3536">
        <f t="shared" si="32"/>
        <v>0</v>
      </c>
      <c r="U73" s="3534"/>
      <c r="V73" s="3535"/>
      <c r="W73" s="3535"/>
      <c r="X73" s="3535"/>
      <c r="Y73" s="3535"/>
      <c r="Z73" s="3536">
        <f t="shared" si="33"/>
        <v>0</v>
      </c>
      <c r="AA73" s="3534"/>
      <c r="AB73" s="3535"/>
      <c r="AC73" s="3535"/>
      <c r="AD73" s="3535"/>
      <c r="AE73" s="3535"/>
      <c r="AF73" s="3536">
        <f t="shared" si="34"/>
        <v>0</v>
      </c>
    </row>
    <row r="74" spans="1:32">
      <c r="A74" s="5506" t="s">
        <v>1515</v>
      </c>
      <c r="B74" s="5507"/>
      <c r="C74" s="3534"/>
      <c r="D74" s="3535"/>
      <c r="E74" s="3535"/>
      <c r="F74" s="3535"/>
      <c r="G74" s="3535"/>
      <c r="H74" s="3536">
        <f t="shared" si="30"/>
        <v>0</v>
      </c>
      <c r="I74" s="3534"/>
      <c r="J74" s="3535"/>
      <c r="K74" s="3535"/>
      <c r="L74" s="3535"/>
      <c r="M74" s="3535"/>
      <c r="N74" s="3536">
        <f t="shared" si="31"/>
        <v>0</v>
      </c>
      <c r="O74" s="3534"/>
      <c r="P74" s="3535"/>
      <c r="Q74" s="3535"/>
      <c r="R74" s="3535"/>
      <c r="S74" s="3535"/>
      <c r="T74" s="3536">
        <f t="shared" si="32"/>
        <v>0</v>
      </c>
      <c r="U74" s="3534"/>
      <c r="V74" s="3535"/>
      <c r="W74" s="3535"/>
      <c r="X74" s="3535"/>
      <c r="Y74" s="3535"/>
      <c r="Z74" s="3536">
        <f t="shared" si="33"/>
        <v>0</v>
      </c>
      <c r="AA74" s="3534"/>
      <c r="AB74" s="3535"/>
      <c r="AC74" s="3535"/>
      <c r="AD74" s="3535"/>
      <c r="AE74" s="3535"/>
      <c r="AF74" s="3536">
        <f t="shared" si="34"/>
        <v>0</v>
      </c>
    </row>
    <row r="75" spans="1:32" ht="12.75" customHeight="1">
      <c r="A75" s="5508" t="s">
        <v>1516</v>
      </c>
      <c r="B75" s="5509"/>
      <c r="C75" s="3534"/>
      <c r="D75" s="3535"/>
      <c r="E75" s="3535"/>
      <c r="F75" s="3535"/>
      <c r="G75" s="3535"/>
      <c r="H75" s="3536">
        <f t="shared" si="30"/>
        <v>0</v>
      </c>
      <c r="I75" s="3534"/>
      <c r="J75" s="3535"/>
      <c r="K75" s="3535"/>
      <c r="L75" s="3535"/>
      <c r="M75" s="3535"/>
      <c r="N75" s="3536">
        <f t="shared" si="31"/>
        <v>0</v>
      </c>
      <c r="O75" s="3534"/>
      <c r="P75" s="3535"/>
      <c r="Q75" s="3535"/>
      <c r="R75" s="3535"/>
      <c r="S75" s="3535"/>
      <c r="T75" s="3536">
        <f t="shared" si="32"/>
        <v>0</v>
      </c>
      <c r="U75" s="3534"/>
      <c r="V75" s="3535"/>
      <c r="W75" s="3535"/>
      <c r="X75" s="3535"/>
      <c r="Y75" s="3535"/>
      <c r="Z75" s="3536">
        <f t="shared" si="33"/>
        <v>0</v>
      </c>
      <c r="AA75" s="3534"/>
      <c r="AB75" s="3535"/>
      <c r="AC75" s="3535"/>
      <c r="AD75" s="3535"/>
      <c r="AE75" s="3535"/>
      <c r="AF75" s="3536">
        <f t="shared" si="34"/>
        <v>0</v>
      </c>
    </row>
    <row r="76" spans="1:32" ht="12.75" customHeight="1">
      <c r="A76" s="5508" t="s">
        <v>1517</v>
      </c>
      <c r="B76" s="5509"/>
      <c r="C76" s="3534"/>
      <c r="D76" s="3535"/>
      <c r="E76" s="3535"/>
      <c r="F76" s="3535"/>
      <c r="G76" s="3535"/>
      <c r="H76" s="3536">
        <f t="shared" si="30"/>
        <v>0</v>
      </c>
      <c r="I76" s="3534"/>
      <c r="J76" s="3535"/>
      <c r="K76" s="3535"/>
      <c r="L76" s="3535"/>
      <c r="M76" s="3535"/>
      <c r="N76" s="3536">
        <f t="shared" si="31"/>
        <v>0</v>
      </c>
      <c r="O76" s="3534"/>
      <c r="P76" s="3535"/>
      <c r="Q76" s="3535"/>
      <c r="R76" s="3535"/>
      <c r="S76" s="3535"/>
      <c r="T76" s="3536">
        <f t="shared" si="32"/>
        <v>0</v>
      </c>
      <c r="U76" s="3534"/>
      <c r="V76" s="3535"/>
      <c r="W76" s="3535"/>
      <c r="X76" s="3535"/>
      <c r="Y76" s="3535"/>
      <c r="Z76" s="3536">
        <f t="shared" si="33"/>
        <v>0</v>
      </c>
      <c r="AA76" s="3534"/>
      <c r="AB76" s="3535"/>
      <c r="AC76" s="3535"/>
      <c r="AD76" s="3535"/>
      <c r="AE76" s="3535"/>
      <c r="AF76" s="3536">
        <f t="shared" si="34"/>
        <v>0</v>
      </c>
    </row>
    <row r="77" spans="1:32" ht="12.75" customHeight="1">
      <c r="A77" s="5508" t="s">
        <v>1518</v>
      </c>
      <c r="B77" s="5509"/>
      <c r="C77" s="3534"/>
      <c r="D77" s="3535"/>
      <c r="E77" s="3535"/>
      <c r="F77" s="3535"/>
      <c r="G77" s="3535"/>
      <c r="H77" s="3536">
        <f t="shared" si="30"/>
        <v>0</v>
      </c>
      <c r="I77" s="3534"/>
      <c r="J77" s="3535"/>
      <c r="K77" s="3535"/>
      <c r="L77" s="3535"/>
      <c r="M77" s="3535"/>
      <c r="N77" s="3536">
        <f t="shared" si="31"/>
        <v>0</v>
      </c>
      <c r="O77" s="3534"/>
      <c r="P77" s="3535"/>
      <c r="Q77" s="3535"/>
      <c r="R77" s="3535"/>
      <c r="S77" s="3535"/>
      <c r="T77" s="3536">
        <f t="shared" si="32"/>
        <v>0</v>
      </c>
      <c r="U77" s="3534"/>
      <c r="V77" s="3535"/>
      <c r="W77" s="3535"/>
      <c r="X77" s="3535"/>
      <c r="Y77" s="3535"/>
      <c r="Z77" s="3536">
        <f t="shared" si="33"/>
        <v>0</v>
      </c>
      <c r="AA77" s="3534"/>
      <c r="AB77" s="3535"/>
      <c r="AC77" s="3535"/>
      <c r="AD77" s="3535"/>
      <c r="AE77" s="3535"/>
      <c r="AF77" s="3536">
        <f t="shared" si="34"/>
        <v>0</v>
      </c>
    </row>
    <row r="78" spans="1:32" ht="13.5" customHeight="1" thickBot="1">
      <c r="A78" s="5504" t="s">
        <v>1519</v>
      </c>
      <c r="B78" s="5505"/>
      <c r="C78" s="3540"/>
      <c r="D78" s="3541"/>
      <c r="E78" s="3541"/>
      <c r="F78" s="3541"/>
      <c r="G78" s="3541"/>
      <c r="H78" s="3542">
        <f t="shared" si="30"/>
        <v>0</v>
      </c>
      <c r="I78" s="3540"/>
      <c r="J78" s="3541"/>
      <c r="K78" s="3541"/>
      <c r="L78" s="3541"/>
      <c r="M78" s="3541"/>
      <c r="N78" s="3542">
        <f t="shared" si="31"/>
        <v>0</v>
      </c>
      <c r="O78" s="3540"/>
      <c r="P78" s="3541"/>
      <c r="Q78" s="3541"/>
      <c r="R78" s="3541"/>
      <c r="S78" s="3541"/>
      <c r="T78" s="3542">
        <f t="shared" si="32"/>
        <v>0</v>
      </c>
      <c r="U78" s="3540"/>
      <c r="V78" s="3541"/>
      <c r="W78" s="3541"/>
      <c r="X78" s="3541"/>
      <c r="Y78" s="3541"/>
      <c r="Z78" s="3542">
        <f t="shared" si="33"/>
        <v>0</v>
      </c>
      <c r="AA78" s="3540"/>
      <c r="AB78" s="3541"/>
      <c r="AC78" s="3541"/>
      <c r="AD78" s="3541"/>
      <c r="AE78" s="3541"/>
      <c r="AF78" s="3542">
        <f t="shared" si="34"/>
        <v>0</v>
      </c>
    </row>
    <row r="79" spans="1:32" ht="23.25" customHeight="1">
      <c r="A79" s="5496" t="s">
        <v>1191</v>
      </c>
      <c r="B79" s="5497"/>
      <c r="C79" s="5523">
        <v>6</v>
      </c>
      <c r="D79" s="5524"/>
      <c r="E79" s="5524"/>
      <c r="F79" s="5524"/>
      <c r="G79" s="5524"/>
      <c r="H79" s="5525"/>
      <c r="I79" s="5523">
        <f>C79+1</f>
        <v>7</v>
      </c>
      <c r="J79" s="5524"/>
      <c r="K79" s="5524"/>
      <c r="L79" s="5524"/>
      <c r="M79" s="5524"/>
      <c r="N79" s="5525"/>
      <c r="O79" s="5523">
        <f t="shared" ref="O79" si="36">I79+1</f>
        <v>8</v>
      </c>
      <c r="P79" s="5524"/>
      <c r="Q79" s="5524"/>
      <c r="R79" s="5524"/>
      <c r="S79" s="5524"/>
      <c r="T79" s="5525"/>
      <c r="U79" s="5523">
        <f t="shared" ref="U79" si="37">O79+1</f>
        <v>9</v>
      </c>
      <c r="V79" s="5524"/>
      <c r="W79" s="5524"/>
      <c r="X79" s="5524"/>
      <c r="Y79" s="5524"/>
      <c r="Z79" s="5525"/>
      <c r="AA79" s="5523">
        <f t="shared" ref="AA79" si="38">U79+1</f>
        <v>10</v>
      </c>
      <c r="AB79" s="5524"/>
      <c r="AC79" s="5524"/>
      <c r="AD79" s="5524"/>
      <c r="AE79" s="5524"/>
      <c r="AF79" s="5525"/>
    </row>
    <row r="80" spans="1:32" ht="12.75" customHeight="1">
      <c r="A80" s="5518" t="s">
        <v>1324</v>
      </c>
      <c r="B80" s="3524" t="s">
        <v>1505</v>
      </c>
      <c r="C80" s="5510"/>
      <c r="D80" s="5511"/>
      <c r="E80" s="5511"/>
      <c r="F80" s="5511"/>
      <c r="G80" s="5511"/>
      <c r="H80" s="5512"/>
      <c r="I80" s="5510"/>
      <c r="J80" s="5511"/>
      <c r="K80" s="5511"/>
      <c r="L80" s="5511"/>
      <c r="M80" s="5511"/>
      <c r="N80" s="5512"/>
      <c r="O80" s="5510"/>
      <c r="P80" s="5511"/>
      <c r="Q80" s="5511"/>
      <c r="R80" s="5511"/>
      <c r="S80" s="5511"/>
      <c r="T80" s="5512"/>
      <c r="U80" s="5510"/>
      <c r="V80" s="5511"/>
      <c r="W80" s="5511"/>
      <c r="X80" s="5511"/>
      <c r="Y80" s="5511"/>
      <c r="Z80" s="5512"/>
      <c r="AA80" s="5510"/>
      <c r="AB80" s="5511"/>
      <c r="AC80" s="5511"/>
      <c r="AD80" s="5511"/>
      <c r="AE80" s="5511"/>
      <c r="AF80" s="5512"/>
    </row>
    <row r="81" spans="1:32">
      <c r="A81" s="5518"/>
      <c r="B81" s="3524" t="s">
        <v>1325</v>
      </c>
      <c r="C81" s="5510"/>
      <c r="D81" s="5511"/>
      <c r="E81" s="5511"/>
      <c r="F81" s="5511"/>
      <c r="G81" s="5511"/>
      <c r="H81" s="5512"/>
      <c r="I81" s="5510"/>
      <c r="J81" s="5511"/>
      <c r="K81" s="5511"/>
      <c r="L81" s="5511"/>
      <c r="M81" s="5511"/>
      <c r="N81" s="5512"/>
      <c r="O81" s="5510"/>
      <c r="P81" s="5511"/>
      <c r="Q81" s="5511"/>
      <c r="R81" s="5511"/>
      <c r="S81" s="5511"/>
      <c r="T81" s="5512"/>
      <c r="U81" s="5510"/>
      <c r="V81" s="5511"/>
      <c r="W81" s="5511"/>
      <c r="X81" s="5511"/>
      <c r="Y81" s="5511"/>
      <c r="Z81" s="5512"/>
      <c r="AA81" s="5510"/>
      <c r="AB81" s="5511"/>
      <c r="AC81" s="5511"/>
      <c r="AD81" s="5511"/>
      <c r="AE81" s="5511"/>
      <c r="AF81" s="5512"/>
    </row>
    <row r="82" spans="1:32" ht="12.75" customHeight="1">
      <c r="A82" s="5519" t="s">
        <v>1326</v>
      </c>
      <c r="B82" s="3525" t="s">
        <v>1327</v>
      </c>
      <c r="C82" s="5510"/>
      <c r="D82" s="5511"/>
      <c r="E82" s="5511"/>
      <c r="F82" s="5511"/>
      <c r="G82" s="5511"/>
      <c r="H82" s="5512"/>
      <c r="I82" s="5510"/>
      <c r="J82" s="5511"/>
      <c r="K82" s="5511"/>
      <c r="L82" s="5511"/>
      <c r="M82" s="5511"/>
      <c r="N82" s="5512"/>
      <c r="O82" s="5510"/>
      <c r="P82" s="5511"/>
      <c r="Q82" s="5511"/>
      <c r="R82" s="5511"/>
      <c r="S82" s="5511"/>
      <c r="T82" s="5512"/>
      <c r="U82" s="5510"/>
      <c r="V82" s="5511"/>
      <c r="W82" s="5511"/>
      <c r="X82" s="5511"/>
      <c r="Y82" s="5511"/>
      <c r="Z82" s="5512"/>
      <c r="AA82" s="5510"/>
      <c r="AB82" s="5511"/>
      <c r="AC82" s="5511"/>
      <c r="AD82" s="5511"/>
      <c r="AE82" s="5511"/>
      <c r="AF82" s="5512"/>
    </row>
    <row r="83" spans="1:32">
      <c r="A83" s="5520"/>
      <c r="B83" s="3524" t="s">
        <v>1328</v>
      </c>
      <c r="C83" s="5510"/>
      <c r="D83" s="5511"/>
      <c r="E83" s="5511"/>
      <c r="F83" s="5511"/>
      <c r="G83" s="5511"/>
      <c r="H83" s="5512"/>
      <c r="I83" s="5510"/>
      <c r="J83" s="5511"/>
      <c r="K83" s="5511"/>
      <c r="L83" s="5511"/>
      <c r="M83" s="5511"/>
      <c r="N83" s="5512"/>
      <c r="O83" s="5510"/>
      <c r="P83" s="5511"/>
      <c r="Q83" s="5511"/>
      <c r="R83" s="5511"/>
      <c r="S83" s="5511"/>
      <c r="T83" s="5512"/>
      <c r="U83" s="5510"/>
      <c r="V83" s="5511"/>
      <c r="W83" s="5511"/>
      <c r="X83" s="5511"/>
      <c r="Y83" s="5511"/>
      <c r="Z83" s="5512"/>
      <c r="AA83" s="5510"/>
      <c r="AB83" s="5511"/>
      <c r="AC83" s="5511"/>
      <c r="AD83" s="5511"/>
      <c r="AE83" s="5511"/>
      <c r="AF83" s="5512"/>
    </row>
    <row r="84" spans="1:32" ht="25.5">
      <c r="A84" s="4523" t="s">
        <v>1329</v>
      </c>
      <c r="B84" s="3524" t="s">
        <v>1330</v>
      </c>
      <c r="C84" s="5510"/>
      <c r="D84" s="5511"/>
      <c r="E84" s="5511"/>
      <c r="F84" s="5511"/>
      <c r="G84" s="5511"/>
      <c r="H84" s="5512"/>
      <c r="I84" s="5510"/>
      <c r="J84" s="5511"/>
      <c r="K84" s="5511"/>
      <c r="L84" s="5511"/>
      <c r="M84" s="5511"/>
      <c r="N84" s="5512"/>
      <c r="O84" s="5510"/>
      <c r="P84" s="5511"/>
      <c r="Q84" s="5511"/>
      <c r="R84" s="5511"/>
      <c r="S84" s="5511"/>
      <c r="T84" s="5512"/>
      <c r="U84" s="5510"/>
      <c r="V84" s="5511"/>
      <c r="W84" s="5511"/>
      <c r="X84" s="5511"/>
      <c r="Y84" s="5511"/>
      <c r="Z84" s="5512"/>
      <c r="AA84" s="5510"/>
      <c r="AB84" s="5511"/>
      <c r="AC84" s="5511"/>
      <c r="AD84" s="5511"/>
      <c r="AE84" s="5511"/>
      <c r="AF84" s="5512"/>
    </row>
    <row r="85" spans="1:32" ht="26.25" thickBot="1">
      <c r="A85" s="3526" t="s">
        <v>1331</v>
      </c>
      <c r="B85" s="3527" t="s">
        <v>1332</v>
      </c>
      <c r="C85" s="5513"/>
      <c r="D85" s="5514"/>
      <c r="E85" s="5514"/>
      <c r="F85" s="5514"/>
      <c r="G85" s="5514"/>
      <c r="H85" s="5515"/>
      <c r="I85" s="5513"/>
      <c r="J85" s="5514"/>
      <c r="K85" s="5514"/>
      <c r="L85" s="5514"/>
      <c r="M85" s="5514"/>
      <c r="N85" s="5515"/>
      <c r="O85" s="5513"/>
      <c r="P85" s="5514"/>
      <c r="Q85" s="5514"/>
      <c r="R85" s="5514"/>
      <c r="S85" s="5514"/>
      <c r="T85" s="5515"/>
      <c r="U85" s="5513"/>
      <c r="V85" s="5514"/>
      <c r="W85" s="5514"/>
      <c r="X85" s="5514"/>
      <c r="Y85" s="5514"/>
      <c r="Z85" s="5515"/>
      <c r="AA85" s="5513"/>
      <c r="AB85" s="5514"/>
      <c r="AC85" s="5514"/>
      <c r="AD85" s="5514"/>
      <c r="AE85" s="5514"/>
      <c r="AF85" s="5515"/>
    </row>
    <row r="86" spans="1:32" ht="26.25" thickBot="1">
      <c r="A86" s="5498" t="s">
        <v>1520</v>
      </c>
      <c r="B86" s="5499"/>
      <c r="C86" s="3546" t="s">
        <v>1072</v>
      </c>
      <c r="D86" s="3547" t="s">
        <v>1073</v>
      </c>
      <c r="E86" s="3547" t="s">
        <v>1074</v>
      </c>
      <c r="F86" s="3547" t="s">
        <v>1075</v>
      </c>
      <c r="G86" s="3547" t="s">
        <v>1076</v>
      </c>
      <c r="H86" s="3548" t="s">
        <v>1333</v>
      </c>
      <c r="I86" s="3546" t="s">
        <v>1072</v>
      </c>
      <c r="J86" s="3547" t="s">
        <v>1073</v>
      </c>
      <c r="K86" s="3547" t="s">
        <v>1074</v>
      </c>
      <c r="L86" s="3547" t="s">
        <v>1075</v>
      </c>
      <c r="M86" s="3547" t="s">
        <v>1076</v>
      </c>
      <c r="N86" s="3548" t="s">
        <v>1333</v>
      </c>
      <c r="O86" s="3546" t="s">
        <v>1072</v>
      </c>
      <c r="P86" s="3547" t="s">
        <v>1073</v>
      </c>
      <c r="Q86" s="3547" t="s">
        <v>1074</v>
      </c>
      <c r="R86" s="3547" t="s">
        <v>1075</v>
      </c>
      <c r="S86" s="3547" t="s">
        <v>1076</v>
      </c>
      <c r="T86" s="3548" t="s">
        <v>1333</v>
      </c>
      <c r="U86" s="3546" t="s">
        <v>1072</v>
      </c>
      <c r="V86" s="3547" t="s">
        <v>1073</v>
      </c>
      <c r="W86" s="3547" t="s">
        <v>1074</v>
      </c>
      <c r="X86" s="3547" t="s">
        <v>1075</v>
      </c>
      <c r="Y86" s="3547" t="s">
        <v>1076</v>
      </c>
      <c r="Z86" s="3548" t="s">
        <v>1333</v>
      </c>
      <c r="AA86" s="3546" t="s">
        <v>1072</v>
      </c>
      <c r="AB86" s="3547" t="s">
        <v>1073</v>
      </c>
      <c r="AC86" s="3547" t="s">
        <v>1074</v>
      </c>
      <c r="AD86" s="3547" t="s">
        <v>1075</v>
      </c>
      <c r="AE86" s="3547" t="s">
        <v>1076</v>
      </c>
      <c r="AF86" s="3548" t="s">
        <v>1333</v>
      </c>
    </row>
    <row r="87" spans="1:32" ht="12.75" customHeight="1">
      <c r="A87" s="5536" t="s">
        <v>1506</v>
      </c>
      <c r="B87" s="5537"/>
      <c r="C87" s="3531"/>
      <c r="D87" s="3532"/>
      <c r="E87" s="3532"/>
      <c r="F87" s="3532"/>
      <c r="G87" s="3532"/>
      <c r="H87" s="3533">
        <f>SUM(C87:G87)</f>
        <v>0</v>
      </c>
      <c r="I87" s="3531"/>
      <c r="J87" s="3532"/>
      <c r="K87" s="3532"/>
      <c r="L87" s="3532"/>
      <c r="M87" s="3532"/>
      <c r="N87" s="3533">
        <f>SUM(I87:M87)</f>
        <v>0</v>
      </c>
      <c r="O87" s="3531"/>
      <c r="P87" s="3532"/>
      <c r="Q87" s="3532"/>
      <c r="R87" s="3532"/>
      <c r="S87" s="3532"/>
      <c r="T87" s="3533">
        <f>SUM(O87:S87)</f>
        <v>0</v>
      </c>
      <c r="U87" s="3531"/>
      <c r="V87" s="3532"/>
      <c r="W87" s="3532"/>
      <c r="X87" s="3532"/>
      <c r="Y87" s="3532"/>
      <c r="Z87" s="3533">
        <f>SUM(U87:Y87)</f>
        <v>0</v>
      </c>
      <c r="AA87" s="3531"/>
      <c r="AB87" s="3532"/>
      <c r="AC87" s="3532"/>
      <c r="AD87" s="3532"/>
      <c r="AE87" s="3532"/>
      <c r="AF87" s="3533">
        <f>SUM(AA87:AE87)</f>
        <v>0</v>
      </c>
    </row>
    <row r="88" spans="1:32" ht="12.75" customHeight="1">
      <c r="A88" s="5530" t="s">
        <v>1507</v>
      </c>
      <c r="B88" s="5531"/>
      <c r="C88" s="3534"/>
      <c r="D88" s="3535"/>
      <c r="E88" s="3535"/>
      <c r="F88" s="3535"/>
      <c r="G88" s="3535"/>
      <c r="H88" s="3536">
        <f t="shared" ref="H88:H92" si="39">SUM(C88:G88)</f>
        <v>0</v>
      </c>
      <c r="I88" s="3534"/>
      <c r="J88" s="3535"/>
      <c r="K88" s="3535"/>
      <c r="L88" s="3535"/>
      <c r="M88" s="3535"/>
      <c r="N88" s="3536">
        <f t="shared" ref="N88:N92" si="40">SUM(I88:M88)</f>
        <v>0</v>
      </c>
      <c r="O88" s="3534"/>
      <c r="P88" s="3535"/>
      <c r="Q88" s="3535"/>
      <c r="R88" s="3535"/>
      <c r="S88" s="3535"/>
      <c r="T88" s="3536">
        <f t="shared" ref="T88:T92" si="41">SUM(O88:S88)</f>
        <v>0</v>
      </c>
      <c r="U88" s="3534"/>
      <c r="V88" s="3535"/>
      <c r="W88" s="3535"/>
      <c r="X88" s="3535"/>
      <c r="Y88" s="3535"/>
      <c r="Z88" s="3536">
        <f t="shared" ref="Z88:Z92" si="42">SUM(U88:Y88)</f>
        <v>0</v>
      </c>
      <c r="AA88" s="3534"/>
      <c r="AB88" s="3535"/>
      <c r="AC88" s="3535"/>
      <c r="AD88" s="3535"/>
      <c r="AE88" s="3535"/>
      <c r="AF88" s="3536">
        <f t="shared" ref="AF88:AF92" si="43">SUM(AA88:AE88)</f>
        <v>0</v>
      </c>
    </row>
    <row r="89" spans="1:32" ht="12.75" customHeight="1">
      <c r="A89" s="5532" t="s">
        <v>1508</v>
      </c>
      <c r="B89" s="5533"/>
      <c r="C89" s="3537"/>
      <c r="D89" s="3538"/>
      <c r="E89" s="3538"/>
      <c r="F89" s="3538"/>
      <c r="G89" s="3538"/>
      <c r="H89" s="3539">
        <f t="shared" si="39"/>
        <v>0</v>
      </c>
      <c r="I89" s="3537"/>
      <c r="J89" s="3538"/>
      <c r="K89" s="3538"/>
      <c r="L89" s="3538"/>
      <c r="M89" s="3538"/>
      <c r="N89" s="3539">
        <f t="shared" si="40"/>
        <v>0</v>
      </c>
      <c r="O89" s="3537"/>
      <c r="P89" s="3538"/>
      <c r="Q89" s="3538"/>
      <c r="R89" s="3538"/>
      <c r="S89" s="3538"/>
      <c r="T89" s="3539">
        <f t="shared" si="41"/>
        <v>0</v>
      </c>
      <c r="U89" s="3537"/>
      <c r="V89" s="3538"/>
      <c r="W89" s="3538"/>
      <c r="X89" s="3538"/>
      <c r="Y89" s="3538"/>
      <c r="Z89" s="3539">
        <f t="shared" si="42"/>
        <v>0</v>
      </c>
      <c r="AA89" s="3537"/>
      <c r="AB89" s="3538"/>
      <c r="AC89" s="3538"/>
      <c r="AD89" s="3538"/>
      <c r="AE89" s="3538"/>
      <c r="AF89" s="3539">
        <f t="shared" si="43"/>
        <v>0</v>
      </c>
    </row>
    <row r="90" spans="1:32" ht="13.5" thickBot="1">
      <c r="A90" s="5521" t="s">
        <v>1509</v>
      </c>
      <c r="B90" s="5522"/>
      <c r="C90" s="3540"/>
      <c r="D90" s="3541"/>
      <c r="E90" s="3541"/>
      <c r="F90" s="3541"/>
      <c r="G90" s="3541"/>
      <c r="H90" s="3542">
        <f>SUM(C90:G90)</f>
        <v>0</v>
      </c>
      <c r="I90" s="3540"/>
      <c r="J90" s="3541"/>
      <c r="K90" s="3541"/>
      <c r="L90" s="3541"/>
      <c r="M90" s="3541"/>
      <c r="N90" s="3542">
        <f>SUM(I90:M90)</f>
        <v>0</v>
      </c>
      <c r="O90" s="3540"/>
      <c r="P90" s="3541"/>
      <c r="Q90" s="3541"/>
      <c r="R90" s="3541"/>
      <c r="S90" s="3541"/>
      <c r="T90" s="3542">
        <f>SUM(O90:S90)</f>
        <v>0</v>
      </c>
      <c r="U90" s="3540"/>
      <c r="V90" s="3541"/>
      <c r="W90" s="3541"/>
      <c r="X90" s="3541"/>
      <c r="Y90" s="3541"/>
      <c r="Z90" s="3542">
        <f>SUM(U90:Y90)</f>
        <v>0</v>
      </c>
      <c r="AA90" s="3540"/>
      <c r="AB90" s="3541"/>
      <c r="AC90" s="3541"/>
      <c r="AD90" s="3541"/>
      <c r="AE90" s="3541"/>
      <c r="AF90" s="3542">
        <f>SUM(AA90:AE90)</f>
        <v>0</v>
      </c>
    </row>
    <row r="91" spans="1:32" s="4146" customFormat="1" ht="25.5" customHeight="1">
      <c r="A91" s="5534" t="s">
        <v>1511</v>
      </c>
      <c r="B91" s="5535"/>
      <c r="C91" s="3543">
        <f>SUM(C92,C97:C101)</f>
        <v>0</v>
      </c>
      <c r="D91" s="3544">
        <f>SUM(D92,D97:D101)</f>
        <v>0</v>
      </c>
      <c r="E91" s="3544">
        <f>SUM(E92,E97:E101)</f>
        <v>0</v>
      </c>
      <c r="F91" s="3544">
        <f>SUM(F92,F97:F101)</f>
        <v>0</v>
      </c>
      <c r="G91" s="3544">
        <f>SUM(G92,G97:G101)</f>
        <v>0</v>
      </c>
      <c r="H91" s="3545">
        <f t="shared" si="39"/>
        <v>0</v>
      </c>
      <c r="I91" s="3543">
        <f>SUM(I92,I97:I101)</f>
        <v>0</v>
      </c>
      <c r="J91" s="3544">
        <f>SUM(J92,J97:J101)</f>
        <v>0</v>
      </c>
      <c r="K91" s="3544">
        <f>SUM(K92,K97:K101)</f>
        <v>0</v>
      </c>
      <c r="L91" s="3544">
        <f>SUM(L92,L97:L101)</f>
        <v>0</v>
      </c>
      <c r="M91" s="3544">
        <f>SUM(M92,M97:M101)</f>
        <v>0</v>
      </c>
      <c r="N91" s="3545">
        <f t="shared" si="40"/>
        <v>0</v>
      </c>
      <c r="O91" s="3543">
        <f>SUM(O92,O97:O101)</f>
        <v>0</v>
      </c>
      <c r="P91" s="3544">
        <f>SUM(P92,P97:P101)</f>
        <v>0</v>
      </c>
      <c r="Q91" s="3544">
        <f>SUM(Q92,Q97:Q101)</f>
        <v>0</v>
      </c>
      <c r="R91" s="3544">
        <f>SUM(R92,R97:R101)</f>
        <v>0</v>
      </c>
      <c r="S91" s="3544">
        <f>SUM(S92,S97:S101)</f>
        <v>0</v>
      </c>
      <c r="T91" s="3545">
        <f t="shared" si="41"/>
        <v>0</v>
      </c>
      <c r="U91" s="3543">
        <f>SUM(U92,U97:U101)</f>
        <v>0</v>
      </c>
      <c r="V91" s="3544">
        <f>SUM(V92,V97:V101)</f>
        <v>0</v>
      </c>
      <c r="W91" s="3544">
        <f>SUM(W92,W97:W101)</f>
        <v>0</v>
      </c>
      <c r="X91" s="3544">
        <f>SUM(X92,X97:X101)</f>
        <v>0</v>
      </c>
      <c r="Y91" s="3544">
        <f>SUM(Y92,Y97:Y101)</f>
        <v>0</v>
      </c>
      <c r="Z91" s="3545">
        <f t="shared" si="42"/>
        <v>0</v>
      </c>
      <c r="AA91" s="3543">
        <f>SUM(AA92,AA97:AA101)</f>
        <v>0</v>
      </c>
      <c r="AB91" s="3544">
        <f>SUM(AB92,AB97:AB101)</f>
        <v>0</v>
      </c>
      <c r="AC91" s="3544">
        <f>SUM(AC92,AC97:AC101)</f>
        <v>0</v>
      </c>
      <c r="AD91" s="3544">
        <f>SUM(AD92,AD97:AD101)</f>
        <v>0</v>
      </c>
      <c r="AE91" s="3544">
        <f>SUM(AE92,AE97:AE101)</f>
        <v>0</v>
      </c>
      <c r="AF91" s="3545">
        <f t="shared" si="43"/>
        <v>0</v>
      </c>
    </row>
    <row r="92" spans="1:32" ht="12.75" customHeight="1">
      <c r="A92" s="5500" t="s">
        <v>1510</v>
      </c>
      <c r="B92" s="5501"/>
      <c r="C92" s="3534"/>
      <c r="D92" s="3535"/>
      <c r="E92" s="3535"/>
      <c r="F92" s="3535"/>
      <c r="G92" s="3535"/>
      <c r="H92" s="3536">
        <f t="shared" si="39"/>
        <v>0</v>
      </c>
      <c r="I92" s="3534"/>
      <c r="J92" s="3535"/>
      <c r="K92" s="3535"/>
      <c r="L92" s="3535"/>
      <c r="M92" s="3535"/>
      <c r="N92" s="3536">
        <f t="shared" si="40"/>
        <v>0</v>
      </c>
      <c r="O92" s="3534"/>
      <c r="P92" s="3535"/>
      <c r="Q92" s="3535"/>
      <c r="R92" s="3535"/>
      <c r="S92" s="3535"/>
      <c r="T92" s="3536">
        <f t="shared" si="41"/>
        <v>0</v>
      </c>
      <c r="U92" s="3534"/>
      <c r="V92" s="3535"/>
      <c r="W92" s="3535"/>
      <c r="X92" s="3535"/>
      <c r="Y92" s="3535"/>
      <c r="Z92" s="3536">
        <f t="shared" si="42"/>
        <v>0</v>
      </c>
      <c r="AA92" s="3534"/>
      <c r="AB92" s="3535"/>
      <c r="AC92" s="3535"/>
      <c r="AD92" s="3535"/>
      <c r="AE92" s="3535"/>
      <c r="AF92" s="3536">
        <f t="shared" si="43"/>
        <v>0</v>
      </c>
    </row>
    <row r="93" spans="1:32">
      <c r="A93" s="5502" t="s">
        <v>1522</v>
      </c>
      <c r="B93" s="5503"/>
      <c r="C93" s="3534"/>
      <c r="D93" s="3535"/>
      <c r="E93" s="3535"/>
      <c r="F93" s="3535"/>
      <c r="G93" s="3535"/>
      <c r="H93" s="3536">
        <f>SUM(C93:G93)</f>
        <v>0</v>
      </c>
      <c r="I93" s="3534"/>
      <c r="J93" s="3535"/>
      <c r="K93" s="3535"/>
      <c r="L93" s="3535"/>
      <c r="M93" s="3535"/>
      <c r="N93" s="3536">
        <f>SUM(I93:M93)</f>
        <v>0</v>
      </c>
      <c r="O93" s="3534"/>
      <c r="P93" s="3535"/>
      <c r="Q93" s="3535"/>
      <c r="R93" s="3535"/>
      <c r="S93" s="3535"/>
      <c r="T93" s="3536">
        <f>SUM(O93:S93)</f>
        <v>0</v>
      </c>
      <c r="U93" s="3534"/>
      <c r="V93" s="3535"/>
      <c r="W93" s="3535"/>
      <c r="X93" s="3535"/>
      <c r="Y93" s="3535"/>
      <c r="Z93" s="3536">
        <f>SUM(U93:Y93)</f>
        <v>0</v>
      </c>
      <c r="AA93" s="3534"/>
      <c r="AB93" s="3535"/>
      <c r="AC93" s="3535"/>
      <c r="AD93" s="3535"/>
      <c r="AE93" s="3535"/>
      <c r="AF93" s="3536">
        <f>SUM(AA93:AE93)</f>
        <v>0</v>
      </c>
    </row>
    <row r="94" spans="1:32" ht="12.75" customHeight="1">
      <c r="A94" s="5516" t="s">
        <v>1512</v>
      </c>
      <c r="B94" s="5517"/>
      <c r="C94" s="3534"/>
      <c r="D94" s="3535"/>
      <c r="E94" s="3535"/>
      <c r="F94" s="3535"/>
      <c r="G94" s="3535"/>
      <c r="H94" s="3536">
        <f t="shared" ref="H94:H101" si="44">SUM(C94:G94)</f>
        <v>0</v>
      </c>
      <c r="I94" s="3534"/>
      <c r="J94" s="3535"/>
      <c r="K94" s="3535"/>
      <c r="L94" s="3535"/>
      <c r="M94" s="3535"/>
      <c r="N94" s="3536">
        <f t="shared" ref="N94:N101" si="45">SUM(I94:M94)</f>
        <v>0</v>
      </c>
      <c r="O94" s="3534"/>
      <c r="P94" s="3535"/>
      <c r="Q94" s="3535"/>
      <c r="R94" s="3535"/>
      <c r="S94" s="3535"/>
      <c r="T94" s="3536">
        <f t="shared" ref="T94:T101" si="46">SUM(O94:S94)</f>
        <v>0</v>
      </c>
      <c r="U94" s="3534"/>
      <c r="V94" s="3535"/>
      <c r="W94" s="3535"/>
      <c r="X94" s="3535"/>
      <c r="Y94" s="3535"/>
      <c r="Z94" s="3536">
        <f t="shared" ref="Z94:Z101" si="47">SUM(U94:Y94)</f>
        <v>0</v>
      </c>
      <c r="AA94" s="3534"/>
      <c r="AB94" s="3535"/>
      <c r="AC94" s="3535"/>
      <c r="AD94" s="3535"/>
      <c r="AE94" s="3535"/>
      <c r="AF94" s="3536">
        <f t="shared" ref="AF94:AF101" si="48">SUM(AA94:AE94)</f>
        <v>0</v>
      </c>
    </row>
    <row r="95" spans="1:32" ht="12.75" customHeight="1">
      <c r="A95" s="5516" t="s">
        <v>1513</v>
      </c>
      <c r="B95" s="5517"/>
      <c r="C95" s="3534"/>
      <c r="D95" s="3535"/>
      <c r="E95" s="3535"/>
      <c r="F95" s="3535"/>
      <c r="G95" s="3535"/>
      <c r="H95" s="3536">
        <f t="shared" si="44"/>
        <v>0</v>
      </c>
      <c r="I95" s="3534"/>
      <c r="J95" s="3535"/>
      <c r="K95" s="3535"/>
      <c r="L95" s="3535"/>
      <c r="M95" s="3535"/>
      <c r="N95" s="3536">
        <f t="shared" si="45"/>
        <v>0</v>
      </c>
      <c r="O95" s="3534"/>
      <c r="P95" s="3535"/>
      <c r="Q95" s="3535"/>
      <c r="R95" s="3535"/>
      <c r="S95" s="3535"/>
      <c r="T95" s="3536">
        <f t="shared" si="46"/>
        <v>0</v>
      </c>
      <c r="U95" s="3534"/>
      <c r="V95" s="3535"/>
      <c r="W95" s="3535"/>
      <c r="X95" s="3535"/>
      <c r="Y95" s="3535"/>
      <c r="Z95" s="3536">
        <f t="shared" si="47"/>
        <v>0</v>
      </c>
      <c r="AA95" s="3534"/>
      <c r="AB95" s="3535"/>
      <c r="AC95" s="3535"/>
      <c r="AD95" s="3535"/>
      <c r="AE95" s="3535"/>
      <c r="AF95" s="3536">
        <f t="shared" si="48"/>
        <v>0</v>
      </c>
    </row>
    <row r="96" spans="1:32" ht="12.75" customHeight="1">
      <c r="A96" s="5516" t="s">
        <v>1514</v>
      </c>
      <c r="B96" s="5517"/>
      <c r="C96" s="3534"/>
      <c r="D96" s="3535"/>
      <c r="E96" s="3535"/>
      <c r="F96" s="3535"/>
      <c r="G96" s="3535"/>
      <c r="H96" s="3536">
        <f t="shared" si="44"/>
        <v>0</v>
      </c>
      <c r="I96" s="3534"/>
      <c r="J96" s="3535"/>
      <c r="K96" s="3535"/>
      <c r="L96" s="3535"/>
      <c r="M96" s="3535"/>
      <c r="N96" s="3536">
        <f t="shared" si="45"/>
        <v>0</v>
      </c>
      <c r="O96" s="3534"/>
      <c r="P96" s="3535"/>
      <c r="Q96" s="3535"/>
      <c r="R96" s="3535"/>
      <c r="S96" s="3535"/>
      <c r="T96" s="3536">
        <f t="shared" si="46"/>
        <v>0</v>
      </c>
      <c r="U96" s="3534"/>
      <c r="V96" s="3535"/>
      <c r="W96" s="3535"/>
      <c r="X96" s="3535"/>
      <c r="Y96" s="3535"/>
      <c r="Z96" s="3536">
        <f t="shared" si="47"/>
        <v>0</v>
      </c>
      <c r="AA96" s="3534"/>
      <c r="AB96" s="3535"/>
      <c r="AC96" s="3535"/>
      <c r="AD96" s="3535"/>
      <c r="AE96" s="3535"/>
      <c r="AF96" s="3536">
        <f t="shared" si="48"/>
        <v>0</v>
      </c>
    </row>
    <row r="97" spans="1:32">
      <c r="A97" s="5506" t="s">
        <v>1515</v>
      </c>
      <c r="B97" s="5507"/>
      <c r="C97" s="3534"/>
      <c r="D97" s="3535"/>
      <c r="E97" s="3535"/>
      <c r="F97" s="3535"/>
      <c r="G97" s="3535"/>
      <c r="H97" s="3536">
        <f t="shared" si="44"/>
        <v>0</v>
      </c>
      <c r="I97" s="3534"/>
      <c r="J97" s="3535"/>
      <c r="K97" s="3535"/>
      <c r="L97" s="3535"/>
      <c r="M97" s="3535"/>
      <c r="N97" s="3536">
        <f t="shared" si="45"/>
        <v>0</v>
      </c>
      <c r="O97" s="3534"/>
      <c r="P97" s="3535"/>
      <c r="Q97" s="3535"/>
      <c r="R97" s="3535"/>
      <c r="S97" s="3535"/>
      <c r="T97" s="3536">
        <f t="shared" si="46"/>
        <v>0</v>
      </c>
      <c r="U97" s="3534"/>
      <c r="V97" s="3535"/>
      <c r="W97" s="3535"/>
      <c r="X97" s="3535"/>
      <c r="Y97" s="3535"/>
      <c r="Z97" s="3536">
        <f t="shared" si="47"/>
        <v>0</v>
      </c>
      <c r="AA97" s="3534"/>
      <c r="AB97" s="3535"/>
      <c r="AC97" s="3535"/>
      <c r="AD97" s="3535"/>
      <c r="AE97" s="3535"/>
      <c r="AF97" s="3536">
        <f t="shared" si="48"/>
        <v>0</v>
      </c>
    </row>
    <row r="98" spans="1:32" ht="12.75" customHeight="1">
      <c r="A98" s="5508" t="s">
        <v>1516</v>
      </c>
      <c r="B98" s="5509"/>
      <c r="C98" s="3534"/>
      <c r="D98" s="3535"/>
      <c r="E98" s="3535"/>
      <c r="F98" s="3535"/>
      <c r="G98" s="3535"/>
      <c r="H98" s="3536">
        <f t="shared" si="44"/>
        <v>0</v>
      </c>
      <c r="I98" s="3534"/>
      <c r="J98" s="3535"/>
      <c r="K98" s="3535"/>
      <c r="L98" s="3535"/>
      <c r="M98" s="3535"/>
      <c r="N98" s="3536">
        <f t="shared" si="45"/>
        <v>0</v>
      </c>
      <c r="O98" s="3534"/>
      <c r="P98" s="3535"/>
      <c r="Q98" s="3535"/>
      <c r="R98" s="3535"/>
      <c r="S98" s="3535"/>
      <c r="T98" s="3536">
        <f t="shared" si="46"/>
        <v>0</v>
      </c>
      <c r="U98" s="3534"/>
      <c r="V98" s="3535"/>
      <c r="W98" s="3535"/>
      <c r="X98" s="3535"/>
      <c r="Y98" s="3535"/>
      <c r="Z98" s="3536">
        <f t="shared" si="47"/>
        <v>0</v>
      </c>
      <c r="AA98" s="3534"/>
      <c r="AB98" s="3535"/>
      <c r="AC98" s="3535"/>
      <c r="AD98" s="3535"/>
      <c r="AE98" s="3535"/>
      <c r="AF98" s="3536">
        <f t="shared" si="48"/>
        <v>0</v>
      </c>
    </row>
    <row r="99" spans="1:32" ht="12.75" customHeight="1">
      <c r="A99" s="5508" t="s">
        <v>1517</v>
      </c>
      <c r="B99" s="5509"/>
      <c r="C99" s="3534"/>
      <c r="D99" s="3535"/>
      <c r="E99" s="3535"/>
      <c r="F99" s="3535"/>
      <c r="G99" s="3535"/>
      <c r="H99" s="3536">
        <f t="shared" si="44"/>
        <v>0</v>
      </c>
      <c r="I99" s="3534"/>
      <c r="J99" s="3535"/>
      <c r="K99" s="3535"/>
      <c r="L99" s="3535"/>
      <c r="M99" s="3535"/>
      <c r="N99" s="3536">
        <f t="shared" si="45"/>
        <v>0</v>
      </c>
      <c r="O99" s="3534"/>
      <c r="P99" s="3535"/>
      <c r="Q99" s="3535"/>
      <c r="R99" s="3535"/>
      <c r="S99" s="3535"/>
      <c r="T99" s="3536">
        <f t="shared" si="46"/>
        <v>0</v>
      </c>
      <c r="U99" s="3534"/>
      <c r="V99" s="3535"/>
      <c r="W99" s="3535"/>
      <c r="X99" s="3535"/>
      <c r="Y99" s="3535"/>
      <c r="Z99" s="3536">
        <f t="shared" si="47"/>
        <v>0</v>
      </c>
      <c r="AA99" s="3534"/>
      <c r="AB99" s="3535"/>
      <c r="AC99" s="3535"/>
      <c r="AD99" s="3535"/>
      <c r="AE99" s="3535"/>
      <c r="AF99" s="3536">
        <f t="shared" si="48"/>
        <v>0</v>
      </c>
    </row>
    <row r="100" spans="1:32" ht="12.75" customHeight="1">
      <c r="A100" s="5508" t="s">
        <v>1518</v>
      </c>
      <c r="B100" s="5509"/>
      <c r="C100" s="3534"/>
      <c r="D100" s="3535"/>
      <c r="E100" s="3535"/>
      <c r="F100" s="3535"/>
      <c r="G100" s="3535"/>
      <c r="H100" s="3536">
        <f t="shared" si="44"/>
        <v>0</v>
      </c>
      <c r="I100" s="3534"/>
      <c r="J100" s="3535"/>
      <c r="K100" s="3535"/>
      <c r="L100" s="3535"/>
      <c r="M100" s="3535"/>
      <c r="N100" s="3536">
        <f t="shared" si="45"/>
        <v>0</v>
      </c>
      <c r="O100" s="3534"/>
      <c r="P100" s="3535"/>
      <c r="Q100" s="3535"/>
      <c r="R100" s="3535"/>
      <c r="S100" s="3535"/>
      <c r="T100" s="3536">
        <f t="shared" si="46"/>
        <v>0</v>
      </c>
      <c r="U100" s="3534"/>
      <c r="V100" s="3535"/>
      <c r="W100" s="3535"/>
      <c r="X100" s="3535"/>
      <c r="Y100" s="3535"/>
      <c r="Z100" s="3536">
        <f t="shared" si="47"/>
        <v>0</v>
      </c>
      <c r="AA100" s="3534"/>
      <c r="AB100" s="3535"/>
      <c r="AC100" s="3535"/>
      <c r="AD100" s="3535"/>
      <c r="AE100" s="3535"/>
      <c r="AF100" s="3536">
        <f t="shared" si="48"/>
        <v>0</v>
      </c>
    </row>
    <row r="101" spans="1:32" ht="13.5" customHeight="1" thickBot="1">
      <c r="A101" s="5504" t="s">
        <v>1519</v>
      </c>
      <c r="B101" s="5505"/>
      <c r="C101" s="3540"/>
      <c r="D101" s="3541"/>
      <c r="E101" s="3541"/>
      <c r="F101" s="3541"/>
      <c r="G101" s="3541"/>
      <c r="H101" s="3542">
        <f t="shared" si="44"/>
        <v>0</v>
      </c>
      <c r="I101" s="3540"/>
      <c r="J101" s="3541"/>
      <c r="K101" s="3541"/>
      <c r="L101" s="3541"/>
      <c r="M101" s="3541"/>
      <c r="N101" s="3542">
        <f t="shared" si="45"/>
        <v>0</v>
      </c>
      <c r="O101" s="3540"/>
      <c r="P101" s="3541"/>
      <c r="Q101" s="3541"/>
      <c r="R101" s="3541"/>
      <c r="S101" s="3541"/>
      <c r="T101" s="3542">
        <f t="shared" si="46"/>
        <v>0</v>
      </c>
      <c r="U101" s="3540"/>
      <c r="V101" s="3541"/>
      <c r="W101" s="3541"/>
      <c r="X101" s="3541"/>
      <c r="Y101" s="3541"/>
      <c r="Z101" s="3542">
        <f t="shared" si="47"/>
        <v>0</v>
      </c>
      <c r="AA101" s="3540"/>
      <c r="AB101" s="3541"/>
      <c r="AC101" s="3541"/>
      <c r="AD101" s="3541"/>
      <c r="AE101" s="3541"/>
      <c r="AF101" s="3542">
        <f t="shared" si="48"/>
        <v>0</v>
      </c>
    </row>
    <row r="102" spans="1:32" ht="20.25" customHeight="1" thickBot="1">
      <c r="A102" s="1664" t="s">
        <v>188</v>
      </c>
      <c r="B102" s="1665"/>
      <c r="C102" s="3549"/>
      <c r="D102" s="3549"/>
      <c r="E102" s="3549"/>
      <c r="F102" s="3549"/>
      <c r="G102" s="3549"/>
      <c r="H102" s="3549"/>
      <c r="I102" s="3549"/>
      <c r="J102" s="3549"/>
      <c r="K102" s="3549"/>
      <c r="L102" s="3549"/>
      <c r="M102" s="3549"/>
      <c r="N102" s="3549"/>
      <c r="O102" s="3549"/>
      <c r="P102" s="3549"/>
      <c r="Q102" s="3549"/>
      <c r="R102" s="3549"/>
      <c r="S102" s="3549"/>
      <c r="T102" s="3549"/>
      <c r="U102" s="3549"/>
      <c r="V102" s="3549"/>
      <c r="W102" s="3549"/>
      <c r="X102" s="3549"/>
      <c r="Y102" s="3549"/>
      <c r="Z102" s="3549"/>
      <c r="AA102" s="3549"/>
      <c r="AB102" s="3549"/>
      <c r="AC102" s="3549"/>
      <c r="AD102" s="3549"/>
      <c r="AE102" s="3549"/>
      <c r="AF102" s="3550"/>
    </row>
    <row r="103" spans="1:32" ht="20.25" customHeight="1">
      <c r="A103" s="5496" t="s">
        <v>1191</v>
      </c>
      <c r="B103" s="5497"/>
      <c r="C103" s="5523">
        <v>1</v>
      </c>
      <c r="D103" s="5524"/>
      <c r="E103" s="5524"/>
      <c r="F103" s="5524"/>
      <c r="G103" s="5524"/>
      <c r="H103" s="5525"/>
      <c r="I103" s="5523">
        <f>C103+1</f>
        <v>2</v>
      </c>
      <c r="J103" s="5524"/>
      <c r="K103" s="5524"/>
      <c r="L103" s="5524"/>
      <c r="M103" s="5524"/>
      <c r="N103" s="5525"/>
      <c r="O103" s="5523">
        <f t="shared" ref="O103" si="49">I103+1</f>
        <v>3</v>
      </c>
      <c r="P103" s="5524"/>
      <c r="Q103" s="5524"/>
      <c r="R103" s="5524"/>
      <c r="S103" s="5524"/>
      <c r="T103" s="5525"/>
      <c r="U103" s="5523">
        <f t="shared" ref="U103" si="50">O103+1</f>
        <v>4</v>
      </c>
      <c r="V103" s="5524"/>
      <c r="W103" s="5524"/>
      <c r="X103" s="5524"/>
      <c r="Y103" s="5524"/>
      <c r="Z103" s="5525"/>
      <c r="AA103" s="5523">
        <f t="shared" ref="AA103" si="51">U103+1</f>
        <v>5</v>
      </c>
      <c r="AB103" s="5524"/>
      <c r="AC103" s="5524"/>
      <c r="AD103" s="5524"/>
      <c r="AE103" s="5524"/>
      <c r="AF103" s="5525"/>
    </row>
    <row r="104" spans="1:32" ht="12.75" customHeight="1">
      <c r="A104" s="5518" t="s">
        <v>1324</v>
      </c>
      <c r="B104" s="3524" t="s">
        <v>1505</v>
      </c>
      <c r="C104" s="5510" t="s">
        <v>2034</v>
      </c>
      <c r="D104" s="5511"/>
      <c r="E104" s="5511"/>
      <c r="F104" s="5511"/>
      <c r="G104" s="5511"/>
      <c r="H104" s="5512"/>
      <c r="I104" s="5510" t="s">
        <v>2080</v>
      </c>
      <c r="J104" s="5511"/>
      <c r="K104" s="5511"/>
      <c r="L104" s="5511"/>
      <c r="M104" s="5511"/>
      <c r="N104" s="5512"/>
      <c r="O104" s="5510"/>
      <c r="P104" s="5511"/>
      <c r="Q104" s="5511"/>
      <c r="R104" s="5511"/>
      <c r="S104" s="5511"/>
      <c r="T104" s="5512"/>
      <c r="U104" s="5510"/>
      <c r="V104" s="5511"/>
      <c r="W104" s="5511"/>
      <c r="X104" s="5511"/>
      <c r="Y104" s="5511"/>
      <c r="Z104" s="5512"/>
      <c r="AA104" s="5510"/>
      <c r="AB104" s="5511"/>
      <c r="AC104" s="5511"/>
      <c r="AD104" s="5511"/>
      <c r="AE104" s="5511"/>
      <c r="AF104" s="5512"/>
    </row>
    <row r="105" spans="1:32">
      <c r="A105" s="5518"/>
      <c r="B105" s="3524" t="s">
        <v>1325</v>
      </c>
      <c r="C105" s="5510" t="s">
        <v>2035</v>
      </c>
      <c r="D105" s="5511"/>
      <c r="E105" s="5511"/>
      <c r="F105" s="5511"/>
      <c r="G105" s="5511"/>
      <c r="H105" s="5512"/>
      <c r="I105" s="5510" t="s">
        <v>2035</v>
      </c>
      <c r="J105" s="5511"/>
      <c r="K105" s="5511"/>
      <c r="L105" s="5511"/>
      <c r="M105" s="5511"/>
      <c r="N105" s="5512"/>
      <c r="O105" s="5510"/>
      <c r="P105" s="5511"/>
      <c r="Q105" s="5511"/>
      <c r="R105" s="5511"/>
      <c r="S105" s="5511"/>
      <c r="T105" s="5512"/>
      <c r="U105" s="5510"/>
      <c r="V105" s="5511"/>
      <c r="W105" s="5511"/>
      <c r="X105" s="5511"/>
      <c r="Y105" s="5511"/>
      <c r="Z105" s="5512"/>
      <c r="AA105" s="5510"/>
      <c r="AB105" s="5511"/>
      <c r="AC105" s="5511"/>
      <c r="AD105" s="5511"/>
      <c r="AE105" s="5511"/>
      <c r="AF105" s="5512"/>
    </row>
    <row r="106" spans="1:32">
      <c r="A106" s="5519" t="s">
        <v>1326</v>
      </c>
      <c r="B106" s="3525" t="s">
        <v>1327</v>
      </c>
      <c r="C106" s="5510" t="s">
        <v>2036</v>
      </c>
      <c r="D106" s="5511"/>
      <c r="E106" s="5511"/>
      <c r="F106" s="5511"/>
      <c r="G106" s="5511"/>
      <c r="H106" s="5512"/>
      <c r="I106" s="5510" t="s">
        <v>2081</v>
      </c>
      <c r="J106" s="5511"/>
      <c r="K106" s="5511"/>
      <c r="L106" s="5511"/>
      <c r="M106" s="5511"/>
      <c r="N106" s="5512"/>
      <c r="O106" s="5510"/>
      <c r="P106" s="5511"/>
      <c r="Q106" s="5511"/>
      <c r="R106" s="5511"/>
      <c r="S106" s="5511"/>
      <c r="T106" s="5512"/>
      <c r="U106" s="5510"/>
      <c r="V106" s="5511"/>
      <c r="W106" s="5511"/>
      <c r="X106" s="5511"/>
      <c r="Y106" s="5511"/>
      <c r="Z106" s="5512"/>
      <c r="AA106" s="5510"/>
      <c r="AB106" s="5511"/>
      <c r="AC106" s="5511"/>
      <c r="AD106" s="5511"/>
      <c r="AE106" s="5511"/>
      <c r="AF106" s="5512"/>
    </row>
    <row r="107" spans="1:32">
      <c r="A107" s="5520"/>
      <c r="B107" s="3524" t="s">
        <v>1328</v>
      </c>
      <c r="C107" s="5510" t="s">
        <v>2038</v>
      </c>
      <c r="D107" s="5511"/>
      <c r="E107" s="5511"/>
      <c r="F107" s="5511"/>
      <c r="G107" s="5511"/>
      <c r="H107" s="5512"/>
      <c r="I107" s="5510"/>
      <c r="J107" s="5511"/>
      <c r="K107" s="5511"/>
      <c r="L107" s="5511"/>
      <c r="M107" s="5511"/>
      <c r="N107" s="5512"/>
      <c r="O107" s="5510"/>
      <c r="P107" s="5511"/>
      <c r="Q107" s="5511"/>
      <c r="R107" s="5511"/>
      <c r="S107" s="5511"/>
      <c r="T107" s="5512"/>
      <c r="U107" s="5510"/>
      <c r="V107" s="5511"/>
      <c r="W107" s="5511"/>
      <c r="X107" s="5511"/>
      <c r="Y107" s="5511"/>
      <c r="Z107" s="5512"/>
      <c r="AA107" s="5510"/>
      <c r="AB107" s="5511"/>
      <c r="AC107" s="5511"/>
      <c r="AD107" s="5511"/>
      <c r="AE107" s="5511"/>
      <c r="AF107" s="5512"/>
    </row>
    <row r="108" spans="1:32" ht="25.5">
      <c r="A108" s="4523" t="s">
        <v>1329</v>
      </c>
      <c r="B108" s="3524" t="s">
        <v>1330</v>
      </c>
      <c r="C108" s="5510" t="s">
        <v>2031</v>
      </c>
      <c r="D108" s="5511"/>
      <c r="E108" s="5511"/>
      <c r="F108" s="5511"/>
      <c r="G108" s="5511"/>
      <c r="H108" s="5512"/>
      <c r="I108" s="5510" t="s">
        <v>2082</v>
      </c>
      <c r="J108" s="5511"/>
      <c r="K108" s="5511"/>
      <c r="L108" s="5511"/>
      <c r="M108" s="5511"/>
      <c r="N108" s="5512"/>
      <c r="O108" s="5510"/>
      <c r="P108" s="5511"/>
      <c r="Q108" s="5511"/>
      <c r="R108" s="5511"/>
      <c r="S108" s="5511"/>
      <c r="T108" s="5512"/>
      <c r="U108" s="5510"/>
      <c r="V108" s="5511"/>
      <c r="W108" s="5511"/>
      <c r="X108" s="5511"/>
      <c r="Y108" s="5511"/>
      <c r="Z108" s="5512"/>
      <c r="AA108" s="5510"/>
      <c r="AB108" s="5511"/>
      <c r="AC108" s="5511"/>
      <c r="AD108" s="5511"/>
      <c r="AE108" s="5511"/>
      <c r="AF108" s="5512"/>
    </row>
    <row r="109" spans="1:32" ht="26.25" thickBot="1">
      <c r="A109" s="3526" t="s">
        <v>1331</v>
      </c>
      <c r="B109" s="3527" t="s">
        <v>1332</v>
      </c>
      <c r="C109" s="5513" t="s">
        <v>2037</v>
      </c>
      <c r="D109" s="5514"/>
      <c r="E109" s="5514"/>
      <c r="F109" s="5514"/>
      <c r="G109" s="5514"/>
      <c r="H109" s="5515"/>
      <c r="I109" s="5513"/>
      <c r="J109" s="5514"/>
      <c r="K109" s="5514"/>
      <c r="L109" s="5514"/>
      <c r="M109" s="5514"/>
      <c r="N109" s="5515"/>
      <c r="O109" s="5513"/>
      <c r="P109" s="5514"/>
      <c r="Q109" s="5514"/>
      <c r="R109" s="5514"/>
      <c r="S109" s="5514"/>
      <c r="T109" s="5515"/>
      <c r="U109" s="5513"/>
      <c r="V109" s="5514"/>
      <c r="W109" s="5514"/>
      <c r="X109" s="5514"/>
      <c r="Y109" s="5514"/>
      <c r="Z109" s="5515"/>
      <c r="AA109" s="5513"/>
      <c r="AB109" s="5514"/>
      <c r="AC109" s="5514"/>
      <c r="AD109" s="5514"/>
      <c r="AE109" s="5514"/>
      <c r="AF109" s="5515"/>
    </row>
    <row r="110" spans="1:32" ht="26.25" thickBot="1">
      <c r="A110" s="5498" t="s">
        <v>1520</v>
      </c>
      <c r="B110" s="5499"/>
      <c r="C110" s="3546" t="s">
        <v>1072</v>
      </c>
      <c r="D110" s="3547" t="s">
        <v>1073</v>
      </c>
      <c r="E110" s="3547" t="s">
        <v>1074</v>
      </c>
      <c r="F110" s="3547" t="s">
        <v>1075</v>
      </c>
      <c r="G110" s="3547" t="s">
        <v>1076</v>
      </c>
      <c r="H110" s="3548" t="s">
        <v>1333</v>
      </c>
      <c r="I110" s="3546" t="s">
        <v>1072</v>
      </c>
      <c r="J110" s="3547" t="s">
        <v>1073</v>
      </c>
      <c r="K110" s="3547" t="s">
        <v>1074</v>
      </c>
      <c r="L110" s="3547" t="s">
        <v>1075</v>
      </c>
      <c r="M110" s="3547" t="s">
        <v>1076</v>
      </c>
      <c r="N110" s="3548" t="s">
        <v>1333</v>
      </c>
      <c r="O110" s="3546" t="s">
        <v>1072</v>
      </c>
      <c r="P110" s="3547" t="s">
        <v>1073</v>
      </c>
      <c r="Q110" s="3547" t="s">
        <v>1074</v>
      </c>
      <c r="R110" s="3547" t="s">
        <v>1075</v>
      </c>
      <c r="S110" s="3547" t="s">
        <v>1076</v>
      </c>
      <c r="T110" s="3548" t="s">
        <v>1333</v>
      </c>
      <c r="U110" s="3546" t="s">
        <v>1072</v>
      </c>
      <c r="V110" s="3547" t="s">
        <v>1073</v>
      </c>
      <c r="W110" s="3547" t="s">
        <v>1074</v>
      </c>
      <c r="X110" s="3547" t="s">
        <v>1075</v>
      </c>
      <c r="Y110" s="3547" t="s">
        <v>1076</v>
      </c>
      <c r="Z110" s="3548" t="s">
        <v>1333</v>
      </c>
      <c r="AA110" s="3546" t="s">
        <v>1072</v>
      </c>
      <c r="AB110" s="3547" t="s">
        <v>1073</v>
      </c>
      <c r="AC110" s="3547" t="s">
        <v>1074</v>
      </c>
      <c r="AD110" s="3547" t="s">
        <v>1075</v>
      </c>
      <c r="AE110" s="3547" t="s">
        <v>1076</v>
      </c>
      <c r="AF110" s="3548" t="s">
        <v>1333</v>
      </c>
    </row>
    <row r="111" spans="1:32" ht="12.75" customHeight="1">
      <c r="A111" s="5536" t="s">
        <v>1506</v>
      </c>
      <c r="B111" s="5537"/>
      <c r="C111" s="3531"/>
      <c r="D111" s="3532"/>
      <c r="E111" s="4905">
        <v>83639</v>
      </c>
      <c r="F111" s="4905">
        <v>83639</v>
      </c>
      <c r="G111" s="4905">
        <v>83639</v>
      </c>
      <c r="H111" s="3533">
        <f>SUM(C111:G111)</f>
        <v>250917</v>
      </c>
      <c r="I111" s="3531"/>
      <c r="J111" s="3532"/>
      <c r="K111" s="3532"/>
      <c r="L111" s="3532"/>
      <c r="M111" s="3532"/>
      <c r="N111" s="3533">
        <f>SUM(I111:M111)</f>
        <v>0</v>
      </c>
      <c r="O111" s="3531"/>
      <c r="P111" s="3532"/>
      <c r="Q111" s="3532"/>
      <c r="R111" s="3532"/>
      <c r="S111" s="3532"/>
      <c r="T111" s="3533">
        <f>SUM(O111:S111)</f>
        <v>0</v>
      </c>
      <c r="U111" s="3531"/>
      <c r="V111" s="3532"/>
      <c r="W111" s="3532"/>
      <c r="X111" s="3532"/>
      <c r="Y111" s="3532"/>
      <c r="Z111" s="3533">
        <f>SUM(U111:Y111)</f>
        <v>0</v>
      </c>
      <c r="AA111" s="3531"/>
      <c r="AB111" s="3532"/>
      <c r="AC111" s="3532"/>
      <c r="AD111" s="3532"/>
      <c r="AE111" s="3532"/>
      <c r="AF111" s="3533">
        <f>SUM(AA111:AE111)</f>
        <v>0</v>
      </c>
    </row>
    <row r="112" spans="1:32" ht="12.75" customHeight="1">
      <c r="A112" s="5530" t="s">
        <v>1507</v>
      </c>
      <c r="B112" s="5531"/>
      <c r="C112" s="3534"/>
      <c r="D112" s="3535"/>
      <c r="E112" s="3535"/>
      <c r="F112" s="3535"/>
      <c r="G112" s="3535"/>
      <c r="H112" s="3536">
        <f t="shared" ref="H112:H116" si="52">SUM(C112:G112)</f>
        <v>0</v>
      </c>
      <c r="I112" s="3534"/>
      <c r="J112" s="3535"/>
      <c r="K112" s="3535"/>
      <c r="L112" s="3535"/>
      <c r="M112" s="3535"/>
      <c r="N112" s="3536">
        <f t="shared" ref="N112:N116" si="53">SUM(I112:M112)</f>
        <v>0</v>
      </c>
      <c r="O112" s="3534"/>
      <c r="P112" s="3535"/>
      <c r="Q112" s="3535"/>
      <c r="R112" s="3535"/>
      <c r="S112" s="3535"/>
      <c r="T112" s="3536">
        <f t="shared" ref="T112:T116" si="54">SUM(O112:S112)</f>
        <v>0</v>
      </c>
      <c r="U112" s="3534"/>
      <c r="V112" s="3535"/>
      <c r="W112" s="3535"/>
      <c r="X112" s="3535"/>
      <c r="Y112" s="3535"/>
      <c r="Z112" s="3536">
        <f t="shared" ref="Z112:Z116" si="55">SUM(U112:Y112)</f>
        <v>0</v>
      </c>
      <c r="AA112" s="3534"/>
      <c r="AB112" s="3535"/>
      <c r="AC112" s="3535"/>
      <c r="AD112" s="3535"/>
      <c r="AE112" s="3535"/>
      <c r="AF112" s="3536">
        <f t="shared" ref="AF112:AF116" si="56">SUM(AA112:AE112)</f>
        <v>0</v>
      </c>
    </row>
    <row r="113" spans="1:32">
      <c r="A113" s="5532" t="s">
        <v>1508</v>
      </c>
      <c r="B113" s="5533"/>
      <c r="C113" s="3537"/>
      <c r="D113" s="3538"/>
      <c r="E113" s="4900">
        <v>2396897</v>
      </c>
      <c r="F113" s="4980">
        <v>2210555</v>
      </c>
      <c r="G113" s="4981">
        <v>2128357</v>
      </c>
      <c r="H113" s="3539">
        <f t="shared" si="52"/>
        <v>6735809</v>
      </c>
      <c r="I113" s="3537"/>
      <c r="J113" s="3538">
        <v>77084</v>
      </c>
      <c r="K113" s="3538">
        <v>77856</v>
      </c>
      <c r="L113" s="3538">
        <v>77658</v>
      </c>
      <c r="M113" s="3538">
        <v>77489</v>
      </c>
      <c r="N113" s="3539">
        <f t="shared" si="53"/>
        <v>310087</v>
      </c>
      <c r="O113" s="3537"/>
      <c r="P113" s="3538"/>
      <c r="Q113" s="3538"/>
      <c r="R113" s="3538"/>
      <c r="S113" s="3538"/>
      <c r="T113" s="3539">
        <f t="shared" si="54"/>
        <v>0</v>
      </c>
      <c r="U113" s="3537"/>
      <c r="V113" s="3538"/>
      <c r="W113" s="3538"/>
      <c r="X113" s="3538"/>
      <c r="Y113" s="3538"/>
      <c r="Z113" s="3539">
        <f t="shared" si="55"/>
        <v>0</v>
      </c>
      <c r="AA113" s="3537"/>
      <c r="AB113" s="3538"/>
      <c r="AC113" s="3538"/>
      <c r="AD113" s="3538"/>
      <c r="AE113" s="3538"/>
      <c r="AF113" s="3539">
        <f t="shared" si="56"/>
        <v>0</v>
      </c>
    </row>
    <row r="114" spans="1:32" ht="13.5" thickBot="1">
      <c r="A114" s="5521" t="s">
        <v>1509</v>
      </c>
      <c r="B114" s="5522"/>
      <c r="C114" s="3540"/>
      <c r="D114" s="3541"/>
      <c r="E114" s="4901">
        <v>19</v>
      </c>
      <c r="F114" s="4901">
        <v>19</v>
      </c>
      <c r="G114" s="4901">
        <v>19</v>
      </c>
      <c r="H114" s="3542">
        <f>SUM(C114:G114)</f>
        <v>57</v>
      </c>
      <c r="I114" s="3540"/>
      <c r="J114" s="3541"/>
      <c r="K114" s="3541"/>
      <c r="L114" s="3541"/>
      <c r="M114" s="3541"/>
      <c r="N114" s="3542">
        <f>SUM(I114:M114)</f>
        <v>0</v>
      </c>
      <c r="O114" s="3540"/>
      <c r="P114" s="3541"/>
      <c r="Q114" s="3541"/>
      <c r="R114" s="3541"/>
      <c r="S114" s="3541"/>
      <c r="T114" s="3542">
        <f>SUM(O114:S114)</f>
        <v>0</v>
      </c>
      <c r="U114" s="3540"/>
      <c r="V114" s="3541"/>
      <c r="W114" s="3541"/>
      <c r="X114" s="3541"/>
      <c r="Y114" s="3541"/>
      <c r="Z114" s="3542">
        <f>SUM(U114:Y114)</f>
        <v>0</v>
      </c>
      <c r="AA114" s="3540"/>
      <c r="AB114" s="3541"/>
      <c r="AC114" s="3541"/>
      <c r="AD114" s="3541"/>
      <c r="AE114" s="3541"/>
      <c r="AF114" s="3542">
        <f>SUM(AA114:AE114)</f>
        <v>0</v>
      </c>
    </row>
    <row r="115" spans="1:32" s="4146" customFormat="1" ht="25.5" customHeight="1">
      <c r="A115" s="5534" t="s">
        <v>1511</v>
      </c>
      <c r="B115" s="5535"/>
      <c r="C115" s="3543">
        <f>SUM(C116,C121:C125)</f>
        <v>0</v>
      </c>
      <c r="D115" s="3544">
        <f>SUM(D116,D121:D125)</f>
        <v>0</v>
      </c>
      <c r="E115" s="3544">
        <f>SUM(E116,E121:E125)</f>
        <v>1270.6541139659998</v>
      </c>
      <c r="F115" s="3544">
        <f>SUM(F116,F121:F125)</f>
        <v>1205.7925632899999</v>
      </c>
      <c r="G115" s="3544">
        <f>SUM(G116,G121:G125)</f>
        <v>1177.1812478459999</v>
      </c>
      <c r="H115" s="3545">
        <f t="shared" si="52"/>
        <v>3653.6279251019996</v>
      </c>
      <c r="I115" s="3543">
        <f>SUM(I116,I121:I125)</f>
        <v>0</v>
      </c>
      <c r="J115" s="3544">
        <f>SUM(J116,J121:J125)</f>
        <v>29.316741048000001</v>
      </c>
      <c r="K115" s="3544">
        <f>SUM(K116,K121:K125)</f>
        <v>29.610349631999998</v>
      </c>
      <c r="L115" s="3544">
        <f>SUM(L116,L121:L125)</f>
        <v>29.535045876000005</v>
      </c>
      <c r="M115" s="3544">
        <f>SUM(M116,M121:M125)</f>
        <v>29.470771457999998</v>
      </c>
      <c r="N115" s="3545">
        <f t="shared" si="53"/>
        <v>117.93290801400001</v>
      </c>
      <c r="O115" s="3543">
        <f>SUM(O116,O121:O125)</f>
        <v>0</v>
      </c>
      <c r="P115" s="3544">
        <f>SUM(P116,P121:P125)</f>
        <v>0</v>
      </c>
      <c r="Q115" s="3544">
        <f>SUM(Q116,Q121:Q125)</f>
        <v>0</v>
      </c>
      <c r="R115" s="3544">
        <f>SUM(R116,R121:R125)</f>
        <v>0</v>
      </c>
      <c r="S115" s="3544">
        <f>SUM(S116,S121:S125)</f>
        <v>0</v>
      </c>
      <c r="T115" s="3545">
        <f t="shared" si="54"/>
        <v>0</v>
      </c>
      <c r="U115" s="3543">
        <f>SUM(U116,U121:U125)</f>
        <v>0</v>
      </c>
      <c r="V115" s="3544">
        <f>SUM(V116,V121:V125)</f>
        <v>0</v>
      </c>
      <c r="W115" s="3544">
        <f>SUM(W116,W121:W125)</f>
        <v>0</v>
      </c>
      <c r="X115" s="3544">
        <f>SUM(X116,X121:X125)</f>
        <v>0</v>
      </c>
      <c r="Y115" s="3544">
        <f>SUM(Y116,Y121:Y125)</f>
        <v>0</v>
      </c>
      <c r="Z115" s="3545">
        <f t="shared" si="55"/>
        <v>0</v>
      </c>
      <c r="AA115" s="3543">
        <f>SUM(AA116,AA121:AA125)</f>
        <v>0</v>
      </c>
      <c r="AB115" s="3544">
        <f>SUM(AB116,AB121:AB125)</f>
        <v>0</v>
      </c>
      <c r="AC115" s="3544">
        <f>SUM(AC116,AC121:AC125)</f>
        <v>0</v>
      </c>
      <c r="AD115" s="3544">
        <f>SUM(AD116,AD121:AD125)</f>
        <v>0</v>
      </c>
      <c r="AE115" s="3544">
        <f>SUM(AE116,AE121:AE125)</f>
        <v>0</v>
      </c>
      <c r="AF115" s="3545">
        <f t="shared" si="56"/>
        <v>0</v>
      </c>
    </row>
    <row r="116" spans="1:32" ht="12.75" customHeight="1">
      <c r="A116" s="5500" t="s">
        <v>1510</v>
      </c>
      <c r="B116" s="5501"/>
      <c r="C116" s="3534"/>
      <c r="D116" s="3535"/>
      <c r="E116" s="4902">
        <f>E117+E118+E119+E120</f>
        <v>847.44711396599985</v>
      </c>
      <c r="F116" s="4902">
        <f t="shared" ref="F116:G116" si="57">F117+F118+F119+F120</f>
        <v>782.58556328999998</v>
      </c>
      <c r="G116" s="4902">
        <f t="shared" si="57"/>
        <v>753.97424784600003</v>
      </c>
      <c r="H116" s="3536">
        <f t="shared" si="52"/>
        <v>2384.0069251019995</v>
      </c>
      <c r="I116" s="3534"/>
      <c r="J116" s="3535">
        <f>J120</f>
        <v>29.316741048000001</v>
      </c>
      <c r="K116" s="3535">
        <f t="shared" ref="K116:M116" si="58">K120</f>
        <v>29.610349631999998</v>
      </c>
      <c r="L116" s="3535">
        <f t="shared" si="58"/>
        <v>29.535045876000005</v>
      </c>
      <c r="M116" s="3535">
        <f t="shared" si="58"/>
        <v>29.470771457999998</v>
      </c>
      <c r="N116" s="3536">
        <f t="shared" si="53"/>
        <v>117.93290801400001</v>
      </c>
      <c r="O116" s="3534"/>
      <c r="P116" s="3535"/>
      <c r="Q116" s="3535"/>
      <c r="R116" s="3535"/>
      <c r="S116" s="3535"/>
      <c r="T116" s="3536">
        <f t="shared" si="54"/>
        <v>0</v>
      </c>
      <c r="U116" s="3534"/>
      <c r="V116" s="3535"/>
      <c r="W116" s="3535"/>
      <c r="X116" s="3535"/>
      <c r="Y116" s="3535"/>
      <c r="Z116" s="3536">
        <f t="shared" si="55"/>
        <v>0</v>
      </c>
      <c r="AA116" s="3534"/>
      <c r="AB116" s="3535"/>
      <c r="AC116" s="3535"/>
      <c r="AD116" s="3535"/>
      <c r="AE116" s="3535"/>
      <c r="AF116" s="3536">
        <f t="shared" si="56"/>
        <v>0</v>
      </c>
    </row>
    <row r="117" spans="1:32">
      <c r="A117" s="5502" t="s">
        <v>1522</v>
      </c>
      <c r="B117" s="5503"/>
      <c r="C117" s="3534"/>
      <c r="D117" s="3535"/>
      <c r="E117" s="4902"/>
      <c r="F117" s="4902"/>
      <c r="G117" s="4902"/>
      <c r="H117" s="3536">
        <f>SUM(C117:G117)</f>
        <v>0</v>
      </c>
      <c r="I117" s="3534"/>
      <c r="J117" s="3535"/>
      <c r="K117" s="3535"/>
      <c r="L117" s="3535"/>
      <c r="M117" s="3535"/>
      <c r="N117" s="3536">
        <f>SUM(I117:M117)</f>
        <v>0</v>
      </c>
      <c r="O117" s="3534"/>
      <c r="P117" s="3535"/>
      <c r="Q117" s="3535"/>
      <c r="R117" s="3535"/>
      <c r="S117" s="3535"/>
      <c r="T117" s="3536">
        <f>SUM(O117:S117)</f>
        <v>0</v>
      </c>
      <c r="U117" s="3534"/>
      <c r="V117" s="3535"/>
      <c r="W117" s="3535"/>
      <c r="X117" s="3535"/>
      <c r="Y117" s="3535"/>
      <c r="Z117" s="3536">
        <f>SUM(U117:Y117)</f>
        <v>0</v>
      </c>
      <c r="AA117" s="3534"/>
      <c r="AB117" s="3535"/>
      <c r="AC117" s="3535"/>
      <c r="AD117" s="3535"/>
      <c r="AE117" s="3535"/>
      <c r="AF117" s="3536">
        <f>SUM(AA117:AE117)</f>
        <v>0</v>
      </c>
    </row>
    <row r="118" spans="1:32" ht="12.75" customHeight="1">
      <c r="A118" s="5516" t="s">
        <v>1512</v>
      </c>
      <c r="B118" s="5517"/>
      <c r="C118" s="3534"/>
      <c r="D118" s="3535"/>
      <c r="E118" s="3535"/>
      <c r="F118" s="3535"/>
      <c r="G118" s="3535"/>
      <c r="H118" s="3536">
        <f t="shared" ref="H118:H125" si="59">SUM(C118:G118)</f>
        <v>0</v>
      </c>
      <c r="I118" s="3534"/>
      <c r="J118" s="3535"/>
      <c r="K118" s="3535"/>
      <c r="L118" s="3535"/>
      <c r="M118" s="3535"/>
      <c r="N118" s="3536">
        <f t="shared" ref="N118:N125" si="60">SUM(I118:M118)</f>
        <v>0</v>
      </c>
      <c r="O118" s="3534"/>
      <c r="P118" s="3535"/>
      <c r="Q118" s="3535"/>
      <c r="R118" s="3535"/>
      <c r="S118" s="3535"/>
      <c r="T118" s="3536">
        <f t="shared" ref="T118:T125" si="61">SUM(O118:S118)</f>
        <v>0</v>
      </c>
      <c r="U118" s="3534"/>
      <c r="V118" s="3535"/>
      <c r="W118" s="3535"/>
      <c r="X118" s="3535"/>
      <c r="Y118" s="3535"/>
      <c r="Z118" s="3536">
        <f t="shared" ref="Z118:Z125" si="62">SUM(U118:Y118)</f>
        <v>0</v>
      </c>
      <c r="AA118" s="3534"/>
      <c r="AB118" s="3535"/>
      <c r="AC118" s="3535"/>
      <c r="AD118" s="3535"/>
      <c r="AE118" s="3535"/>
      <c r="AF118" s="3536">
        <f t="shared" ref="AF118:AF125" si="63">SUM(AA118:AE118)</f>
        <v>0</v>
      </c>
    </row>
    <row r="119" spans="1:32" ht="12.75" customHeight="1">
      <c r="A119" s="5516" t="s">
        <v>1513</v>
      </c>
      <c r="B119" s="5517"/>
      <c r="C119" s="3534"/>
      <c r="D119" s="3535"/>
      <c r="E119" s="4902">
        <v>13.14</v>
      </c>
      <c r="F119" s="4902">
        <v>13.14</v>
      </c>
      <c r="G119" s="4902">
        <v>13.14</v>
      </c>
      <c r="H119" s="3536">
        <f t="shared" si="59"/>
        <v>39.42</v>
      </c>
      <c r="I119" s="3534"/>
      <c r="J119" s="3535"/>
      <c r="K119" s="3535"/>
      <c r="L119" s="3535"/>
      <c r="M119" s="3535"/>
      <c r="N119" s="3536">
        <f t="shared" si="60"/>
        <v>0</v>
      </c>
      <c r="O119" s="3534"/>
      <c r="P119" s="3535"/>
      <c r="Q119" s="3535"/>
      <c r="R119" s="3535"/>
      <c r="S119" s="3535"/>
      <c r="T119" s="3536">
        <f t="shared" si="61"/>
        <v>0</v>
      </c>
      <c r="U119" s="3534"/>
      <c r="V119" s="3535"/>
      <c r="W119" s="3535"/>
      <c r="X119" s="3535"/>
      <c r="Y119" s="3535"/>
      <c r="Z119" s="3536">
        <f t="shared" si="62"/>
        <v>0</v>
      </c>
      <c r="AA119" s="3534"/>
      <c r="AB119" s="3535"/>
      <c r="AC119" s="3535"/>
      <c r="AD119" s="3535"/>
      <c r="AE119" s="3535"/>
      <c r="AF119" s="3536">
        <f t="shared" si="63"/>
        <v>0</v>
      </c>
    </row>
    <row r="120" spans="1:32" ht="12.75" customHeight="1">
      <c r="A120" s="5516" t="s">
        <v>1514</v>
      </c>
      <c r="B120" s="5517"/>
      <c r="C120" s="3534"/>
      <c r="D120" s="3535"/>
      <c r="E120" s="4902">
        <f>((E113*348.078)/1000)/1000</f>
        <v>834.30711396599986</v>
      </c>
      <c r="F120" s="4902">
        <f t="shared" ref="F120:G120" si="64">((F113*348.078)/1000)/1000</f>
        <v>769.44556329</v>
      </c>
      <c r="G120" s="4902">
        <f t="shared" si="64"/>
        <v>740.83424784600004</v>
      </c>
      <c r="H120" s="3536">
        <f t="shared" si="59"/>
        <v>2344.5869251019999</v>
      </c>
      <c r="I120" s="3534"/>
      <c r="J120" s="3535">
        <f>((J113*380.322)/1000)/1000</f>
        <v>29.316741048000001</v>
      </c>
      <c r="K120" s="3535">
        <f t="shared" ref="K120:M120" si="65">((K113*380.322)/1000)/1000</f>
        <v>29.610349631999998</v>
      </c>
      <c r="L120" s="3535">
        <f t="shared" si="65"/>
        <v>29.535045876000005</v>
      </c>
      <c r="M120" s="3535">
        <f t="shared" si="65"/>
        <v>29.470771457999998</v>
      </c>
      <c r="N120" s="3536">
        <f t="shared" si="60"/>
        <v>117.93290801400001</v>
      </c>
      <c r="O120" s="3534"/>
      <c r="P120" s="3535"/>
      <c r="Q120" s="3535"/>
      <c r="R120" s="3535"/>
      <c r="S120" s="3535"/>
      <c r="T120" s="3536">
        <f t="shared" si="61"/>
        <v>0</v>
      </c>
      <c r="U120" s="3534"/>
      <c r="V120" s="3535"/>
      <c r="W120" s="3535"/>
      <c r="X120" s="3535"/>
      <c r="Y120" s="3535"/>
      <c r="Z120" s="3536">
        <f t="shared" si="62"/>
        <v>0</v>
      </c>
      <c r="AA120" s="3534"/>
      <c r="AB120" s="3535"/>
      <c r="AC120" s="3535"/>
      <c r="AD120" s="3535"/>
      <c r="AE120" s="3535"/>
      <c r="AF120" s="3536">
        <f t="shared" si="63"/>
        <v>0</v>
      </c>
    </row>
    <row r="121" spans="1:32">
      <c r="A121" s="5506" t="s">
        <v>1515</v>
      </c>
      <c r="B121" s="5507"/>
      <c r="C121" s="3534"/>
      <c r="D121" s="3535"/>
      <c r="E121" s="4902">
        <f>35.88+122.625</f>
        <v>158.505</v>
      </c>
      <c r="F121" s="4902">
        <f>35.88+122.625</f>
        <v>158.505</v>
      </c>
      <c r="G121" s="4902">
        <f>35.88+122.625</f>
        <v>158.505</v>
      </c>
      <c r="H121" s="3536">
        <f t="shared" si="59"/>
        <v>475.51499999999999</v>
      </c>
      <c r="I121" s="3534"/>
      <c r="J121" s="3535"/>
      <c r="K121" s="3535"/>
      <c r="L121" s="3535"/>
      <c r="M121" s="3535"/>
      <c r="N121" s="3536">
        <f t="shared" si="60"/>
        <v>0</v>
      </c>
      <c r="O121" s="3534"/>
      <c r="P121" s="3535"/>
      <c r="Q121" s="3535"/>
      <c r="R121" s="3535"/>
      <c r="S121" s="3535"/>
      <c r="T121" s="3536">
        <f t="shared" si="61"/>
        <v>0</v>
      </c>
      <c r="U121" s="3534"/>
      <c r="V121" s="3535"/>
      <c r="W121" s="3535"/>
      <c r="X121" s="3535"/>
      <c r="Y121" s="3535"/>
      <c r="Z121" s="3536">
        <f t="shared" si="62"/>
        <v>0</v>
      </c>
      <c r="AA121" s="3534"/>
      <c r="AB121" s="3535"/>
      <c r="AC121" s="3535"/>
      <c r="AD121" s="3535"/>
      <c r="AE121" s="3535"/>
      <c r="AF121" s="3536">
        <f t="shared" si="63"/>
        <v>0</v>
      </c>
    </row>
    <row r="122" spans="1:32" ht="12.75" customHeight="1">
      <c r="A122" s="5508" t="s">
        <v>1516</v>
      </c>
      <c r="B122" s="5509"/>
      <c r="C122" s="3534"/>
      <c r="D122" s="3535"/>
      <c r="E122" s="4902">
        <v>155.4</v>
      </c>
      <c r="F122" s="4902">
        <v>155.4</v>
      </c>
      <c r="G122" s="4902">
        <v>155.4</v>
      </c>
      <c r="H122" s="3536">
        <f t="shared" si="59"/>
        <v>466.20000000000005</v>
      </c>
      <c r="I122" s="3534"/>
      <c r="J122" s="3535"/>
      <c r="K122" s="3535"/>
      <c r="L122" s="3535"/>
      <c r="M122" s="3535"/>
      <c r="N122" s="3536">
        <f t="shared" si="60"/>
        <v>0</v>
      </c>
      <c r="O122" s="3534"/>
      <c r="P122" s="3535"/>
      <c r="Q122" s="3535"/>
      <c r="R122" s="3535"/>
      <c r="S122" s="3535"/>
      <c r="T122" s="3536">
        <f t="shared" si="61"/>
        <v>0</v>
      </c>
      <c r="U122" s="3534"/>
      <c r="V122" s="3535"/>
      <c r="W122" s="3535"/>
      <c r="X122" s="3535"/>
      <c r="Y122" s="3535"/>
      <c r="Z122" s="3536">
        <f t="shared" si="62"/>
        <v>0</v>
      </c>
      <c r="AA122" s="3534"/>
      <c r="AB122" s="3535"/>
      <c r="AC122" s="3535"/>
      <c r="AD122" s="3535"/>
      <c r="AE122" s="3535"/>
      <c r="AF122" s="3536">
        <f t="shared" si="63"/>
        <v>0</v>
      </c>
    </row>
    <row r="123" spans="1:32" ht="12.75" customHeight="1">
      <c r="A123" s="5508" t="s">
        <v>1517</v>
      </c>
      <c r="B123" s="5509"/>
      <c r="C123" s="3534"/>
      <c r="D123" s="3535"/>
      <c r="E123" s="4902">
        <v>109.30200000000001</v>
      </c>
      <c r="F123" s="4902">
        <v>109.30200000000001</v>
      </c>
      <c r="G123" s="4902">
        <v>109.30200000000001</v>
      </c>
      <c r="H123" s="3536">
        <f t="shared" si="59"/>
        <v>327.90600000000001</v>
      </c>
      <c r="I123" s="3534"/>
      <c r="J123" s="3535"/>
      <c r="K123" s="3535"/>
      <c r="L123" s="3535"/>
      <c r="M123" s="3535"/>
      <c r="N123" s="3536">
        <f t="shared" si="60"/>
        <v>0</v>
      </c>
      <c r="O123" s="3534"/>
      <c r="P123" s="3535"/>
      <c r="Q123" s="3535"/>
      <c r="R123" s="3535"/>
      <c r="S123" s="3535"/>
      <c r="T123" s="3536">
        <f t="shared" si="61"/>
        <v>0</v>
      </c>
      <c r="U123" s="3534"/>
      <c r="V123" s="3535"/>
      <c r="W123" s="3535"/>
      <c r="X123" s="3535"/>
      <c r="Y123" s="3535"/>
      <c r="Z123" s="3536">
        <f t="shared" si="62"/>
        <v>0</v>
      </c>
      <c r="AA123" s="3534"/>
      <c r="AB123" s="3535"/>
      <c r="AC123" s="3535"/>
      <c r="AD123" s="3535"/>
      <c r="AE123" s="3535"/>
      <c r="AF123" s="3536">
        <f t="shared" si="63"/>
        <v>0</v>
      </c>
    </row>
    <row r="124" spans="1:32">
      <c r="A124" s="5508" t="s">
        <v>1518</v>
      </c>
      <c r="B124" s="5509"/>
      <c r="C124" s="3534"/>
      <c r="D124" s="3535"/>
      <c r="E124" s="3535"/>
      <c r="F124" s="3535"/>
      <c r="G124" s="3535"/>
      <c r="H124" s="3536">
        <f t="shared" si="59"/>
        <v>0</v>
      </c>
      <c r="I124" s="3534"/>
      <c r="J124" s="3535"/>
      <c r="K124" s="3535"/>
      <c r="L124" s="3535"/>
      <c r="M124" s="3535"/>
      <c r="N124" s="3536">
        <f t="shared" si="60"/>
        <v>0</v>
      </c>
      <c r="O124" s="3534"/>
      <c r="P124" s="3535"/>
      <c r="Q124" s="3535"/>
      <c r="R124" s="3535"/>
      <c r="S124" s="3535"/>
      <c r="T124" s="3536">
        <f t="shared" si="61"/>
        <v>0</v>
      </c>
      <c r="U124" s="3534"/>
      <c r="V124" s="3535"/>
      <c r="W124" s="3535"/>
      <c r="X124" s="3535"/>
      <c r="Y124" s="3535"/>
      <c r="Z124" s="3536">
        <f t="shared" si="62"/>
        <v>0</v>
      </c>
      <c r="AA124" s="3534"/>
      <c r="AB124" s="3535"/>
      <c r="AC124" s="3535"/>
      <c r="AD124" s="3535"/>
      <c r="AE124" s="3535"/>
      <c r="AF124" s="3536">
        <f t="shared" si="63"/>
        <v>0</v>
      </c>
    </row>
    <row r="125" spans="1:32" ht="13.5" thickBot="1">
      <c r="A125" s="5504" t="s">
        <v>1519</v>
      </c>
      <c r="B125" s="5505"/>
      <c r="C125" s="3540"/>
      <c r="D125" s="3541"/>
      <c r="E125" s="3541"/>
      <c r="F125" s="3541"/>
      <c r="G125" s="3541"/>
      <c r="H125" s="3542">
        <f t="shared" si="59"/>
        <v>0</v>
      </c>
      <c r="I125" s="3540"/>
      <c r="J125" s="3541"/>
      <c r="K125" s="3541"/>
      <c r="L125" s="3541"/>
      <c r="M125" s="3541"/>
      <c r="N125" s="3542">
        <f t="shared" si="60"/>
        <v>0</v>
      </c>
      <c r="O125" s="3540"/>
      <c r="P125" s="3541"/>
      <c r="Q125" s="3541"/>
      <c r="R125" s="3541"/>
      <c r="S125" s="3541"/>
      <c r="T125" s="3542">
        <f t="shared" si="61"/>
        <v>0</v>
      </c>
      <c r="U125" s="3540"/>
      <c r="V125" s="3541"/>
      <c r="W125" s="3541"/>
      <c r="X125" s="3541"/>
      <c r="Y125" s="3541"/>
      <c r="Z125" s="3542">
        <f t="shared" si="62"/>
        <v>0</v>
      </c>
      <c r="AA125" s="3540"/>
      <c r="AB125" s="3541"/>
      <c r="AC125" s="3541"/>
      <c r="AD125" s="3541"/>
      <c r="AE125" s="3541"/>
      <c r="AF125" s="3542">
        <f t="shared" si="63"/>
        <v>0</v>
      </c>
    </row>
    <row r="126" spans="1:32" ht="18.75" customHeight="1">
      <c r="A126" s="5496" t="s">
        <v>1191</v>
      </c>
      <c r="B126" s="5497"/>
      <c r="C126" s="5523">
        <v>6</v>
      </c>
      <c r="D126" s="5524"/>
      <c r="E126" s="5524"/>
      <c r="F126" s="5524"/>
      <c r="G126" s="5524"/>
      <c r="H126" s="5525"/>
      <c r="I126" s="5523">
        <f>C126+1</f>
        <v>7</v>
      </c>
      <c r="J126" s="5524"/>
      <c r="K126" s="5524"/>
      <c r="L126" s="5524"/>
      <c r="M126" s="5524"/>
      <c r="N126" s="5525"/>
      <c r="O126" s="5523">
        <f t="shared" ref="O126" si="66">I126+1</f>
        <v>8</v>
      </c>
      <c r="P126" s="5524"/>
      <c r="Q126" s="5524"/>
      <c r="R126" s="5524"/>
      <c r="S126" s="5524"/>
      <c r="T126" s="5525"/>
      <c r="U126" s="5523">
        <f t="shared" ref="U126" si="67">O126+1</f>
        <v>9</v>
      </c>
      <c r="V126" s="5524"/>
      <c r="W126" s="5524"/>
      <c r="X126" s="5524"/>
      <c r="Y126" s="5524"/>
      <c r="Z126" s="5525"/>
      <c r="AA126" s="5523">
        <f t="shared" ref="AA126" si="68">U126+1</f>
        <v>10</v>
      </c>
      <c r="AB126" s="5524"/>
      <c r="AC126" s="5524"/>
      <c r="AD126" s="5524"/>
      <c r="AE126" s="5524"/>
      <c r="AF126" s="5525"/>
    </row>
    <row r="127" spans="1:32" ht="12.75" customHeight="1">
      <c r="A127" s="5518" t="s">
        <v>1324</v>
      </c>
      <c r="B127" s="3524" t="s">
        <v>1505</v>
      </c>
      <c r="C127" s="5510"/>
      <c r="D127" s="5511"/>
      <c r="E127" s="5511"/>
      <c r="F127" s="5511"/>
      <c r="G127" s="5511"/>
      <c r="H127" s="5512"/>
      <c r="I127" s="5510"/>
      <c r="J127" s="5511"/>
      <c r="K127" s="5511"/>
      <c r="L127" s="5511"/>
      <c r="M127" s="5511"/>
      <c r="N127" s="5512"/>
      <c r="O127" s="5510"/>
      <c r="P127" s="5511"/>
      <c r="Q127" s="5511"/>
      <c r="R127" s="5511"/>
      <c r="S127" s="5511"/>
      <c r="T127" s="5512"/>
      <c r="U127" s="5510"/>
      <c r="V127" s="5511"/>
      <c r="W127" s="5511"/>
      <c r="X127" s="5511"/>
      <c r="Y127" s="5511"/>
      <c r="Z127" s="5512"/>
      <c r="AA127" s="5510"/>
      <c r="AB127" s="5511"/>
      <c r="AC127" s="5511"/>
      <c r="AD127" s="5511"/>
      <c r="AE127" s="5511"/>
      <c r="AF127" s="5512"/>
    </row>
    <row r="128" spans="1:32">
      <c r="A128" s="5518"/>
      <c r="B128" s="3524" t="s">
        <v>1325</v>
      </c>
      <c r="C128" s="5510"/>
      <c r="D128" s="5511"/>
      <c r="E128" s="5511"/>
      <c r="F128" s="5511"/>
      <c r="G128" s="5511"/>
      <c r="H128" s="5512"/>
      <c r="I128" s="5510"/>
      <c r="J128" s="5511"/>
      <c r="K128" s="5511"/>
      <c r="L128" s="5511"/>
      <c r="M128" s="5511"/>
      <c r="N128" s="5512"/>
      <c r="O128" s="5510"/>
      <c r="P128" s="5511"/>
      <c r="Q128" s="5511"/>
      <c r="R128" s="5511"/>
      <c r="S128" s="5511"/>
      <c r="T128" s="5512"/>
      <c r="U128" s="5510"/>
      <c r="V128" s="5511"/>
      <c r="W128" s="5511"/>
      <c r="X128" s="5511"/>
      <c r="Y128" s="5511"/>
      <c r="Z128" s="5512"/>
      <c r="AA128" s="5510"/>
      <c r="AB128" s="5511"/>
      <c r="AC128" s="5511"/>
      <c r="AD128" s="5511"/>
      <c r="AE128" s="5511"/>
      <c r="AF128" s="5512"/>
    </row>
    <row r="129" spans="1:32">
      <c r="A129" s="5519" t="s">
        <v>1326</v>
      </c>
      <c r="B129" s="3525" t="s">
        <v>1327</v>
      </c>
      <c r="C129" s="5526"/>
      <c r="D129" s="5511"/>
      <c r="E129" s="5511"/>
      <c r="F129" s="5511"/>
      <c r="G129" s="5511"/>
      <c r="H129" s="5512"/>
      <c r="I129" s="5510"/>
      <c r="J129" s="5511"/>
      <c r="K129" s="5511"/>
      <c r="L129" s="5511"/>
      <c r="M129" s="5511"/>
      <c r="N129" s="5512"/>
      <c r="O129" s="5510"/>
      <c r="P129" s="5511"/>
      <c r="Q129" s="5511"/>
      <c r="R129" s="5511"/>
      <c r="S129" s="5511"/>
      <c r="T129" s="5512"/>
      <c r="U129" s="5510"/>
      <c r="V129" s="5511"/>
      <c r="W129" s="5511"/>
      <c r="X129" s="5511"/>
      <c r="Y129" s="5511"/>
      <c r="Z129" s="5512"/>
      <c r="AA129" s="5510"/>
      <c r="AB129" s="5511"/>
      <c r="AC129" s="5511"/>
      <c r="AD129" s="5511"/>
      <c r="AE129" s="5511"/>
      <c r="AF129" s="5512"/>
    </row>
    <row r="130" spans="1:32">
      <c r="A130" s="5520"/>
      <c r="B130" s="3524" t="s">
        <v>1328</v>
      </c>
      <c r="C130" s="5510"/>
      <c r="D130" s="5511"/>
      <c r="E130" s="5511"/>
      <c r="F130" s="5511"/>
      <c r="G130" s="5511"/>
      <c r="H130" s="5512"/>
      <c r="I130" s="5510"/>
      <c r="J130" s="5511"/>
      <c r="K130" s="5511"/>
      <c r="L130" s="5511"/>
      <c r="M130" s="5511"/>
      <c r="N130" s="5512"/>
      <c r="O130" s="5510"/>
      <c r="P130" s="5511"/>
      <c r="Q130" s="5511"/>
      <c r="R130" s="5511"/>
      <c r="S130" s="5511"/>
      <c r="T130" s="5512"/>
      <c r="U130" s="5510"/>
      <c r="V130" s="5511"/>
      <c r="W130" s="5511"/>
      <c r="X130" s="5511"/>
      <c r="Y130" s="5511"/>
      <c r="Z130" s="5512"/>
      <c r="AA130" s="5510"/>
      <c r="AB130" s="5511"/>
      <c r="AC130" s="5511"/>
      <c r="AD130" s="5511"/>
      <c r="AE130" s="5511"/>
      <c r="AF130" s="5512"/>
    </row>
    <row r="131" spans="1:32" ht="25.5">
      <c r="A131" s="4523" t="s">
        <v>1329</v>
      </c>
      <c r="B131" s="3524" t="s">
        <v>1330</v>
      </c>
      <c r="C131" s="5510"/>
      <c r="D131" s="5511"/>
      <c r="E131" s="5511"/>
      <c r="F131" s="5511"/>
      <c r="G131" s="5511"/>
      <c r="H131" s="5512"/>
      <c r="I131" s="5510"/>
      <c r="J131" s="5511"/>
      <c r="K131" s="5511"/>
      <c r="L131" s="5511"/>
      <c r="M131" s="5511"/>
      <c r="N131" s="5512"/>
      <c r="O131" s="5510"/>
      <c r="P131" s="5511"/>
      <c r="Q131" s="5511"/>
      <c r="R131" s="5511"/>
      <c r="S131" s="5511"/>
      <c r="T131" s="5512"/>
      <c r="U131" s="5510"/>
      <c r="V131" s="5511"/>
      <c r="W131" s="5511"/>
      <c r="X131" s="5511"/>
      <c r="Y131" s="5511"/>
      <c r="Z131" s="5512"/>
      <c r="AA131" s="5510"/>
      <c r="AB131" s="5511"/>
      <c r="AC131" s="5511"/>
      <c r="AD131" s="5511"/>
      <c r="AE131" s="5511"/>
      <c r="AF131" s="5512"/>
    </row>
    <row r="132" spans="1:32" ht="26.25" customHeight="1" thickBot="1">
      <c r="A132" s="3526" t="s">
        <v>1331</v>
      </c>
      <c r="B132" s="3527" t="s">
        <v>1332</v>
      </c>
      <c r="C132" s="5513"/>
      <c r="D132" s="5514"/>
      <c r="E132" s="5514"/>
      <c r="F132" s="5514"/>
      <c r="G132" s="5514"/>
      <c r="H132" s="5515"/>
      <c r="I132" s="5513"/>
      <c r="J132" s="5514"/>
      <c r="K132" s="5514"/>
      <c r="L132" s="5514"/>
      <c r="M132" s="5514"/>
      <c r="N132" s="5515"/>
      <c r="O132" s="5513"/>
      <c r="P132" s="5514"/>
      <c r="Q132" s="5514"/>
      <c r="R132" s="5514"/>
      <c r="S132" s="5514"/>
      <c r="T132" s="5515"/>
      <c r="U132" s="5513"/>
      <c r="V132" s="5514"/>
      <c r="W132" s="5514"/>
      <c r="X132" s="5514"/>
      <c r="Y132" s="5514"/>
      <c r="Z132" s="5515"/>
      <c r="AA132" s="5513"/>
      <c r="AB132" s="5514"/>
      <c r="AC132" s="5514"/>
      <c r="AD132" s="5514"/>
      <c r="AE132" s="5514"/>
      <c r="AF132" s="5515"/>
    </row>
    <row r="133" spans="1:32" ht="26.25" thickBot="1">
      <c r="A133" s="5498" t="s">
        <v>1520</v>
      </c>
      <c r="B133" s="5499"/>
      <c r="C133" s="3546" t="s">
        <v>1072</v>
      </c>
      <c r="D133" s="3547" t="s">
        <v>1073</v>
      </c>
      <c r="E133" s="3547" t="s">
        <v>1074</v>
      </c>
      <c r="F133" s="3547" t="s">
        <v>1075</v>
      </c>
      <c r="G133" s="3547" t="s">
        <v>1076</v>
      </c>
      <c r="H133" s="3548" t="s">
        <v>1333</v>
      </c>
      <c r="I133" s="3546" t="s">
        <v>1072</v>
      </c>
      <c r="J133" s="3547" t="s">
        <v>1073</v>
      </c>
      <c r="K133" s="3547" t="s">
        <v>1074</v>
      </c>
      <c r="L133" s="3547" t="s">
        <v>1075</v>
      </c>
      <c r="M133" s="3547" t="s">
        <v>1076</v>
      </c>
      <c r="N133" s="3548" t="s">
        <v>1333</v>
      </c>
      <c r="O133" s="3546" t="s">
        <v>1072</v>
      </c>
      <c r="P133" s="3547" t="s">
        <v>1073</v>
      </c>
      <c r="Q133" s="3547" t="s">
        <v>1074</v>
      </c>
      <c r="R133" s="3547" t="s">
        <v>1075</v>
      </c>
      <c r="S133" s="3547" t="s">
        <v>1076</v>
      </c>
      <c r="T133" s="3548" t="s">
        <v>1333</v>
      </c>
      <c r="U133" s="3546" t="s">
        <v>1072</v>
      </c>
      <c r="V133" s="3547" t="s">
        <v>1073</v>
      </c>
      <c r="W133" s="3547" t="s">
        <v>1074</v>
      </c>
      <c r="X133" s="3547" t="s">
        <v>1075</v>
      </c>
      <c r="Y133" s="3547" t="s">
        <v>1076</v>
      </c>
      <c r="Z133" s="3548" t="s">
        <v>1333</v>
      </c>
      <c r="AA133" s="3546" t="s">
        <v>1072</v>
      </c>
      <c r="AB133" s="3547" t="s">
        <v>1073</v>
      </c>
      <c r="AC133" s="3547" t="s">
        <v>1074</v>
      </c>
      <c r="AD133" s="3547" t="s">
        <v>1075</v>
      </c>
      <c r="AE133" s="3547" t="s">
        <v>1076</v>
      </c>
      <c r="AF133" s="3548" t="s">
        <v>1333</v>
      </c>
    </row>
    <row r="134" spans="1:32" ht="12.75" customHeight="1">
      <c r="A134" s="5536" t="s">
        <v>1506</v>
      </c>
      <c r="B134" s="5537"/>
      <c r="C134" s="3531"/>
      <c r="D134" s="3532"/>
      <c r="E134" s="3532"/>
      <c r="F134" s="3532"/>
      <c r="G134" s="3532"/>
      <c r="H134" s="3533">
        <f>SUM(C134:G134)</f>
        <v>0</v>
      </c>
      <c r="I134" s="3531"/>
      <c r="J134" s="3532"/>
      <c r="K134" s="3532"/>
      <c r="L134" s="3532"/>
      <c r="M134" s="3532"/>
      <c r="N134" s="3533">
        <f>SUM(I134:M134)</f>
        <v>0</v>
      </c>
      <c r="O134" s="3531"/>
      <c r="P134" s="3532"/>
      <c r="Q134" s="3532"/>
      <c r="R134" s="3532"/>
      <c r="S134" s="3532"/>
      <c r="T134" s="3533">
        <f>SUM(O134:S134)</f>
        <v>0</v>
      </c>
      <c r="U134" s="3531"/>
      <c r="V134" s="3532"/>
      <c r="W134" s="3532"/>
      <c r="X134" s="3532"/>
      <c r="Y134" s="3532"/>
      <c r="Z134" s="3533">
        <f>SUM(U134:Y134)</f>
        <v>0</v>
      </c>
      <c r="AA134" s="3531"/>
      <c r="AB134" s="3532"/>
      <c r="AC134" s="3532"/>
      <c r="AD134" s="3532"/>
      <c r="AE134" s="3532"/>
      <c r="AF134" s="3533">
        <f>SUM(AA134:AE134)</f>
        <v>0</v>
      </c>
    </row>
    <row r="135" spans="1:32" ht="12.75" customHeight="1">
      <c r="A135" s="5530" t="s">
        <v>1507</v>
      </c>
      <c r="B135" s="5531"/>
      <c r="C135" s="3534"/>
      <c r="D135" s="3535"/>
      <c r="E135" s="3535"/>
      <c r="F135" s="3535"/>
      <c r="G135" s="3535"/>
      <c r="H135" s="3536">
        <f t="shared" ref="H135:H139" si="69">SUM(C135:G135)</f>
        <v>0</v>
      </c>
      <c r="I135" s="3534"/>
      <c r="J135" s="3535"/>
      <c r="K135" s="3535"/>
      <c r="L135" s="3535"/>
      <c r="M135" s="3535"/>
      <c r="N135" s="3536">
        <f t="shared" ref="N135:N139" si="70">SUM(I135:M135)</f>
        <v>0</v>
      </c>
      <c r="O135" s="3534"/>
      <c r="P135" s="3535"/>
      <c r="Q135" s="3535"/>
      <c r="R135" s="3535"/>
      <c r="S135" s="3535"/>
      <c r="T135" s="3536">
        <f t="shared" ref="T135:T139" si="71">SUM(O135:S135)</f>
        <v>0</v>
      </c>
      <c r="U135" s="3534"/>
      <c r="V135" s="3535"/>
      <c r="W135" s="3535"/>
      <c r="X135" s="3535"/>
      <c r="Y135" s="3535"/>
      <c r="Z135" s="3536">
        <f t="shared" ref="Z135:Z139" si="72">SUM(U135:Y135)</f>
        <v>0</v>
      </c>
      <c r="AA135" s="3534"/>
      <c r="AB135" s="3535"/>
      <c r="AC135" s="3535"/>
      <c r="AD135" s="3535"/>
      <c r="AE135" s="3535"/>
      <c r="AF135" s="3536">
        <f t="shared" ref="AF135:AF139" si="73">SUM(AA135:AE135)</f>
        <v>0</v>
      </c>
    </row>
    <row r="136" spans="1:32">
      <c r="A136" s="5532" t="s">
        <v>1508</v>
      </c>
      <c r="B136" s="5533"/>
      <c r="C136" s="3537"/>
      <c r="D136" s="3538"/>
      <c r="E136" s="3538"/>
      <c r="F136" s="3538"/>
      <c r="G136" s="3538"/>
      <c r="H136" s="3539">
        <f t="shared" si="69"/>
        <v>0</v>
      </c>
      <c r="I136" s="3537"/>
      <c r="J136" s="3538"/>
      <c r="K136" s="3538"/>
      <c r="L136" s="3538"/>
      <c r="M136" s="3538"/>
      <c r="N136" s="3539">
        <f t="shared" si="70"/>
        <v>0</v>
      </c>
      <c r="O136" s="3537"/>
      <c r="P136" s="3538"/>
      <c r="Q136" s="3538"/>
      <c r="R136" s="3538"/>
      <c r="S136" s="3538"/>
      <c r="T136" s="3539">
        <f t="shared" si="71"/>
        <v>0</v>
      </c>
      <c r="U136" s="3537"/>
      <c r="V136" s="3538"/>
      <c r="W136" s="3538"/>
      <c r="X136" s="3538"/>
      <c r="Y136" s="3538"/>
      <c r="Z136" s="3539">
        <f t="shared" si="72"/>
        <v>0</v>
      </c>
      <c r="AA136" s="3537"/>
      <c r="AB136" s="3538"/>
      <c r="AC136" s="3538"/>
      <c r="AD136" s="3538"/>
      <c r="AE136" s="3538"/>
      <c r="AF136" s="3539">
        <f t="shared" si="73"/>
        <v>0</v>
      </c>
    </row>
    <row r="137" spans="1:32" ht="13.5" thickBot="1">
      <c r="A137" s="5521" t="s">
        <v>1509</v>
      </c>
      <c r="B137" s="5522"/>
      <c r="C137" s="3540"/>
      <c r="D137" s="3541"/>
      <c r="E137" s="3541"/>
      <c r="F137" s="3541"/>
      <c r="G137" s="3541"/>
      <c r="H137" s="3542">
        <f>SUM(C137:G137)</f>
        <v>0</v>
      </c>
      <c r="I137" s="3540"/>
      <c r="J137" s="3541"/>
      <c r="K137" s="3541"/>
      <c r="L137" s="3541"/>
      <c r="M137" s="3541"/>
      <c r="N137" s="3542">
        <f>SUM(I137:M137)</f>
        <v>0</v>
      </c>
      <c r="O137" s="3540"/>
      <c r="P137" s="3541"/>
      <c r="Q137" s="3541"/>
      <c r="R137" s="3541"/>
      <c r="S137" s="3541"/>
      <c r="T137" s="3542">
        <f>SUM(O137:S137)</f>
        <v>0</v>
      </c>
      <c r="U137" s="3540"/>
      <c r="V137" s="3541"/>
      <c r="W137" s="3541"/>
      <c r="X137" s="3541"/>
      <c r="Y137" s="3541"/>
      <c r="Z137" s="3542">
        <f>SUM(U137:Y137)</f>
        <v>0</v>
      </c>
      <c r="AA137" s="3540"/>
      <c r="AB137" s="3541"/>
      <c r="AC137" s="3541"/>
      <c r="AD137" s="3541"/>
      <c r="AE137" s="3541"/>
      <c r="AF137" s="3542">
        <f>SUM(AA137:AE137)</f>
        <v>0</v>
      </c>
    </row>
    <row r="138" spans="1:32" s="4146" customFormat="1" ht="27" customHeight="1">
      <c r="A138" s="5534" t="s">
        <v>1511</v>
      </c>
      <c r="B138" s="5535"/>
      <c r="C138" s="3543">
        <f>SUM(C139,C144:C148)</f>
        <v>0</v>
      </c>
      <c r="D138" s="3544">
        <f>SUM(D139,D144:D148)</f>
        <v>0</v>
      </c>
      <c r="E138" s="3544">
        <f>SUM(E139,E144:E148)</f>
        <v>0</v>
      </c>
      <c r="F138" s="3544">
        <f>SUM(F139,F144:F148)</f>
        <v>0</v>
      </c>
      <c r="G138" s="3544">
        <f>SUM(G139,G144:G148)</f>
        <v>0</v>
      </c>
      <c r="H138" s="3545">
        <f t="shared" si="69"/>
        <v>0</v>
      </c>
      <c r="I138" s="3543">
        <f>SUM(I139,I144:I148)</f>
        <v>0</v>
      </c>
      <c r="J138" s="3544">
        <f>SUM(J139,J144:J148)</f>
        <v>0</v>
      </c>
      <c r="K138" s="3544">
        <f>SUM(K139,K144:K148)</f>
        <v>0</v>
      </c>
      <c r="L138" s="3544">
        <f>SUM(L139,L144:L148)</f>
        <v>0</v>
      </c>
      <c r="M138" s="3544">
        <f>SUM(M139,M144:M148)</f>
        <v>0</v>
      </c>
      <c r="N138" s="3545">
        <f t="shared" si="70"/>
        <v>0</v>
      </c>
      <c r="O138" s="3543">
        <f>SUM(O139,O144:O148)</f>
        <v>0</v>
      </c>
      <c r="P138" s="3544">
        <f>SUM(P139,P144:P148)</f>
        <v>0</v>
      </c>
      <c r="Q138" s="3544">
        <f>SUM(Q139,Q144:Q148)</f>
        <v>0</v>
      </c>
      <c r="R138" s="3544">
        <f>SUM(R139,R144:R148)</f>
        <v>0</v>
      </c>
      <c r="S138" s="3544">
        <f>SUM(S139,S144:S148)</f>
        <v>0</v>
      </c>
      <c r="T138" s="3545">
        <f t="shared" si="71"/>
        <v>0</v>
      </c>
      <c r="U138" s="3543">
        <f>SUM(U139,U144:U148)</f>
        <v>0</v>
      </c>
      <c r="V138" s="3544">
        <f>SUM(V139,V144:V148)</f>
        <v>0</v>
      </c>
      <c r="W138" s="3544">
        <f>SUM(W139,W144:W148)</f>
        <v>0</v>
      </c>
      <c r="X138" s="3544">
        <f>SUM(X139,X144:X148)</f>
        <v>0</v>
      </c>
      <c r="Y138" s="3544">
        <f>SUM(Y139,Y144:Y148)</f>
        <v>0</v>
      </c>
      <c r="Z138" s="3545">
        <f t="shared" si="72"/>
        <v>0</v>
      </c>
      <c r="AA138" s="3543">
        <f>SUM(AA139,AA144:AA148)</f>
        <v>0</v>
      </c>
      <c r="AB138" s="3544">
        <f>SUM(AB139,AB144:AB148)</f>
        <v>0</v>
      </c>
      <c r="AC138" s="3544">
        <f>SUM(AC139,AC144:AC148)</f>
        <v>0</v>
      </c>
      <c r="AD138" s="3544">
        <f>SUM(AD139,AD144:AD148)</f>
        <v>0</v>
      </c>
      <c r="AE138" s="3544">
        <f>SUM(AE139,AE144:AE148)</f>
        <v>0</v>
      </c>
      <c r="AF138" s="3545">
        <f t="shared" si="73"/>
        <v>0</v>
      </c>
    </row>
    <row r="139" spans="1:32" ht="12.75" customHeight="1">
      <c r="A139" s="5500" t="s">
        <v>1510</v>
      </c>
      <c r="B139" s="5501"/>
      <c r="C139" s="3534"/>
      <c r="D139" s="3535"/>
      <c r="E139" s="3535"/>
      <c r="F139" s="3535"/>
      <c r="G139" s="3535"/>
      <c r="H139" s="3536">
        <f t="shared" si="69"/>
        <v>0</v>
      </c>
      <c r="I139" s="3534"/>
      <c r="J139" s="3535"/>
      <c r="K139" s="3535"/>
      <c r="L139" s="3535"/>
      <c r="M139" s="3535"/>
      <c r="N139" s="3536">
        <f t="shared" si="70"/>
        <v>0</v>
      </c>
      <c r="O139" s="3534"/>
      <c r="P139" s="3535"/>
      <c r="Q139" s="3535"/>
      <c r="R139" s="3535"/>
      <c r="S139" s="3535"/>
      <c r="T139" s="3536">
        <f t="shared" si="71"/>
        <v>0</v>
      </c>
      <c r="U139" s="3534"/>
      <c r="V139" s="3535"/>
      <c r="W139" s="3535"/>
      <c r="X139" s="3535"/>
      <c r="Y139" s="3535"/>
      <c r="Z139" s="3536">
        <f t="shared" si="72"/>
        <v>0</v>
      </c>
      <c r="AA139" s="3534"/>
      <c r="AB139" s="3535"/>
      <c r="AC139" s="3535"/>
      <c r="AD139" s="3535"/>
      <c r="AE139" s="3535"/>
      <c r="AF139" s="3536">
        <f t="shared" si="73"/>
        <v>0</v>
      </c>
    </row>
    <row r="140" spans="1:32">
      <c r="A140" s="5502" t="s">
        <v>1522</v>
      </c>
      <c r="B140" s="5503"/>
      <c r="C140" s="3534"/>
      <c r="D140" s="3535"/>
      <c r="E140" s="3535"/>
      <c r="F140" s="3535"/>
      <c r="G140" s="3535"/>
      <c r="H140" s="3536">
        <f>SUM(C140:G140)</f>
        <v>0</v>
      </c>
      <c r="I140" s="3534"/>
      <c r="J140" s="3535"/>
      <c r="K140" s="3535"/>
      <c r="L140" s="3535"/>
      <c r="M140" s="3535"/>
      <c r="N140" s="3536">
        <f>SUM(I140:M140)</f>
        <v>0</v>
      </c>
      <c r="O140" s="3534"/>
      <c r="P140" s="3535"/>
      <c r="Q140" s="3535"/>
      <c r="R140" s="3535"/>
      <c r="S140" s="3535"/>
      <c r="T140" s="3536">
        <f>SUM(O140:S140)</f>
        <v>0</v>
      </c>
      <c r="U140" s="3534"/>
      <c r="V140" s="3535"/>
      <c r="W140" s="3535"/>
      <c r="X140" s="3535"/>
      <c r="Y140" s="3535"/>
      <c r="Z140" s="3536">
        <f>SUM(U140:Y140)</f>
        <v>0</v>
      </c>
      <c r="AA140" s="3534"/>
      <c r="AB140" s="3535"/>
      <c r="AC140" s="3535"/>
      <c r="AD140" s="3535"/>
      <c r="AE140" s="3535"/>
      <c r="AF140" s="3536">
        <f>SUM(AA140:AE140)</f>
        <v>0</v>
      </c>
    </row>
    <row r="141" spans="1:32" ht="12.75" customHeight="1">
      <c r="A141" s="5516" t="s">
        <v>1512</v>
      </c>
      <c r="B141" s="5517"/>
      <c r="C141" s="3534"/>
      <c r="D141" s="3535"/>
      <c r="E141" s="3535"/>
      <c r="F141" s="3535"/>
      <c r="G141" s="3535"/>
      <c r="H141" s="3536">
        <f t="shared" ref="H141:H148" si="74">SUM(C141:G141)</f>
        <v>0</v>
      </c>
      <c r="I141" s="3534"/>
      <c r="J141" s="3535"/>
      <c r="K141" s="3535"/>
      <c r="L141" s="3535"/>
      <c r="M141" s="3535"/>
      <c r="N141" s="3536">
        <f t="shared" ref="N141:N148" si="75">SUM(I141:M141)</f>
        <v>0</v>
      </c>
      <c r="O141" s="3534"/>
      <c r="P141" s="3535"/>
      <c r="Q141" s="3535"/>
      <c r="R141" s="3535"/>
      <c r="S141" s="3535"/>
      <c r="T141" s="3536">
        <f t="shared" ref="T141:T148" si="76">SUM(O141:S141)</f>
        <v>0</v>
      </c>
      <c r="U141" s="3534"/>
      <c r="V141" s="3535"/>
      <c r="W141" s="3535"/>
      <c r="X141" s="3535"/>
      <c r="Y141" s="3535"/>
      <c r="Z141" s="3536">
        <f t="shared" ref="Z141:Z148" si="77">SUM(U141:Y141)</f>
        <v>0</v>
      </c>
      <c r="AA141" s="3534"/>
      <c r="AB141" s="3535"/>
      <c r="AC141" s="3535"/>
      <c r="AD141" s="3535"/>
      <c r="AE141" s="3535"/>
      <c r="AF141" s="3536">
        <f t="shared" ref="AF141:AF148" si="78">SUM(AA141:AE141)</f>
        <v>0</v>
      </c>
    </row>
    <row r="142" spans="1:32" ht="12.75" customHeight="1">
      <c r="A142" s="5516" t="s">
        <v>1513</v>
      </c>
      <c r="B142" s="5517"/>
      <c r="C142" s="3534"/>
      <c r="D142" s="3535"/>
      <c r="E142" s="3535"/>
      <c r="F142" s="3535"/>
      <c r="G142" s="3535"/>
      <c r="H142" s="3536">
        <f t="shared" si="74"/>
        <v>0</v>
      </c>
      <c r="I142" s="3534"/>
      <c r="J142" s="3535"/>
      <c r="K142" s="3535"/>
      <c r="L142" s="3535"/>
      <c r="M142" s="3535"/>
      <c r="N142" s="3536">
        <f t="shared" si="75"/>
        <v>0</v>
      </c>
      <c r="O142" s="3534"/>
      <c r="P142" s="3535"/>
      <c r="Q142" s="3535"/>
      <c r="R142" s="3535"/>
      <c r="S142" s="3535"/>
      <c r="T142" s="3536">
        <f t="shared" si="76"/>
        <v>0</v>
      </c>
      <c r="U142" s="3534"/>
      <c r="V142" s="3535"/>
      <c r="W142" s="3535"/>
      <c r="X142" s="3535"/>
      <c r="Y142" s="3535"/>
      <c r="Z142" s="3536">
        <f t="shared" si="77"/>
        <v>0</v>
      </c>
      <c r="AA142" s="3534"/>
      <c r="AB142" s="3535"/>
      <c r="AC142" s="3535"/>
      <c r="AD142" s="3535"/>
      <c r="AE142" s="3535"/>
      <c r="AF142" s="3536">
        <f t="shared" si="78"/>
        <v>0</v>
      </c>
    </row>
    <row r="143" spans="1:32" ht="12.75" customHeight="1">
      <c r="A143" s="5516" t="s">
        <v>1514</v>
      </c>
      <c r="B143" s="5517"/>
      <c r="C143" s="3534"/>
      <c r="D143" s="3535"/>
      <c r="E143" s="3535"/>
      <c r="F143" s="3535"/>
      <c r="G143" s="3535"/>
      <c r="H143" s="3536">
        <f t="shared" si="74"/>
        <v>0</v>
      </c>
      <c r="I143" s="3534"/>
      <c r="J143" s="3535"/>
      <c r="K143" s="3535"/>
      <c r="L143" s="3535"/>
      <c r="M143" s="3535"/>
      <c r="N143" s="3536">
        <f t="shared" si="75"/>
        <v>0</v>
      </c>
      <c r="O143" s="3534"/>
      <c r="P143" s="3535"/>
      <c r="Q143" s="3535"/>
      <c r="R143" s="3535"/>
      <c r="S143" s="3535"/>
      <c r="T143" s="3536">
        <f t="shared" si="76"/>
        <v>0</v>
      </c>
      <c r="U143" s="3534"/>
      <c r="V143" s="3535"/>
      <c r="W143" s="3535"/>
      <c r="X143" s="3535"/>
      <c r="Y143" s="3535"/>
      <c r="Z143" s="3536">
        <f t="shared" si="77"/>
        <v>0</v>
      </c>
      <c r="AA143" s="3534"/>
      <c r="AB143" s="3535"/>
      <c r="AC143" s="3535"/>
      <c r="AD143" s="3535"/>
      <c r="AE143" s="3535"/>
      <c r="AF143" s="3536">
        <f t="shared" si="78"/>
        <v>0</v>
      </c>
    </row>
    <row r="144" spans="1:32">
      <c r="A144" s="5506" t="s">
        <v>1515</v>
      </c>
      <c r="B144" s="5507"/>
      <c r="C144" s="3534"/>
      <c r="D144" s="3535"/>
      <c r="E144" s="3535"/>
      <c r="F144" s="3535"/>
      <c r="G144" s="3535"/>
      <c r="H144" s="3536">
        <f t="shared" si="74"/>
        <v>0</v>
      </c>
      <c r="I144" s="3534"/>
      <c r="J144" s="3535"/>
      <c r="K144" s="3535"/>
      <c r="L144" s="3535"/>
      <c r="M144" s="3535"/>
      <c r="N144" s="3536">
        <f t="shared" si="75"/>
        <v>0</v>
      </c>
      <c r="O144" s="3534"/>
      <c r="P144" s="3535"/>
      <c r="Q144" s="3535"/>
      <c r="R144" s="3535"/>
      <c r="S144" s="3535"/>
      <c r="T144" s="3536">
        <f t="shared" si="76"/>
        <v>0</v>
      </c>
      <c r="U144" s="3534"/>
      <c r="V144" s="3535"/>
      <c r="W144" s="3535"/>
      <c r="X144" s="3535"/>
      <c r="Y144" s="3535"/>
      <c r="Z144" s="3536">
        <f t="shared" si="77"/>
        <v>0</v>
      </c>
      <c r="AA144" s="3534"/>
      <c r="AB144" s="3535"/>
      <c r="AC144" s="3535"/>
      <c r="AD144" s="3535"/>
      <c r="AE144" s="3535"/>
      <c r="AF144" s="3536">
        <f t="shared" si="78"/>
        <v>0</v>
      </c>
    </row>
    <row r="145" spans="1:66" ht="12.75" customHeight="1">
      <c r="A145" s="5508" t="s">
        <v>1516</v>
      </c>
      <c r="B145" s="5509"/>
      <c r="C145" s="3534"/>
      <c r="D145" s="3535"/>
      <c r="E145" s="3535"/>
      <c r="F145" s="3535"/>
      <c r="G145" s="3535"/>
      <c r="H145" s="3536">
        <f t="shared" si="74"/>
        <v>0</v>
      </c>
      <c r="I145" s="3534"/>
      <c r="J145" s="3535"/>
      <c r="K145" s="3535"/>
      <c r="L145" s="3535"/>
      <c r="M145" s="3535"/>
      <c r="N145" s="3536">
        <f t="shared" si="75"/>
        <v>0</v>
      </c>
      <c r="O145" s="3534"/>
      <c r="P145" s="3535"/>
      <c r="Q145" s="3535"/>
      <c r="R145" s="3535"/>
      <c r="S145" s="3535"/>
      <c r="T145" s="3536">
        <f t="shared" si="76"/>
        <v>0</v>
      </c>
      <c r="U145" s="3534"/>
      <c r="V145" s="3535"/>
      <c r="W145" s="3535"/>
      <c r="X145" s="3535"/>
      <c r="Y145" s="3535"/>
      <c r="Z145" s="3536">
        <f t="shared" si="77"/>
        <v>0</v>
      </c>
      <c r="AA145" s="3534"/>
      <c r="AB145" s="3535"/>
      <c r="AC145" s="3535"/>
      <c r="AD145" s="3535"/>
      <c r="AE145" s="3535"/>
      <c r="AF145" s="3536">
        <f t="shared" si="78"/>
        <v>0</v>
      </c>
    </row>
    <row r="146" spans="1:66" ht="12.75" customHeight="1">
      <c r="A146" s="5508" t="s">
        <v>1517</v>
      </c>
      <c r="B146" s="5509"/>
      <c r="C146" s="3534"/>
      <c r="D146" s="3535"/>
      <c r="E146" s="3535"/>
      <c r="F146" s="3535"/>
      <c r="G146" s="3535"/>
      <c r="H146" s="3536">
        <f t="shared" si="74"/>
        <v>0</v>
      </c>
      <c r="I146" s="3534"/>
      <c r="J146" s="3535"/>
      <c r="K146" s="3535"/>
      <c r="L146" s="3535"/>
      <c r="M146" s="3535"/>
      <c r="N146" s="3536">
        <f t="shared" si="75"/>
        <v>0</v>
      </c>
      <c r="O146" s="3534"/>
      <c r="P146" s="3535"/>
      <c r="Q146" s="3535"/>
      <c r="R146" s="3535"/>
      <c r="S146" s="3535"/>
      <c r="T146" s="3536">
        <f t="shared" si="76"/>
        <v>0</v>
      </c>
      <c r="U146" s="3534"/>
      <c r="V146" s="3535"/>
      <c r="W146" s="3535"/>
      <c r="X146" s="3535"/>
      <c r="Y146" s="3535"/>
      <c r="Z146" s="3536">
        <f t="shared" si="77"/>
        <v>0</v>
      </c>
      <c r="AA146" s="3534"/>
      <c r="AB146" s="3535"/>
      <c r="AC146" s="3535"/>
      <c r="AD146" s="3535"/>
      <c r="AE146" s="3535"/>
      <c r="AF146" s="3536">
        <f t="shared" si="78"/>
        <v>0</v>
      </c>
    </row>
    <row r="147" spans="1:66">
      <c r="A147" s="5508" t="s">
        <v>1518</v>
      </c>
      <c r="B147" s="5509"/>
      <c r="C147" s="3534"/>
      <c r="D147" s="3535"/>
      <c r="E147" s="3535"/>
      <c r="F147" s="3535"/>
      <c r="G147" s="3535"/>
      <c r="H147" s="3536">
        <f t="shared" si="74"/>
        <v>0</v>
      </c>
      <c r="I147" s="3534"/>
      <c r="J147" s="3535"/>
      <c r="K147" s="3535"/>
      <c r="L147" s="3535"/>
      <c r="M147" s="3535"/>
      <c r="N147" s="3536">
        <f t="shared" si="75"/>
        <v>0</v>
      </c>
      <c r="O147" s="3534"/>
      <c r="P147" s="3535"/>
      <c r="Q147" s="3535"/>
      <c r="R147" s="3535"/>
      <c r="S147" s="3535"/>
      <c r="T147" s="3536">
        <f t="shared" si="76"/>
        <v>0</v>
      </c>
      <c r="U147" s="3534"/>
      <c r="V147" s="3535"/>
      <c r="W147" s="3535"/>
      <c r="X147" s="3535"/>
      <c r="Y147" s="3535"/>
      <c r="Z147" s="3536">
        <f t="shared" si="77"/>
        <v>0</v>
      </c>
      <c r="AA147" s="3534"/>
      <c r="AB147" s="3535"/>
      <c r="AC147" s="3535"/>
      <c r="AD147" s="3535"/>
      <c r="AE147" s="3535"/>
      <c r="AF147" s="3536">
        <f t="shared" si="78"/>
        <v>0</v>
      </c>
    </row>
    <row r="148" spans="1:66" ht="13.5" thickBot="1">
      <c r="A148" s="5504" t="s">
        <v>1519</v>
      </c>
      <c r="B148" s="5505"/>
      <c r="C148" s="3540"/>
      <c r="D148" s="3541"/>
      <c r="E148" s="3541"/>
      <c r="F148" s="3541"/>
      <c r="G148" s="3541"/>
      <c r="H148" s="3542">
        <f t="shared" si="74"/>
        <v>0</v>
      </c>
      <c r="I148" s="3540"/>
      <c r="J148" s="3541"/>
      <c r="K148" s="3541"/>
      <c r="L148" s="3541"/>
      <c r="M148" s="3541"/>
      <c r="N148" s="3542">
        <f t="shared" si="75"/>
        <v>0</v>
      </c>
      <c r="O148" s="3540"/>
      <c r="P148" s="3541"/>
      <c r="Q148" s="3541"/>
      <c r="R148" s="3541"/>
      <c r="S148" s="3541"/>
      <c r="T148" s="3542">
        <f t="shared" si="76"/>
        <v>0</v>
      </c>
      <c r="U148" s="3540"/>
      <c r="V148" s="3541"/>
      <c r="W148" s="3541"/>
      <c r="X148" s="3541"/>
      <c r="Y148" s="3541"/>
      <c r="Z148" s="3542">
        <f t="shared" si="77"/>
        <v>0</v>
      </c>
      <c r="AA148" s="3540"/>
      <c r="AB148" s="3541"/>
      <c r="AC148" s="3541"/>
      <c r="AD148" s="3541"/>
      <c r="AE148" s="3541"/>
      <c r="AF148" s="3542">
        <f t="shared" si="78"/>
        <v>0</v>
      </c>
    </row>
    <row r="149" spans="1:66" s="772" customFormat="1" ht="15">
      <c r="A149" s="4521"/>
      <c r="B149" s="4521"/>
      <c r="C149" s="4521"/>
      <c r="D149" s="925"/>
      <c r="E149" s="762"/>
      <c r="F149" s="925"/>
      <c r="G149" s="762"/>
      <c r="H149" s="925"/>
      <c r="I149" s="762"/>
      <c r="J149" s="925"/>
      <c r="K149" s="762"/>
      <c r="L149" s="925"/>
      <c r="M149" s="762"/>
      <c r="N149" s="762"/>
      <c r="O149" s="925"/>
      <c r="P149" s="762"/>
      <c r="Q149" s="925"/>
      <c r="R149" s="762"/>
      <c r="S149" s="925"/>
      <c r="T149" s="762"/>
      <c r="U149" s="925"/>
      <c r="V149" s="762"/>
      <c r="W149" s="925"/>
      <c r="X149" s="762"/>
      <c r="Y149" s="762"/>
      <c r="Z149" s="786"/>
      <c r="AA149" s="762"/>
      <c r="AB149" s="786"/>
      <c r="AC149" s="762"/>
      <c r="AD149" s="786"/>
      <c r="AE149" s="762"/>
      <c r="AF149" s="786"/>
      <c r="AG149" s="762"/>
      <c r="AH149" s="786"/>
      <c r="AI149" s="762"/>
      <c r="AJ149" s="762"/>
      <c r="AK149" s="786"/>
      <c r="AL149" s="762"/>
      <c r="AM149" s="786"/>
      <c r="AN149" s="762"/>
      <c r="AO149" s="786"/>
      <c r="AP149" s="762"/>
      <c r="AQ149" s="786"/>
      <c r="AR149" s="762"/>
      <c r="AS149" s="786"/>
      <c r="AT149" s="762"/>
      <c r="AU149" s="762"/>
      <c r="AV149" s="786"/>
      <c r="AW149" s="762"/>
      <c r="AX149" s="786"/>
      <c r="AY149" s="762"/>
      <c r="AZ149" s="786"/>
      <c r="BA149" s="762"/>
      <c r="BB149" s="786"/>
      <c r="BC149" s="762"/>
      <c r="BD149" s="786"/>
      <c r="BE149" s="762"/>
    </row>
    <row r="150" spans="1:66" s="772" customFormat="1" ht="15">
      <c r="A150" s="4521"/>
      <c r="B150" s="4521"/>
      <c r="C150" s="4521"/>
      <c r="D150" s="925"/>
      <c r="E150" s="762"/>
      <c r="F150" s="925"/>
      <c r="G150" s="762"/>
      <c r="H150" s="925"/>
      <c r="I150" s="762"/>
      <c r="J150" s="925"/>
      <c r="K150" s="762"/>
      <c r="L150" s="925"/>
      <c r="M150" s="762"/>
      <c r="N150" s="762"/>
      <c r="O150" s="925"/>
      <c r="P150" s="762"/>
      <c r="Q150" s="925"/>
      <c r="R150" s="762"/>
      <c r="S150" s="925"/>
      <c r="T150" s="762"/>
      <c r="U150" s="925"/>
      <c r="V150" s="762"/>
      <c r="W150" s="925"/>
      <c r="X150" s="762"/>
      <c r="AF150" s="786"/>
      <c r="AG150" s="762"/>
      <c r="AH150" s="786"/>
      <c r="AI150" s="762"/>
      <c r="AJ150" s="762"/>
      <c r="AK150" s="786"/>
      <c r="AL150" s="762"/>
      <c r="AM150" s="786"/>
      <c r="AN150" s="762"/>
      <c r="AO150" s="786"/>
      <c r="AP150" s="762"/>
      <c r="AQ150" s="786"/>
      <c r="AR150" s="762"/>
      <c r="AS150" s="786"/>
      <c r="AT150" s="762"/>
      <c r="AU150" s="762"/>
      <c r="AV150" s="786"/>
      <c r="AW150" s="762"/>
      <c r="AX150" s="786"/>
      <c r="AY150" s="762"/>
      <c r="AZ150" s="786"/>
      <c r="BA150" s="762"/>
      <c r="BB150" s="786"/>
      <c r="BC150" s="762"/>
      <c r="BD150" s="786"/>
      <c r="BE150" s="762"/>
    </row>
    <row r="151" spans="1:66" s="772" customFormat="1" ht="15">
      <c r="A151" s="3512"/>
      <c r="B151" s="4521"/>
      <c r="C151" s="4521"/>
      <c r="D151" s="925"/>
      <c r="E151" s="762"/>
      <c r="F151" s="925"/>
      <c r="G151" s="762"/>
      <c r="H151" s="925"/>
      <c r="P151" s="762"/>
      <c r="Q151" s="925"/>
      <c r="R151" s="762"/>
      <c r="S151" s="925"/>
      <c r="T151" s="762"/>
      <c r="U151" s="1566" t="str">
        <f>'Приложение '!B81</f>
        <v>Дата: 24 юни 2021 година</v>
      </c>
      <c r="V151" s="762"/>
      <c r="W151" s="925"/>
      <c r="X151" s="762"/>
      <c r="Y151" s="762"/>
      <c r="Z151" s="925"/>
      <c r="AA151" s="3514" t="str">
        <f>'Приложение '!C81</f>
        <v xml:space="preserve">Гл. счетоводител/Фин.директор: </v>
      </c>
      <c r="AB151" s="2695" t="str">
        <f>'Приложение '!D81</f>
        <v>..............................................</v>
      </c>
      <c r="AC151" s="762"/>
      <c r="AD151" s="762"/>
      <c r="AE151" s="925"/>
      <c r="AF151" s="786"/>
      <c r="AG151" s="762"/>
      <c r="AH151" s="786"/>
      <c r="AI151" s="762"/>
      <c r="AJ151" s="762"/>
      <c r="AK151" s="786"/>
      <c r="AL151" s="762"/>
      <c r="AM151" s="786"/>
      <c r="AN151" s="762"/>
      <c r="AO151" s="786"/>
      <c r="AP151" s="762"/>
      <c r="AQ151" s="786"/>
      <c r="AR151" s="762"/>
      <c r="AS151" s="786"/>
      <c r="AT151" s="762"/>
      <c r="AU151" s="762"/>
      <c r="AV151" s="786"/>
      <c r="AW151" s="762"/>
      <c r="AX151" s="786"/>
      <c r="AY151" s="762"/>
      <c r="AZ151" s="786"/>
      <c r="BA151" s="762"/>
      <c r="BB151" s="786"/>
      <c r="BC151" s="762"/>
      <c r="BD151" s="786"/>
      <c r="BE151" s="762"/>
    </row>
    <row r="152" spans="1:66" s="3181" customFormat="1" ht="15">
      <c r="B152" s="3512"/>
      <c r="C152" s="3512"/>
      <c r="D152" s="3392"/>
      <c r="E152" s="3391"/>
      <c r="F152" s="3392"/>
      <c r="G152" s="3391"/>
      <c r="H152" s="3392"/>
      <c r="P152" s="2944"/>
      <c r="Q152" s="762"/>
      <c r="R152" s="3391"/>
      <c r="S152" s="3392"/>
      <c r="T152" s="3391"/>
      <c r="U152" s="3392"/>
      <c r="V152" s="3391"/>
      <c r="W152" s="3392"/>
      <c r="X152" s="3391"/>
      <c r="Y152" s="3391"/>
      <c r="Z152" s="3392"/>
      <c r="AA152" s="3514"/>
      <c r="AB152" s="4608" t="str">
        <f>'Приложение '!D82</f>
        <v>(подпис)</v>
      </c>
      <c r="AC152" s="3354"/>
      <c r="AD152" s="3353"/>
      <c r="AE152" s="3354"/>
      <c r="AF152" s="3489"/>
      <c r="AG152" s="3351"/>
      <c r="AH152" s="3513"/>
      <c r="AI152" s="3351"/>
      <c r="AJ152" s="3351"/>
      <c r="AK152" s="3489"/>
      <c r="AL152" s="3391"/>
      <c r="AM152" s="3489"/>
      <c r="AN152" s="3391"/>
      <c r="AO152" s="3489"/>
      <c r="AP152" s="3391"/>
      <c r="AQ152" s="3489"/>
      <c r="AR152" s="3391"/>
      <c r="AS152" s="3513"/>
      <c r="AT152" s="3351"/>
      <c r="AU152" s="3351"/>
      <c r="AV152" s="3489"/>
      <c r="AW152" s="3391"/>
      <c r="AX152" s="3489"/>
      <c r="AY152" s="3391"/>
      <c r="AZ152" s="3489"/>
      <c r="BA152" s="3391"/>
      <c r="BB152" s="3489"/>
      <c r="BC152" s="3391"/>
      <c r="BD152" s="3513"/>
      <c r="BE152" s="3351"/>
      <c r="BF152" s="772"/>
      <c r="BG152" s="772"/>
      <c r="BH152" s="772"/>
      <c r="BI152" s="772"/>
      <c r="BJ152" s="772"/>
      <c r="BK152" s="772"/>
      <c r="BL152" s="772"/>
      <c r="BM152" s="772"/>
      <c r="BN152" s="772"/>
    </row>
    <row r="153" spans="1:66" s="772" customFormat="1" ht="15">
      <c r="D153" s="3392"/>
      <c r="E153" s="3391"/>
      <c r="F153" s="3392"/>
      <c r="G153" s="3391"/>
      <c r="H153" s="3392"/>
      <c r="P153" s="2944"/>
      <c r="Q153" s="762"/>
      <c r="R153" s="3391"/>
      <c r="S153" s="3392"/>
      <c r="T153" s="3391"/>
      <c r="U153" s="3392"/>
      <c r="V153" s="3391"/>
      <c r="W153" s="3392"/>
      <c r="X153" s="3391"/>
      <c r="Y153" s="3391"/>
      <c r="Z153" s="3392"/>
      <c r="AC153" s="3518"/>
      <c r="AD153" s="2951"/>
      <c r="AE153" s="3354"/>
      <c r="AF153" s="3489"/>
      <c r="AG153" s="2944"/>
      <c r="AH153" s="3516"/>
      <c r="AI153" s="2944"/>
      <c r="AJ153" s="2944"/>
      <c r="AK153" s="3489"/>
      <c r="AL153" s="3391"/>
      <c r="AM153" s="3489"/>
      <c r="AN153" s="3391"/>
      <c r="AO153" s="3489"/>
      <c r="AP153" s="3391"/>
      <c r="AQ153" s="3489"/>
      <c r="AR153" s="3391"/>
      <c r="AS153" s="3516"/>
      <c r="AT153" s="2944"/>
      <c r="AU153" s="2944"/>
      <c r="AV153" s="3489"/>
      <c r="AW153" s="3391"/>
      <c r="AX153" s="3489"/>
      <c r="AY153" s="3391"/>
      <c r="AZ153" s="3489"/>
      <c r="BA153" s="3391"/>
      <c r="BB153" s="3489"/>
      <c r="BC153" s="3391"/>
      <c r="BD153" s="3516"/>
      <c r="BE153" s="2944"/>
    </row>
    <row r="154" spans="1:66" s="772" customFormat="1" ht="15">
      <c r="D154" s="3392"/>
      <c r="E154" s="3419"/>
      <c r="F154" s="3392"/>
      <c r="G154" s="3419"/>
      <c r="H154" s="3392"/>
      <c r="P154" s="2944"/>
      <c r="Q154" s="762"/>
      <c r="R154" s="3419"/>
      <c r="S154" s="3392"/>
      <c r="T154" s="3419"/>
      <c r="U154" s="3392"/>
      <c r="V154" s="3419"/>
      <c r="W154" s="3392"/>
      <c r="X154" s="3419"/>
      <c r="Y154" s="3419"/>
      <c r="Z154" s="3392"/>
      <c r="AA154" s="3514"/>
      <c r="AB154" s="2695"/>
      <c r="AC154" s="3518"/>
      <c r="AD154" s="2951"/>
      <c r="AE154" s="3354"/>
      <c r="AF154" s="3489"/>
      <c r="AG154" s="2944"/>
      <c r="AH154" s="3516"/>
      <c r="AI154" s="2944"/>
      <c r="AJ154" s="2944"/>
      <c r="AK154" s="3489"/>
      <c r="AL154" s="3419"/>
      <c r="AM154" s="3489"/>
      <c r="AN154" s="3419"/>
      <c r="AO154" s="3489"/>
      <c r="AP154" s="3419"/>
      <c r="AQ154" s="3489"/>
      <c r="AR154" s="3391"/>
      <c r="AS154" s="3516"/>
      <c r="AT154" s="2944"/>
      <c r="AU154" s="2944"/>
      <c r="AV154" s="3489"/>
      <c r="AW154" s="3419"/>
      <c r="AX154" s="3489"/>
      <c r="AY154" s="3419"/>
      <c r="AZ154" s="3489"/>
      <c r="BA154" s="3419"/>
      <c r="BB154" s="3489"/>
      <c r="BC154" s="3391"/>
      <c r="BD154" s="3516"/>
      <c r="BE154" s="2944"/>
    </row>
    <row r="155" spans="1:66" s="772" customFormat="1" ht="15">
      <c r="B155" s="3520"/>
      <c r="C155" s="3520" t="s">
        <v>191</v>
      </c>
      <c r="D155" s="3392"/>
      <c r="E155" s="3391"/>
      <c r="F155" s="3392"/>
      <c r="G155" s="3391"/>
      <c r="H155" s="3392"/>
      <c r="P155" s="2944"/>
      <c r="Q155" s="762"/>
      <c r="R155" s="3391"/>
      <c r="S155" s="3392"/>
      <c r="T155" s="3391"/>
      <c r="U155" s="3392"/>
      <c r="V155" s="3391"/>
      <c r="W155" s="3392"/>
      <c r="X155" s="3391"/>
      <c r="Y155" s="3391"/>
      <c r="Z155" s="3392"/>
      <c r="AA155" s="3514" t="str">
        <f>'Приложение '!C85</f>
        <v xml:space="preserve">Управител/Изп.директор: </v>
      </c>
      <c r="AB155" s="2695" t="str">
        <f>'Приложение '!D85</f>
        <v>.............................................</v>
      </c>
      <c r="AC155" s="3354"/>
      <c r="AD155" s="3353"/>
      <c r="AE155" s="3354"/>
      <c r="AF155" s="3489"/>
      <c r="AG155" s="2944"/>
      <c r="AH155" s="3516"/>
      <c r="AI155" s="2944"/>
      <c r="AJ155" s="2944"/>
      <c r="AK155" s="3489"/>
      <c r="AL155" s="3391"/>
      <c r="AM155" s="3489"/>
      <c r="AN155" s="3391"/>
      <c r="AO155" s="3489"/>
      <c r="AP155" s="3391"/>
      <c r="AQ155" s="3489"/>
      <c r="AR155" s="3391"/>
      <c r="AS155" s="3516"/>
      <c r="AT155" s="2944"/>
      <c r="AU155" s="2944"/>
      <c r="AV155" s="3489"/>
      <c r="AW155" s="3391"/>
      <c r="AX155" s="3489"/>
      <c r="AY155" s="3391"/>
      <c r="AZ155" s="3489"/>
      <c r="BA155" s="3391"/>
      <c r="BB155" s="3489"/>
      <c r="BC155" s="3391"/>
      <c r="BD155" s="3516"/>
      <c r="BE155" s="2944"/>
    </row>
    <row r="156" spans="1:66" s="772" customFormat="1" ht="15">
      <c r="B156" s="422"/>
      <c r="C156" s="772" t="s">
        <v>1067</v>
      </c>
      <c r="D156" s="3392"/>
      <c r="E156" s="3391"/>
      <c r="F156" s="3392"/>
      <c r="G156" s="3391"/>
      <c r="H156" s="3392"/>
      <c r="P156" s="2944"/>
      <c r="Q156" s="762"/>
      <c r="R156" s="3391"/>
      <c r="S156" s="3392"/>
      <c r="T156" s="3391"/>
      <c r="U156" s="3392"/>
      <c r="V156" s="3391"/>
      <c r="W156" s="3392"/>
      <c r="X156" s="3391"/>
      <c r="Y156" s="3391"/>
      <c r="Z156" s="3392"/>
      <c r="AB156" s="4608" t="str">
        <f>'Приложение '!D86</f>
        <v>(подпис и печат)</v>
      </c>
      <c r="AC156" s="3518"/>
      <c r="AD156" s="2951"/>
      <c r="AE156" s="3354"/>
      <c r="AF156" s="3489"/>
      <c r="AG156" s="3391"/>
      <c r="AH156" s="3489"/>
      <c r="AI156" s="3391"/>
      <c r="AJ156" s="3391"/>
      <c r="AK156" s="3489"/>
      <c r="AL156" s="3391"/>
      <c r="AM156" s="3489"/>
      <c r="AN156" s="3391"/>
      <c r="AO156" s="3489"/>
      <c r="AP156" s="3391"/>
      <c r="AQ156" s="3489"/>
      <c r="AR156" s="3391"/>
      <c r="AS156" s="3489"/>
      <c r="AT156" s="3391"/>
      <c r="AU156" s="3391"/>
      <c r="AV156" s="3489"/>
      <c r="AW156" s="3391"/>
      <c r="AX156" s="3489"/>
      <c r="AY156" s="3391"/>
      <c r="AZ156" s="3489"/>
      <c r="BA156" s="3391"/>
      <c r="BB156" s="3489"/>
      <c r="BC156" s="3391"/>
      <c r="BD156" s="3489"/>
      <c r="BE156" s="3391"/>
    </row>
    <row r="157" spans="1:66" ht="15">
      <c r="P157" s="2944"/>
      <c r="Q157" s="762"/>
    </row>
  </sheetData>
  <sheetProtection algorithmName="SHA-512" hashValue="88LwWmh3FnxUx1JSKs401RbGLeiMJ6OvlTeaFgdNC+S9d54M8hP62TYOQNHGrqy5W28LaZMoh/cebxM2XEe+tA==" saltValue="K0C7ob2IqDv4estd1MNZew==" spinCount="100000" sheet="1" objects="1" scenarios="1" formatCells="0" formatColumns="0" formatRows="0"/>
  <mergeCells count="324">
    <mergeCell ref="U1:AB1"/>
    <mergeCell ref="A2:T2"/>
    <mergeCell ref="U2:AB2"/>
    <mergeCell ref="A4:T4"/>
    <mergeCell ref="A5:T5"/>
    <mergeCell ref="A114:B114"/>
    <mergeCell ref="A137:B137"/>
    <mergeCell ref="A88:B88"/>
    <mergeCell ref="A89:B89"/>
    <mergeCell ref="A91:B91"/>
    <mergeCell ref="A92:B92"/>
    <mergeCell ref="A93:B93"/>
    <mergeCell ref="A94:B94"/>
    <mergeCell ref="A122:B122"/>
    <mergeCell ref="A123:B123"/>
    <mergeCell ref="A124:B124"/>
    <mergeCell ref="A116:B116"/>
    <mergeCell ref="A117:B117"/>
    <mergeCell ref="A118:B118"/>
    <mergeCell ref="A119:B119"/>
    <mergeCell ref="A120:B120"/>
    <mergeCell ref="A121:B121"/>
    <mergeCell ref="A95:B95"/>
    <mergeCell ref="A96:B96"/>
    <mergeCell ref="C85:H85"/>
    <mergeCell ref="I85:N85"/>
    <mergeCell ref="O85:T85"/>
    <mergeCell ref="A99:B99"/>
    <mergeCell ref="A104:A105"/>
    <mergeCell ref="A106:A107"/>
    <mergeCell ref="A111:B111"/>
    <mergeCell ref="A110:B110"/>
    <mergeCell ref="C79:H79"/>
    <mergeCell ref="I79:N79"/>
    <mergeCell ref="C103:H103"/>
    <mergeCell ref="I103:N103"/>
    <mergeCell ref="I81:N81"/>
    <mergeCell ref="C82:H82"/>
    <mergeCell ref="I82:N82"/>
    <mergeCell ref="C84:H84"/>
    <mergeCell ref="I84:N84"/>
    <mergeCell ref="C83:H83"/>
    <mergeCell ref="AA84:AF84"/>
    <mergeCell ref="O83:T83"/>
    <mergeCell ref="U83:Z83"/>
    <mergeCell ref="AA83:AF83"/>
    <mergeCell ref="A98:B98"/>
    <mergeCell ref="A80:A81"/>
    <mergeCell ref="A82:A83"/>
    <mergeCell ref="A23:B23"/>
    <mergeCell ref="A24:B24"/>
    <mergeCell ref="A25:B25"/>
    <mergeCell ref="A26:B26"/>
    <mergeCell ref="A28:B28"/>
    <mergeCell ref="A29:B29"/>
    <mergeCell ref="A30:B30"/>
    <mergeCell ref="A31:B31"/>
    <mergeCell ref="A35:A36"/>
    <mergeCell ref="A40:B40"/>
    <mergeCell ref="A41:B41"/>
    <mergeCell ref="A42:B42"/>
    <mergeCell ref="A44:B44"/>
    <mergeCell ref="A97:B97"/>
    <mergeCell ref="A87:B87"/>
    <mergeCell ref="A78:B78"/>
    <mergeCell ref="O81:T81"/>
    <mergeCell ref="U32:Z32"/>
    <mergeCell ref="AA32:AF32"/>
    <mergeCell ref="A33:A34"/>
    <mergeCell ref="AA33:AF33"/>
    <mergeCell ref="AA34:AF34"/>
    <mergeCell ref="I33:N33"/>
    <mergeCell ref="O33:T33"/>
    <mergeCell ref="U33:Z33"/>
    <mergeCell ref="C34:H34"/>
    <mergeCell ref="I34:N34"/>
    <mergeCell ref="O34:T34"/>
    <mergeCell ref="U34:Z34"/>
    <mergeCell ref="C32:H32"/>
    <mergeCell ref="U9:Z9"/>
    <mergeCell ref="AA9:AF9"/>
    <mergeCell ref="A27:B27"/>
    <mergeCell ref="A10:A11"/>
    <mergeCell ref="A12:A13"/>
    <mergeCell ref="A17:B17"/>
    <mergeCell ref="A18:B18"/>
    <mergeCell ref="A19:B19"/>
    <mergeCell ref="A21:B21"/>
    <mergeCell ref="A22:B22"/>
    <mergeCell ref="I15:N15"/>
    <mergeCell ref="O10:T10"/>
    <mergeCell ref="O11:T11"/>
    <mergeCell ref="O12:T12"/>
    <mergeCell ref="O13:T13"/>
    <mergeCell ref="O14:T14"/>
    <mergeCell ref="O15:T15"/>
    <mergeCell ref="I10:N10"/>
    <mergeCell ref="I11:N11"/>
    <mergeCell ref="I12:N12"/>
    <mergeCell ref="A20:B20"/>
    <mergeCell ref="U15:Z15"/>
    <mergeCell ref="AA10:AF10"/>
    <mergeCell ref="AA11:AF11"/>
    <mergeCell ref="A69:B69"/>
    <mergeCell ref="A70:B70"/>
    <mergeCell ref="C9:H9"/>
    <mergeCell ref="I9:N9"/>
    <mergeCell ref="O9:T9"/>
    <mergeCell ref="A47:B47"/>
    <mergeCell ref="A48:B48"/>
    <mergeCell ref="A49:B49"/>
    <mergeCell ref="I32:N32"/>
    <mergeCell ref="O32:T32"/>
    <mergeCell ref="C37:H37"/>
    <mergeCell ref="I37:N37"/>
    <mergeCell ref="O37:T37"/>
    <mergeCell ref="A43:B43"/>
    <mergeCell ref="A67:B67"/>
    <mergeCell ref="O58:T58"/>
    <mergeCell ref="I56:N56"/>
    <mergeCell ref="C33:H33"/>
    <mergeCell ref="O60:T60"/>
    <mergeCell ref="U132:Z132"/>
    <mergeCell ref="O126:T126"/>
    <mergeCell ref="A127:A128"/>
    <mergeCell ref="A129:A130"/>
    <mergeCell ref="U103:Z103"/>
    <mergeCell ref="U106:Z106"/>
    <mergeCell ref="A113:B113"/>
    <mergeCell ref="A125:B125"/>
    <mergeCell ref="A115:B115"/>
    <mergeCell ref="A112:B112"/>
    <mergeCell ref="A103:B103"/>
    <mergeCell ref="A134:B134"/>
    <mergeCell ref="O127:T127"/>
    <mergeCell ref="U127:Z127"/>
    <mergeCell ref="C126:H126"/>
    <mergeCell ref="I126:N126"/>
    <mergeCell ref="A146:B146"/>
    <mergeCell ref="AA132:AF132"/>
    <mergeCell ref="C131:H131"/>
    <mergeCell ref="I131:N131"/>
    <mergeCell ref="O131:T131"/>
    <mergeCell ref="U131:Z131"/>
    <mergeCell ref="AA131:AF131"/>
    <mergeCell ref="C130:H130"/>
    <mergeCell ref="I130:N130"/>
    <mergeCell ref="O130:T130"/>
    <mergeCell ref="U130:Z130"/>
    <mergeCell ref="AA130:AF130"/>
    <mergeCell ref="A140:B140"/>
    <mergeCell ref="A126:B126"/>
    <mergeCell ref="A133:B133"/>
    <mergeCell ref="U126:Z126"/>
    <mergeCell ref="C132:H132"/>
    <mergeCell ref="I132:N132"/>
    <mergeCell ref="O132:T132"/>
    <mergeCell ref="A147:B147"/>
    <mergeCell ref="A148:B148"/>
    <mergeCell ref="C57:H57"/>
    <mergeCell ref="C58:H58"/>
    <mergeCell ref="C59:H59"/>
    <mergeCell ref="C60:H60"/>
    <mergeCell ref="C61:H61"/>
    <mergeCell ref="C62:H62"/>
    <mergeCell ref="C36:H36"/>
    <mergeCell ref="C38:H38"/>
    <mergeCell ref="C81:H81"/>
    <mergeCell ref="A141:B141"/>
    <mergeCell ref="A142:B142"/>
    <mergeCell ref="A143:B143"/>
    <mergeCell ref="A144:B144"/>
    <mergeCell ref="A145:B145"/>
    <mergeCell ref="A135:B135"/>
    <mergeCell ref="A136:B136"/>
    <mergeCell ref="A138:B138"/>
    <mergeCell ref="A139:B139"/>
    <mergeCell ref="A64:B64"/>
    <mergeCell ref="A65:B65"/>
    <mergeCell ref="A66:B66"/>
    <mergeCell ref="A68:B68"/>
    <mergeCell ref="AA12:AF12"/>
    <mergeCell ref="AA13:AF13"/>
    <mergeCell ref="AA14:AF14"/>
    <mergeCell ref="AA15:AF15"/>
    <mergeCell ref="U10:Z10"/>
    <mergeCell ref="U11:Z11"/>
    <mergeCell ref="U12:Z12"/>
    <mergeCell ref="U13:Z13"/>
    <mergeCell ref="U14:Z14"/>
    <mergeCell ref="AA36:AF36"/>
    <mergeCell ref="AA37:AF37"/>
    <mergeCell ref="U58:Z58"/>
    <mergeCell ref="AA58:AF58"/>
    <mergeCell ref="C35:H35"/>
    <mergeCell ref="I35:N35"/>
    <mergeCell ref="O35:T35"/>
    <mergeCell ref="U35:Z35"/>
    <mergeCell ref="I36:N36"/>
    <mergeCell ref="O36:T36"/>
    <mergeCell ref="C56:H56"/>
    <mergeCell ref="U36:Z36"/>
    <mergeCell ref="U37:Z37"/>
    <mergeCell ref="AA35:AF35"/>
    <mergeCell ref="O38:T38"/>
    <mergeCell ref="U38:Z38"/>
    <mergeCell ref="I57:N57"/>
    <mergeCell ref="O57:T57"/>
    <mergeCell ref="U57:Z57"/>
    <mergeCell ref="AA38:AF38"/>
    <mergeCell ref="O56:T56"/>
    <mergeCell ref="U56:Z56"/>
    <mergeCell ref="AA56:AF56"/>
    <mergeCell ref="AA57:AF57"/>
    <mergeCell ref="U60:Z60"/>
    <mergeCell ref="AA60:AF60"/>
    <mergeCell ref="I61:N61"/>
    <mergeCell ref="O61:T61"/>
    <mergeCell ref="U61:Z61"/>
    <mergeCell ref="AA61:AF61"/>
    <mergeCell ref="I59:N59"/>
    <mergeCell ref="O59:T59"/>
    <mergeCell ref="U59:Z59"/>
    <mergeCell ref="AA59:AF59"/>
    <mergeCell ref="AA103:AF103"/>
    <mergeCell ref="I62:N62"/>
    <mergeCell ref="O62:T62"/>
    <mergeCell ref="U62:Z62"/>
    <mergeCell ref="AA62:AF62"/>
    <mergeCell ref="C80:H80"/>
    <mergeCell ref="I80:N80"/>
    <mergeCell ref="O80:T80"/>
    <mergeCell ref="U80:Z80"/>
    <mergeCell ref="AA80:AF80"/>
    <mergeCell ref="O103:T103"/>
    <mergeCell ref="O79:T79"/>
    <mergeCell ref="U79:Z79"/>
    <mergeCell ref="AA79:AF79"/>
    <mergeCell ref="U85:Z85"/>
    <mergeCell ref="AA85:AF85"/>
    <mergeCell ref="U81:Z81"/>
    <mergeCell ref="AA81:AF81"/>
    <mergeCell ref="O82:T82"/>
    <mergeCell ref="U82:Z82"/>
    <mergeCell ref="AA82:AF82"/>
    <mergeCell ref="O84:T84"/>
    <mergeCell ref="U84:Z84"/>
    <mergeCell ref="I83:N83"/>
    <mergeCell ref="AA106:AF106"/>
    <mergeCell ref="C107:H107"/>
    <mergeCell ref="I107:N107"/>
    <mergeCell ref="O107:T107"/>
    <mergeCell ref="U107:Z107"/>
    <mergeCell ref="AA107:AF107"/>
    <mergeCell ref="AA104:AF104"/>
    <mergeCell ref="C105:H105"/>
    <mergeCell ref="I105:N105"/>
    <mergeCell ref="O105:T105"/>
    <mergeCell ref="U105:Z105"/>
    <mergeCell ref="AA105:AF105"/>
    <mergeCell ref="U104:Z104"/>
    <mergeCell ref="C104:H104"/>
    <mergeCell ref="I104:N104"/>
    <mergeCell ref="O104:T104"/>
    <mergeCell ref="C106:H106"/>
    <mergeCell ref="I106:N106"/>
    <mergeCell ref="O106:T106"/>
    <mergeCell ref="AA108:AF108"/>
    <mergeCell ref="C109:H109"/>
    <mergeCell ref="I109:N109"/>
    <mergeCell ref="O109:T109"/>
    <mergeCell ref="U109:Z109"/>
    <mergeCell ref="AA109:AF109"/>
    <mergeCell ref="AA126:AF126"/>
    <mergeCell ref="C129:H129"/>
    <mergeCell ref="I129:N129"/>
    <mergeCell ref="O129:T129"/>
    <mergeCell ref="U129:Z129"/>
    <mergeCell ref="AA129:AF129"/>
    <mergeCell ref="I127:N127"/>
    <mergeCell ref="AA127:AF127"/>
    <mergeCell ref="C128:H128"/>
    <mergeCell ref="I128:N128"/>
    <mergeCell ref="O128:T128"/>
    <mergeCell ref="U128:Z128"/>
    <mergeCell ref="AA128:AF128"/>
    <mergeCell ref="U108:Z108"/>
    <mergeCell ref="C108:H108"/>
    <mergeCell ref="I108:N108"/>
    <mergeCell ref="O108:T108"/>
    <mergeCell ref="C127:H127"/>
    <mergeCell ref="A72:B72"/>
    <mergeCell ref="A73:B73"/>
    <mergeCell ref="A74:B74"/>
    <mergeCell ref="A75:B75"/>
    <mergeCell ref="A76:B76"/>
    <mergeCell ref="A100:B100"/>
    <mergeCell ref="A101:B101"/>
    <mergeCell ref="A77:B77"/>
    <mergeCell ref="A90:B90"/>
    <mergeCell ref="C3:N3"/>
    <mergeCell ref="A9:B9"/>
    <mergeCell ref="A16:B16"/>
    <mergeCell ref="A32:B32"/>
    <mergeCell ref="A39:B39"/>
    <mergeCell ref="A56:B56"/>
    <mergeCell ref="A63:B63"/>
    <mergeCell ref="A79:B79"/>
    <mergeCell ref="A86:B86"/>
    <mergeCell ref="A45:B45"/>
    <mergeCell ref="A46:B46"/>
    <mergeCell ref="A54:B54"/>
    <mergeCell ref="A50:B50"/>
    <mergeCell ref="A51:B51"/>
    <mergeCell ref="A52:B52"/>
    <mergeCell ref="A53:B53"/>
    <mergeCell ref="I60:N60"/>
    <mergeCell ref="I38:N38"/>
    <mergeCell ref="I58:N58"/>
    <mergeCell ref="I13:N13"/>
    <mergeCell ref="I14:N14"/>
    <mergeCell ref="A71:B71"/>
    <mergeCell ref="A57:A58"/>
    <mergeCell ref="A59:A60"/>
  </mergeCells>
  <printOptions horizontalCentered="1"/>
  <pageMargins left="0" right="0" top="0.74803149606299213" bottom="0.35433070866141736" header="0.31496062992125984" footer="0.11811023622047245"/>
  <pageSetup paperSize="9" scale="59" pageOrder="overThenDown" orientation="landscape" r:id="rId1"/>
  <headerFooter alignWithMargins="0">
    <oddFooter>&amp;C&amp;A&amp;RСтр. &amp;P от &amp;N</oddFooter>
  </headerFooter>
  <rowBreaks count="2" manualBreakCount="2">
    <brk id="54" max="31" man="1"/>
    <brk id="101" max="31" man="1"/>
  </rowBreaks>
  <colBreaks count="1" manualBreakCount="1">
    <brk id="20" max="156"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51"/>
  <sheetViews>
    <sheetView view="pageBreakPreview" topLeftCell="A19" zoomScale="80" zoomScaleNormal="90" zoomScaleSheetLayoutView="80" workbookViewId="0">
      <selection activeCell="C24" sqref="C24:D24"/>
    </sheetView>
  </sheetViews>
  <sheetFormatPr defaultRowHeight="12.75"/>
  <cols>
    <col min="1" max="1" width="8.140625" style="1775" customWidth="1"/>
    <col min="2" max="2" width="40" style="1775" customWidth="1"/>
    <col min="3" max="3" width="42" style="1775" customWidth="1"/>
    <col min="4" max="4" width="22" style="1775" customWidth="1"/>
    <col min="5" max="250" width="9.140625" style="1775"/>
    <col min="251" max="251" width="5.42578125" style="1775" customWidth="1"/>
    <col min="252" max="252" width="7.7109375" style="1775" customWidth="1"/>
    <col min="253" max="254" width="6.140625" style="1775" customWidth="1"/>
    <col min="255" max="255" width="6.42578125" style="1775" customWidth="1"/>
    <col min="256" max="256" width="6.85546875" style="1775" customWidth="1"/>
    <col min="257" max="257" width="12.5703125" style="1775" customWidth="1"/>
    <col min="258" max="258" width="12" style="1775" customWidth="1"/>
    <col min="259" max="259" width="12.140625" style="1775" customWidth="1"/>
    <col min="260" max="260" width="14.28515625" style="1775" customWidth="1"/>
    <col min="261" max="506" width="9.140625" style="1775"/>
    <col min="507" max="507" width="5.42578125" style="1775" customWidth="1"/>
    <col min="508" max="508" width="7.7109375" style="1775" customWidth="1"/>
    <col min="509" max="510" width="6.140625" style="1775" customWidth="1"/>
    <col min="511" max="511" width="6.42578125" style="1775" customWidth="1"/>
    <col min="512" max="512" width="6.85546875" style="1775" customWidth="1"/>
    <col min="513" max="513" width="12.5703125" style="1775" customWidth="1"/>
    <col min="514" max="514" width="12" style="1775" customWidth="1"/>
    <col min="515" max="515" width="12.140625" style="1775" customWidth="1"/>
    <col min="516" max="516" width="14.28515625" style="1775" customWidth="1"/>
    <col min="517" max="762" width="9.140625" style="1775"/>
    <col min="763" max="763" width="5.42578125" style="1775" customWidth="1"/>
    <col min="764" max="764" width="7.7109375" style="1775" customWidth="1"/>
    <col min="765" max="766" width="6.140625" style="1775" customWidth="1"/>
    <col min="767" max="767" width="6.42578125" style="1775" customWidth="1"/>
    <col min="768" max="768" width="6.85546875" style="1775" customWidth="1"/>
    <col min="769" max="769" width="12.5703125" style="1775" customWidth="1"/>
    <col min="770" max="770" width="12" style="1775" customWidth="1"/>
    <col min="771" max="771" width="12.140625" style="1775" customWidth="1"/>
    <col min="772" max="772" width="14.28515625" style="1775" customWidth="1"/>
    <col min="773" max="1018" width="9.140625" style="1775"/>
    <col min="1019" max="1019" width="5.42578125" style="1775" customWidth="1"/>
    <col min="1020" max="1020" width="7.7109375" style="1775" customWidth="1"/>
    <col min="1021" max="1022" width="6.140625" style="1775" customWidth="1"/>
    <col min="1023" max="1023" width="6.42578125" style="1775" customWidth="1"/>
    <col min="1024" max="1024" width="6.85546875" style="1775" customWidth="1"/>
    <col min="1025" max="1025" width="12.5703125" style="1775" customWidth="1"/>
    <col min="1026" max="1026" width="12" style="1775" customWidth="1"/>
    <col min="1027" max="1027" width="12.140625" style="1775" customWidth="1"/>
    <col min="1028" max="1028" width="14.28515625" style="1775" customWidth="1"/>
    <col min="1029" max="1274" width="9.140625" style="1775"/>
    <col min="1275" max="1275" width="5.42578125" style="1775" customWidth="1"/>
    <col min="1276" max="1276" width="7.7109375" style="1775" customWidth="1"/>
    <col min="1277" max="1278" width="6.140625" style="1775" customWidth="1"/>
    <col min="1279" max="1279" width="6.42578125" style="1775" customWidth="1"/>
    <col min="1280" max="1280" width="6.85546875" style="1775" customWidth="1"/>
    <col min="1281" max="1281" width="12.5703125" style="1775" customWidth="1"/>
    <col min="1282" max="1282" width="12" style="1775" customWidth="1"/>
    <col min="1283" max="1283" width="12.140625" style="1775" customWidth="1"/>
    <col min="1284" max="1284" width="14.28515625" style="1775" customWidth="1"/>
    <col min="1285" max="1530" width="9.140625" style="1775"/>
    <col min="1531" max="1531" width="5.42578125" style="1775" customWidth="1"/>
    <col min="1532" max="1532" width="7.7109375" style="1775" customWidth="1"/>
    <col min="1533" max="1534" width="6.140625" style="1775" customWidth="1"/>
    <col min="1535" max="1535" width="6.42578125" style="1775" customWidth="1"/>
    <col min="1536" max="1536" width="6.85546875" style="1775" customWidth="1"/>
    <col min="1537" max="1537" width="12.5703125" style="1775" customWidth="1"/>
    <col min="1538" max="1538" width="12" style="1775" customWidth="1"/>
    <col min="1539" max="1539" width="12.140625" style="1775" customWidth="1"/>
    <col min="1540" max="1540" width="14.28515625" style="1775" customWidth="1"/>
    <col min="1541" max="1786" width="9.140625" style="1775"/>
    <col min="1787" max="1787" width="5.42578125" style="1775" customWidth="1"/>
    <col min="1788" max="1788" width="7.7109375" style="1775" customWidth="1"/>
    <col min="1789" max="1790" width="6.140625" style="1775" customWidth="1"/>
    <col min="1791" max="1791" width="6.42578125" style="1775" customWidth="1"/>
    <col min="1792" max="1792" width="6.85546875" style="1775" customWidth="1"/>
    <col min="1793" max="1793" width="12.5703125" style="1775" customWidth="1"/>
    <col min="1794" max="1794" width="12" style="1775" customWidth="1"/>
    <col min="1795" max="1795" width="12.140625" style="1775" customWidth="1"/>
    <col min="1796" max="1796" width="14.28515625" style="1775" customWidth="1"/>
    <col min="1797" max="2042" width="9.140625" style="1775"/>
    <col min="2043" max="2043" width="5.42578125" style="1775" customWidth="1"/>
    <col min="2044" max="2044" width="7.7109375" style="1775" customWidth="1"/>
    <col min="2045" max="2046" width="6.140625" style="1775" customWidth="1"/>
    <col min="2047" max="2047" width="6.42578125" style="1775" customWidth="1"/>
    <col min="2048" max="2048" width="6.85546875" style="1775" customWidth="1"/>
    <col min="2049" max="2049" width="12.5703125" style="1775" customWidth="1"/>
    <col min="2050" max="2050" width="12" style="1775" customWidth="1"/>
    <col min="2051" max="2051" width="12.140625" style="1775" customWidth="1"/>
    <col min="2052" max="2052" width="14.28515625" style="1775" customWidth="1"/>
    <col min="2053" max="2298" width="9.140625" style="1775"/>
    <col min="2299" max="2299" width="5.42578125" style="1775" customWidth="1"/>
    <col min="2300" max="2300" width="7.7109375" style="1775" customWidth="1"/>
    <col min="2301" max="2302" width="6.140625" style="1775" customWidth="1"/>
    <col min="2303" max="2303" width="6.42578125" style="1775" customWidth="1"/>
    <col min="2304" max="2304" width="6.85546875" style="1775" customWidth="1"/>
    <col min="2305" max="2305" width="12.5703125" style="1775" customWidth="1"/>
    <col min="2306" max="2306" width="12" style="1775" customWidth="1"/>
    <col min="2307" max="2307" width="12.140625" style="1775" customWidth="1"/>
    <col min="2308" max="2308" width="14.28515625" style="1775" customWidth="1"/>
    <col min="2309" max="2554" width="9.140625" style="1775"/>
    <col min="2555" max="2555" width="5.42578125" style="1775" customWidth="1"/>
    <col min="2556" max="2556" width="7.7109375" style="1775" customWidth="1"/>
    <col min="2557" max="2558" width="6.140625" style="1775" customWidth="1"/>
    <col min="2559" max="2559" width="6.42578125" style="1775" customWidth="1"/>
    <col min="2560" max="2560" width="6.85546875" style="1775" customWidth="1"/>
    <col min="2561" max="2561" width="12.5703125" style="1775" customWidth="1"/>
    <col min="2562" max="2562" width="12" style="1775" customWidth="1"/>
    <col min="2563" max="2563" width="12.140625" style="1775" customWidth="1"/>
    <col min="2564" max="2564" width="14.28515625" style="1775" customWidth="1"/>
    <col min="2565" max="2810" width="9.140625" style="1775"/>
    <col min="2811" max="2811" width="5.42578125" style="1775" customWidth="1"/>
    <col min="2812" max="2812" width="7.7109375" style="1775" customWidth="1"/>
    <col min="2813" max="2814" width="6.140625" style="1775" customWidth="1"/>
    <col min="2815" max="2815" width="6.42578125" style="1775" customWidth="1"/>
    <col min="2816" max="2816" width="6.85546875" style="1775" customWidth="1"/>
    <col min="2817" max="2817" width="12.5703125" style="1775" customWidth="1"/>
    <col min="2818" max="2818" width="12" style="1775" customWidth="1"/>
    <col min="2819" max="2819" width="12.140625" style="1775" customWidth="1"/>
    <col min="2820" max="2820" width="14.28515625" style="1775" customWidth="1"/>
    <col min="2821" max="3066" width="9.140625" style="1775"/>
    <col min="3067" max="3067" width="5.42578125" style="1775" customWidth="1"/>
    <col min="3068" max="3068" width="7.7109375" style="1775" customWidth="1"/>
    <col min="3069" max="3070" width="6.140625" style="1775" customWidth="1"/>
    <col min="3071" max="3071" width="6.42578125" style="1775" customWidth="1"/>
    <col min="3072" max="3072" width="6.85546875" style="1775" customWidth="1"/>
    <col min="3073" max="3073" width="12.5703125" style="1775" customWidth="1"/>
    <col min="3074" max="3074" width="12" style="1775" customWidth="1"/>
    <col min="3075" max="3075" width="12.140625" style="1775" customWidth="1"/>
    <col min="3076" max="3076" width="14.28515625" style="1775" customWidth="1"/>
    <col min="3077" max="3322" width="9.140625" style="1775"/>
    <col min="3323" max="3323" width="5.42578125" style="1775" customWidth="1"/>
    <col min="3324" max="3324" width="7.7109375" style="1775" customWidth="1"/>
    <col min="3325" max="3326" width="6.140625" style="1775" customWidth="1"/>
    <col min="3327" max="3327" width="6.42578125" style="1775" customWidth="1"/>
    <col min="3328" max="3328" width="6.85546875" style="1775" customWidth="1"/>
    <col min="3329" max="3329" width="12.5703125" style="1775" customWidth="1"/>
    <col min="3330" max="3330" width="12" style="1775" customWidth="1"/>
    <col min="3331" max="3331" width="12.140625" style="1775" customWidth="1"/>
    <col min="3332" max="3332" width="14.28515625" style="1775" customWidth="1"/>
    <col min="3333" max="3578" width="9.140625" style="1775"/>
    <col min="3579" max="3579" width="5.42578125" style="1775" customWidth="1"/>
    <col min="3580" max="3580" width="7.7109375" style="1775" customWidth="1"/>
    <col min="3581" max="3582" width="6.140625" style="1775" customWidth="1"/>
    <col min="3583" max="3583" width="6.42578125" style="1775" customWidth="1"/>
    <col min="3584" max="3584" width="6.85546875" style="1775" customWidth="1"/>
    <col min="3585" max="3585" width="12.5703125" style="1775" customWidth="1"/>
    <col min="3586" max="3586" width="12" style="1775" customWidth="1"/>
    <col min="3587" max="3587" width="12.140625" style="1775" customWidth="1"/>
    <col min="3588" max="3588" width="14.28515625" style="1775" customWidth="1"/>
    <col min="3589" max="3834" width="9.140625" style="1775"/>
    <col min="3835" max="3835" width="5.42578125" style="1775" customWidth="1"/>
    <col min="3836" max="3836" width="7.7109375" style="1775" customWidth="1"/>
    <col min="3837" max="3838" width="6.140625" style="1775" customWidth="1"/>
    <col min="3839" max="3839" width="6.42578125" style="1775" customWidth="1"/>
    <col min="3840" max="3840" width="6.85546875" style="1775" customWidth="1"/>
    <col min="3841" max="3841" width="12.5703125" style="1775" customWidth="1"/>
    <col min="3842" max="3842" width="12" style="1775" customWidth="1"/>
    <col min="3843" max="3843" width="12.140625" style="1775" customWidth="1"/>
    <col min="3844" max="3844" width="14.28515625" style="1775" customWidth="1"/>
    <col min="3845" max="4090" width="9.140625" style="1775"/>
    <col min="4091" max="4091" width="5.42578125" style="1775" customWidth="1"/>
    <col min="4092" max="4092" width="7.7109375" style="1775" customWidth="1"/>
    <col min="4093" max="4094" width="6.140625" style="1775" customWidth="1"/>
    <col min="4095" max="4095" width="6.42578125" style="1775" customWidth="1"/>
    <col min="4096" max="4096" width="6.85546875" style="1775" customWidth="1"/>
    <col min="4097" max="4097" width="12.5703125" style="1775" customWidth="1"/>
    <col min="4098" max="4098" width="12" style="1775" customWidth="1"/>
    <col min="4099" max="4099" width="12.140625" style="1775" customWidth="1"/>
    <col min="4100" max="4100" width="14.28515625" style="1775" customWidth="1"/>
    <col min="4101" max="4346" width="9.140625" style="1775"/>
    <col min="4347" max="4347" width="5.42578125" style="1775" customWidth="1"/>
    <col min="4348" max="4348" width="7.7109375" style="1775" customWidth="1"/>
    <col min="4349" max="4350" width="6.140625" style="1775" customWidth="1"/>
    <col min="4351" max="4351" width="6.42578125" style="1775" customWidth="1"/>
    <col min="4352" max="4352" width="6.85546875" style="1775" customWidth="1"/>
    <col min="4353" max="4353" width="12.5703125" style="1775" customWidth="1"/>
    <col min="4354" max="4354" width="12" style="1775" customWidth="1"/>
    <col min="4355" max="4355" width="12.140625" style="1775" customWidth="1"/>
    <col min="4356" max="4356" width="14.28515625" style="1775" customWidth="1"/>
    <col min="4357" max="4602" width="9.140625" style="1775"/>
    <col min="4603" max="4603" width="5.42578125" style="1775" customWidth="1"/>
    <col min="4604" max="4604" width="7.7109375" style="1775" customWidth="1"/>
    <col min="4605" max="4606" width="6.140625" style="1775" customWidth="1"/>
    <col min="4607" max="4607" width="6.42578125" style="1775" customWidth="1"/>
    <col min="4608" max="4608" width="6.85546875" style="1775" customWidth="1"/>
    <col min="4609" max="4609" width="12.5703125" style="1775" customWidth="1"/>
    <col min="4610" max="4610" width="12" style="1775" customWidth="1"/>
    <col min="4611" max="4611" width="12.140625" style="1775" customWidth="1"/>
    <col min="4612" max="4612" width="14.28515625" style="1775" customWidth="1"/>
    <col min="4613" max="4858" width="9.140625" style="1775"/>
    <col min="4859" max="4859" width="5.42578125" style="1775" customWidth="1"/>
    <col min="4860" max="4860" width="7.7109375" style="1775" customWidth="1"/>
    <col min="4861" max="4862" width="6.140625" style="1775" customWidth="1"/>
    <col min="4863" max="4863" width="6.42578125" style="1775" customWidth="1"/>
    <col min="4864" max="4864" width="6.85546875" style="1775" customWidth="1"/>
    <col min="4865" max="4865" width="12.5703125" style="1775" customWidth="1"/>
    <col min="4866" max="4866" width="12" style="1775" customWidth="1"/>
    <col min="4867" max="4867" width="12.140625" style="1775" customWidth="1"/>
    <col min="4868" max="4868" width="14.28515625" style="1775" customWidth="1"/>
    <col min="4869" max="5114" width="9.140625" style="1775"/>
    <col min="5115" max="5115" width="5.42578125" style="1775" customWidth="1"/>
    <col min="5116" max="5116" width="7.7109375" style="1775" customWidth="1"/>
    <col min="5117" max="5118" width="6.140625" style="1775" customWidth="1"/>
    <col min="5119" max="5119" width="6.42578125" style="1775" customWidth="1"/>
    <col min="5120" max="5120" width="6.85546875" style="1775" customWidth="1"/>
    <col min="5121" max="5121" width="12.5703125" style="1775" customWidth="1"/>
    <col min="5122" max="5122" width="12" style="1775" customWidth="1"/>
    <col min="5123" max="5123" width="12.140625" style="1775" customWidth="1"/>
    <col min="5124" max="5124" width="14.28515625" style="1775" customWidth="1"/>
    <col min="5125" max="5370" width="9.140625" style="1775"/>
    <col min="5371" max="5371" width="5.42578125" style="1775" customWidth="1"/>
    <col min="5372" max="5372" width="7.7109375" style="1775" customWidth="1"/>
    <col min="5373" max="5374" width="6.140625" style="1775" customWidth="1"/>
    <col min="5375" max="5375" width="6.42578125" style="1775" customWidth="1"/>
    <col min="5376" max="5376" width="6.85546875" style="1775" customWidth="1"/>
    <col min="5377" max="5377" width="12.5703125" style="1775" customWidth="1"/>
    <col min="5378" max="5378" width="12" style="1775" customWidth="1"/>
    <col min="5379" max="5379" width="12.140625" style="1775" customWidth="1"/>
    <col min="5380" max="5380" width="14.28515625" style="1775" customWidth="1"/>
    <col min="5381" max="5626" width="9.140625" style="1775"/>
    <col min="5627" max="5627" width="5.42578125" style="1775" customWidth="1"/>
    <col min="5628" max="5628" width="7.7109375" style="1775" customWidth="1"/>
    <col min="5629" max="5630" width="6.140625" style="1775" customWidth="1"/>
    <col min="5631" max="5631" width="6.42578125" style="1775" customWidth="1"/>
    <col min="5632" max="5632" width="6.85546875" style="1775" customWidth="1"/>
    <col min="5633" max="5633" width="12.5703125" style="1775" customWidth="1"/>
    <col min="5634" max="5634" width="12" style="1775" customWidth="1"/>
    <col min="5635" max="5635" width="12.140625" style="1775" customWidth="1"/>
    <col min="5636" max="5636" width="14.28515625" style="1775" customWidth="1"/>
    <col min="5637" max="5882" width="9.140625" style="1775"/>
    <col min="5883" max="5883" width="5.42578125" style="1775" customWidth="1"/>
    <col min="5884" max="5884" width="7.7109375" style="1775" customWidth="1"/>
    <col min="5885" max="5886" width="6.140625" style="1775" customWidth="1"/>
    <col min="5887" max="5887" width="6.42578125" style="1775" customWidth="1"/>
    <col min="5888" max="5888" width="6.85546875" style="1775" customWidth="1"/>
    <col min="5889" max="5889" width="12.5703125" style="1775" customWidth="1"/>
    <col min="5890" max="5890" width="12" style="1775" customWidth="1"/>
    <col min="5891" max="5891" width="12.140625" style="1775" customWidth="1"/>
    <col min="5892" max="5892" width="14.28515625" style="1775" customWidth="1"/>
    <col min="5893" max="6138" width="9.140625" style="1775"/>
    <col min="6139" max="6139" width="5.42578125" style="1775" customWidth="1"/>
    <col min="6140" max="6140" width="7.7109375" style="1775" customWidth="1"/>
    <col min="6141" max="6142" width="6.140625" style="1775" customWidth="1"/>
    <col min="6143" max="6143" width="6.42578125" style="1775" customWidth="1"/>
    <col min="6144" max="6144" width="6.85546875" style="1775" customWidth="1"/>
    <col min="6145" max="6145" width="12.5703125" style="1775" customWidth="1"/>
    <col min="6146" max="6146" width="12" style="1775" customWidth="1"/>
    <col min="6147" max="6147" width="12.140625" style="1775" customWidth="1"/>
    <col min="6148" max="6148" width="14.28515625" style="1775" customWidth="1"/>
    <col min="6149" max="6394" width="9.140625" style="1775"/>
    <col min="6395" max="6395" width="5.42578125" style="1775" customWidth="1"/>
    <col min="6396" max="6396" width="7.7109375" style="1775" customWidth="1"/>
    <col min="6397" max="6398" width="6.140625" style="1775" customWidth="1"/>
    <col min="6399" max="6399" width="6.42578125" style="1775" customWidth="1"/>
    <col min="6400" max="6400" width="6.85546875" style="1775" customWidth="1"/>
    <col min="6401" max="6401" width="12.5703125" style="1775" customWidth="1"/>
    <col min="6402" max="6402" width="12" style="1775" customWidth="1"/>
    <col min="6403" max="6403" width="12.140625" style="1775" customWidth="1"/>
    <col min="6404" max="6404" width="14.28515625" style="1775" customWidth="1"/>
    <col min="6405" max="6650" width="9.140625" style="1775"/>
    <col min="6651" max="6651" width="5.42578125" style="1775" customWidth="1"/>
    <col min="6652" max="6652" width="7.7109375" style="1775" customWidth="1"/>
    <col min="6653" max="6654" width="6.140625" style="1775" customWidth="1"/>
    <col min="6655" max="6655" width="6.42578125" style="1775" customWidth="1"/>
    <col min="6656" max="6656" width="6.85546875" style="1775" customWidth="1"/>
    <col min="6657" max="6657" width="12.5703125" style="1775" customWidth="1"/>
    <col min="6658" max="6658" width="12" style="1775" customWidth="1"/>
    <col min="6659" max="6659" width="12.140625" style="1775" customWidth="1"/>
    <col min="6660" max="6660" width="14.28515625" style="1775" customWidth="1"/>
    <col min="6661" max="6906" width="9.140625" style="1775"/>
    <col min="6907" max="6907" width="5.42578125" style="1775" customWidth="1"/>
    <col min="6908" max="6908" width="7.7109375" style="1775" customWidth="1"/>
    <col min="6909" max="6910" width="6.140625" style="1775" customWidth="1"/>
    <col min="6911" max="6911" width="6.42578125" style="1775" customWidth="1"/>
    <col min="6912" max="6912" width="6.85546875" style="1775" customWidth="1"/>
    <col min="6913" max="6913" width="12.5703125" style="1775" customWidth="1"/>
    <col min="6914" max="6914" width="12" style="1775" customWidth="1"/>
    <col min="6915" max="6915" width="12.140625" style="1775" customWidth="1"/>
    <col min="6916" max="6916" width="14.28515625" style="1775" customWidth="1"/>
    <col min="6917" max="7162" width="9.140625" style="1775"/>
    <col min="7163" max="7163" width="5.42578125" style="1775" customWidth="1"/>
    <col min="7164" max="7164" width="7.7109375" style="1775" customWidth="1"/>
    <col min="7165" max="7166" width="6.140625" style="1775" customWidth="1"/>
    <col min="7167" max="7167" width="6.42578125" style="1775" customWidth="1"/>
    <col min="7168" max="7168" width="6.85546875" style="1775" customWidth="1"/>
    <col min="7169" max="7169" width="12.5703125" style="1775" customWidth="1"/>
    <col min="7170" max="7170" width="12" style="1775" customWidth="1"/>
    <col min="7171" max="7171" width="12.140625" style="1775" customWidth="1"/>
    <col min="7172" max="7172" width="14.28515625" style="1775" customWidth="1"/>
    <col min="7173" max="7418" width="9.140625" style="1775"/>
    <col min="7419" max="7419" width="5.42578125" style="1775" customWidth="1"/>
    <col min="7420" max="7420" width="7.7109375" style="1775" customWidth="1"/>
    <col min="7421" max="7422" width="6.140625" style="1775" customWidth="1"/>
    <col min="7423" max="7423" width="6.42578125" style="1775" customWidth="1"/>
    <col min="7424" max="7424" width="6.85546875" style="1775" customWidth="1"/>
    <col min="7425" max="7425" width="12.5703125" style="1775" customWidth="1"/>
    <col min="7426" max="7426" width="12" style="1775" customWidth="1"/>
    <col min="7427" max="7427" width="12.140625" style="1775" customWidth="1"/>
    <col min="7428" max="7428" width="14.28515625" style="1775" customWidth="1"/>
    <col min="7429" max="7674" width="9.140625" style="1775"/>
    <col min="7675" max="7675" width="5.42578125" style="1775" customWidth="1"/>
    <col min="7676" max="7676" width="7.7109375" style="1775" customWidth="1"/>
    <col min="7677" max="7678" width="6.140625" style="1775" customWidth="1"/>
    <col min="7679" max="7679" width="6.42578125" style="1775" customWidth="1"/>
    <col min="7680" max="7680" width="6.85546875" style="1775" customWidth="1"/>
    <col min="7681" max="7681" width="12.5703125" style="1775" customWidth="1"/>
    <col min="7682" max="7682" width="12" style="1775" customWidth="1"/>
    <col min="7683" max="7683" width="12.140625" style="1775" customWidth="1"/>
    <col min="7684" max="7684" width="14.28515625" style="1775" customWidth="1"/>
    <col min="7685" max="7930" width="9.140625" style="1775"/>
    <col min="7931" max="7931" width="5.42578125" style="1775" customWidth="1"/>
    <col min="7932" max="7932" width="7.7109375" style="1775" customWidth="1"/>
    <col min="7933" max="7934" width="6.140625" style="1775" customWidth="1"/>
    <col min="7935" max="7935" width="6.42578125" style="1775" customWidth="1"/>
    <col min="7936" max="7936" width="6.85546875" style="1775" customWidth="1"/>
    <col min="7937" max="7937" width="12.5703125" style="1775" customWidth="1"/>
    <col min="7938" max="7938" width="12" style="1775" customWidth="1"/>
    <col min="7939" max="7939" width="12.140625" style="1775" customWidth="1"/>
    <col min="7940" max="7940" width="14.28515625" style="1775" customWidth="1"/>
    <col min="7941" max="8186" width="9.140625" style="1775"/>
    <col min="8187" max="8187" width="5.42578125" style="1775" customWidth="1"/>
    <col min="8188" max="8188" width="7.7109375" style="1775" customWidth="1"/>
    <col min="8189" max="8190" width="6.140625" style="1775" customWidth="1"/>
    <col min="8191" max="8191" width="6.42578125" style="1775" customWidth="1"/>
    <col min="8192" max="8192" width="6.85546875" style="1775" customWidth="1"/>
    <col min="8193" max="8193" width="12.5703125" style="1775" customWidth="1"/>
    <col min="8194" max="8194" width="12" style="1775" customWidth="1"/>
    <col min="8195" max="8195" width="12.140625" style="1775" customWidth="1"/>
    <col min="8196" max="8196" width="14.28515625" style="1775" customWidth="1"/>
    <col min="8197" max="8442" width="9.140625" style="1775"/>
    <col min="8443" max="8443" width="5.42578125" style="1775" customWidth="1"/>
    <col min="8444" max="8444" width="7.7109375" style="1775" customWidth="1"/>
    <col min="8445" max="8446" width="6.140625" style="1775" customWidth="1"/>
    <col min="8447" max="8447" width="6.42578125" style="1775" customWidth="1"/>
    <col min="8448" max="8448" width="6.85546875" style="1775" customWidth="1"/>
    <col min="8449" max="8449" width="12.5703125" style="1775" customWidth="1"/>
    <col min="8450" max="8450" width="12" style="1775" customWidth="1"/>
    <col min="8451" max="8451" width="12.140625" style="1775" customWidth="1"/>
    <col min="8452" max="8452" width="14.28515625" style="1775" customWidth="1"/>
    <col min="8453" max="8698" width="9.140625" style="1775"/>
    <col min="8699" max="8699" width="5.42578125" style="1775" customWidth="1"/>
    <col min="8700" max="8700" width="7.7109375" style="1775" customWidth="1"/>
    <col min="8701" max="8702" width="6.140625" style="1775" customWidth="1"/>
    <col min="8703" max="8703" width="6.42578125" style="1775" customWidth="1"/>
    <col min="8704" max="8704" width="6.85546875" style="1775" customWidth="1"/>
    <col min="8705" max="8705" width="12.5703125" style="1775" customWidth="1"/>
    <col min="8706" max="8706" width="12" style="1775" customWidth="1"/>
    <col min="8707" max="8707" width="12.140625" style="1775" customWidth="1"/>
    <col min="8708" max="8708" width="14.28515625" style="1775" customWidth="1"/>
    <col min="8709" max="8954" width="9.140625" style="1775"/>
    <col min="8955" max="8955" width="5.42578125" style="1775" customWidth="1"/>
    <col min="8956" max="8956" width="7.7109375" style="1775" customWidth="1"/>
    <col min="8957" max="8958" width="6.140625" style="1775" customWidth="1"/>
    <col min="8959" max="8959" width="6.42578125" style="1775" customWidth="1"/>
    <col min="8960" max="8960" width="6.85546875" style="1775" customWidth="1"/>
    <col min="8961" max="8961" width="12.5703125" style="1775" customWidth="1"/>
    <col min="8962" max="8962" width="12" style="1775" customWidth="1"/>
    <col min="8963" max="8963" width="12.140625" style="1775" customWidth="1"/>
    <col min="8964" max="8964" width="14.28515625" style="1775" customWidth="1"/>
    <col min="8965" max="9210" width="9.140625" style="1775"/>
    <col min="9211" max="9211" width="5.42578125" style="1775" customWidth="1"/>
    <col min="9212" max="9212" width="7.7109375" style="1775" customWidth="1"/>
    <col min="9213" max="9214" width="6.140625" style="1775" customWidth="1"/>
    <col min="9215" max="9215" width="6.42578125" style="1775" customWidth="1"/>
    <col min="9216" max="9216" width="6.85546875" style="1775" customWidth="1"/>
    <col min="9217" max="9217" width="12.5703125" style="1775" customWidth="1"/>
    <col min="9218" max="9218" width="12" style="1775" customWidth="1"/>
    <col min="9219" max="9219" width="12.140625" style="1775" customWidth="1"/>
    <col min="9220" max="9220" width="14.28515625" style="1775" customWidth="1"/>
    <col min="9221" max="9466" width="9.140625" style="1775"/>
    <col min="9467" max="9467" width="5.42578125" style="1775" customWidth="1"/>
    <col min="9468" max="9468" width="7.7109375" style="1775" customWidth="1"/>
    <col min="9469" max="9470" width="6.140625" style="1775" customWidth="1"/>
    <col min="9471" max="9471" width="6.42578125" style="1775" customWidth="1"/>
    <col min="9472" max="9472" width="6.85546875" style="1775" customWidth="1"/>
    <col min="9473" max="9473" width="12.5703125" style="1775" customWidth="1"/>
    <col min="9474" max="9474" width="12" style="1775" customWidth="1"/>
    <col min="9475" max="9475" width="12.140625" style="1775" customWidth="1"/>
    <col min="9476" max="9476" width="14.28515625" style="1775" customWidth="1"/>
    <col min="9477" max="9722" width="9.140625" style="1775"/>
    <col min="9723" max="9723" width="5.42578125" style="1775" customWidth="1"/>
    <col min="9724" max="9724" width="7.7109375" style="1775" customWidth="1"/>
    <col min="9725" max="9726" width="6.140625" style="1775" customWidth="1"/>
    <col min="9727" max="9727" width="6.42578125" style="1775" customWidth="1"/>
    <col min="9728" max="9728" width="6.85546875" style="1775" customWidth="1"/>
    <col min="9729" max="9729" width="12.5703125" style="1775" customWidth="1"/>
    <col min="9730" max="9730" width="12" style="1775" customWidth="1"/>
    <col min="9731" max="9731" width="12.140625" style="1775" customWidth="1"/>
    <col min="9732" max="9732" width="14.28515625" style="1775" customWidth="1"/>
    <col min="9733" max="9978" width="9.140625" style="1775"/>
    <col min="9979" max="9979" width="5.42578125" style="1775" customWidth="1"/>
    <col min="9980" max="9980" width="7.7109375" style="1775" customWidth="1"/>
    <col min="9981" max="9982" width="6.140625" style="1775" customWidth="1"/>
    <col min="9983" max="9983" width="6.42578125" style="1775" customWidth="1"/>
    <col min="9984" max="9984" width="6.85546875" style="1775" customWidth="1"/>
    <col min="9985" max="9985" width="12.5703125" style="1775" customWidth="1"/>
    <col min="9986" max="9986" width="12" style="1775" customWidth="1"/>
    <col min="9987" max="9987" width="12.140625" style="1775" customWidth="1"/>
    <col min="9988" max="9988" width="14.28515625" style="1775" customWidth="1"/>
    <col min="9989" max="10234" width="9.140625" style="1775"/>
    <col min="10235" max="10235" width="5.42578125" style="1775" customWidth="1"/>
    <col min="10236" max="10236" width="7.7109375" style="1775" customWidth="1"/>
    <col min="10237" max="10238" width="6.140625" style="1775" customWidth="1"/>
    <col min="10239" max="10239" width="6.42578125" style="1775" customWidth="1"/>
    <col min="10240" max="10240" width="6.85546875" style="1775" customWidth="1"/>
    <col min="10241" max="10241" width="12.5703125" style="1775" customWidth="1"/>
    <col min="10242" max="10242" width="12" style="1775" customWidth="1"/>
    <col min="10243" max="10243" width="12.140625" style="1775" customWidth="1"/>
    <col min="10244" max="10244" width="14.28515625" style="1775" customWidth="1"/>
    <col min="10245" max="10490" width="9.140625" style="1775"/>
    <col min="10491" max="10491" width="5.42578125" style="1775" customWidth="1"/>
    <col min="10492" max="10492" width="7.7109375" style="1775" customWidth="1"/>
    <col min="10493" max="10494" width="6.140625" style="1775" customWidth="1"/>
    <col min="10495" max="10495" width="6.42578125" style="1775" customWidth="1"/>
    <col min="10496" max="10496" width="6.85546875" style="1775" customWidth="1"/>
    <col min="10497" max="10497" width="12.5703125" style="1775" customWidth="1"/>
    <col min="10498" max="10498" width="12" style="1775" customWidth="1"/>
    <col min="10499" max="10499" width="12.140625" style="1775" customWidth="1"/>
    <col min="10500" max="10500" width="14.28515625" style="1775" customWidth="1"/>
    <col min="10501" max="10746" width="9.140625" style="1775"/>
    <col min="10747" max="10747" width="5.42578125" style="1775" customWidth="1"/>
    <col min="10748" max="10748" width="7.7109375" style="1775" customWidth="1"/>
    <col min="10749" max="10750" width="6.140625" style="1775" customWidth="1"/>
    <col min="10751" max="10751" width="6.42578125" style="1775" customWidth="1"/>
    <col min="10752" max="10752" width="6.85546875" style="1775" customWidth="1"/>
    <col min="10753" max="10753" width="12.5703125" style="1775" customWidth="1"/>
    <col min="10754" max="10754" width="12" style="1775" customWidth="1"/>
    <col min="10755" max="10755" width="12.140625" style="1775" customWidth="1"/>
    <col min="10756" max="10756" width="14.28515625" style="1775" customWidth="1"/>
    <col min="10757" max="11002" width="9.140625" style="1775"/>
    <col min="11003" max="11003" width="5.42578125" style="1775" customWidth="1"/>
    <col min="11004" max="11004" width="7.7109375" style="1775" customWidth="1"/>
    <col min="11005" max="11006" width="6.140625" style="1775" customWidth="1"/>
    <col min="11007" max="11007" width="6.42578125" style="1775" customWidth="1"/>
    <col min="11008" max="11008" width="6.85546875" style="1775" customWidth="1"/>
    <col min="11009" max="11009" width="12.5703125" style="1775" customWidth="1"/>
    <col min="11010" max="11010" width="12" style="1775" customWidth="1"/>
    <col min="11011" max="11011" width="12.140625" style="1775" customWidth="1"/>
    <col min="11012" max="11012" width="14.28515625" style="1775" customWidth="1"/>
    <col min="11013" max="11258" width="9.140625" style="1775"/>
    <col min="11259" max="11259" width="5.42578125" style="1775" customWidth="1"/>
    <col min="11260" max="11260" width="7.7109375" style="1775" customWidth="1"/>
    <col min="11261" max="11262" width="6.140625" style="1775" customWidth="1"/>
    <col min="11263" max="11263" width="6.42578125" style="1775" customWidth="1"/>
    <col min="11264" max="11264" width="6.85546875" style="1775" customWidth="1"/>
    <col min="11265" max="11265" width="12.5703125" style="1775" customWidth="1"/>
    <col min="11266" max="11266" width="12" style="1775" customWidth="1"/>
    <col min="11267" max="11267" width="12.140625" style="1775" customWidth="1"/>
    <col min="11268" max="11268" width="14.28515625" style="1775" customWidth="1"/>
    <col min="11269" max="11514" width="9.140625" style="1775"/>
    <col min="11515" max="11515" width="5.42578125" style="1775" customWidth="1"/>
    <col min="11516" max="11516" width="7.7109375" style="1775" customWidth="1"/>
    <col min="11517" max="11518" width="6.140625" style="1775" customWidth="1"/>
    <col min="11519" max="11519" width="6.42578125" style="1775" customWidth="1"/>
    <col min="11520" max="11520" width="6.85546875" style="1775" customWidth="1"/>
    <col min="11521" max="11521" width="12.5703125" style="1775" customWidth="1"/>
    <col min="11522" max="11522" width="12" style="1775" customWidth="1"/>
    <col min="11523" max="11523" width="12.140625" style="1775" customWidth="1"/>
    <col min="11524" max="11524" width="14.28515625" style="1775" customWidth="1"/>
    <col min="11525" max="11770" width="9.140625" style="1775"/>
    <col min="11771" max="11771" width="5.42578125" style="1775" customWidth="1"/>
    <col min="11772" max="11772" width="7.7109375" style="1775" customWidth="1"/>
    <col min="11773" max="11774" width="6.140625" style="1775" customWidth="1"/>
    <col min="11775" max="11775" width="6.42578125" style="1775" customWidth="1"/>
    <col min="11776" max="11776" width="6.85546875" style="1775" customWidth="1"/>
    <col min="11777" max="11777" width="12.5703125" style="1775" customWidth="1"/>
    <col min="11778" max="11778" width="12" style="1775" customWidth="1"/>
    <col min="11779" max="11779" width="12.140625" style="1775" customWidth="1"/>
    <col min="11780" max="11780" width="14.28515625" style="1775" customWidth="1"/>
    <col min="11781" max="12026" width="9.140625" style="1775"/>
    <col min="12027" max="12027" width="5.42578125" style="1775" customWidth="1"/>
    <col min="12028" max="12028" width="7.7109375" style="1775" customWidth="1"/>
    <col min="12029" max="12030" width="6.140625" style="1775" customWidth="1"/>
    <col min="12031" max="12031" width="6.42578125" style="1775" customWidth="1"/>
    <col min="12032" max="12032" width="6.85546875" style="1775" customWidth="1"/>
    <col min="12033" max="12033" width="12.5703125" style="1775" customWidth="1"/>
    <col min="12034" max="12034" width="12" style="1775" customWidth="1"/>
    <col min="12035" max="12035" width="12.140625" style="1775" customWidth="1"/>
    <col min="12036" max="12036" width="14.28515625" style="1775" customWidth="1"/>
    <col min="12037" max="12282" width="9.140625" style="1775"/>
    <col min="12283" max="12283" width="5.42578125" style="1775" customWidth="1"/>
    <col min="12284" max="12284" width="7.7109375" style="1775" customWidth="1"/>
    <col min="12285" max="12286" width="6.140625" style="1775" customWidth="1"/>
    <col min="12287" max="12287" width="6.42578125" style="1775" customWidth="1"/>
    <col min="12288" max="12288" width="6.85546875" style="1775" customWidth="1"/>
    <col min="12289" max="12289" width="12.5703125" style="1775" customWidth="1"/>
    <col min="12290" max="12290" width="12" style="1775" customWidth="1"/>
    <col min="12291" max="12291" width="12.140625" style="1775" customWidth="1"/>
    <col min="12292" max="12292" width="14.28515625" style="1775" customWidth="1"/>
    <col min="12293" max="12538" width="9.140625" style="1775"/>
    <col min="12539" max="12539" width="5.42578125" style="1775" customWidth="1"/>
    <col min="12540" max="12540" width="7.7109375" style="1775" customWidth="1"/>
    <col min="12541" max="12542" width="6.140625" style="1775" customWidth="1"/>
    <col min="12543" max="12543" width="6.42578125" style="1775" customWidth="1"/>
    <col min="12544" max="12544" width="6.85546875" style="1775" customWidth="1"/>
    <col min="12545" max="12545" width="12.5703125" style="1775" customWidth="1"/>
    <col min="12546" max="12546" width="12" style="1775" customWidth="1"/>
    <col min="12547" max="12547" width="12.140625" style="1775" customWidth="1"/>
    <col min="12548" max="12548" width="14.28515625" style="1775" customWidth="1"/>
    <col min="12549" max="12794" width="9.140625" style="1775"/>
    <col min="12795" max="12795" width="5.42578125" style="1775" customWidth="1"/>
    <col min="12796" max="12796" width="7.7109375" style="1775" customWidth="1"/>
    <col min="12797" max="12798" width="6.140625" style="1775" customWidth="1"/>
    <col min="12799" max="12799" width="6.42578125" style="1775" customWidth="1"/>
    <col min="12800" max="12800" width="6.85546875" style="1775" customWidth="1"/>
    <col min="12801" max="12801" width="12.5703125" style="1775" customWidth="1"/>
    <col min="12802" max="12802" width="12" style="1775" customWidth="1"/>
    <col min="12803" max="12803" width="12.140625" style="1775" customWidth="1"/>
    <col min="12804" max="12804" width="14.28515625" style="1775" customWidth="1"/>
    <col min="12805" max="13050" width="9.140625" style="1775"/>
    <col min="13051" max="13051" width="5.42578125" style="1775" customWidth="1"/>
    <col min="13052" max="13052" width="7.7109375" style="1775" customWidth="1"/>
    <col min="13053" max="13054" width="6.140625" style="1775" customWidth="1"/>
    <col min="13055" max="13055" width="6.42578125" style="1775" customWidth="1"/>
    <col min="13056" max="13056" width="6.85546875" style="1775" customWidth="1"/>
    <col min="13057" max="13057" width="12.5703125" style="1775" customWidth="1"/>
    <col min="13058" max="13058" width="12" style="1775" customWidth="1"/>
    <col min="13059" max="13059" width="12.140625" style="1775" customWidth="1"/>
    <col min="13060" max="13060" width="14.28515625" style="1775" customWidth="1"/>
    <col min="13061" max="13306" width="9.140625" style="1775"/>
    <col min="13307" max="13307" width="5.42578125" style="1775" customWidth="1"/>
    <col min="13308" max="13308" width="7.7109375" style="1775" customWidth="1"/>
    <col min="13309" max="13310" width="6.140625" style="1775" customWidth="1"/>
    <col min="13311" max="13311" width="6.42578125" style="1775" customWidth="1"/>
    <col min="13312" max="13312" width="6.85546875" style="1775" customWidth="1"/>
    <col min="13313" max="13313" width="12.5703125" style="1775" customWidth="1"/>
    <col min="13314" max="13314" width="12" style="1775" customWidth="1"/>
    <col min="13315" max="13315" width="12.140625" style="1775" customWidth="1"/>
    <col min="13316" max="13316" width="14.28515625" style="1775" customWidth="1"/>
    <col min="13317" max="13562" width="9.140625" style="1775"/>
    <col min="13563" max="13563" width="5.42578125" style="1775" customWidth="1"/>
    <col min="13564" max="13564" width="7.7109375" style="1775" customWidth="1"/>
    <col min="13565" max="13566" width="6.140625" style="1775" customWidth="1"/>
    <col min="13567" max="13567" width="6.42578125" style="1775" customWidth="1"/>
    <col min="13568" max="13568" width="6.85546875" style="1775" customWidth="1"/>
    <col min="13569" max="13569" width="12.5703125" style="1775" customWidth="1"/>
    <col min="13570" max="13570" width="12" style="1775" customWidth="1"/>
    <col min="13571" max="13571" width="12.140625" style="1775" customWidth="1"/>
    <col min="13572" max="13572" width="14.28515625" style="1775" customWidth="1"/>
    <col min="13573" max="13818" width="9.140625" style="1775"/>
    <col min="13819" max="13819" width="5.42578125" style="1775" customWidth="1"/>
    <col min="13820" max="13820" width="7.7109375" style="1775" customWidth="1"/>
    <col min="13821" max="13822" width="6.140625" style="1775" customWidth="1"/>
    <col min="13823" max="13823" width="6.42578125" style="1775" customWidth="1"/>
    <col min="13824" max="13824" width="6.85546875" style="1775" customWidth="1"/>
    <col min="13825" max="13825" width="12.5703125" style="1775" customWidth="1"/>
    <col min="13826" max="13826" width="12" style="1775" customWidth="1"/>
    <col min="13827" max="13827" width="12.140625" style="1775" customWidth="1"/>
    <col min="13828" max="13828" width="14.28515625" style="1775" customWidth="1"/>
    <col min="13829" max="14074" width="9.140625" style="1775"/>
    <col min="14075" max="14075" width="5.42578125" style="1775" customWidth="1"/>
    <col min="14076" max="14076" width="7.7109375" style="1775" customWidth="1"/>
    <col min="14077" max="14078" width="6.140625" style="1775" customWidth="1"/>
    <col min="14079" max="14079" width="6.42578125" style="1775" customWidth="1"/>
    <col min="14080" max="14080" width="6.85546875" style="1775" customWidth="1"/>
    <col min="14081" max="14081" width="12.5703125" style="1775" customWidth="1"/>
    <col min="14082" max="14082" width="12" style="1775" customWidth="1"/>
    <col min="14083" max="14083" width="12.140625" style="1775" customWidth="1"/>
    <col min="14084" max="14084" width="14.28515625" style="1775" customWidth="1"/>
    <col min="14085" max="14330" width="9.140625" style="1775"/>
    <col min="14331" max="14331" width="5.42578125" style="1775" customWidth="1"/>
    <col min="14332" max="14332" width="7.7109375" style="1775" customWidth="1"/>
    <col min="14333" max="14334" width="6.140625" style="1775" customWidth="1"/>
    <col min="14335" max="14335" width="6.42578125" style="1775" customWidth="1"/>
    <col min="14336" max="14336" width="6.85546875" style="1775" customWidth="1"/>
    <col min="14337" max="14337" width="12.5703125" style="1775" customWidth="1"/>
    <col min="14338" max="14338" width="12" style="1775" customWidth="1"/>
    <col min="14339" max="14339" width="12.140625" style="1775" customWidth="1"/>
    <col min="14340" max="14340" width="14.28515625" style="1775" customWidth="1"/>
    <col min="14341" max="14586" width="9.140625" style="1775"/>
    <col min="14587" max="14587" width="5.42578125" style="1775" customWidth="1"/>
    <col min="14588" max="14588" width="7.7109375" style="1775" customWidth="1"/>
    <col min="14589" max="14590" width="6.140625" style="1775" customWidth="1"/>
    <col min="14591" max="14591" width="6.42578125" style="1775" customWidth="1"/>
    <col min="14592" max="14592" width="6.85546875" style="1775" customWidth="1"/>
    <col min="14593" max="14593" width="12.5703125" style="1775" customWidth="1"/>
    <col min="14594" max="14594" width="12" style="1775" customWidth="1"/>
    <col min="14595" max="14595" width="12.140625" style="1775" customWidth="1"/>
    <col min="14596" max="14596" width="14.28515625" style="1775" customWidth="1"/>
    <col min="14597" max="14842" width="9.140625" style="1775"/>
    <col min="14843" max="14843" width="5.42578125" style="1775" customWidth="1"/>
    <col min="14844" max="14844" width="7.7109375" style="1775" customWidth="1"/>
    <col min="14845" max="14846" width="6.140625" style="1775" customWidth="1"/>
    <col min="14847" max="14847" width="6.42578125" style="1775" customWidth="1"/>
    <col min="14848" max="14848" width="6.85546875" style="1775" customWidth="1"/>
    <col min="14849" max="14849" width="12.5703125" style="1775" customWidth="1"/>
    <col min="14850" max="14850" width="12" style="1775" customWidth="1"/>
    <col min="14851" max="14851" width="12.140625" style="1775" customWidth="1"/>
    <col min="14852" max="14852" width="14.28515625" style="1775" customWidth="1"/>
    <col min="14853" max="15098" width="9.140625" style="1775"/>
    <col min="15099" max="15099" width="5.42578125" style="1775" customWidth="1"/>
    <col min="15100" max="15100" width="7.7109375" style="1775" customWidth="1"/>
    <col min="15101" max="15102" width="6.140625" style="1775" customWidth="1"/>
    <col min="15103" max="15103" width="6.42578125" style="1775" customWidth="1"/>
    <col min="15104" max="15104" width="6.85546875" style="1775" customWidth="1"/>
    <col min="15105" max="15105" width="12.5703125" style="1775" customWidth="1"/>
    <col min="15106" max="15106" width="12" style="1775" customWidth="1"/>
    <col min="15107" max="15107" width="12.140625" style="1775" customWidth="1"/>
    <col min="15108" max="15108" width="14.28515625" style="1775" customWidth="1"/>
    <col min="15109" max="15354" width="9.140625" style="1775"/>
    <col min="15355" max="15355" width="5.42578125" style="1775" customWidth="1"/>
    <col min="15356" max="15356" width="7.7109375" style="1775" customWidth="1"/>
    <col min="15357" max="15358" width="6.140625" style="1775" customWidth="1"/>
    <col min="15359" max="15359" width="6.42578125" style="1775" customWidth="1"/>
    <col min="15360" max="15360" width="6.85546875" style="1775" customWidth="1"/>
    <col min="15361" max="15361" width="12.5703125" style="1775" customWidth="1"/>
    <col min="15362" max="15362" width="12" style="1775" customWidth="1"/>
    <col min="15363" max="15363" width="12.140625" style="1775" customWidth="1"/>
    <col min="15364" max="15364" width="14.28515625" style="1775" customWidth="1"/>
    <col min="15365" max="15610" width="9.140625" style="1775"/>
    <col min="15611" max="15611" width="5.42578125" style="1775" customWidth="1"/>
    <col min="15612" max="15612" width="7.7109375" style="1775" customWidth="1"/>
    <col min="15613" max="15614" width="6.140625" style="1775" customWidth="1"/>
    <col min="15615" max="15615" width="6.42578125" style="1775" customWidth="1"/>
    <col min="15616" max="15616" width="6.85546875" style="1775" customWidth="1"/>
    <col min="15617" max="15617" width="12.5703125" style="1775" customWidth="1"/>
    <col min="15618" max="15618" width="12" style="1775" customWidth="1"/>
    <col min="15619" max="15619" width="12.140625" style="1775" customWidth="1"/>
    <col min="15620" max="15620" width="14.28515625" style="1775" customWidth="1"/>
    <col min="15621" max="15866" width="9.140625" style="1775"/>
    <col min="15867" max="15867" width="5.42578125" style="1775" customWidth="1"/>
    <col min="15868" max="15868" width="7.7109375" style="1775" customWidth="1"/>
    <col min="15869" max="15870" width="6.140625" style="1775" customWidth="1"/>
    <col min="15871" max="15871" width="6.42578125" style="1775" customWidth="1"/>
    <col min="15872" max="15872" width="6.85546875" style="1775" customWidth="1"/>
    <col min="15873" max="15873" width="12.5703125" style="1775" customWidth="1"/>
    <col min="15874" max="15874" width="12" style="1775" customWidth="1"/>
    <col min="15875" max="15875" width="12.140625" style="1775" customWidth="1"/>
    <col min="15876" max="15876" width="14.28515625" style="1775" customWidth="1"/>
    <col min="15877" max="16122" width="9.140625" style="1775"/>
    <col min="16123" max="16123" width="5.42578125" style="1775" customWidth="1"/>
    <col min="16124" max="16124" width="7.7109375" style="1775" customWidth="1"/>
    <col min="16125" max="16126" width="6.140625" style="1775" customWidth="1"/>
    <col min="16127" max="16127" width="6.42578125" style="1775" customWidth="1"/>
    <col min="16128" max="16128" width="6.85546875" style="1775" customWidth="1"/>
    <col min="16129" max="16129" width="12.5703125" style="1775" customWidth="1"/>
    <col min="16130" max="16130" width="12" style="1775" customWidth="1"/>
    <col min="16131" max="16131" width="12.140625" style="1775" customWidth="1"/>
    <col min="16132" max="16132" width="14.28515625" style="1775" customWidth="1"/>
    <col min="16133" max="16384" width="9.140625" style="1775"/>
  </cols>
  <sheetData>
    <row r="1" spans="1:4" ht="16.5" customHeight="1">
      <c r="D1" s="1776" t="s">
        <v>144</v>
      </c>
    </row>
    <row r="2" spans="1:4" ht="23.25" customHeight="1">
      <c r="A2" s="5053" t="s">
        <v>1314</v>
      </c>
      <c r="B2" s="5054"/>
      <c r="C2" s="5054"/>
      <c r="D2" s="5054"/>
    </row>
    <row r="3" spans="1:4" ht="21" customHeight="1">
      <c r="A3" s="5053" t="s">
        <v>1191</v>
      </c>
      <c r="B3" s="5053"/>
      <c r="C3" s="5053"/>
      <c r="D3" s="5053"/>
    </row>
    <row r="4" spans="1:4" ht="23.25" customHeight="1">
      <c r="A4" s="5055" t="str">
        <f>'Приложение '!A3:D3</f>
        <v>на "Водоснабдяване и канализаиця"ООД, гр. Перник</v>
      </c>
      <c r="B4" s="5055"/>
      <c r="C4" s="5055"/>
      <c r="D4" s="5055"/>
    </row>
    <row r="5" spans="1:4" ht="18" customHeight="1">
      <c r="A5" s="5055" t="str">
        <f>'Приложение '!A4:D4</f>
        <v>ЕИК по БУЛСТАТ: 823073638</v>
      </c>
      <c r="B5" s="5055"/>
      <c r="C5" s="5055"/>
      <c r="D5" s="5055"/>
    </row>
    <row r="6" spans="1:4" ht="13.5" thickBot="1"/>
    <row r="7" spans="1:4" ht="15.75">
      <c r="A7" s="5056" t="s">
        <v>1</v>
      </c>
      <c r="B7" s="5058" t="s">
        <v>89</v>
      </c>
      <c r="C7" s="5059"/>
      <c r="D7" s="5060"/>
    </row>
    <row r="8" spans="1:4" ht="16.5" thickBot="1">
      <c r="A8" s="5057"/>
      <c r="B8" s="1777" t="s">
        <v>90</v>
      </c>
      <c r="C8" s="5061" t="s">
        <v>91</v>
      </c>
      <c r="D8" s="5062"/>
    </row>
    <row r="9" spans="1:4" ht="16.5" thickBot="1">
      <c r="A9" s="1778" t="s">
        <v>145</v>
      </c>
      <c r="B9" s="1779" t="s">
        <v>146</v>
      </c>
      <c r="C9" s="5063"/>
      <c r="D9" s="5064"/>
    </row>
    <row r="10" spans="1:4" ht="15.75">
      <c r="A10" s="1780" t="s">
        <v>93</v>
      </c>
      <c r="B10" s="1781" t="s">
        <v>147</v>
      </c>
      <c r="C10" s="379" t="str">
        <f>'Приложение '!C8&amp;", "&amp;'Приложение '!C9:D9</f>
        <v>"Водоснабдяване и канализаиця"ООД, Перник</v>
      </c>
      <c r="D10" s="380"/>
    </row>
    <row r="11" spans="1:4" ht="15.75">
      <c r="A11" s="1780"/>
      <c r="B11" s="1782" t="s">
        <v>97</v>
      </c>
      <c r="C11" s="4448" t="str">
        <f>'Приложение '!C10</f>
        <v>823073638</v>
      </c>
      <c r="D11" s="381"/>
    </row>
    <row r="12" spans="1:4" ht="15.75">
      <c r="A12" s="1783" t="s">
        <v>96</v>
      </c>
      <c r="B12" s="1782" t="s">
        <v>148</v>
      </c>
      <c r="C12" s="5049" t="s">
        <v>1946</v>
      </c>
      <c r="D12" s="5050"/>
    </row>
    <row r="13" spans="1:4" ht="15.75">
      <c r="A13" s="1783" t="s">
        <v>149</v>
      </c>
      <c r="B13" s="1782" t="s">
        <v>150</v>
      </c>
      <c r="C13" s="5049" t="s">
        <v>1947</v>
      </c>
      <c r="D13" s="5050"/>
    </row>
    <row r="14" spans="1:4" ht="15.75">
      <c r="A14" s="1783"/>
      <c r="B14" s="1782" t="s">
        <v>1934</v>
      </c>
      <c r="C14" s="4409" t="s">
        <v>1944</v>
      </c>
      <c r="D14" s="4410"/>
    </row>
    <row r="15" spans="1:4" ht="15.75">
      <c r="A15" s="1783" t="s">
        <v>151</v>
      </c>
      <c r="B15" s="1782" t="s">
        <v>152</v>
      </c>
      <c r="C15" s="5049" t="s">
        <v>1948</v>
      </c>
      <c r="D15" s="5050"/>
    </row>
    <row r="16" spans="1:4" ht="15.75">
      <c r="A16" s="1783" t="s">
        <v>153</v>
      </c>
      <c r="B16" s="1782" t="s">
        <v>154</v>
      </c>
      <c r="C16" s="5049" t="s">
        <v>1945</v>
      </c>
      <c r="D16" s="5050"/>
    </row>
    <row r="17" spans="1:4" ht="15.75">
      <c r="A17" s="1783" t="s">
        <v>155</v>
      </c>
      <c r="B17" s="1782" t="s">
        <v>156</v>
      </c>
      <c r="C17" s="5049" t="s">
        <v>1949</v>
      </c>
      <c r="D17" s="5050"/>
    </row>
    <row r="18" spans="1:4" ht="15.75">
      <c r="A18" s="1783" t="s">
        <v>157</v>
      </c>
      <c r="B18" s="1782" t="s">
        <v>158</v>
      </c>
      <c r="C18" s="5049" t="s">
        <v>1950</v>
      </c>
      <c r="D18" s="5050"/>
    </row>
    <row r="19" spans="1:4" ht="15.75">
      <c r="A19" s="1783" t="s">
        <v>159</v>
      </c>
      <c r="B19" s="1782" t="s">
        <v>160</v>
      </c>
      <c r="C19" s="5049" t="s">
        <v>2039</v>
      </c>
      <c r="D19" s="5050"/>
    </row>
    <row r="20" spans="1:4" ht="15.75">
      <c r="A20" s="1783"/>
      <c r="B20" s="1782"/>
      <c r="C20" s="5049" t="s">
        <v>1951</v>
      </c>
      <c r="D20" s="5050"/>
    </row>
    <row r="21" spans="1:4" ht="15.75">
      <c r="A21" s="1783"/>
      <c r="B21" s="1782"/>
      <c r="C21" s="5049" t="s">
        <v>1952</v>
      </c>
      <c r="D21" s="5050"/>
    </row>
    <row r="22" spans="1:4" ht="15.75">
      <c r="A22" s="1783"/>
      <c r="B22" s="1782"/>
      <c r="C22" s="5049" t="s">
        <v>1953</v>
      </c>
      <c r="D22" s="5050"/>
    </row>
    <row r="23" spans="1:4" ht="15.75">
      <c r="A23" s="1783"/>
      <c r="B23" s="1782"/>
      <c r="C23" s="5049" t="s">
        <v>1954</v>
      </c>
      <c r="D23" s="5050"/>
    </row>
    <row r="24" spans="1:4" ht="15.75">
      <c r="A24" s="1783"/>
      <c r="B24" s="1782"/>
      <c r="C24" s="5049" t="s">
        <v>1955</v>
      </c>
      <c r="D24" s="5050"/>
    </row>
    <row r="25" spans="1:4" ht="16.5" thickBot="1">
      <c r="A25" s="1784"/>
      <c r="B25" s="1785"/>
      <c r="C25" s="5051" t="s">
        <v>1124</v>
      </c>
      <c r="D25" s="5052"/>
    </row>
    <row r="26" spans="1:4" s="4449" customFormat="1" ht="16.5" thickBot="1">
      <c r="A26" s="1786" t="s">
        <v>98</v>
      </c>
      <c r="B26" s="1787" t="s">
        <v>1191</v>
      </c>
      <c r="C26" s="5065"/>
      <c r="D26" s="5066"/>
    </row>
    <row r="27" spans="1:4" s="4449" customFormat="1" ht="19.5" customHeight="1">
      <c r="A27" s="1788" t="s">
        <v>99</v>
      </c>
      <c r="B27" s="1789" t="s">
        <v>1192</v>
      </c>
      <c r="C27" s="5067"/>
      <c r="D27" s="5068"/>
    </row>
    <row r="28" spans="1:4" s="4449" customFormat="1" ht="15.75">
      <c r="A28" s="4401" t="s">
        <v>579</v>
      </c>
      <c r="B28" s="4402" t="s">
        <v>1193</v>
      </c>
      <c r="C28" s="5043" t="str">
        <f>IF('4. Отчет и прогн. потребление'!D9&gt;0,"Да","Не")</f>
        <v>Да</v>
      </c>
      <c r="D28" s="5044"/>
    </row>
    <row r="29" spans="1:4" s="4449" customFormat="1" ht="15.75">
      <c r="A29" s="4401" t="s">
        <v>583</v>
      </c>
      <c r="B29" s="4402" t="s">
        <v>1194</v>
      </c>
      <c r="C29" s="5043" t="str">
        <f>IF('4. Отчет и прогн. потребление'!D48&gt;0,"Да","Не")</f>
        <v>Да</v>
      </c>
      <c r="D29" s="5044"/>
    </row>
    <row r="30" spans="1:4" s="4449" customFormat="1" ht="15.75">
      <c r="A30" s="4401" t="s">
        <v>1195</v>
      </c>
      <c r="B30" s="4402" t="s">
        <v>1196</v>
      </c>
      <c r="C30" s="5043" t="str">
        <f>IF('4. Отчет и прогн. потребление'!D53&gt;0,"Да","Не")</f>
        <v>Да</v>
      </c>
      <c r="D30" s="5044"/>
    </row>
    <row r="31" spans="1:4" s="4449" customFormat="1" ht="15.75">
      <c r="A31" s="1788" t="s">
        <v>1197</v>
      </c>
      <c r="B31" s="1790" t="s">
        <v>1037</v>
      </c>
      <c r="C31" s="5043" t="str">
        <f>IF('4. Отчет и прогн. потребление'!D62&gt;0,"Да","Не")</f>
        <v>Да</v>
      </c>
      <c r="D31" s="5044"/>
    </row>
    <row r="32" spans="1:4" s="4449" customFormat="1" ht="15.75">
      <c r="A32" s="1788" t="s">
        <v>1198</v>
      </c>
      <c r="B32" s="1790" t="s">
        <v>1199</v>
      </c>
      <c r="C32" s="5043" t="str">
        <f>IF(OR(C33="Да",C34="Да",C35="Да"),"Да","Не")</f>
        <v>Не</v>
      </c>
      <c r="D32" s="5044"/>
    </row>
    <row r="33" spans="1:5" s="4449" customFormat="1" ht="15.75">
      <c r="A33" s="1788" t="s">
        <v>1200</v>
      </c>
      <c r="B33" s="646"/>
      <c r="C33" s="5043" t="str">
        <f>IF('4.2. Продад. и закупени кол-ва'!D10&gt;0,"Да","Не")</f>
        <v>Не</v>
      </c>
      <c r="D33" s="5044"/>
    </row>
    <row r="34" spans="1:5" s="4449" customFormat="1" ht="15.75">
      <c r="A34" s="1788" t="s">
        <v>1201</v>
      </c>
      <c r="B34" s="646"/>
      <c r="C34" s="5043" t="str">
        <f>IF('4.2. Продад. и закупени кол-ва'!D29&gt;0,"Да","Не")</f>
        <v>Не</v>
      </c>
      <c r="D34" s="5044"/>
    </row>
    <row r="35" spans="1:5" s="4449" customFormat="1" ht="16.5" thickBot="1">
      <c r="A35" s="1788" t="s">
        <v>1202</v>
      </c>
      <c r="B35" s="646"/>
      <c r="C35" s="5043" t="str">
        <f>IF('4.2. Продад. и закупени кол-ва'!D48&gt;0,"Да","Не")</f>
        <v>Не</v>
      </c>
      <c r="D35" s="5044"/>
    </row>
    <row r="36" spans="1:5" s="4449" customFormat="1" ht="16.5" thickBot="1">
      <c r="A36" s="1786" t="s">
        <v>102</v>
      </c>
      <c r="B36" s="1787" t="s">
        <v>1203</v>
      </c>
      <c r="C36" s="4450"/>
      <c r="D36" s="4451"/>
    </row>
    <row r="37" spans="1:5" s="4449" customFormat="1" ht="36.75" customHeight="1">
      <c r="A37" s="1791"/>
      <c r="B37" s="1792" t="s">
        <v>1204</v>
      </c>
      <c r="C37" s="5045" t="s">
        <v>1956</v>
      </c>
      <c r="D37" s="5046"/>
    </row>
    <row r="38" spans="1:5" s="4449" customFormat="1" ht="39.75" customHeight="1">
      <c r="A38" s="1791"/>
      <c r="B38" s="1792" t="s">
        <v>1205</v>
      </c>
      <c r="C38" s="5047" t="s">
        <v>1957</v>
      </c>
      <c r="D38" s="5048"/>
    </row>
    <row r="39" spans="1:5" s="4449" customFormat="1" ht="39.75" customHeight="1" thickBot="1">
      <c r="A39" s="1793"/>
      <c r="B39" s="1794" t="s">
        <v>1206</v>
      </c>
      <c r="C39" s="5041" t="s">
        <v>1958</v>
      </c>
      <c r="D39" s="5042"/>
    </row>
    <row r="41" spans="1:5" ht="22.5" customHeight="1"/>
    <row r="42" spans="1:5">
      <c r="B42" s="1795" t="str">
        <f>'Приложение '!B81</f>
        <v>Дата: 24 юни 2021 година</v>
      </c>
      <c r="C42" s="1796" t="str">
        <f>'Приложение '!C81</f>
        <v xml:space="preserve">Гл. счетоводител/Фин.директор: </v>
      </c>
      <c r="D42" s="1797" t="s">
        <v>4</v>
      </c>
      <c r="E42" s="4452"/>
    </row>
    <row r="43" spans="1:5">
      <c r="C43" s="1798"/>
      <c r="D43" s="1799" t="s">
        <v>5</v>
      </c>
    </row>
    <row r="44" spans="1:5">
      <c r="B44" s="1795"/>
      <c r="C44" s="1798"/>
      <c r="D44" s="1800"/>
    </row>
    <row r="45" spans="1:5">
      <c r="B45" s="1795"/>
      <c r="C45" s="1798"/>
      <c r="D45" s="1800"/>
    </row>
    <row r="46" spans="1:5">
      <c r="C46" s="1796" t="str">
        <f>'Приложение '!C85</f>
        <v xml:space="preserve">Управител/Изп.директор: </v>
      </c>
      <c r="D46" s="1797" t="s">
        <v>4</v>
      </c>
      <c r="E46" s="1802"/>
    </row>
    <row r="47" spans="1:5" ht="15.75">
      <c r="A47" s="1798" t="s">
        <v>561</v>
      </c>
      <c r="B47" s="1801"/>
      <c r="C47" s="1802"/>
      <c r="D47" s="1799" t="s">
        <v>6</v>
      </c>
      <c r="E47" s="1802"/>
    </row>
    <row r="48" spans="1:5">
      <c r="A48" s="4421" t="s">
        <v>192</v>
      </c>
      <c r="B48" s="1803"/>
      <c r="C48" s="1802"/>
      <c r="D48" s="1804"/>
      <c r="E48" s="4453"/>
    </row>
    <row r="49" spans="1:4" s="1801" customFormat="1" ht="15.75">
      <c r="A49" s="4421" t="s">
        <v>1496</v>
      </c>
      <c r="C49" s="1805"/>
      <c r="D49" s="1806"/>
    </row>
    <row r="50" spans="1:4" s="1807" customFormat="1" ht="27" customHeight="1">
      <c r="A50" s="5040" t="s">
        <v>1534</v>
      </c>
      <c r="B50" s="5040"/>
      <c r="C50" s="5040"/>
      <c r="D50" s="5040"/>
    </row>
    <row r="51" spans="1:4">
      <c r="C51" s="1808"/>
      <c r="D51" s="1809"/>
    </row>
  </sheetData>
  <sheetProtection password="EB75" sheet="1" objects="1" scenarios="1" formatCells="0" formatColumns="0" insertRows="0"/>
  <mergeCells count="35">
    <mergeCell ref="C28:D28"/>
    <mergeCell ref="C29:D29"/>
    <mergeCell ref="C30:D30"/>
    <mergeCell ref="C9:D9"/>
    <mergeCell ref="C12:D12"/>
    <mergeCell ref="C13:D13"/>
    <mergeCell ref="C26:D26"/>
    <mergeCell ref="C27:D27"/>
    <mergeCell ref="C15:D15"/>
    <mergeCell ref="C16:D16"/>
    <mergeCell ref="C17:D17"/>
    <mergeCell ref="C18:D18"/>
    <mergeCell ref="C19:D19"/>
    <mergeCell ref="C20:D20"/>
    <mergeCell ref="C21:D21"/>
    <mergeCell ref="C22:D22"/>
    <mergeCell ref="C23:D23"/>
    <mergeCell ref="C24:D24"/>
    <mergeCell ref="C25:D25"/>
    <mergeCell ref="A2:D2"/>
    <mergeCell ref="A4:D4"/>
    <mergeCell ref="A5:D5"/>
    <mergeCell ref="A7:A8"/>
    <mergeCell ref="B7:D7"/>
    <mergeCell ref="C8:D8"/>
    <mergeCell ref="A3:D3"/>
    <mergeCell ref="A50:D50"/>
    <mergeCell ref="C39:D39"/>
    <mergeCell ref="C31:D31"/>
    <mergeCell ref="C34:D34"/>
    <mergeCell ref="C35:D35"/>
    <mergeCell ref="C37:D37"/>
    <mergeCell ref="C38:D38"/>
    <mergeCell ref="C32:D32"/>
    <mergeCell ref="C33:D33"/>
  </mergeCells>
  <printOptions horizontalCentered="1"/>
  <pageMargins left="0.74803149606299213" right="0.19685039370078741" top="0.39370078740157483" bottom="0.19685039370078741" header="0.51181102362204722" footer="0"/>
  <pageSetup paperSize="9" scale="84" orientation="portrait" r:id="rId1"/>
  <headerFooter alignWithMargins="0">
    <oddFooter>&amp;C&amp;A</oddFooter>
  </headerFooter>
  <ignoredErrors>
    <ignoredError sqref="A15:A19 A9:A10 A12:A13" numberStoredAsText="1"/>
    <ignoredError sqref="C10" unlockedFormula="1"/>
  </ignoredError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5" tint="0.79998168889431442"/>
    <pageSetUpPr fitToPage="1"/>
  </sheetPr>
  <dimension ref="A1:N115"/>
  <sheetViews>
    <sheetView showGridLines="0" view="pageBreakPreview" zoomScale="80" zoomScaleNormal="110" zoomScaleSheetLayoutView="80" workbookViewId="0">
      <selection activeCell="C8" sqref="C8:I11"/>
    </sheetView>
  </sheetViews>
  <sheetFormatPr defaultRowHeight="12.75"/>
  <cols>
    <col min="1" max="1" width="46" style="1" customWidth="1"/>
    <col min="2" max="2" width="16.7109375" style="1" customWidth="1"/>
    <col min="3" max="9" width="10.7109375" style="1" customWidth="1"/>
    <col min="10" max="10" width="9.140625" style="75"/>
    <col min="11" max="11" width="16.42578125" style="1" customWidth="1"/>
    <col min="12" max="256" width="9.140625" style="1"/>
    <col min="257" max="257" width="44.7109375" style="1" customWidth="1"/>
    <col min="258" max="258" width="16.7109375" style="1" customWidth="1"/>
    <col min="259" max="265" width="10.7109375" style="1" customWidth="1"/>
    <col min="266" max="266" width="9.140625" style="1"/>
    <col min="267" max="267" width="16.42578125" style="1" customWidth="1"/>
    <col min="268" max="512" width="9.140625" style="1"/>
    <col min="513" max="513" width="44.7109375" style="1" customWidth="1"/>
    <col min="514" max="514" width="16.7109375" style="1" customWidth="1"/>
    <col min="515" max="521" width="10.7109375" style="1" customWidth="1"/>
    <col min="522" max="522" width="9.140625" style="1"/>
    <col min="523" max="523" width="16.42578125" style="1" customWidth="1"/>
    <col min="524" max="768" width="9.140625" style="1"/>
    <col min="769" max="769" width="44.7109375" style="1" customWidth="1"/>
    <col min="770" max="770" width="16.7109375" style="1" customWidth="1"/>
    <col min="771" max="777" width="10.7109375" style="1" customWidth="1"/>
    <col min="778" max="778" width="9.140625" style="1"/>
    <col min="779" max="779" width="16.42578125" style="1" customWidth="1"/>
    <col min="780" max="1024" width="9.140625" style="1"/>
    <col min="1025" max="1025" width="44.7109375" style="1" customWidth="1"/>
    <col min="1026" max="1026" width="16.7109375" style="1" customWidth="1"/>
    <col min="1027" max="1033" width="10.7109375" style="1" customWidth="1"/>
    <col min="1034" max="1034" width="9.140625" style="1"/>
    <col min="1035" max="1035" width="16.42578125" style="1" customWidth="1"/>
    <col min="1036" max="1280" width="9.140625" style="1"/>
    <col min="1281" max="1281" width="44.7109375" style="1" customWidth="1"/>
    <col min="1282" max="1282" width="16.7109375" style="1" customWidth="1"/>
    <col min="1283" max="1289" width="10.7109375" style="1" customWidth="1"/>
    <col min="1290" max="1290" width="9.140625" style="1"/>
    <col min="1291" max="1291" width="16.42578125" style="1" customWidth="1"/>
    <col min="1292" max="1536" width="9.140625" style="1"/>
    <col min="1537" max="1537" width="44.7109375" style="1" customWidth="1"/>
    <col min="1538" max="1538" width="16.7109375" style="1" customWidth="1"/>
    <col min="1539" max="1545" width="10.7109375" style="1" customWidth="1"/>
    <col min="1546" max="1546" width="9.140625" style="1"/>
    <col min="1547" max="1547" width="16.42578125" style="1" customWidth="1"/>
    <col min="1548" max="1792" width="9.140625" style="1"/>
    <col min="1793" max="1793" width="44.7109375" style="1" customWidth="1"/>
    <col min="1794" max="1794" width="16.7109375" style="1" customWidth="1"/>
    <col min="1795" max="1801" width="10.7109375" style="1" customWidth="1"/>
    <col min="1802" max="1802" width="9.140625" style="1"/>
    <col min="1803" max="1803" width="16.42578125" style="1" customWidth="1"/>
    <col min="1804" max="2048" width="9.140625" style="1"/>
    <col min="2049" max="2049" width="44.7109375" style="1" customWidth="1"/>
    <col min="2050" max="2050" width="16.7109375" style="1" customWidth="1"/>
    <col min="2051" max="2057" width="10.7109375" style="1" customWidth="1"/>
    <col min="2058" max="2058" width="9.140625" style="1"/>
    <col min="2059" max="2059" width="16.42578125" style="1" customWidth="1"/>
    <col min="2060" max="2304" width="9.140625" style="1"/>
    <col min="2305" max="2305" width="44.7109375" style="1" customWidth="1"/>
    <col min="2306" max="2306" width="16.7109375" style="1" customWidth="1"/>
    <col min="2307" max="2313" width="10.7109375" style="1" customWidth="1"/>
    <col min="2314" max="2314" width="9.140625" style="1"/>
    <col min="2315" max="2315" width="16.42578125" style="1" customWidth="1"/>
    <col min="2316" max="2560" width="9.140625" style="1"/>
    <col min="2561" max="2561" width="44.7109375" style="1" customWidth="1"/>
    <col min="2562" max="2562" width="16.7109375" style="1" customWidth="1"/>
    <col min="2563" max="2569" width="10.7109375" style="1" customWidth="1"/>
    <col min="2570" max="2570" width="9.140625" style="1"/>
    <col min="2571" max="2571" width="16.42578125" style="1" customWidth="1"/>
    <col min="2572" max="2816" width="9.140625" style="1"/>
    <col min="2817" max="2817" width="44.7109375" style="1" customWidth="1"/>
    <col min="2818" max="2818" width="16.7109375" style="1" customWidth="1"/>
    <col min="2819" max="2825" width="10.7109375" style="1" customWidth="1"/>
    <col min="2826" max="2826" width="9.140625" style="1"/>
    <col min="2827" max="2827" width="16.42578125" style="1" customWidth="1"/>
    <col min="2828" max="3072" width="9.140625" style="1"/>
    <col min="3073" max="3073" width="44.7109375" style="1" customWidth="1"/>
    <col min="3074" max="3074" width="16.7109375" style="1" customWidth="1"/>
    <col min="3075" max="3081" width="10.7109375" style="1" customWidth="1"/>
    <col min="3082" max="3082" width="9.140625" style="1"/>
    <col min="3083" max="3083" width="16.42578125" style="1" customWidth="1"/>
    <col min="3084" max="3328" width="9.140625" style="1"/>
    <col min="3329" max="3329" width="44.7109375" style="1" customWidth="1"/>
    <col min="3330" max="3330" width="16.7109375" style="1" customWidth="1"/>
    <col min="3331" max="3337" width="10.7109375" style="1" customWidth="1"/>
    <col min="3338" max="3338" width="9.140625" style="1"/>
    <col min="3339" max="3339" width="16.42578125" style="1" customWidth="1"/>
    <col min="3340" max="3584" width="9.140625" style="1"/>
    <col min="3585" max="3585" width="44.7109375" style="1" customWidth="1"/>
    <col min="3586" max="3586" width="16.7109375" style="1" customWidth="1"/>
    <col min="3587" max="3593" width="10.7109375" style="1" customWidth="1"/>
    <col min="3594" max="3594" width="9.140625" style="1"/>
    <col min="3595" max="3595" width="16.42578125" style="1" customWidth="1"/>
    <col min="3596" max="3840" width="9.140625" style="1"/>
    <col min="3841" max="3841" width="44.7109375" style="1" customWidth="1"/>
    <col min="3842" max="3842" width="16.7109375" style="1" customWidth="1"/>
    <col min="3843" max="3849" width="10.7109375" style="1" customWidth="1"/>
    <col min="3850" max="3850" width="9.140625" style="1"/>
    <col min="3851" max="3851" width="16.42578125" style="1" customWidth="1"/>
    <col min="3852" max="4096" width="9.140625" style="1"/>
    <col min="4097" max="4097" width="44.7109375" style="1" customWidth="1"/>
    <col min="4098" max="4098" width="16.7109375" style="1" customWidth="1"/>
    <col min="4099" max="4105" width="10.7109375" style="1" customWidth="1"/>
    <col min="4106" max="4106" width="9.140625" style="1"/>
    <col min="4107" max="4107" width="16.42578125" style="1" customWidth="1"/>
    <col min="4108" max="4352" width="9.140625" style="1"/>
    <col min="4353" max="4353" width="44.7109375" style="1" customWidth="1"/>
    <col min="4354" max="4354" width="16.7109375" style="1" customWidth="1"/>
    <col min="4355" max="4361" width="10.7109375" style="1" customWidth="1"/>
    <col min="4362" max="4362" width="9.140625" style="1"/>
    <col min="4363" max="4363" width="16.42578125" style="1" customWidth="1"/>
    <col min="4364" max="4608" width="9.140625" style="1"/>
    <col min="4609" max="4609" width="44.7109375" style="1" customWidth="1"/>
    <col min="4610" max="4610" width="16.7109375" style="1" customWidth="1"/>
    <col min="4611" max="4617" width="10.7109375" style="1" customWidth="1"/>
    <col min="4618" max="4618" width="9.140625" style="1"/>
    <col min="4619" max="4619" width="16.42578125" style="1" customWidth="1"/>
    <col min="4620" max="4864" width="9.140625" style="1"/>
    <col min="4865" max="4865" width="44.7109375" style="1" customWidth="1"/>
    <col min="4866" max="4866" width="16.7109375" style="1" customWidth="1"/>
    <col min="4867" max="4873" width="10.7109375" style="1" customWidth="1"/>
    <col min="4874" max="4874" width="9.140625" style="1"/>
    <col min="4875" max="4875" width="16.42578125" style="1" customWidth="1"/>
    <col min="4876" max="5120" width="9.140625" style="1"/>
    <col min="5121" max="5121" width="44.7109375" style="1" customWidth="1"/>
    <col min="5122" max="5122" width="16.7109375" style="1" customWidth="1"/>
    <col min="5123" max="5129" width="10.7109375" style="1" customWidth="1"/>
    <col min="5130" max="5130" width="9.140625" style="1"/>
    <col min="5131" max="5131" width="16.42578125" style="1" customWidth="1"/>
    <col min="5132" max="5376" width="9.140625" style="1"/>
    <col min="5377" max="5377" width="44.7109375" style="1" customWidth="1"/>
    <col min="5378" max="5378" width="16.7109375" style="1" customWidth="1"/>
    <col min="5379" max="5385" width="10.7109375" style="1" customWidth="1"/>
    <col min="5386" max="5386" width="9.140625" style="1"/>
    <col min="5387" max="5387" width="16.42578125" style="1" customWidth="1"/>
    <col min="5388" max="5632" width="9.140625" style="1"/>
    <col min="5633" max="5633" width="44.7109375" style="1" customWidth="1"/>
    <col min="5634" max="5634" width="16.7109375" style="1" customWidth="1"/>
    <col min="5635" max="5641" width="10.7109375" style="1" customWidth="1"/>
    <col min="5642" max="5642" width="9.140625" style="1"/>
    <col min="5643" max="5643" width="16.42578125" style="1" customWidth="1"/>
    <col min="5644" max="5888" width="9.140625" style="1"/>
    <col min="5889" max="5889" width="44.7109375" style="1" customWidth="1"/>
    <col min="5890" max="5890" width="16.7109375" style="1" customWidth="1"/>
    <col min="5891" max="5897" width="10.7109375" style="1" customWidth="1"/>
    <col min="5898" max="5898" width="9.140625" style="1"/>
    <col min="5899" max="5899" width="16.42578125" style="1" customWidth="1"/>
    <col min="5900" max="6144" width="9.140625" style="1"/>
    <col min="6145" max="6145" width="44.7109375" style="1" customWidth="1"/>
    <col min="6146" max="6146" width="16.7109375" style="1" customWidth="1"/>
    <col min="6147" max="6153" width="10.7109375" style="1" customWidth="1"/>
    <col min="6154" max="6154" width="9.140625" style="1"/>
    <col min="6155" max="6155" width="16.42578125" style="1" customWidth="1"/>
    <col min="6156" max="6400" width="9.140625" style="1"/>
    <col min="6401" max="6401" width="44.7109375" style="1" customWidth="1"/>
    <col min="6402" max="6402" width="16.7109375" style="1" customWidth="1"/>
    <col min="6403" max="6409" width="10.7109375" style="1" customWidth="1"/>
    <col min="6410" max="6410" width="9.140625" style="1"/>
    <col min="6411" max="6411" width="16.42578125" style="1" customWidth="1"/>
    <col min="6412" max="6656" width="9.140625" style="1"/>
    <col min="6657" max="6657" width="44.7109375" style="1" customWidth="1"/>
    <col min="6658" max="6658" width="16.7109375" style="1" customWidth="1"/>
    <col min="6659" max="6665" width="10.7109375" style="1" customWidth="1"/>
    <col min="6666" max="6666" width="9.140625" style="1"/>
    <col min="6667" max="6667" width="16.42578125" style="1" customWidth="1"/>
    <col min="6668" max="6912" width="9.140625" style="1"/>
    <col min="6913" max="6913" width="44.7109375" style="1" customWidth="1"/>
    <col min="6914" max="6914" width="16.7109375" style="1" customWidth="1"/>
    <col min="6915" max="6921" width="10.7109375" style="1" customWidth="1"/>
    <col min="6922" max="6922" width="9.140625" style="1"/>
    <col min="6923" max="6923" width="16.42578125" style="1" customWidth="1"/>
    <col min="6924" max="7168" width="9.140625" style="1"/>
    <col min="7169" max="7169" width="44.7109375" style="1" customWidth="1"/>
    <col min="7170" max="7170" width="16.7109375" style="1" customWidth="1"/>
    <col min="7171" max="7177" width="10.7109375" style="1" customWidth="1"/>
    <col min="7178" max="7178" width="9.140625" style="1"/>
    <col min="7179" max="7179" width="16.42578125" style="1" customWidth="1"/>
    <col min="7180" max="7424" width="9.140625" style="1"/>
    <col min="7425" max="7425" width="44.7109375" style="1" customWidth="1"/>
    <col min="7426" max="7426" width="16.7109375" style="1" customWidth="1"/>
    <col min="7427" max="7433" width="10.7109375" style="1" customWidth="1"/>
    <col min="7434" max="7434" width="9.140625" style="1"/>
    <col min="7435" max="7435" width="16.42578125" style="1" customWidth="1"/>
    <col min="7436" max="7680" width="9.140625" style="1"/>
    <col min="7681" max="7681" width="44.7109375" style="1" customWidth="1"/>
    <col min="7682" max="7682" width="16.7109375" style="1" customWidth="1"/>
    <col min="7683" max="7689" width="10.7109375" style="1" customWidth="1"/>
    <col min="7690" max="7690" width="9.140625" style="1"/>
    <col min="7691" max="7691" width="16.42578125" style="1" customWidth="1"/>
    <col min="7692" max="7936" width="9.140625" style="1"/>
    <col min="7937" max="7937" width="44.7109375" style="1" customWidth="1"/>
    <col min="7938" max="7938" width="16.7109375" style="1" customWidth="1"/>
    <col min="7939" max="7945" width="10.7109375" style="1" customWidth="1"/>
    <col min="7946" max="7946" width="9.140625" style="1"/>
    <col min="7947" max="7947" width="16.42578125" style="1" customWidth="1"/>
    <col min="7948" max="8192" width="9.140625" style="1"/>
    <col min="8193" max="8193" width="44.7109375" style="1" customWidth="1"/>
    <col min="8194" max="8194" width="16.7109375" style="1" customWidth="1"/>
    <col min="8195" max="8201" width="10.7109375" style="1" customWidth="1"/>
    <col min="8202" max="8202" width="9.140625" style="1"/>
    <col min="8203" max="8203" width="16.42578125" style="1" customWidth="1"/>
    <col min="8204" max="8448" width="9.140625" style="1"/>
    <col min="8449" max="8449" width="44.7109375" style="1" customWidth="1"/>
    <col min="8450" max="8450" width="16.7109375" style="1" customWidth="1"/>
    <col min="8451" max="8457" width="10.7109375" style="1" customWidth="1"/>
    <col min="8458" max="8458" width="9.140625" style="1"/>
    <col min="8459" max="8459" width="16.42578125" style="1" customWidth="1"/>
    <col min="8460" max="8704" width="9.140625" style="1"/>
    <col min="8705" max="8705" width="44.7109375" style="1" customWidth="1"/>
    <col min="8706" max="8706" width="16.7109375" style="1" customWidth="1"/>
    <col min="8707" max="8713" width="10.7109375" style="1" customWidth="1"/>
    <col min="8714" max="8714" width="9.140625" style="1"/>
    <col min="8715" max="8715" width="16.42578125" style="1" customWidth="1"/>
    <col min="8716" max="8960" width="9.140625" style="1"/>
    <col min="8961" max="8961" width="44.7109375" style="1" customWidth="1"/>
    <col min="8962" max="8962" width="16.7109375" style="1" customWidth="1"/>
    <col min="8963" max="8969" width="10.7109375" style="1" customWidth="1"/>
    <col min="8970" max="8970" width="9.140625" style="1"/>
    <col min="8971" max="8971" width="16.42578125" style="1" customWidth="1"/>
    <col min="8972" max="9216" width="9.140625" style="1"/>
    <col min="9217" max="9217" width="44.7109375" style="1" customWidth="1"/>
    <col min="9218" max="9218" width="16.7109375" style="1" customWidth="1"/>
    <col min="9219" max="9225" width="10.7109375" style="1" customWidth="1"/>
    <col min="9226" max="9226" width="9.140625" style="1"/>
    <col min="9227" max="9227" width="16.42578125" style="1" customWidth="1"/>
    <col min="9228" max="9472" width="9.140625" style="1"/>
    <col min="9473" max="9473" width="44.7109375" style="1" customWidth="1"/>
    <col min="9474" max="9474" width="16.7109375" style="1" customWidth="1"/>
    <col min="9475" max="9481" width="10.7109375" style="1" customWidth="1"/>
    <col min="9482" max="9482" width="9.140625" style="1"/>
    <col min="9483" max="9483" width="16.42578125" style="1" customWidth="1"/>
    <col min="9484" max="9728" width="9.140625" style="1"/>
    <col min="9729" max="9729" width="44.7109375" style="1" customWidth="1"/>
    <col min="9730" max="9730" width="16.7109375" style="1" customWidth="1"/>
    <col min="9731" max="9737" width="10.7109375" style="1" customWidth="1"/>
    <col min="9738" max="9738" width="9.140625" style="1"/>
    <col min="9739" max="9739" width="16.42578125" style="1" customWidth="1"/>
    <col min="9740" max="9984" width="9.140625" style="1"/>
    <col min="9985" max="9985" width="44.7109375" style="1" customWidth="1"/>
    <col min="9986" max="9986" width="16.7109375" style="1" customWidth="1"/>
    <col min="9987" max="9993" width="10.7109375" style="1" customWidth="1"/>
    <col min="9994" max="9994" width="9.140625" style="1"/>
    <col min="9995" max="9995" width="16.42578125" style="1" customWidth="1"/>
    <col min="9996" max="10240" width="9.140625" style="1"/>
    <col min="10241" max="10241" width="44.7109375" style="1" customWidth="1"/>
    <col min="10242" max="10242" width="16.7109375" style="1" customWidth="1"/>
    <col min="10243" max="10249" width="10.7109375" style="1" customWidth="1"/>
    <col min="10250" max="10250" width="9.140625" style="1"/>
    <col min="10251" max="10251" width="16.42578125" style="1" customWidth="1"/>
    <col min="10252" max="10496" width="9.140625" style="1"/>
    <col min="10497" max="10497" width="44.7109375" style="1" customWidth="1"/>
    <col min="10498" max="10498" width="16.7109375" style="1" customWidth="1"/>
    <col min="10499" max="10505" width="10.7109375" style="1" customWidth="1"/>
    <col min="10506" max="10506" width="9.140625" style="1"/>
    <col min="10507" max="10507" width="16.42578125" style="1" customWidth="1"/>
    <col min="10508" max="10752" width="9.140625" style="1"/>
    <col min="10753" max="10753" width="44.7109375" style="1" customWidth="1"/>
    <col min="10754" max="10754" width="16.7109375" style="1" customWidth="1"/>
    <col min="10755" max="10761" width="10.7109375" style="1" customWidth="1"/>
    <col min="10762" max="10762" width="9.140625" style="1"/>
    <col min="10763" max="10763" width="16.42578125" style="1" customWidth="1"/>
    <col min="10764" max="11008" width="9.140625" style="1"/>
    <col min="11009" max="11009" width="44.7109375" style="1" customWidth="1"/>
    <col min="11010" max="11010" width="16.7109375" style="1" customWidth="1"/>
    <col min="11011" max="11017" width="10.7109375" style="1" customWidth="1"/>
    <col min="11018" max="11018" width="9.140625" style="1"/>
    <col min="11019" max="11019" width="16.42578125" style="1" customWidth="1"/>
    <col min="11020" max="11264" width="9.140625" style="1"/>
    <col min="11265" max="11265" width="44.7109375" style="1" customWidth="1"/>
    <col min="11266" max="11266" width="16.7109375" style="1" customWidth="1"/>
    <col min="11267" max="11273" width="10.7109375" style="1" customWidth="1"/>
    <col min="11274" max="11274" width="9.140625" style="1"/>
    <col min="11275" max="11275" width="16.42578125" style="1" customWidth="1"/>
    <col min="11276" max="11520" width="9.140625" style="1"/>
    <col min="11521" max="11521" width="44.7109375" style="1" customWidth="1"/>
    <col min="11522" max="11522" width="16.7109375" style="1" customWidth="1"/>
    <col min="11523" max="11529" width="10.7109375" style="1" customWidth="1"/>
    <col min="11530" max="11530" width="9.140625" style="1"/>
    <col min="11531" max="11531" width="16.42578125" style="1" customWidth="1"/>
    <col min="11532" max="11776" width="9.140625" style="1"/>
    <col min="11777" max="11777" width="44.7109375" style="1" customWidth="1"/>
    <col min="11778" max="11778" width="16.7109375" style="1" customWidth="1"/>
    <col min="11779" max="11785" width="10.7109375" style="1" customWidth="1"/>
    <col min="11786" max="11786" width="9.140625" style="1"/>
    <col min="11787" max="11787" width="16.42578125" style="1" customWidth="1"/>
    <col min="11788" max="12032" width="9.140625" style="1"/>
    <col min="12033" max="12033" width="44.7109375" style="1" customWidth="1"/>
    <col min="12034" max="12034" width="16.7109375" style="1" customWidth="1"/>
    <col min="12035" max="12041" width="10.7109375" style="1" customWidth="1"/>
    <col min="12042" max="12042" width="9.140625" style="1"/>
    <col min="12043" max="12043" width="16.42578125" style="1" customWidth="1"/>
    <col min="12044" max="12288" width="9.140625" style="1"/>
    <col min="12289" max="12289" width="44.7109375" style="1" customWidth="1"/>
    <col min="12290" max="12290" width="16.7109375" style="1" customWidth="1"/>
    <col min="12291" max="12297" width="10.7109375" style="1" customWidth="1"/>
    <col min="12298" max="12298" width="9.140625" style="1"/>
    <col min="12299" max="12299" width="16.42578125" style="1" customWidth="1"/>
    <col min="12300" max="12544" width="9.140625" style="1"/>
    <col min="12545" max="12545" width="44.7109375" style="1" customWidth="1"/>
    <col min="12546" max="12546" width="16.7109375" style="1" customWidth="1"/>
    <col min="12547" max="12553" width="10.7109375" style="1" customWidth="1"/>
    <col min="12554" max="12554" width="9.140625" style="1"/>
    <col min="12555" max="12555" width="16.42578125" style="1" customWidth="1"/>
    <col min="12556" max="12800" width="9.140625" style="1"/>
    <col min="12801" max="12801" width="44.7109375" style="1" customWidth="1"/>
    <col min="12802" max="12802" width="16.7109375" style="1" customWidth="1"/>
    <col min="12803" max="12809" width="10.7109375" style="1" customWidth="1"/>
    <col min="12810" max="12810" width="9.140625" style="1"/>
    <col min="12811" max="12811" width="16.42578125" style="1" customWidth="1"/>
    <col min="12812" max="13056" width="9.140625" style="1"/>
    <col min="13057" max="13057" width="44.7109375" style="1" customWidth="1"/>
    <col min="13058" max="13058" width="16.7109375" style="1" customWidth="1"/>
    <col min="13059" max="13065" width="10.7109375" style="1" customWidth="1"/>
    <col min="13066" max="13066" width="9.140625" style="1"/>
    <col min="13067" max="13067" width="16.42578125" style="1" customWidth="1"/>
    <col min="13068" max="13312" width="9.140625" style="1"/>
    <col min="13313" max="13313" width="44.7109375" style="1" customWidth="1"/>
    <col min="13314" max="13314" width="16.7109375" style="1" customWidth="1"/>
    <col min="13315" max="13321" width="10.7109375" style="1" customWidth="1"/>
    <col min="13322" max="13322" width="9.140625" style="1"/>
    <col min="13323" max="13323" width="16.42578125" style="1" customWidth="1"/>
    <col min="13324" max="13568" width="9.140625" style="1"/>
    <col min="13569" max="13569" width="44.7109375" style="1" customWidth="1"/>
    <col min="13570" max="13570" width="16.7109375" style="1" customWidth="1"/>
    <col min="13571" max="13577" width="10.7109375" style="1" customWidth="1"/>
    <col min="13578" max="13578" width="9.140625" style="1"/>
    <col min="13579" max="13579" width="16.42578125" style="1" customWidth="1"/>
    <col min="13580" max="13824" width="9.140625" style="1"/>
    <col min="13825" max="13825" width="44.7109375" style="1" customWidth="1"/>
    <col min="13826" max="13826" width="16.7109375" style="1" customWidth="1"/>
    <col min="13827" max="13833" width="10.7109375" style="1" customWidth="1"/>
    <col min="13834" max="13834" width="9.140625" style="1"/>
    <col min="13835" max="13835" width="16.42578125" style="1" customWidth="1"/>
    <col min="13836" max="14080" width="9.140625" style="1"/>
    <col min="14081" max="14081" width="44.7109375" style="1" customWidth="1"/>
    <col min="14082" max="14082" width="16.7109375" style="1" customWidth="1"/>
    <col min="14083" max="14089" width="10.7109375" style="1" customWidth="1"/>
    <col min="14090" max="14090" width="9.140625" style="1"/>
    <col min="14091" max="14091" width="16.42578125" style="1" customWidth="1"/>
    <col min="14092" max="14336" width="9.140625" style="1"/>
    <col min="14337" max="14337" width="44.7109375" style="1" customWidth="1"/>
    <col min="14338" max="14338" width="16.7109375" style="1" customWidth="1"/>
    <col min="14339" max="14345" width="10.7109375" style="1" customWidth="1"/>
    <col min="14346" max="14346" width="9.140625" style="1"/>
    <col min="14347" max="14347" width="16.42578125" style="1" customWidth="1"/>
    <col min="14348" max="14592" width="9.140625" style="1"/>
    <col min="14593" max="14593" width="44.7109375" style="1" customWidth="1"/>
    <col min="14594" max="14594" width="16.7109375" style="1" customWidth="1"/>
    <col min="14595" max="14601" width="10.7109375" style="1" customWidth="1"/>
    <col min="14602" max="14602" width="9.140625" style="1"/>
    <col min="14603" max="14603" width="16.42578125" style="1" customWidth="1"/>
    <col min="14604" max="14848" width="9.140625" style="1"/>
    <col min="14849" max="14849" width="44.7109375" style="1" customWidth="1"/>
    <col min="14850" max="14850" width="16.7109375" style="1" customWidth="1"/>
    <col min="14851" max="14857" width="10.7109375" style="1" customWidth="1"/>
    <col min="14858" max="14858" width="9.140625" style="1"/>
    <col min="14859" max="14859" width="16.42578125" style="1" customWidth="1"/>
    <col min="14860" max="15104" width="9.140625" style="1"/>
    <col min="15105" max="15105" width="44.7109375" style="1" customWidth="1"/>
    <col min="15106" max="15106" width="16.7109375" style="1" customWidth="1"/>
    <col min="15107" max="15113" width="10.7109375" style="1" customWidth="1"/>
    <col min="15114" max="15114" width="9.140625" style="1"/>
    <col min="15115" max="15115" width="16.42578125" style="1" customWidth="1"/>
    <col min="15116" max="15360" width="9.140625" style="1"/>
    <col min="15361" max="15361" width="44.7109375" style="1" customWidth="1"/>
    <col min="15362" max="15362" width="16.7109375" style="1" customWidth="1"/>
    <col min="15363" max="15369" width="10.7109375" style="1" customWidth="1"/>
    <col min="15370" max="15370" width="9.140625" style="1"/>
    <col min="15371" max="15371" width="16.42578125" style="1" customWidth="1"/>
    <col min="15372" max="15616" width="9.140625" style="1"/>
    <col min="15617" max="15617" width="44.7109375" style="1" customWidth="1"/>
    <col min="15618" max="15618" width="16.7109375" style="1" customWidth="1"/>
    <col min="15619" max="15625" width="10.7109375" style="1" customWidth="1"/>
    <col min="15626" max="15626" width="9.140625" style="1"/>
    <col min="15627" max="15627" width="16.42578125" style="1" customWidth="1"/>
    <col min="15628" max="15872" width="9.140625" style="1"/>
    <col min="15873" max="15873" width="44.7109375" style="1" customWidth="1"/>
    <col min="15874" max="15874" width="16.7109375" style="1" customWidth="1"/>
    <col min="15875" max="15881" width="10.7109375" style="1" customWidth="1"/>
    <col min="15882" max="15882" width="9.140625" style="1"/>
    <col min="15883" max="15883" width="16.42578125" style="1" customWidth="1"/>
    <col min="15884" max="16128" width="9.140625" style="1"/>
    <col min="16129" max="16129" width="44.7109375" style="1" customWidth="1"/>
    <col min="16130" max="16130" width="16.7109375" style="1" customWidth="1"/>
    <col min="16131" max="16137" width="10.7109375" style="1" customWidth="1"/>
    <col min="16138" max="16138" width="9.140625" style="1"/>
    <col min="16139" max="16139" width="16.42578125" style="1" customWidth="1"/>
    <col min="16140" max="16384" width="9.140625" style="1"/>
  </cols>
  <sheetData>
    <row r="1" spans="1:14" ht="13.5">
      <c r="A1" s="3551"/>
      <c r="B1" s="3551"/>
      <c r="C1" s="3551"/>
      <c r="D1" s="3551"/>
      <c r="E1" s="3551"/>
      <c r="F1" s="3551"/>
      <c r="G1" s="3551"/>
      <c r="H1" s="3552"/>
      <c r="I1" s="3553" t="s">
        <v>283</v>
      </c>
      <c r="J1" s="3554"/>
      <c r="K1" s="1437"/>
      <c r="L1" s="1437"/>
      <c r="M1" s="1437"/>
    </row>
    <row r="2" spans="1:14" s="1439" customFormat="1" ht="36.75" customHeight="1">
      <c r="A2" s="5104" t="s">
        <v>613</v>
      </c>
      <c r="B2" s="5104"/>
      <c r="C2" s="5104"/>
      <c r="D2" s="5104"/>
      <c r="E2" s="5104"/>
      <c r="F2" s="5104"/>
      <c r="G2" s="5104"/>
      <c r="H2" s="5104"/>
      <c r="I2" s="5104"/>
      <c r="J2" s="3555"/>
      <c r="K2" s="1438"/>
      <c r="L2" s="1437"/>
      <c r="M2" s="1437"/>
    </row>
    <row r="3" spans="1:14" s="705" customFormat="1" ht="18.75">
      <c r="A3" s="5543" t="str">
        <f>'1. Обща информация'!A4:D4</f>
        <v>на "Водоснабдяване и канализаиця"ООД, гр. Перник</v>
      </c>
      <c r="B3" s="5543"/>
      <c r="C3" s="5543"/>
      <c r="D3" s="5543"/>
      <c r="E3" s="5543"/>
      <c r="F3" s="5543"/>
      <c r="G3" s="5543"/>
      <c r="H3" s="5543"/>
      <c r="I3" s="5543"/>
      <c r="J3" s="3556"/>
      <c r="K3" s="1440"/>
      <c r="L3" s="1441"/>
      <c r="M3" s="1441"/>
    </row>
    <row r="4" spans="1:14" s="705" customFormat="1" ht="18.75">
      <c r="A4" s="5543" t="str">
        <f>'1. Обща информация'!A5:D5</f>
        <v>ЕИК по БУЛСТАТ: 823073638</v>
      </c>
      <c r="B4" s="5543"/>
      <c r="C4" s="5543"/>
      <c r="D4" s="5543"/>
      <c r="E4" s="5543"/>
      <c r="F4" s="5543"/>
      <c r="G4" s="5543"/>
      <c r="H4" s="5543"/>
      <c r="I4" s="5543"/>
      <c r="J4" s="3556"/>
      <c r="K4" s="1440"/>
      <c r="L4" s="1441"/>
      <c r="M4" s="1441"/>
      <c r="N4" s="1442"/>
    </row>
    <row r="5" spans="1:14" ht="12" customHeight="1" thickBot="1">
      <c r="A5" s="3557"/>
      <c r="B5" s="3558"/>
      <c r="C5" s="3558"/>
      <c r="D5" s="3558"/>
      <c r="E5" s="3558"/>
      <c r="F5" s="3558"/>
      <c r="G5" s="3558"/>
      <c r="H5" s="3558"/>
      <c r="I5" s="3558"/>
      <c r="J5" s="3559"/>
      <c r="K5" s="1438"/>
      <c r="L5" s="1437"/>
      <c r="M5" s="1437"/>
    </row>
    <row r="6" spans="1:14" s="365" customFormat="1" ht="13.5" thickBot="1">
      <c r="A6" s="5544" t="s">
        <v>284</v>
      </c>
      <c r="B6" s="5544" t="s">
        <v>285</v>
      </c>
      <c r="C6" s="3560" t="s">
        <v>196</v>
      </c>
      <c r="D6" s="5546" t="s">
        <v>197</v>
      </c>
      <c r="E6" s="5547"/>
      <c r="F6" s="5547"/>
      <c r="G6" s="5547"/>
      <c r="H6" s="5547"/>
      <c r="I6" s="5548"/>
      <c r="J6" s="3559"/>
      <c r="K6" s="1443"/>
      <c r="L6" s="1444"/>
      <c r="M6" s="1444"/>
    </row>
    <row r="7" spans="1:14" s="365" customFormat="1" ht="13.5" thickBot="1">
      <c r="A7" s="5545"/>
      <c r="B7" s="5545"/>
      <c r="C7" s="3191" t="str">
        <f>'Приложение '!$C12</f>
        <v>2020 г.</v>
      </c>
      <c r="D7" s="3191" t="str">
        <f>'Приложение '!$C13</f>
        <v>2021 г.</v>
      </c>
      <c r="E7" s="3188" t="str">
        <f>'Приложение '!$C14</f>
        <v>2022 г.</v>
      </c>
      <c r="F7" s="3189" t="str">
        <f>'Приложение '!$C15</f>
        <v>2023 г.</v>
      </c>
      <c r="G7" s="3192" t="str">
        <f>'Приложение '!$C16</f>
        <v>2024 г.</v>
      </c>
      <c r="H7" s="3189" t="str">
        <f>'Приложение '!$C17</f>
        <v>2025 г.</v>
      </c>
      <c r="I7" s="3193" t="str">
        <f>'Приложение '!$C18</f>
        <v>2026 г.</v>
      </c>
      <c r="J7" s="3561"/>
      <c r="K7" s="1443"/>
      <c r="L7" s="1444"/>
      <c r="M7" s="1444"/>
    </row>
    <row r="8" spans="1:14" ht="15" customHeight="1">
      <c r="A8" s="3562" t="s">
        <v>286</v>
      </c>
      <c r="B8" s="3563" t="s">
        <v>287</v>
      </c>
      <c r="C8" s="4906">
        <v>1.42</v>
      </c>
      <c r="D8" s="4855">
        <v>1.4219999999999999</v>
      </c>
      <c r="E8" s="1569">
        <f>'20.Цени '!D9</f>
        <v>2.0209999999999999</v>
      </c>
      <c r="F8" s="440">
        <f>'20.Цени '!E9</f>
        <v>2.0619999999999998</v>
      </c>
      <c r="G8" s="440">
        <f>'20.Цени '!F9</f>
        <v>2.177</v>
      </c>
      <c r="H8" s="440">
        <f>'20.Цени '!G9</f>
        <v>2.3340000000000001</v>
      </c>
      <c r="I8" s="441">
        <f>'20.Цени '!H9</f>
        <v>2.3879999999999999</v>
      </c>
      <c r="J8" s="3564"/>
      <c r="K8" s="1438"/>
      <c r="L8" s="1436"/>
      <c r="M8" s="1436"/>
    </row>
    <row r="9" spans="1:14" ht="15" customHeight="1">
      <c r="A9" s="3565" t="s">
        <v>288</v>
      </c>
      <c r="B9" s="3566" t="s">
        <v>287</v>
      </c>
      <c r="C9" s="4906">
        <v>0.2</v>
      </c>
      <c r="D9" s="4855">
        <v>0.20599999999999999</v>
      </c>
      <c r="E9" s="1570">
        <f>'20.Цени '!D11</f>
        <v>0.20899999999999999</v>
      </c>
      <c r="F9" s="442">
        <f>'20.Цени '!E11</f>
        <v>0.29699999999999999</v>
      </c>
      <c r="G9" s="442">
        <f>'20.Цени '!F11</f>
        <v>0.36299999999999999</v>
      </c>
      <c r="H9" s="442">
        <f>'20.Цени '!G11</f>
        <v>0.42499999999999999</v>
      </c>
      <c r="I9" s="443">
        <f>'20.Цени '!H11</f>
        <v>0.437</v>
      </c>
      <c r="J9" s="3564"/>
      <c r="K9" s="1438"/>
      <c r="L9" s="1436"/>
      <c r="M9" s="1436"/>
    </row>
    <row r="10" spans="1:14" ht="15" customHeight="1">
      <c r="A10" s="3565" t="s">
        <v>289</v>
      </c>
      <c r="B10" s="3566" t="s">
        <v>287</v>
      </c>
      <c r="C10" s="4906">
        <v>0.39400000000000002</v>
      </c>
      <c r="D10" s="4855">
        <v>0.39700000000000002</v>
      </c>
      <c r="E10" s="1570">
        <f>'20.Цени '!D13</f>
        <v>0.56699999999999995</v>
      </c>
      <c r="F10" s="442">
        <f>'20.Цени '!E13</f>
        <v>0.67100000000000004</v>
      </c>
      <c r="G10" s="442">
        <f>'20.Цени '!F13</f>
        <v>0.61299999999999999</v>
      </c>
      <c r="H10" s="442">
        <f>'20.Цени '!G13</f>
        <v>0.65600000000000003</v>
      </c>
      <c r="I10" s="443">
        <f>'20.Цени '!H13</f>
        <v>0.67200000000000004</v>
      </c>
      <c r="J10" s="2749"/>
      <c r="K10" s="1438"/>
      <c r="L10" s="1437"/>
      <c r="M10" s="1436"/>
    </row>
    <row r="11" spans="1:14" ht="15" customHeight="1">
      <c r="A11" s="3567" t="s">
        <v>198</v>
      </c>
      <c r="B11" s="3568" t="s">
        <v>290</v>
      </c>
      <c r="C11" s="411">
        <f t="shared" ref="C11:I11" si="0">SUM(C8:C10)*1.2</f>
        <v>2.4167999999999998</v>
      </c>
      <c r="D11" s="411">
        <f t="shared" si="0"/>
        <v>2.4299999999999997</v>
      </c>
      <c r="E11" s="1571">
        <f t="shared" si="0"/>
        <v>3.3563999999999994</v>
      </c>
      <c r="F11" s="290">
        <f t="shared" si="0"/>
        <v>3.6360000000000001</v>
      </c>
      <c r="G11" s="290">
        <f t="shared" si="0"/>
        <v>3.7835999999999999</v>
      </c>
      <c r="H11" s="290">
        <f t="shared" si="0"/>
        <v>4.0979999999999999</v>
      </c>
      <c r="I11" s="291">
        <f t="shared" si="0"/>
        <v>4.1963999999999997</v>
      </c>
      <c r="J11" s="2749"/>
      <c r="K11" s="1438"/>
      <c r="L11" s="1437"/>
      <c r="M11" s="1436"/>
    </row>
    <row r="12" spans="1:14" ht="15" customHeight="1">
      <c r="A12" s="3565" t="s">
        <v>291</v>
      </c>
      <c r="B12" s="3566" t="s">
        <v>292</v>
      </c>
      <c r="C12" s="412">
        <v>2.8</v>
      </c>
      <c r="D12" s="412">
        <v>2.8</v>
      </c>
      <c r="E12" s="1572">
        <v>2.8</v>
      </c>
      <c r="F12" s="292">
        <v>2.8</v>
      </c>
      <c r="G12" s="288">
        <v>2.8</v>
      </c>
      <c r="H12" s="292">
        <v>2.8</v>
      </c>
      <c r="I12" s="289">
        <v>2.8</v>
      </c>
      <c r="J12" s="2749"/>
      <c r="K12" s="1438"/>
      <c r="L12" s="1437"/>
      <c r="M12" s="1436"/>
    </row>
    <row r="13" spans="1:14" ht="15" customHeight="1">
      <c r="A13" s="3565" t="s">
        <v>344</v>
      </c>
      <c r="B13" s="3566" t="s">
        <v>293</v>
      </c>
      <c r="C13" s="413">
        <f t="shared" ref="C13:I13" si="1">C11*C12</f>
        <v>6.7670399999999988</v>
      </c>
      <c r="D13" s="413">
        <f t="shared" si="1"/>
        <v>6.8039999999999985</v>
      </c>
      <c r="E13" s="1573">
        <f t="shared" si="1"/>
        <v>9.3979199999999974</v>
      </c>
      <c r="F13" s="294">
        <f t="shared" si="1"/>
        <v>10.1808</v>
      </c>
      <c r="G13" s="293">
        <f t="shared" si="1"/>
        <v>10.594079999999998</v>
      </c>
      <c r="H13" s="293">
        <f t="shared" si="1"/>
        <v>11.474399999999999</v>
      </c>
      <c r="I13" s="295">
        <f t="shared" si="1"/>
        <v>11.749919999999998</v>
      </c>
      <c r="J13" s="2749"/>
      <c r="K13" s="1438"/>
      <c r="L13" s="1437"/>
      <c r="M13" s="1436"/>
    </row>
    <row r="14" spans="1:14" ht="15" customHeight="1">
      <c r="A14" s="3569" t="s">
        <v>294</v>
      </c>
      <c r="B14" s="3566" t="s">
        <v>295</v>
      </c>
      <c r="C14" s="448">
        <v>651</v>
      </c>
      <c r="D14" s="4387">
        <f>C14*(1+D15)</f>
        <v>675.08699999999999</v>
      </c>
      <c r="E14" s="4388">
        <f t="shared" ref="E14:I14" si="2">D14*(1+E15)</f>
        <v>707.491176</v>
      </c>
      <c r="F14" s="1590">
        <f t="shared" si="2"/>
        <v>733.66834951199996</v>
      </c>
      <c r="G14" s="4389">
        <f t="shared" si="2"/>
        <v>758.61307339540804</v>
      </c>
      <c r="H14" s="1590">
        <f t="shared" si="2"/>
        <v>784.40591789085192</v>
      </c>
      <c r="I14" s="1591">
        <f t="shared" si="2"/>
        <v>811.07571909914088</v>
      </c>
      <c r="J14" s="2749"/>
      <c r="K14" s="1438"/>
      <c r="L14" s="1437"/>
      <c r="M14" s="1436"/>
    </row>
    <row r="15" spans="1:14" ht="24">
      <c r="A15" s="3570" t="s">
        <v>1369</v>
      </c>
      <c r="B15" s="3571" t="s">
        <v>174</v>
      </c>
      <c r="C15" s="3572"/>
      <c r="D15" s="414">
        <v>3.6999999999999998E-2</v>
      </c>
      <c r="E15" s="1574">
        <v>4.8000000000000001E-2</v>
      </c>
      <c r="F15" s="297">
        <v>3.6999999999999998E-2</v>
      </c>
      <c r="G15" s="296">
        <v>3.4000000000000002E-2</v>
      </c>
      <c r="H15" s="296">
        <f t="shared" ref="H15:I15" si="3">G15</f>
        <v>3.4000000000000002E-2</v>
      </c>
      <c r="I15" s="1575">
        <f t="shared" si="3"/>
        <v>3.4000000000000002E-2</v>
      </c>
      <c r="J15" s="2749"/>
      <c r="K15" s="1438"/>
      <c r="L15" s="1437"/>
      <c r="M15" s="1436"/>
    </row>
    <row r="16" spans="1:14" ht="15" customHeight="1" thickBot="1">
      <c r="A16" s="3570" t="s">
        <v>748</v>
      </c>
      <c r="B16" s="3573" t="s">
        <v>293</v>
      </c>
      <c r="C16" s="415">
        <f>C14*2.5%</f>
        <v>16.275000000000002</v>
      </c>
      <c r="D16" s="415">
        <f>D14*2.5%</f>
        <v>16.877175000000001</v>
      </c>
      <c r="E16" s="1576">
        <f t="shared" ref="E16:I16" si="4">E14*2.5%</f>
        <v>17.687279400000001</v>
      </c>
      <c r="F16" s="299">
        <f t="shared" si="4"/>
        <v>18.341708737800001</v>
      </c>
      <c r="G16" s="298">
        <f t="shared" si="4"/>
        <v>18.9653268348852</v>
      </c>
      <c r="H16" s="298">
        <f t="shared" si="4"/>
        <v>19.610147947271301</v>
      </c>
      <c r="I16" s="300">
        <f t="shared" si="4"/>
        <v>20.276892977478525</v>
      </c>
      <c r="J16" s="3574"/>
      <c r="K16" s="1438"/>
      <c r="L16" s="1437"/>
      <c r="M16" s="1436"/>
    </row>
    <row r="17" spans="1:13" ht="20.25" customHeight="1" thickBot="1">
      <c r="A17" s="3575" t="s">
        <v>296</v>
      </c>
      <c r="B17" s="3576" t="s">
        <v>297</v>
      </c>
      <c r="C17" s="416">
        <f>C16/C12</f>
        <v>5.8125000000000009</v>
      </c>
      <c r="D17" s="416">
        <f t="shared" ref="D17:I17" si="5">D16/D12</f>
        <v>6.027562500000001</v>
      </c>
      <c r="E17" s="1577">
        <f t="shared" si="5"/>
        <v>6.3168855000000006</v>
      </c>
      <c r="F17" s="302">
        <f t="shared" si="5"/>
        <v>6.5506102635000012</v>
      </c>
      <c r="G17" s="301">
        <f t="shared" si="5"/>
        <v>6.7733310124590007</v>
      </c>
      <c r="H17" s="301">
        <f t="shared" si="5"/>
        <v>7.0036242668826079</v>
      </c>
      <c r="I17" s="303">
        <f t="shared" si="5"/>
        <v>7.2417474919566169</v>
      </c>
      <c r="J17" s="1815"/>
      <c r="K17" s="1438"/>
      <c r="L17" s="1437"/>
      <c r="M17" s="1436"/>
    </row>
    <row r="18" spans="1:13" ht="13.5" thickBot="1">
      <c r="A18" s="3551"/>
      <c r="B18" s="3577"/>
      <c r="C18" s="3577"/>
      <c r="D18" s="3577"/>
      <c r="E18" s="3577"/>
      <c r="F18" s="3577"/>
      <c r="G18" s="3577"/>
      <c r="H18" s="3577"/>
      <c r="I18" s="3577"/>
      <c r="J18" s="3578"/>
      <c r="K18" s="1438"/>
      <c r="L18" s="1437"/>
      <c r="M18" s="1436"/>
    </row>
    <row r="19" spans="1:13" ht="27" customHeight="1" thickBot="1">
      <c r="A19" s="3575" t="s">
        <v>296</v>
      </c>
      <c r="B19" s="3579" t="s">
        <v>174</v>
      </c>
      <c r="C19" s="417">
        <f t="shared" ref="C19:I19" si="6">IFERROR(C13/C14,0)</f>
        <v>1.0394838709677418E-2</v>
      </c>
      <c r="D19" s="418">
        <f t="shared" si="6"/>
        <v>1.0078700967430862E-2</v>
      </c>
      <c r="E19" s="419">
        <f t="shared" si="6"/>
        <v>1.3283444824193818E-2</v>
      </c>
      <c r="F19" s="420">
        <f t="shared" si="6"/>
        <v>1.3876569715419462E-2</v>
      </c>
      <c r="G19" s="419">
        <f t="shared" si="6"/>
        <v>1.396506384023005E-2</v>
      </c>
      <c r="H19" s="419">
        <f t="shared" si="6"/>
        <v>1.4628140530674365E-2</v>
      </c>
      <c r="I19" s="421">
        <f t="shared" si="6"/>
        <v>1.4486834858095116E-2</v>
      </c>
      <c r="J19" s="3578"/>
      <c r="K19" s="1438"/>
      <c r="L19" s="1437"/>
      <c r="M19" s="1436"/>
    </row>
    <row r="20" spans="1:13">
      <c r="A20" s="3551"/>
      <c r="B20" s="3551"/>
      <c r="C20" s="3551"/>
      <c r="D20" s="3551"/>
      <c r="E20" s="3551"/>
      <c r="F20" s="3551"/>
      <c r="G20" s="3551"/>
      <c r="H20" s="3551"/>
      <c r="I20" s="3551"/>
      <c r="J20" s="3578"/>
      <c r="K20" s="1438"/>
      <c r="L20" s="1437"/>
      <c r="M20" s="1436"/>
    </row>
    <row r="21" spans="1:13" ht="15">
      <c r="A21" s="3551"/>
      <c r="B21" s="3551"/>
      <c r="C21" s="3551"/>
      <c r="D21" s="3551"/>
      <c r="E21" s="772"/>
      <c r="F21" s="3580"/>
      <c r="G21" s="772"/>
      <c r="H21" s="3580"/>
      <c r="I21" s="772"/>
      <c r="J21" s="1815"/>
      <c r="K21" s="1438"/>
      <c r="L21" s="1437"/>
      <c r="M21" s="1436"/>
    </row>
    <row r="22" spans="1:13">
      <c r="A22" s="3551"/>
      <c r="B22" s="3551"/>
      <c r="C22" s="3551"/>
      <c r="D22" s="3551"/>
      <c r="E22" s="2945"/>
      <c r="F22" s="3359"/>
      <c r="G22" s="3354"/>
      <c r="H22" s="3353"/>
      <c r="I22" s="3354"/>
      <c r="J22" s="1815"/>
      <c r="K22" s="1438"/>
      <c r="L22" s="1437"/>
      <c r="M22" s="1436"/>
    </row>
    <row r="23" spans="1:13">
      <c r="A23" s="3581" t="str">
        <f>'Приложение '!B81</f>
        <v>Дата: 24 юни 2021 година</v>
      </c>
      <c r="B23" s="1622"/>
      <c r="C23" s="1622"/>
      <c r="D23" s="1622"/>
      <c r="E23" s="3359" t="str">
        <f>'Приложение '!C81</f>
        <v xml:space="preserve">Гл. счетоводител/Фин.директор: </v>
      </c>
      <c r="F23" s="3582" t="str">
        <f>'Приложение '!D81</f>
        <v>..............................................</v>
      </c>
      <c r="G23" s="3518"/>
      <c r="H23" s="2951"/>
      <c r="I23" s="3354"/>
      <c r="J23" s="1815"/>
      <c r="K23" s="1438"/>
      <c r="L23" s="1437"/>
      <c r="M23" s="1436"/>
    </row>
    <row r="24" spans="1:13">
      <c r="A24" s="3583"/>
      <c r="B24" s="3583"/>
      <c r="C24" s="3583"/>
      <c r="D24" s="3584"/>
      <c r="E24" s="3359"/>
      <c r="F24" s="3585" t="str">
        <f>'Приложение '!D82</f>
        <v>(подпис)</v>
      </c>
      <c r="G24" s="3518"/>
      <c r="H24" s="2951"/>
      <c r="I24" s="3354"/>
      <c r="J24" s="1815"/>
      <c r="K24" s="1445"/>
      <c r="L24" s="1437"/>
      <c r="M24" s="1436"/>
    </row>
    <row r="25" spans="1:13">
      <c r="A25" s="1622"/>
      <c r="B25" s="1622"/>
      <c r="C25" s="1622"/>
      <c r="D25" s="3586"/>
      <c r="E25" s="3359"/>
      <c r="F25" s="3359"/>
      <c r="G25" s="3518"/>
      <c r="H25" s="2951"/>
      <c r="I25" s="3354"/>
      <c r="J25" s="1815"/>
      <c r="K25" s="1445"/>
      <c r="L25" s="1437"/>
      <c r="M25" s="1436"/>
    </row>
    <row r="26" spans="1:13">
      <c r="A26" s="1622"/>
      <c r="B26" s="1622"/>
      <c r="C26" s="1622"/>
      <c r="D26" s="3584"/>
      <c r="E26" s="3359"/>
      <c r="F26" s="3359"/>
      <c r="G26" s="3518"/>
      <c r="H26" s="2951"/>
      <c r="I26" s="3354"/>
      <c r="J26" s="1815"/>
      <c r="K26" s="1438"/>
      <c r="L26" s="1437"/>
      <c r="M26" s="1436"/>
    </row>
    <row r="27" spans="1:13">
      <c r="A27" s="1622"/>
      <c r="B27" s="1622"/>
      <c r="C27" s="1622"/>
      <c r="D27" s="3587"/>
      <c r="E27" s="3359" t="str">
        <f>'Приложение '!C85</f>
        <v xml:space="preserve">Управител/Изп.директор: </v>
      </c>
      <c r="F27" s="3582" t="str">
        <f>'Приложение '!D85</f>
        <v>.............................................</v>
      </c>
      <c r="G27" s="3354"/>
      <c r="H27" s="3354"/>
      <c r="I27" s="3354"/>
      <c r="J27" s="1815"/>
      <c r="K27" s="1438"/>
      <c r="L27" s="1437"/>
      <c r="M27" s="1436"/>
    </row>
    <row r="28" spans="1:13">
      <c r="A28" s="1622"/>
      <c r="B28" s="1622"/>
      <c r="C28" s="1622"/>
      <c r="D28" s="3586"/>
      <c r="E28" s="3353"/>
      <c r="F28" s="3585" t="str">
        <f>'Приложение '!D86</f>
        <v>(подпис и печат)</v>
      </c>
      <c r="G28" s="3518"/>
      <c r="H28" s="2951"/>
      <c r="I28" s="3518"/>
      <c r="J28" s="1815"/>
      <c r="K28" s="1438"/>
      <c r="L28" s="1437"/>
      <c r="M28" s="1436"/>
    </row>
    <row r="29" spans="1:13">
      <c r="A29" s="5540" t="s">
        <v>191</v>
      </c>
      <c r="B29" s="5540"/>
      <c r="C29" s="5540"/>
      <c r="D29" s="5540"/>
      <c r="E29" s="3588"/>
      <c r="F29" s="3588"/>
      <c r="G29" s="3588"/>
      <c r="H29" s="3588"/>
      <c r="I29" s="1810"/>
      <c r="J29" s="1815"/>
      <c r="K29" s="1438"/>
      <c r="L29" s="1437"/>
      <c r="M29" s="1436"/>
    </row>
    <row r="30" spans="1:13">
      <c r="A30" s="5541" t="s">
        <v>192</v>
      </c>
      <c r="B30" s="5541"/>
      <c r="C30" s="5541"/>
      <c r="D30" s="5541"/>
      <c r="E30" s="3588"/>
      <c r="F30" s="3588"/>
      <c r="G30" s="3588"/>
      <c r="H30" s="3588"/>
      <c r="I30" s="1810"/>
      <c r="J30" s="1815"/>
      <c r="K30" s="1446"/>
      <c r="L30" s="1436"/>
      <c r="M30" s="1436"/>
    </row>
    <row r="31" spans="1:13">
      <c r="A31" s="5542" t="s">
        <v>1521</v>
      </c>
      <c r="B31" s="5542"/>
      <c r="C31" s="5542"/>
      <c r="D31" s="5542"/>
      <c r="E31" s="5542"/>
      <c r="F31" s="5542"/>
      <c r="G31" s="5542"/>
      <c r="H31" s="5542"/>
      <c r="I31" s="1810"/>
      <c r="J31" s="1815"/>
      <c r="K31" s="1446"/>
      <c r="L31" s="1436"/>
      <c r="M31" s="1436"/>
    </row>
    <row r="32" spans="1:13">
      <c r="A32" s="1810"/>
      <c r="B32" s="1810"/>
      <c r="C32" s="1810"/>
      <c r="D32" s="1810"/>
      <c r="E32" s="1810"/>
      <c r="F32" s="1810"/>
      <c r="G32" s="1810"/>
      <c r="H32" s="1810"/>
      <c r="I32" s="1810"/>
      <c r="J32" s="1815"/>
      <c r="K32" s="1446"/>
      <c r="L32" s="1436"/>
      <c r="M32" s="1436"/>
    </row>
    <row r="33" spans="11:13">
      <c r="K33" s="1445"/>
      <c r="L33" s="1436"/>
      <c r="M33" s="1436"/>
    </row>
    <row r="34" spans="11:13">
      <c r="K34" s="1437"/>
      <c r="L34" s="1436"/>
      <c r="M34" s="1436"/>
    </row>
    <row r="40" spans="11:13" ht="11.25" customHeight="1"/>
    <row r="61" spans="8:8">
      <c r="H61" s="1" t="s">
        <v>207</v>
      </c>
    </row>
    <row r="100" spans="11:11">
      <c r="K100" s="1447"/>
    </row>
    <row r="101" spans="11:11">
      <c r="K101" s="1447"/>
    </row>
    <row r="102" spans="11:11">
      <c r="K102" s="1447"/>
    </row>
    <row r="103" spans="11:11">
      <c r="K103" s="1447"/>
    </row>
    <row r="104" spans="11:11">
      <c r="K104" s="1447"/>
    </row>
    <row r="105" spans="11:11">
      <c r="K105" s="1447"/>
    </row>
    <row r="106" spans="11:11">
      <c r="K106" s="1447"/>
    </row>
    <row r="107" spans="11:11">
      <c r="K107" s="1447"/>
    </row>
    <row r="108" spans="11:11">
      <c r="K108" s="1447"/>
    </row>
    <row r="109" spans="11:11">
      <c r="K109" s="1447"/>
    </row>
    <row r="110" spans="11:11">
      <c r="K110" s="1447"/>
    </row>
    <row r="111" spans="11:11">
      <c r="K111" s="1447"/>
    </row>
    <row r="112" spans="11:11">
      <c r="K112" s="1447"/>
    </row>
    <row r="113" spans="11:11">
      <c r="K113" s="1447"/>
    </row>
    <row r="114" spans="11:11">
      <c r="K114" s="1447"/>
    </row>
    <row r="115" spans="11:11">
      <c r="K115" s="1447"/>
    </row>
  </sheetData>
  <sheetProtection password="EB75" sheet="1" objects="1" scenarios="1" formatCells="0" formatColumns="0" formatRows="0"/>
  <mergeCells count="9">
    <mergeCell ref="A2:I2"/>
    <mergeCell ref="A29:D29"/>
    <mergeCell ref="A30:D30"/>
    <mergeCell ref="A31:H31"/>
    <mergeCell ref="A3:I3"/>
    <mergeCell ref="A4:I4"/>
    <mergeCell ref="A6:A7"/>
    <mergeCell ref="B6:B7"/>
    <mergeCell ref="D6:I6"/>
  </mergeCells>
  <conditionalFormatting sqref="C19:I19">
    <cfRule type="cellIs" dxfId="4" priority="1" operator="greaterThan">
      <formula>0.025</formula>
    </cfRule>
  </conditionalFormatting>
  <printOptions horizontalCentered="1"/>
  <pageMargins left="0" right="0.19685039370078741" top="0.82677165354330717" bottom="0.55118110236220474" header="0.31496062992125984" footer="0.31496062992125984"/>
  <pageSetup paperSize="9" orientation="landscape" r:id="rId1"/>
  <headerFooter alignWithMargins="0">
    <oddFooter>&amp;C&amp;A</oddFooter>
  </headerFooter>
  <ignoredErrors>
    <ignoredError sqref="D14:I14" unlockedFormula="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79998168889431442"/>
    <pageSetUpPr fitToPage="1"/>
  </sheetPr>
  <dimension ref="A1:H55"/>
  <sheetViews>
    <sheetView view="pageBreakPreview" zoomScale="80" zoomScaleNormal="100" zoomScaleSheetLayoutView="80" workbookViewId="0">
      <pane xSplit="7" ySplit="7" topLeftCell="H26" activePane="bottomRight" state="frozen"/>
      <selection pane="topRight" activeCell="I1" sqref="I1"/>
      <selection pane="bottomLeft" activeCell="A7" sqref="A7"/>
      <selection pane="bottomRight" activeCell="E15" sqref="E15"/>
    </sheetView>
  </sheetViews>
  <sheetFormatPr defaultColWidth="9.140625" defaultRowHeight="12.75"/>
  <cols>
    <col min="1" max="1" width="49.140625" style="23" customWidth="1"/>
    <col min="2" max="5" width="9.7109375" style="23" customWidth="1"/>
    <col min="6" max="7" width="9.140625" style="24"/>
    <col min="8" max="16384" width="9.140625" style="18"/>
  </cols>
  <sheetData>
    <row r="1" spans="1:8" ht="13.5">
      <c r="A1" s="3589"/>
      <c r="B1" s="3589"/>
      <c r="C1" s="3589"/>
      <c r="D1" s="3589"/>
      <c r="E1" s="3589"/>
      <c r="F1" s="3590"/>
      <c r="G1" s="3553" t="s">
        <v>351</v>
      </c>
    </row>
    <row r="2" spans="1:8" ht="25.5" customHeight="1">
      <c r="A2" s="5106" t="s">
        <v>1563</v>
      </c>
      <c r="B2" s="5106"/>
      <c r="C2" s="5106"/>
      <c r="D2" s="5106"/>
      <c r="E2" s="5106"/>
      <c r="F2" s="5106"/>
      <c r="G2" s="5106"/>
    </row>
    <row r="3" spans="1:8" ht="20.25" customHeight="1">
      <c r="A3" s="5106" t="s">
        <v>1562</v>
      </c>
      <c r="B3" s="5106"/>
      <c r="C3" s="5106"/>
      <c r="D3" s="5106"/>
      <c r="E3" s="5106"/>
      <c r="F3" s="5106"/>
      <c r="G3" s="5106"/>
    </row>
    <row r="4" spans="1:8" ht="15.75">
      <c r="A4" s="5552" t="str">
        <f>'1. Обща информация'!A4:D4</f>
        <v>на "Водоснабдяване и канализаиця"ООД, гр. Перник</v>
      </c>
      <c r="B4" s="5552"/>
      <c r="C4" s="5552"/>
      <c r="D4" s="5552"/>
      <c r="E4" s="5552"/>
      <c r="F4" s="5552"/>
      <c r="G4" s="5552"/>
    </row>
    <row r="5" spans="1:8" ht="15.75">
      <c r="A5" s="5552" t="str">
        <f>'1. Обща информация'!A5:D5</f>
        <v>ЕИК по БУЛСТАТ: 823073638</v>
      </c>
      <c r="B5" s="5552"/>
      <c r="C5" s="5552"/>
      <c r="D5" s="5552"/>
      <c r="E5" s="5552"/>
      <c r="F5" s="5552"/>
      <c r="G5" s="5552"/>
    </row>
    <row r="6" spans="1:8" ht="13.5" thickBot="1">
      <c r="A6" s="3591"/>
      <c r="B6" s="3591"/>
      <c r="C6" s="3591"/>
      <c r="D6" s="3591"/>
      <c r="E6" s="3591"/>
      <c r="F6" s="3590"/>
      <c r="G6" s="3592" t="s">
        <v>194</v>
      </c>
    </row>
    <row r="7" spans="1:8" ht="13.5" thickBot="1">
      <c r="A7" s="3593" t="s">
        <v>494</v>
      </c>
      <c r="B7" s="273" t="str">
        <f>'Приложение '!$C12</f>
        <v>2020 г.</v>
      </c>
      <c r="C7" s="274" t="str">
        <f>'Приложение '!$C14</f>
        <v>2022 г.</v>
      </c>
      <c r="D7" s="275" t="str">
        <f>'Приложение '!$C15</f>
        <v>2023 г.</v>
      </c>
      <c r="E7" s="275" t="str">
        <f>'Приложение '!$C16</f>
        <v>2024 г.</v>
      </c>
      <c r="F7" s="275" t="str">
        <f>'Приложение '!$C17</f>
        <v>2025 г.</v>
      </c>
      <c r="G7" s="276" t="str">
        <f>'Приложение '!$C18</f>
        <v>2026 г.</v>
      </c>
    </row>
    <row r="8" spans="1:8" ht="14.25">
      <c r="A8" s="3594" t="s">
        <v>495</v>
      </c>
      <c r="B8" s="3595">
        <f t="shared" ref="B8:G8" si="0">B9+B16</f>
        <v>10301</v>
      </c>
      <c r="C8" s="3596">
        <f t="shared" si="0"/>
        <v>18220.804164824669</v>
      </c>
      <c r="D8" s="3597">
        <f t="shared" si="0"/>
        <v>22002.443479377122</v>
      </c>
      <c r="E8" s="3597">
        <f t="shared" si="0"/>
        <v>17587.818139988343</v>
      </c>
      <c r="F8" s="3597">
        <f t="shared" si="0"/>
        <v>18503.060989573416</v>
      </c>
      <c r="G8" s="3598">
        <f t="shared" si="0"/>
        <v>18777.194960312198</v>
      </c>
      <c r="H8" s="961"/>
    </row>
    <row r="9" spans="1:8">
      <c r="A9" s="3599" t="s">
        <v>496</v>
      </c>
      <c r="B9" s="3600">
        <f t="shared" ref="B9:G9" si="1">SUM(B10:B15)</f>
        <v>10301</v>
      </c>
      <c r="C9" s="3601">
        <f t="shared" si="1"/>
        <v>18220.804164824669</v>
      </c>
      <c r="D9" s="3602">
        <f t="shared" si="1"/>
        <v>22002.443479377122</v>
      </c>
      <c r="E9" s="3602">
        <f t="shared" si="1"/>
        <v>17587.818139988343</v>
      </c>
      <c r="F9" s="3602">
        <f t="shared" si="1"/>
        <v>18503.060989573416</v>
      </c>
      <c r="G9" s="3603">
        <f t="shared" si="1"/>
        <v>18777.194960312198</v>
      </c>
    </row>
    <row r="10" spans="1:8">
      <c r="A10" s="3604" t="s">
        <v>1030</v>
      </c>
      <c r="B10" s="448">
        <f>8861+31</f>
        <v>8892</v>
      </c>
      <c r="C10" s="3605">
        <f>+'16. Необходими приходи'!D11+'16. Необходими приходи'!D17+'16. Необходими приходи'!D25+'16. Необходими приходи'!D36+'16. Необходими приходи'!D42</f>
        <v>14129.88116482467</v>
      </c>
      <c r="D10" s="3606">
        <f>+'16. Необходими приходи'!E11+'16. Необходими приходи'!E17+'16. Необходими приходи'!E25+'16. Необходими приходи'!E36+'16. Необходими приходи'!E42</f>
        <v>15043.685479377122</v>
      </c>
      <c r="E10" s="3606">
        <f>+'16. Необходими приходи'!F11+'16. Необходими приходи'!F17+'16. Необходими приходи'!F25+'16. Необходими приходи'!F36+'16. Необходими приходи'!F42</f>
        <v>16185.718139988345</v>
      </c>
      <c r="F10" s="3606">
        <f>+'16. Необходими приходи'!G11+'16. Необходими приходи'!G17+'16. Необходими приходи'!G25+'16. Необходими приходи'!G36+'16. Необходими приходи'!G42</f>
        <v>17307.160989573415</v>
      </c>
      <c r="G10" s="3607">
        <f>+'16. Необходими приходи'!H11+'16. Необходими приходи'!H17+'16. Необходими приходи'!H25+'16. Необходими приходи'!H36+'16. Необходими приходи'!H42</f>
        <v>17579.894960312198</v>
      </c>
    </row>
    <row r="11" spans="1:8">
      <c r="A11" s="3604" t="s">
        <v>1031</v>
      </c>
      <c r="B11" s="448">
        <v>98</v>
      </c>
      <c r="C11" s="285">
        <v>120</v>
      </c>
      <c r="D11" s="450">
        <v>120</v>
      </c>
      <c r="E11" s="450">
        <v>120</v>
      </c>
      <c r="F11" s="450">
        <v>120</v>
      </c>
      <c r="G11" s="286">
        <v>120</v>
      </c>
    </row>
    <row r="12" spans="1:8">
      <c r="A12" s="3608" t="s">
        <v>497</v>
      </c>
      <c r="B12" s="448">
        <f>71+531</f>
        <v>602</v>
      </c>
      <c r="C12" s="285">
        <v>602</v>
      </c>
      <c r="D12" s="450">
        <v>602</v>
      </c>
      <c r="E12" s="450">
        <v>602</v>
      </c>
      <c r="F12" s="450">
        <v>602</v>
      </c>
      <c r="G12" s="286">
        <v>602</v>
      </c>
    </row>
    <row r="13" spans="1:8">
      <c r="A13" s="3609" t="s">
        <v>498</v>
      </c>
      <c r="B13" s="448">
        <v>535</v>
      </c>
      <c r="C13" s="3610">
        <f>'9.Инвестиционна програма'!H126</f>
        <v>3218.9229999999998</v>
      </c>
      <c r="D13" s="3611">
        <f>'9.Инвестиционна програма'!I126</f>
        <v>6086.7579999999998</v>
      </c>
      <c r="E13" s="3611">
        <f>'9.Инвестиционна програма'!J126</f>
        <v>530.1</v>
      </c>
      <c r="F13" s="3611">
        <f>'9.Инвестиционна програма'!K126</f>
        <v>323.89999999999998</v>
      </c>
      <c r="G13" s="3612">
        <f>'9.Инвестиционна програма'!L126</f>
        <v>325.3</v>
      </c>
    </row>
    <row r="14" spans="1:8">
      <c r="A14" s="3613" t="s">
        <v>499</v>
      </c>
      <c r="B14" s="448">
        <v>0</v>
      </c>
      <c r="C14" s="285">
        <v>0</v>
      </c>
      <c r="D14" s="450">
        <v>0</v>
      </c>
      <c r="E14" s="450">
        <v>0</v>
      </c>
      <c r="F14" s="450">
        <v>0</v>
      </c>
      <c r="G14" s="286">
        <v>0</v>
      </c>
    </row>
    <row r="15" spans="1:8">
      <c r="A15" s="3613" t="s">
        <v>1027</v>
      </c>
      <c r="B15" s="448">
        <v>174</v>
      </c>
      <c r="C15" s="285">
        <v>150</v>
      </c>
      <c r="D15" s="450">
        <v>150</v>
      </c>
      <c r="E15" s="450">
        <v>150</v>
      </c>
      <c r="F15" s="450">
        <v>150</v>
      </c>
      <c r="G15" s="286">
        <v>150</v>
      </c>
    </row>
    <row r="16" spans="1:8">
      <c r="A16" s="3614" t="s">
        <v>500</v>
      </c>
      <c r="B16" s="3600">
        <f>SUM(B17:B20)</f>
        <v>0</v>
      </c>
      <c r="C16" s="3601">
        <f t="shared" ref="C16:G16" si="2">SUM(C17:C20)</f>
        <v>0</v>
      </c>
      <c r="D16" s="3602">
        <f t="shared" si="2"/>
        <v>0</v>
      </c>
      <c r="E16" s="3602">
        <f t="shared" si="2"/>
        <v>0</v>
      </c>
      <c r="F16" s="3602">
        <f t="shared" si="2"/>
        <v>0</v>
      </c>
      <c r="G16" s="3603">
        <f t="shared" si="2"/>
        <v>0</v>
      </c>
    </row>
    <row r="17" spans="1:7">
      <c r="A17" s="3608" t="s">
        <v>501</v>
      </c>
      <c r="B17" s="448"/>
      <c r="C17" s="285"/>
      <c r="D17" s="450"/>
      <c r="E17" s="450"/>
      <c r="F17" s="450"/>
      <c r="G17" s="286"/>
    </row>
    <row r="18" spans="1:7">
      <c r="A18" s="3613" t="s">
        <v>502</v>
      </c>
      <c r="B18" s="448"/>
      <c r="C18" s="285"/>
      <c r="D18" s="450"/>
      <c r="E18" s="450"/>
      <c r="F18" s="450"/>
      <c r="G18" s="286"/>
    </row>
    <row r="19" spans="1:7">
      <c r="A19" s="3613" t="s">
        <v>503</v>
      </c>
      <c r="B19" s="448"/>
      <c r="C19" s="285"/>
      <c r="D19" s="450"/>
      <c r="E19" s="450"/>
      <c r="F19" s="450"/>
      <c r="G19" s="286"/>
    </row>
    <row r="20" spans="1:7">
      <c r="A20" s="3608" t="s">
        <v>504</v>
      </c>
      <c r="B20" s="448"/>
      <c r="C20" s="285"/>
      <c r="D20" s="450"/>
      <c r="E20" s="450"/>
      <c r="F20" s="450"/>
      <c r="G20" s="286"/>
    </row>
    <row r="21" spans="1:7">
      <c r="A21" s="3615" t="s">
        <v>505</v>
      </c>
      <c r="B21" s="3616">
        <f t="shared" ref="B21:G21" si="3">B22+B34</f>
        <v>14966.198358</v>
      </c>
      <c r="C21" s="3617">
        <f t="shared" si="3"/>
        <v>17662.88732170852</v>
      </c>
      <c r="D21" s="3618">
        <f t="shared" si="3"/>
        <v>21038.524134395149</v>
      </c>
      <c r="E21" s="3618">
        <f t="shared" si="3"/>
        <v>16661.955532369502</v>
      </c>
      <c r="F21" s="3618">
        <f t="shared" si="3"/>
        <v>17586.748512267699</v>
      </c>
      <c r="G21" s="3619">
        <f t="shared" si="3"/>
        <v>17872.993853325013</v>
      </c>
    </row>
    <row r="22" spans="1:7">
      <c r="A22" s="3599" t="s">
        <v>506</v>
      </c>
      <c r="B22" s="3600">
        <f t="shared" ref="B22:G22" si="4">SUM(B23:B33)</f>
        <v>14607.198358</v>
      </c>
      <c r="C22" s="3601">
        <f t="shared" si="4"/>
        <v>17263.88732170852</v>
      </c>
      <c r="D22" s="3602">
        <f t="shared" si="4"/>
        <v>20560.524134395149</v>
      </c>
      <c r="E22" s="3602">
        <f t="shared" si="4"/>
        <v>16140.955532369504</v>
      </c>
      <c r="F22" s="3602">
        <f t="shared" si="4"/>
        <v>17087.748512267699</v>
      </c>
      <c r="G22" s="3603">
        <f t="shared" si="4"/>
        <v>17399.993853325013</v>
      </c>
    </row>
    <row r="23" spans="1:7">
      <c r="A23" s="3608" t="s">
        <v>507</v>
      </c>
      <c r="B23" s="3620">
        <f>'12. Разходи'!C11+'12. Разходи'!K11+'12. Разходи'!S11+'12. Разходи'!AA11+'12. Разходи'!AI11</f>
        <v>4255.03</v>
      </c>
      <c r="C23" s="3605">
        <f>'12. Разходи'!D11+'12. Разходи'!L11+'12. Разходи'!T11+'12. Разходи'!AB11+'12. Разходи'!AJ11</f>
        <v>3976.0742937085192</v>
      </c>
      <c r="D23" s="3606">
        <f>'12. Разходи'!E11+'12. Разходи'!M11+'12. Разходи'!U11+'12. Разходи'!AC11+'12. Разходи'!AK11</f>
        <v>3228.9220260864367</v>
      </c>
      <c r="E23" s="3606">
        <f>'12. Разходи'!F11+'12. Разходи'!N11+'12. Разходи'!V11+'12. Разходи'!AD11+'12. Разходи'!AL11</f>
        <v>3675.7204109255508</v>
      </c>
      <c r="F23" s="3606">
        <f>'12. Разходи'!G11+'12. Разходи'!O11+'12. Разходи'!W11+'12. Разходи'!AE11+'12. Разходи'!AM11</f>
        <v>3434.3444776884985</v>
      </c>
      <c r="G23" s="3607">
        <f>'12. Разходи'!H11+'12. Разходи'!P11+'12. Разходи'!X11+'12. Разходи'!AF11+'12. Разходи'!AN11</f>
        <v>3283.6264676476449</v>
      </c>
    </row>
    <row r="24" spans="1:7">
      <c r="A24" s="3608" t="s">
        <v>508</v>
      </c>
      <c r="B24" s="3620">
        <f>'12. Разходи'!C29+'12. Разходи'!K29+'12. Разходи'!S29+'12. Разходи'!AA29+'12. Разходи'!AI29</f>
        <v>2680.1070000000004</v>
      </c>
      <c r="C24" s="3605">
        <f>'12. Разходи'!D29+'12. Разходи'!L29+'12. Разходи'!T29+'12. Разходи'!AB29+'12. Разходи'!AJ29</f>
        <v>2543.4769999999999</v>
      </c>
      <c r="D24" s="3606">
        <f>'12. Разходи'!E29+'12. Разходи'!M29+'12. Разходи'!U29+'12. Разходи'!AC29+'12. Разходи'!AK29</f>
        <v>2820.6019999999999</v>
      </c>
      <c r="E24" s="3606">
        <f>'12. Разходи'!F29+'12. Разходи'!N29+'12. Разходи'!V29+'12. Разходи'!AD29+'12. Разходи'!AL29</f>
        <v>2460.5430000000001</v>
      </c>
      <c r="F24" s="3606">
        <f>'12. Разходи'!G29+'12. Разходи'!O29+'12. Разходи'!W29+'12. Разходи'!AE29+'12. Разходи'!AM29</f>
        <v>2467.3669999999997</v>
      </c>
      <c r="G24" s="3607">
        <f>'12. Разходи'!H29+'12. Разходи'!P29+'12. Разходи'!X29+'12. Разходи'!AF29+'12. Разходи'!AN29</f>
        <v>2430.069</v>
      </c>
    </row>
    <row r="25" spans="1:7">
      <c r="A25" s="3608" t="s">
        <v>453</v>
      </c>
      <c r="B25" s="3620">
        <f>'12. Разходи'!C59+'12. Разходи'!K59+'12. Разходи'!S59+'12. Разходи'!AA59+'12. Разходи'!AI59</f>
        <v>3699.2</v>
      </c>
      <c r="C25" s="3605">
        <f>'12. Разходи'!D59+'12. Разходи'!L59+'12. Разходи'!T59+'12. Разходи'!AB59+'12. Разходи'!AJ59</f>
        <v>4130.0200000000004</v>
      </c>
      <c r="D25" s="3606">
        <f>'12. Разходи'!E59+'12. Разходи'!M59+'12. Разходи'!U59+'12. Разходи'!AC59+'12. Разходи'!AK59</f>
        <v>4752.2879999999996</v>
      </c>
      <c r="E25" s="3606">
        <f>'12. Разходи'!F59+'12. Разходи'!N59+'12. Разходи'!V59+'12. Разходи'!AD59+'12. Разходи'!AL59</f>
        <v>5464.442</v>
      </c>
      <c r="F25" s="3606">
        <f>'12. Разходи'!G59+'12. Разходи'!O59+'12. Разходи'!W59+'12. Разходи'!AE59+'12. Разходи'!AM59</f>
        <v>6283.7249999999995</v>
      </c>
      <c r="G25" s="3607">
        <f>'12. Разходи'!H59+'12. Разходи'!P59+'12. Разходи'!X59+'12. Разходи'!AF59+'12. Разходи'!AN59</f>
        <v>6456.5640000000003</v>
      </c>
    </row>
    <row r="26" spans="1:7">
      <c r="A26" s="3608" t="s">
        <v>509</v>
      </c>
      <c r="B26" s="3620">
        <f>'12. Разходи'!C63+'12. Разходи'!K63+'12. Разходи'!S63+'12. Разходи'!AA63+'12. Разходи'!AI63</f>
        <v>1141.4969999999998</v>
      </c>
      <c r="C26" s="3605">
        <f>'12. Разходи'!D63+'12. Разходи'!L63+'12. Разходи'!T63+'12. Разходи'!AB63+'12. Разходи'!AJ63</f>
        <v>1287.0999999999999</v>
      </c>
      <c r="D26" s="3606">
        <f>'12. Разходи'!E63+'12. Разходи'!M63+'12. Разходи'!U63+'12. Разходи'!AC63+'12. Разходи'!AK63</f>
        <v>1482.5</v>
      </c>
      <c r="E26" s="3606">
        <f>'12. Разходи'!F63+'12. Разходи'!N63+'12. Разходи'!V63+'12. Разходи'!AD63+'12. Разходи'!AL63</f>
        <v>1705.5</v>
      </c>
      <c r="F26" s="3606">
        <f>'12. Разходи'!G63+'12. Разходи'!O63+'12. Разходи'!W63+'12. Разходи'!AE63+'12. Разходи'!AM63</f>
        <v>1962.5</v>
      </c>
      <c r="G26" s="3607">
        <f>'12. Разходи'!H63+'12. Разходи'!P63+'12. Разходи'!X63+'12. Разходи'!AF63+'12. Разходи'!AN63</f>
        <v>2254.5</v>
      </c>
    </row>
    <row r="27" spans="1:7">
      <c r="A27" s="3608" t="s">
        <v>510</v>
      </c>
      <c r="B27" s="3620">
        <f>'12. Разходи'!C55+'12. Разходи'!K55+'12. Разходи'!S55+'12. Разходи'!AA55+'12. Разходи'!AI55</f>
        <v>778.91</v>
      </c>
      <c r="C27" s="3605">
        <f>'12. Разходи'!D55+'12. Разходи'!L55+'12. Разходи'!T55+'12. Разходи'!AB55+'12. Разходи'!AJ55</f>
        <v>724.65366999999992</v>
      </c>
      <c r="D27" s="3606">
        <f>'12. Разходи'!E55+'12. Разходи'!M55+'12. Разходи'!U55+'12. Разходи'!AC55+'12. Разходи'!AK55</f>
        <v>841.7506800000001</v>
      </c>
      <c r="E27" s="3606">
        <f>'12. Разходи'!F55+'12. Разходи'!N55+'12. Разходи'!V55+'12. Разходи'!AD55+'12. Разходи'!AL55</f>
        <v>977.26578000000006</v>
      </c>
      <c r="F27" s="3606">
        <f>'12. Разходи'!G55+'12. Разходи'!O55+'12. Разходи'!W55+'12. Разходи'!AE55+'12. Разходи'!AM55</f>
        <v>1289.0107800000005</v>
      </c>
      <c r="G27" s="3607">
        <f>'12. Разходи'!H55+'12. Разходи'!P55+'12. Разходи'!X55+'12. Разходи'!AF55+'12. Разходи'!AN55</f>
        <v>1312.3727800000001</v>
      </c>
    </row>
    <row r="28" spans="1:7">
      <c r="A28" s="3608" t="s">
        <v>511</v>
      </c>
      <c r="B28" s="448"/>
      <c r="C28" s="285"/>
      <c r="D28" s="450"/>
      <c r="E28" s="450"/>
      <c r="F28" s="450"/>
      <c r="G28" s="286"/>
    </row>
    <row r="29" spans="1:7">
      <c r="A29" s="3609" t="s">
        <v>512</v>
      </c>
      <c r="B29" s="448">
        <v>535</v>
      </c>
      <c r="C29" s="3610">
        <f>'9.Инвестиционна програма'!H126</f>
        <v>3218.9229999999998</v>
      </c>
      <c r="D29" s="3611">
        <f>'9.Инвестиционна програма'!I126</f>
        <v>6086.7579999999998</v>
      </c>
      <c r="E29" s="3611">
        <f>'9.Инвестиционна програма'!J126</f>
        <v>530.1</v>
      </c>
      <c r="F29" s="3611">
        <f>'9.Инвестиционна програма'!K126</f>
        <v>323.89999999999998</v>
      </c>
      <c r="G29" s="3612">
        <f>'9.Инвестиционна програма'!L126</f>
        <v>325.3</v>
      </c>
    </row>
    <row r="30" spans="1:7">
      <c r="A30" s="3608" t="s">
        <v>455</v>
      </c>
      <c r="B30" s="3620">
        <f>'12. Разходи'!C70+'12. Разходи'!K70+'12. Разходи'!S70+'12. Разходи'!AA70+'12. Разходи'!AI70</f>
        <v>709.53</v>
      </c>
      <c r="C30" s="3605">
        <f>'12. Разходи'!D70+'12. Разходи'!L70+'12. Разходи'!T70+'12. Разходи'!AB70+'12. Разходи'!AJ70</f>
        <v>540.23500000000001</v>
      </c>
      <c r="D30" s="3606">
        <f>'12. Разходи'!E70+'12. Разходи'!M70+'12. Разходи'!U70+'12. Разходи'!AC70+'12. Разходи'!AK70</f>
        <v>477.84207030870903</v>
      </c>
      <c r="E30" s="3606">
        <f>'12. Разходи'!F70+'12. Разходи'!N70+'12. Разходи'!V70+'12. Разходи'!AD70+'12. Разходи'!AL70</f>
        <v>430.58298344395416</v>
      </c>
      <c r="F30" s="3606">
        <f>'12. Разходи'!G70+'12. Разходи'!O70+'12. Разходи'!W70+'12. Разходи'!AE70+'12. Разходи'!AM70</f>
        <v>397.7298965792005</v>
      </c>
      <c r="G30" s="3607">
        <f>'12. Разходи'!H70+'12. Разходи'!P70+'12. Разходи'!X70+'12. Разходи'!AF70+'12. Разходи'!AN70</f>
        <v>374.38024767737221</v>
      </c>
    </row>
    <row r="31" spans="1:7">
      <c r="A31" s="3613" t="s">
        <v>513</v>
      </c>
      <c r="B31" s="3620">
        <f>('12. Разходи'!C76+'12. Разходи'!K76+'12. Разходи'!S76)+'12. Разходи'!AA76+'12. Разходи'!AI76</f>
        <v>63.533000000000001</v>
      </c>
      <c r="C31" s="3605">
        <f>('12. Разходи'!D76+'12. Разходи'!L76+'12. Разходи'!T76)+'12. Разходи'!AB76+'12. Разходи'!AJ76</f>
        <v>73.47</v>
      </c>
      <c r="D31" s="3606">
        <f>('12. Разходи'!E76+'12. Разходи'!M76+'12. Разходи'!U76)+'12. Разходи'!AC76+'12. Разходи'!AK76</f>
        <v>73.47</v>
      </c>
      <c r="E31" s="3606">
        <f>('12. Разходи'!F76+'12. Разходи'!N76+'12. Разходи'!V76)+'12. Разходи'!AD76+'12. Разходи'!AL76</f>
        <v>73.070000000000007</v>
      </c>
      <c r="F31" s="3606">
        <f>('12. Разходи'!G76+'12. Разходи'!O76+'12. Разходи'!W76)+'12. Разходи'!AE76+'12. Разходи'!AM76</f>
        <v>73.070000000000007</v>
      </c>
      <c r="G31" s="3607">
        <f>('12. Разходи'!H76+'12. Разходи'!P76+'12. Разходи'!X76)+'12. Разходи'!AF76+'12. Разходи'!AN76</f>
        <v>73.39</v>
      </c>
    </row>
    <row r="32" spans="1:7">
      <c r="A32" s="3613" t="s">
        <v>230</v>
      </c>
      <c r="B32" s="3620">
        <f>'12. Разходи'!AQ88</f>
        <v>197.391358</v>
      </c>
      <c r="C32" s="3605">
        <f>'12. Разходи'!AR88</f>
        <v>222.93435799999997</v>
      </c>
      <c r="D32" s="3606">
        <f>'12. Разходи'!AS88</f>
        <v>249.391358</v>
      </c>
      <c r="E32" s="3606">
        <f>'12. Разходи'!AT88</f>
        <v>276.73135799999994</v>
      </c>
      <c r="F32" s="3606">
        <f>'12. Разходи'!AU88</f>
        <v>309.10135799999995</v>
      </c>
      <c r="G32" s="3607">
        <f>'12. Разходи'!AV88</f>
        <v>342.791358</v>
      </c>
    </row>
    <row r="33" spans="1:7">
      <c r="A33" s="3621" t="s">
        <v>1025</v>
      </c>
      <c r="B33" s="448">
        <v>547</v>
      </c>
      <c r="C33" s="285">
        <v>547</v>
      </c>
      <c r="D33" s="450">
        <v>547</v>
      </c>
      <c r="E33" s="450">
        <v>547</v>
      </c>
      <c r="F33" s="450">
        <v>547</v>
      </c>
      <c r="G33" s="286">
        <v>547</v>
      </c>
    </row>
    <row r="34" spans="1:7">
      <c r="A34" s="3622" t="s">
        <v>514</v>
      </c>
      <c r="B34" s="3600">
        <f>SUM(B35:B38)</f>
        <v>359</v>
      </c>
      <c r="C34" s="3623">
        <f t="shared" ref="C34:G34" si="5">SUM(C35:C38)</f>
        <v>399</v>
      </c>
      <c r="D34" s="3602">
        <f t="shared" si="5"/>
        <v>478</v>
      </c>
      <c r="E34" s="3602">
        <f>SUM(E35:E38)</f>
        <v>521</v>
      </c>
      <c r="F34" s="3602">
        <f>SUM(F35:F38)</f>
        <v>499</v>
      </c>
      <c r="G34" s="3624">
        <f t="shared" si="5"/>
        <v>473</v>
      </c>
    </row>
    <row r="35" spans="1:7">
      <c r="A35" s="3608" t="s">
        <v>515</v>
      </c>
      <c r="B35" s="3625">
        <f>+'10. Финансиране на ИП'!AL40+'10. Финансиране на ИП'!AL51</f>
        <v>0</v>
      </c>
      <c r="C35" s="3626">
        <f>+'10. Финансиране на ИП'!AN40+'10. Финансиране на ИП'!AN51+'10. Финансиране на ИП'!AN62+'10. Финансиране на ИП'!AN73</f>
        <v>4</v>
      </c>
      <c r="D35" s="3611">
        <f>+'10. Финансиране на ИП'!AO40+'10. Финансиране на ИП'!AO51+'10. Финансиране на ИП'!AO62+'10. Финансиране на ИП'!AO73</f>
        <v>98</v>
      </c>
      <c r="E35" s="3611">
        <f>+'10. Финансиране на ИП'!AP40+'10. Финансиране на ИП'!AP51+'10. Финансиране на ИП'!AP62+'10. Финансиране на ИП'!AP73</f>
        <v>163</v>
      </c>
      <c r="F35" s="3611">
        <f>+'10. Финансиране на ИП'!AQ40+'10. Финансиране на ИП'!AQ51+'10. Финансиране на ИП'!AQ62+'10. Финансиране на ИП'!AQ73</f>
        <v>155</v>
      </c>
      <c r="G35" s="3627">
        <f>+'10. Финансиране на ИП'!AR40+'10. Финансиране на ИП'!AR51+'10. Финансиране на ИП'!AR62+'10. Финансиране на ИП'!AR73</f>
        <v>143</v>
      </c>
    </row>
    <row r="36" spans="1:7">
      <c r="A36" s="3608" t="s">
        <v>516</v>
      </c>
      <c r="B36" s="448">
        <v>191</v>
      </c>
      <c r="C36" s="285">
        <v>220</v>
      </c>
      <c r="D36" s="450">
        <v>218</v>
      </c>
      <c r="E36" s="450">
        <v>210</v>
      </c>
      <c r="F36" s="450">
        <v>210</v>
      </c>
      <c r="G36" s="286">
        <v>210</v>
      </c>
    </row>
    <row r="37" spans="1:7">
      <c r="A37" s="3608" t="s">
        <v>517</v>
      </c>
      <c r="B37" s="448"/>
      <c r="C37" s="285"/>
      <c r="D37" s="450"/>
      <c r="E37" s="450"/>
      <c r="F37" s="450"/>
      <c r="G37" s="286"/>
    </row>
    <row r="38" spans="1:7">
      <c r="A38" s="3628" t="s">
        <v>518</v>
      </c>
      <c r="B38" s="448">
        <v>168</v>
      </c>
      <c r="C38" s="285">
        <v>175</v>
      </c>
      <c r="D38" s="450">
        <v>162</v>
      </c>
      <c r="E38" s="450">
        <v>148</v>
      </c>
      <c r="F38" s="450">
        <v>134</v>
      </c>
      <c r="G38" s="286">
        <v>120</v>
      </c>
    </row>
    <row r="39" spans="1:7">
      <c r="A39" s="3629" t="s">
        <v>519</v>
      </c>
      <c r="B39" s="3630">
        <f t="shared" ref="B39:G39" si="6">B9-B22</f>
        <v>-4306.1983579999996</v>
      </c>
      <c r="C39" s="3631">
        <f t="shared" si="6"/>
        <v>956.91684311614881</v>
      </c>
      <c r="D39" s="3632">
        <f t="shared" si="6"/>
        <v>1441.9193449819722</v>
      </c>
      <c r="E39" s="3632">
        <f t="shared" si="6"/>
        <v>1446.8626076188393</v>
      </c>
      <c r="F39" s="3632">
        <f t="shared" si="6"/>
        <v>1415.312477305717</v>
      </c>
      <c r="G39" s="3633">
        <f t="shared" si="6"/>
        <v>1377.2011069871842</v>
      </c>
    </row>
    <row r="40" spans="1:7">
      <c r="A40" s="3629" t="s">
        <v>520</v>
      </c>
      <c r="B40" s="3630">
        <f t="shared" ref="B40:G40" si="7">B8-B21</f>
        <v>-4665.1983579999996</v>
      </c>
      <c r="C40" s="3631">
        <f t="shared" si="7"/>
        <v>557.91684311614881</v>
      </c>
      <c r="D40" s="3632">
        <f t="shared" si="7"/>
        <v>963.91934498197224</v>
      </c>
      <c r="E40" s="3632">
        <f t="shared" si="7"/>
        <v>925.86260761884114</v>
      </c>
      <c r="F40" s="3632">
        <f t="shared" si="7"/>
        <v>916.31247730571704</v>
      </c>
      <c r="G40" s="3633">
        <f t="shared" si="7"/>
        <v>904.20110698718418</v>
      </c>
    </row>
    <row r="41" spans="1:7">
      <c r="A41" s="3634" t="s">
        <v>521</v>
      </c>
      <c r="B41" s="448">
        <v>8</v>
      </c>
      <c r="C41" s="3605">
        <f t="shared" ref="C41:G41" si="8">10%*(C40-C28)</f>
        <v>55.791684311614887</v>
      </c>
      <c r="D41" s="3606">
        <f t="shared" si="8"/>
        <v>96.39193449819723</v>
      </c>
      <c r="E41" s="3606">
        <f t="shared" si="8"/>
        <v>92.58626076188412</v>
      </c>
      <c r="F41" s="3606">
        <f t="shared" si="8"/>
        <v>91.631247730571715</v>
      </c>
      <c r="G41" s="3607">
        <f t="shared" si="8"/>
        <v>90.420110698718418</v>
      </c>
    </row>
    <row r="42" spans="1:7">
      <c r="A42" s="3635" t="s">
        <v>522</v>
      </c>
      <c r="B42" s="448"/>
      <c r="C42" s="285"/>
      <c r="D42" s="450"/>
      <c r="E42" s="450"/>
      <c r="F42" s="450"/>
      <c r="G42" s="286"/>
    </row>
    <row r="43" spans="1:7" ht="13.5" thickBot="1">
      <c r="A43" s="3636" t="s">
        <v>523</v>
      </c>
      <c r="B43" s="3637">
        <f>B40-B41-B42</f>
        <v>-4673.1983579999996</v>
      </c>
      <c r="C43" s="3638">
        <f t="shared" ref="C43:G43" si="9">C40-C41-C42</f>
        <v>502.12515880453395</v>
      </c>
      <c r="D43" s="3639">
        <f t="shared" si="9"/>
        <v>867.52741048377504</v>
      </c>
      <c r="E43" s="3639">
        <f t="shared" si="9"/>
        <v>833.27634685695705</v>
      </c>
      <c r="F43" s="3639">
        <f t="shared" si="9"/>
        <v>824.68122957514538</v>
      </c>
      <c r="G43" s="3640">
        <f t="shared" si="9"/>
        <v>813.78099628846576</v>
      </c>
    </row>
    <row r="44" spans="1:7">
      <c r="A44" s="3589"/>
      <c r="B44" s="3589"/>
      <c r="C44" s="3589"/>
      <c r="D44" s="3589"/>
      <c r="E44" s="3589"/>
      <c r="F44" s="3590"/>
      <c r="G44" s="3590"/>
    </row>
    <row r="45" spans="1:7">
      <c r="A45" s="3589"/>
      <c r="B45" s="3589"/>
      <c r="C45" s="3589"/>
      <c r="D45" s="3589"/>
      <c r="E45" s="3589"/>
      <c r="F45" s="3590"/>
      <c r="G45" s="3590"/>
    </row>
    <row r="46" spans="1:7" s="26" customFormat="1">
      <c r="A46" s="1795" t="str">
        <f>'Приложение '!B81</f>
        <v>Дата: 24 юни 2021 година</v>
      </c>
      <c r="B46" s="3641"/>
      <c r="C46" s="3642"/>
      <c r="D46" s="3643"/>
      <c r="E46" s="1809"/>
      <c r="F46" s="1775"/>
      <c r="G46" s="1775"/>
    </row>
    <row r="47" spans="1:7" s="26" customFormat="1">
      <c r="A47" s="1775"/>
      <c r="B47" s="1775"/>
      <c r="C47" s="1795"/>
      <c r="D47" s="3643" t="str">
        <f>'Приложение '!C81</f>
        <v xml:space="preserve">Гл. счетоводител/Фин.директор: </v>
      </c>
      <c r="E47" s="3644" t="str">
        <f>'Приложение '!D81</f>
        <v>..............................................</v>
      </c>
      <c r="F47" s="3645"/>
      <c r="G47" s="1775"/>
    </row>
    <row r="48" spans="1:7" s="26" customFormat="1">
      <c r="A48" s="3646"/>
      <c r="B48" s="3646"/>
      <c r="C48" s="3353"/>
      <c r="D48" s="3643"/>
      <c r="E48" s="3647" t="str">
        <f>'Приложение '!D82</f>
        <v>(подпис)</v>
      </c>
      <c r="F48" s="3645"/>
      <c r="G48" s="1775"/>
    </row>
    <row r="49" spans="1:7" s="26" customFormat="1">
      <c r="A49" s="1807"/>
      <c r="B49" s="1807"/>
      <c r="C49" s="3353"/>
      <c r="D49" s="3643"/>
      <c r="E49" s="3644"/>
      <c r="F49" s="3645"/>
      <c r="G49" s="1775"/>
    </row>
    <row r="50" spans="1:7" s="26" customFormat="1">
      <c r="A50" s="1807"/>
      <c r="B50" s="1807"/>
      <c r="C50" s="3353"/>
      <c r="D50" s="3643"/>
      <c r="E50" s="3644"/>
      <c r="F50" s="3645"/>
      <c r="G50" s="1775"/>
    </row>
    <row r="51" spans="1:7" s="26" customFormat="1" ht="15">
      <c r="A51" s="1807"/>
      <c r="B51" s="1807"/>
      <c r="C51" s="3648"/>
      <c r="D51" s="3643" t="str">
        <f>'Приложение '!C85</f>
        <v xml:space="preserve">Управител/Изп.директор: </v>
      </c>
      <c r="E51" s="3644" t="str">
        <f>'Приложение '!D85</f>
        <v>.............................................</v>
      </c>
      <c r="F51" s="1802"/>
      <c r="G51" s="1775"/>
    </row>
    <row r="52" spans="1:7" s="26" customFormat="1">
      <c r="A52" s="1807"/>
      <c r="B52" s="1807"/>
      <c r="C52" s="3353"/>
      <c r="D52" s="3643"/>
      <c r="E52" s="3647" t="str">
        <f>'Приложение '!D86</f>
        <v>(подпис и печат)</v>
      </c>
      <c r="F52" s="3645"/>
      <c r="G52" s="1775"/>
    </row>
    <row r="53" spans="1:7" s="26" customFormat="1">
      <c r="A53" s="5550" t="s">
        <v>191</v>
      </c>
      <c r="B53" s="5550"/>
      <c r="C53" s="5550"/>
      <c r="D53" s="3649"/>
      <c r="E53" s="3650"/>
      <c r="F53" s="3649"/>
      <c r="G53" s="3649"/>
    </row>
    <row r="54" spans="1:7" s="26" customFormat="1">
      <c r="A54" s="5551" t="s">
        <v>192</v>
      </c>
      <c r="B54" s="5551"/>
      <c r="C54" s="5551"/>
      <c r="D54" s="3649"/>
      <c r="E54" s="3649"/>
      <c r="F54" s="3649"/>
      <c r="G54" s="3649"/>
    </row>
    <row r="55" spans="1:7">
      <c r="A55" s="5549" t="s">
        <v>1556</v>
      </c>
      <c r="B55" s="5549"/>
      <c r="C55" s="3589"/>
      <c r="D55" s="3589"/>
      <c r="E55" s="3589"/>
      <c r="F55" s="3589"/>
      <c r="G55" s="3589"/>
    </row>
  </sheetData>
  <sheetProtection algorithmName="SHA-512" hashValue="3QaauEUcXb6pAAmhdX+XaER3fCU9rk6we57XFIoezZyHkEy22arHF4FckjgfUsLy7Hmpz9RyGhkbyYNQjTXShw==" saltValue="6aID4aOIS/dIw/fFDjs2DQ==" spinCount="100000" sheet="1" objects="1" scenarios="1" formatCells="0" formatColumns="0" formatRows="0"/>
  <mergeCells count="7">
    <mergeCell ref="A55:B55"/>
    <mergeCell ref="A53:C53"/>
    <mergeCell ref="A54:C54"/>
    <mergeCell ref="A2:G2"/>
    <mergeCell ref="A4:G4"/>
    <mergeCell ref="A5:G5"/>
    <mergeCell ref="A3:G3"/>
  </mergeCells>
  <printOptions horizontalCentered="1"/>
  <pageMargins left="0.70866141732283472" right="7.874015748031496E-2" top="0.74803149606299213" bottom="0.55118110236220474" header="0.31496062992125984" footer="0.31496062992125984"/>
  <pageSetup paperSize="9" scale="90" orientation="portrait"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79998168889431442"/>
    <pageSetUpPr fitToPage="1"/>
  </sheetPr>
  <dimension ref="A1:H63"/>
  <sheetViews>
    <sheetView view="pageBreakPreview" zoomScale="80" zoomScaleNormal="100" zoomScaleSheetLayoutView="80" workbookViewId="0">
      <pane xSplit="7" ySplit="7" topLeftCell="H8" activePane="bottomRight" state="frozen"/>
      <selection pane="topRight" activeCell="I1" sqref="I1"/>
      <selection pane="bottomLeft" activeCell="A7" sqref="A7"/>
      <selection pane="bottomRight" activeCell="B14" sqref="B14"/>
    </sheetView>
  </sheetViews>
  <sheetFormatPr defaultColWidth="9.140625" defaultRowHeight="12.75"/>
  <cols>
    <col min="1" max="1" width="51" style="23" bestFit="1" customWidth="1"/>
    <col min="2" max="2" width="9.28515625" style="23" bestFit="1" customWidth="1"/>
    <col min="3" max="4" width="8.140625" style="23" bestFit="1" customWidth="1"/>
    <col min="5" max="5" width="11.140625" style="23" customWidth="1"/>
    <col min="6" max="6" width="10.28515625" style="24" customWidth="1"/>
    <col min="7" max="7" width="12.140625" style="24" customWidth="1"/>
    <col min="8" max="16384" width="9.140625" style="18"/>
  </cols>
  <sheetData>
    <row r="1" spans="1:8" ht="18.75" customHeight="1">
      <c r="A1" s="3589"/>
      <c r="B1" s="3589"/>
      <c r="C1" s="3589"/>
      <c r="D1" s="3589"/>
      <c r="E1" s="3589"/>
      <c r="F1" s="3655"/>
      <c r="G1" s="3553" t="str">
        <f>'14. ОПР'!G1</f>
        <v>Приложение № 5</v>
      </c>
    </row>
    <row r="2" spans="1:8" ht="21" customHeight="1">
      <c r="A2" s="5106" t="s">
        <v>1561</v>
      </c>
      <c r="B2" s="5106"/>
      <c r="C2" s="5106"/>
      <c r="D2" s="5106"/>
      <c r="E2" s="5106"/>
      <c r="F2" s="5106"/>
      <c r="G2" s="5106"/>
    </row>
    <row r="3" spans="1:8" ht="18.75">
      <c r="A3" s="5106" t="s">
        <v>1560</v>
      </c>
      <c r="B3" s="5106"/>
      <c r="C3" s="5106"/>
      <c r="D3" s="5106"/>
      <c r="E3" s="5106"/>
      <c r="F3" s="5106"/>
      <c r="G3" s="5106"/>
    </row>
    <row r="4" spans="1:8" ht="18.75" customHeight="1">
      <c r="A4" s="5552" t="str">
        <f>'1. Обща информация'!A4:D4</f>
        <v>на "Водоснабдяване и канализаиця"ООД, гр. Перник</v>
      </c>
      <c r="B4" s="5552"/>
      <c r="C4" s="5552"/>
      <c r="D4" s="5552"/>
      <c r="E4" s="5552"/>
      <c r="F4" s="5552"/>
      <c r="G4" s="5552"/>
    </row>
    <row r="5" spans="1:8" ht="18.75" customHeight="1">
      <c r="A5" s="5552" t="str">
        <f>'1. Обща информация'!A5:D5</f>
        <v>ЕИК по БУЛСТАТ: 823073638</v>
      </c>
      <c r="B5" s="5552"/>
      <c r="C5" s="5552"/>
      <c r="D5" s="5552"/>
      <c r="E5" s="5552"/>
      <c r="F5" s="5552"/>
      <c r="G5" s="5552"/>
    </row>
    <row r="6" spans="1:8" ht="18.75" customHeight="1" thickBot="1">
      <c r="A6" s="3591"/>
      <c r="B6" s="3591"/>
      <c r="C6" s="3591"/>
      <c r="D6" s="3591"/>
      <c r="E6" s="3591"/>
      <c r="F6" s="3590"/>
      <c r="G6" s="2712" t="s">
        <v>194</v>
      </c>
    </row>
    <row r="7" spans="1:8" ht="13.5" thickBot="1">
      <c r="A7" s="3593" t="s">
        <v>494</v>
      </c>
      <c r="B7" s="273" t="str">
        <f>'Приложение '!$C12</f>
        <v>2020 г.</v>
      </c>
      <c r="C7" s="274" t="str">
        <f>'Приложение '!$C14</f>
        <v>2022 г.</v>
      </c>
      <c r="D7" s="275" t="str">
        <f>'Приложение '!$C15</f>
        <v>2023 г.</v>
      </c>
      <c r="E7" s="275" t="str">
        <f>'Приложение '!$C16</f>
        <v>2024 г.</v>
      </c>
      <c r="F7" s="275" t="str">
        <f>'Приложение '!$C17</f>
        <v>2025 г.</v>
      </c>
      <c r="G7" s="276" t="str">
        <f>'Приложение '!$C18</f>
        <v>2026 г.</v>
      </c>
    </row>
    <row r="8" spans="1:8" ht="14.25">
      <c r="A8" s="3594" t="s">
        <v>524</v>
      </c>
      <c r="B8" s="3656">
        <f t="shared" ref="B8:G8" si="0">B9+B14</f>
        <v>9190.2129999999997</v>
      </c>
      <c r="C8" s="3596">
        <f t="shared" si="0"/>
        <v>22494.240397789603</v>
      </c>
      <c r="D8" s="3597">
        <f t="shared" si="0"/>
        <v>29287.177575252543</v>
      </c>
      <c r="E8" s="3597">
        <f t="shared" si="0"/>
        <v>21078.861767986014</v>
      </c>
      <c r="F8" s="3597">
        <f t="shared" si="0"/>
        <v>22424.593187488099</v>
      </c>
      <c r="G8" s="3598">
        <f t="shared" si="0"/>
        <v>22751.873952374637</v>
      </c>
      <c r="H8" s="961"/>
    </row>
    <row r="9" spans="1:8">
      <c r="A9" s="3599" t="s">
        <v>525</v>
      </c>
      <c r="B9" s="3600">
        <f t="shared" ref="B9:G9" si="1">SUM(B10:B13)</f>
        <v>9161</v>
      </c>
      <c r="C9" s="3601">
        <f t="shared" si="1"/>
        <v>16432.88116482467</v>
      </c>
      <c r="D9" s="3602">
        <f t="shared" si="1"/>
        <v>19789.68547937712</v>
      </c>
      <c r="E9" s="3602">
        <f t="shared" si="1"/>
        <v>17595.718139988345</v>
      </c>
      <c r="F9" s="3602">
        <f t="shared" si="1"/>
        <v>18717.160989573415</v>
      </c>
      <c r="G9" s="3603">
        <f t="shared" si="1"/>
        <v>18989.894960312198</v>
      </c>
    </row>
    <row r="10" spans="1:8">
      <c r="A10" s="3604" t="s">
        <v>1028</v>
      </c>
      <c r="B10" s="3625">
        <f>+'14. ОПР'!B10</f>
        <v>8892</v>
      </c>
      <c r="C10" s="3605">
        <f>+'14. ОПР'!C10</f>
        <v>14129.88116482467</v>
      </c>
      <c r="D10" s="3606">
        <f>+'14. ОПР'!D10</f>
        <v>15043.685479377122</v>
      </c>
      <c r="E10" s="3606">
        <f>+'14. ОПР'!E10</f>
        <v>16185.718139988345</v>
      </c>
      <c r="F10" s="3606">
        <f>+'14. ОПР'!F10</f>
        <v>17307.160989573415</v>
      </c>
      <c r="G10" s="3607">
        <f>+'14. ОПР'!G10</f>
        <v>17579.894960312198</v>
      </c>
    </row>
    <row r="11" spans="1:8">
      <c r="A11" s="3604" t="s">
        <v>1029</v>
      </c>
      <c r="B11" s="448">
        <v>96</v>
      </c>
      <c r="C11" s="436">
        <v>119</v>
      </c>
      <c r="D11" s="450">
        <v>150</v>
      </c>
      <c r="E11" s="450">
        <v>180</v>
      </c>
      <c r="F11" s="450">
        <v>180</v>
      </c>
      <c r="G11" s="451">
        <v>180</v>
      </c>
    </row>
    <row r="12" spans="1:8" ht="14.25" customHeight="1">
      <c r="A12" s="3613" t="s">
        <v>526</v>
      </c>
      <c r="B12" s="448">
        <v>84</v>
      </c>
      <c r="C12" s="436">
        <v>210</v>
      </c>
      <c r="D12" s="450">
        <v>296</v>
      </c>
      <c r="E12" s="450">
        <v>320</v>
      </c>
      <c r="F12" s="450">
        <v>320</v>
      </c>
      <c r="G12" s="451">
        <v>320</v>
      </c>
    </row>
    <row r="13" spans="1:8" ht="14.25" customHeight="1">
      <c r="A13" s="3613" t="s">
        <v>1026</v>
      </c>
      <c r="B13" s="448">
        <v>89</v>
      </c>
      <c r="C13" s="436">
        <v>1974</v>
      </c>
      <c r="D13" s="450">
        <v>4300</v>
      </c>
      <c r="E13" s="450">
        <v>910</v>
      </c>
      <c r="F13" s="450">
        <v>910</v>
      </c>
      <c r="G13" s="451">
        <v>910</v>
      </c>
    </row>
    <row r="14" spans="1:8">
      <c r="A14" s="3614" t="s">
        <v>527</v>
      </c>
      <c r="B14" s="3600">
        <f>SUM(B15:B18)</f>
        <v>29.213000000000001</v>
      </c>
      <c r="C14" s="3657">
        <f t="shared" ref="C14:G14" si="2">SUM(C15:C18)</f>
        <v>6061.3592329649337</v>
      </c>
      <c r="D14" s="3602">
        <f t="shared" si="2"/>
        <v>9497.4920958754246</v>
      </c>
      <c r="E14" s="3602">
        <f t="shared" si="2"/>
        <v>3483.1436279976692</v>
      </c>
      <c r="F14" s="3602">
        <f t="shared" si="2"/>
        <v>3707.432197914683</v>
      </c>
      <c r="G14" s="3603">
        <f t="shared" si="2"/>
        <v>3761.9789920624398</v>
      </c>
    </row>
    <row r="15" spans="1:8">
      <c r="A15" s="3608" t="s">
        <v>528</v>
      </c>
      <c r="B15" s="448"/>
      <c r="C15" s="436"/>
      <c r="D15" s="450"/>
      <c r="E15" s="450"/>
      <c r="F15" s="450"/>
      <c r="G15" s="451"/>
    </row>
    <row r="16" spans="1:8">
      <c r="A16" s="3608" t="s">
        <v>529</v>
      </c>
      <c r="B16" s="3625">
        <f>'10. Финансиране на ИП'!C16+'10. Финансиране на ИП'!C19+'10. Финансиране на ИП'!J16+'10. Финансиране на ИП'!J19+'10. Финансиране на ИП'!Q16+'10. Финансиране на ИП'!Q19</f>
        <v>29.213000000000001</v>
      </c>
      <c r="C16" s="3658">
        <f>'10. Финансиране на ИП'!E16+'10. Финансиране на ИП'!E19+'10. Финансиране на ИП'!L16+'10. Финансиране на ИП'!L19+'10. Финансиране на ИП'!S16+'10. Финансиране на ИП'!S19</f>
        <v>2798.5829999999996</v>
      </c>
      <c r="D16" s="3611">
        <f>'10. Финансиране на ИП'!F16+'10. Финансиране на ИП'!F19+'10. Финансиране на ИП'!M16+'10. Финансиране на ИП'!M19+'10. Финансиране на ИП'!T16+'10. Финансиране на ИП'!T19</f>
        <v>5569.5550000000003</v>
      </c>
      <c r="E16" s="3611">
        <f>'10. Финансиране на ИП'!G16+'10. Финансиране на ИП'!G19+'10. Финансиране на ИП'!N16+'10. Финансиране на ИП'!N19+'10. Финансиране на ИП'!U16+'10. Финансиране на ИП'!U19</f>
        <v>0</v>
      </c>
      <c r="F16" s="3611">
        <f>'10. Финансиране на ИП'!H16+'10. Финансиране на ИП'!H19+'10. Финансиране на ИП'!O16+'10. Финансиране на ИП'!O19+'10. Финансиране на ИП'!V16+'10. Финансиране на ИП'!V19</f>
        <v>0</v>
      </c>
      <c r="G16" s="3612">
        <f>'10. Финансиране на ИП'!I16+'10. Финансиране на ИП'!I19+'10. Финансиране на ИП'!P16+'10. Финансиране на ИП'!P19+'10. Финансиране на ИП'!W16+'10. Финансиране на ИП'!W19</f>
        <v>0</v>
      </c>
    </row>
    <row r="17" spans="1:7">
      <c r="A17" s="3608" t="s">
        <v>530</v>
      </c>
      <c r="B17" s="448"/>
      <c r="C17" s="436"/>
      <c r="D17" s="450"/>
      <c r="E17" s="450"/>
      <c r="F17" s="450"/>
      <c r="G17" s="451"/>
    </row>
    <row r="18" spans="1:7">
      <c r="A18" s="3659" t="s">
        <v>1071</v>
      </c>
      <c r="B18" s="448"/>
      <c r="C18" s="3651">
        <f>SUM(C9-C11)*20%</f>
        <v>3262.776232964934</v>
      </c>
      <c r="D18" s="3652">
        <f>SUM(D9-D11)*20%</f>
        <v>3927.9370958754243</v>
      </c>
      <c r="E18" s="3652">
        <f>SUM(E9-E11)*20%</f>
        <v>3483.1436279976692</v>
      </c>
      <c r="F18" s="3652">
        <f>SUM(F9-F11)*20%</f>
        <v>3707.432197914683</v>
      </c>
      <c r="G18" s="3653">
        <f>SUM(G9-G11)*20%</f>
        <v>3761.9789920624398</v>
      </c>
    </row>
    <row r="19" spans="1:7">
      <c r="A19" s="3615" t="s">
        <v>531</v>
      </c>
      <c r="B19" s="3616">
        <f t="shared" ref="B19:G19" si="3">B20+B31+B34</f>
        <v>-15462.288358</v>
      </c>
      <c r="C19" s="3617">
        <f t="shared" si="3"/>
        <v>-19563.009884673455</v>
      </c>
      <c r="D19" s="3618">
        <f t="shared" si="3"/>
        <v>-23578.402234582187</v>
      </c>
      <c r="E19" s="3618">
        <f t="shared" si="3"/>
        <v>-18697.225314865373</v>
      </c>
      <c r="F19" s="3618">
        <f t="shared" si="3"/>
        <v>-19517.756190944267</v>
      </c>
      <c r="G19" s="3619">
        <f t="shared" si="3"/>
        <v>-19870.231313118027</v>
      </c>
    </row>
    <row r="20" spans="1:7">
      <c r="A20" s="3599" t="s">
        <v>532</v>
      </c>
      <c r="B20" s="3660">
        <f t="shared" ref="B20:G20" si="4">SUM(B21:B30)</f>
        <v>-12746.288358</v>
      </c>
      <c r="C20" s="3601">
        <f t="shared" si="4"/>
        <v>-12773.310651708522</v>
      </c>
      <c r="D20" s="3602">
        <f t="shared" si="4"/>
        <v>-13085.015454395147</v>
      </c>
      <c r="E20" s="3602">
        <f t="shared" si="4"/>
        <v>-14086.589752369506</v>
      </c>
      <c r="F20" s="3602">
        <f t="shared" si="4"/>
        <v>-14927.837732267701</v>
      </c>
      <c r="G20" s="3603">
        <f t="shared" si="4"/>
        <v>-15215.321073325018</v>
      </c>
    </row>
    <row r="21" spans="1:7">
      <c r="A21" s="3608" t="s">
        <v>507</v>
      </c>
      <c r="B21" s="3620">
        <f>-'14. ОПР'!B23</f>
        <v>-4255.03</v>
      </c>
      <c r="C21" s="3605">
        <f>-'14. ОПР'!C23</f>
        <v>-3976.0742937085192</v>
      </c>
      <c r="D21" s="3606">
        <f>-'14. ОПР'!D23</f>
        <v>-3228.9220260864367</v>
      </c>
      <c r="E21" s="3606">
        <f>-'14. ОПР'!E23</f>
        <v>-3675.7204109255508</v>
      </c>
      <c r="F21" s="3606">
        <f>-'14. ОПР'!F23</f>
        <v>-3434.3444776884985</v>
      </c>
      <c r="G21" s="3607">
        <f>-'14. ОПР'!G23</f>
        <v>-3283.6264676476449</v>
      </c>
    </row>
    <row r="22" spans="1:7">
      <c r="A22" s="3608" t="s">
        <v>508</v>
      </c>
      <c r="B22" s="3620">
        <f>-'14. ОПР'!B24</f>
        <v>-2680.1070000000004</v>
      </c>
      <c r="C22" s="3605">
        <f>-'14. ОПР'!C24</f>
        <v>-2543.4769999999999</v>
      </c>
      <c r="D22" s="3606">
        <f>-'14. ОПР'!D24</f>
        <v>-2820.6019999999999</v>
      </c>
      <c r="E22" s="3606">
        <f>-'14. ОПР'!E24</f>
        <v>-2460.5430000000001</v>
      </c>
      <c r="F22" s="3606">
        <f>-'14. ОПР'!F24</f>
        <v>-2467.3669999999997</v>
      </c>
      <c r="G22" s="3607">
        <f>-'14. ОПР'!G24</f>
        <v>-2430.069</v>
      </c>
    </row>
    <row r="23" spans="1:7">
      <c r="A23" s="3608" t="s">
        <v>533</v>
      </c>
      <c r="B23" s="3620">
        <f>-'14. ОПР'!B25</f>
        <v>-3699.2</v>
      </c>
      <c r="C23" s="3605">
        <f>-'14. ОПР'!C25</f>
        <v>-4130.0200000000004</v>
      </c>
      <c r="D23" s="3606">
        <f>-'14. ОПР'!D25</f>
        <v>-4752.2879999999996</v>
      </c>
      <c r="E23" s="3606">
        <f>-'14. ОПР'!E25</f>
        <v>-5464.442</v>
      </c>
      <c r="F23" s="3606">
        <f>-'14. ОПР'!F25</f>
        <v>-6283.7249999999995</v>
      </c>
      <c r="G23" s="3607">
        <f>-'14. ОПР'!G25</f>
        <v>-6456.5640000000003</v>
      </c>
    </row>
    <row r="24" spans="1:7">
      <c r="A24" s="3608" t="s">
        <v>534</v>
      </c>
      <c r="B24" s="3620">
        <f>-'14. ОПР'!B26</f>
        <v>-1141.4969999999998</v>
      </c>
      <c r="C24" s="3605">
        <f>-'14. ОПР'!C26</f>
        <v>-1287.0999999999999</v>
      </c>
      <c r="D24" s="3606">
        <f>-'14. ОПР'!D26</f>
        <v>-1482.5</v>
      </c>
      <c r="E24" s="3606">
        <f>-'14. ОПР'!E26</f>
        <v>-1705.5</v>
      </c>
      <c r="F24" s="3606">
        <f>-'14. ОПР'!F26</f>
        <v>-1962.5</v>
      </c>
      <c r="G24" s="3607">
        <f>-'14. ОПР'!G26</f>
        <v>-2254.5</v>
      </c>
    </row>
    <row r="25" spans="1:7">
      <c r="A25" s="3608" t="s">
        <v>535</v>
      </c>
      <c r="B25" s="3620">
        <f>-('12. Разходи'!C73+'12. Разходи'!K73+'12. Разходи'!S73+'12. Разходи'!AA73+'12. Разходи'!AI73)</f>
        <v>-514</v>
      </c>
      <c r="C25" s="3605">
        <f>-('12. Разходи'!D73+'12. Разходи'!L73+'12. Разходи'!T73+'12. Разходи'!AB73+'12. Разходи'!AJ73)</f>
        <v>-430.48500000000001</v>
      </c>
      <c r="D25" s="3606">
        <f>-('12. Разходи'!E73+'12. Разходи'!M73+'12. Разходи'!U73+'12. Разходи'!AC73+'12. Разходи'!AK73)</f>
        <v>-368.18607030870908</v>
      </c>
      <c r="E25" s="3606">
        <f>-('12. Разходи'!F73+'12. Разходи'!N73+'12. Разходи'!V73+'12. Разходи'!AD73+'12. Разходи'!AL73)</f>
        <v>-312.53098344395414</v>
      </c>
      <c r="F25" s="3606">
        <f>-('12. Разходи'!G73+'12. Разходи'!O73+'12. Разходи'!W73+'12. Разходи'!AE73+'12. Разходи'!AM73)</f>
        <v>-280.07689657920048</v>
      </c>
      <c r="G25" s="3607">
        <f>-('12. Разходи'!H73+'12. Разходи'!P73+'12. Разходи'!X73+'12. Разходи'!AF73+'12. Разходи'!AN73)</f>
        <v>-257.15324767737218</v>
      </c>
    </row>
    <row r="26" spans="1:7">
      <c r="A26" s="3608" t="s">
        <v>536</v>
      </c>
      <c r="B26" s="3620">
        <f>-('12. Разходи'!C74+'12. Разходи'!K74+'12. Разходи'!S74+'12. Разходи'!AA74+'12. Разходи'!AI74)</f>
        <v>-31</v>
      </c>
      <c r="C26" s="3605">
        <f>-('12. Разходи'!D74+'12. Разходи'!L74+'12. Разходи'!T74+'12. Разходи'!AB74+'12. Разходи'!AJ74)</f>
        <v>-38.957000000000001</v>
      </c>
      <c r="D26" s="3606">
        <f>-('12. Разходи'!E74+'12. Разходи'!M74+'12. Разходи'!U74+'12. Разходи'!AC74+'12. Разходи'!AK74)</f>
        <v>-38.926000000000002</v>
      </c>
      <c r="E26" s="3606">
        <f>-('12. Разходи'!F74+'12. Разходи'!N74+'12. Разходи'!V74+'12. Разходи'!AD74+'12. Разходи'!AL74)</f>
        <v>-47.322000000000003</v>
      </c>
      <c r="F26" s="3606">
        <f>-('12. Разходи'!G74+'12. Разходи'!O74+'12. Разходи'!W74+'12. Разходи'!AE74+'12. Разходи'!AM74)</f>
        <v>-46.923000000000002</v>
      </c>
      <c r="G26" s="3607">
        <f>-('12. Разходи'!H74+'12. Разходи'!P74+'12. Разходи'!X74+'12. Разходи'!AF74+'12. Разходи'!AN74)</f>
        <v>-46.527000000000001</v>
      </c>
    </row>
    <row r="27" spans="1:7">
      <c r="A27" s="3613" t="s">
        <v>537</v>
      </c>
      <c r="B27" s="3620">
        <f>-('12. Разходи'!C72+'12. Разходи'!K72+'12. Разходи'!S72+'12. Разходи'!AA72+'12. Разходи'!AI72)</f>
        <v>-28</v>
      </c>
      <c r="C27" s="3605">
        <f>-('12. Разходи'!D72+'12. Разходи'!L72+'12. Разходи'!T72+'12. Разходи'!AB72+'12. Разходи'!AJ72)</f>
        <v>-26.797000000000001</v>
      </c>
      <c r="D27" s="3606">
        <f>-('12. Разходи'!E72+'12. Разходи'!M72+'12. Разходи'!U72+'12. Разходи'!AC72+'12. Разходи'!AK72)</f>
        <v>-27.1</v>
      </c>
      <c r="E27" s="3606">
        <f>-('12. Разходи'!F72+'12. Разходи'!N72+'12. Разходи'!V72+'12. Разходи'!AD72+'12. Разходи'!AL72)</f>
        <v>-27.1</v>
      </c>
      <c r="F27" s="3606">
        <f>-('12. Разходи'!G72+'12. Разходи'!O72+'12. Разходи'!W72+'12. Разходи'!AE72+'12. Разходи'!AM72)</f>
        <v>-27.1</v>
      </c>
      <c r="G27" s="3607">
        <f>-('12. Разходи'!H72+'12. Разходи'!P72+'12. Разходи'!X72+'12. Разходи'!AF72+'12. Разходи'!AN72)</f>
        <v>-27.1</v>
      </c>
    </row>
    <row r="28" spans="1:7">
      <c r="A28" s="3613" t="s">
        <v>538</v>
      </c>
      <c r="B28" s="3620">
        <f>-'14. ОПР'!B30-'14. ОПР'!B31-SUM(B25:B27)</f>
        <v>-200.06299999999999</v>
      </c>
      <c r="C28" s="3605">
        <f>-'14. ОПР'!C30-'14. ОПР'!C31-SUM(C25:C27)</f>
        <v>-117.46600000000001</v>
      </c>
      <c r="D28" s="3606">
        <f>-'14. ОПР'!D30-'14. ОПР'!D31-SUM(D25:D27)</f>
        <v>-117.09999999999997</v>
      </c>
      <c r="E28" s="3606">
        <f>-'14. ОПР'!E30-'14. ОПР'!E31-SUM(E25:E27)</f>
        <v>-116.69999999999999</v>
      </c>
      <c r="F28" s="3606">
        <f>-'14. ОПР'!F30-'14. ОПР'!F31-SUM(F25:F27)</f>
        <v>-116.69999999999999</v>
      </c>
      <c r="G28" s="3607">
        <f>-'14. ОПР'!G30-'14. ОПР'!G31-SUM(G25:G27)</f>
        <v>-116.99000000000001</v>
      </c>
    </row>
    <row r="29" spans="1:7">
      <c r="A29" s="3613" t="s">
        <v>230</v>
      </c>
      <c r="B29" s="3620">
        <f>-'14. ОПР'!B32</f>
        <v>-197.391358</v>
      </c>
      <c r="C29" s="3661">
        <f>-'14. ОПР'!C32</f>
        <v>-222.93435799999997</v>
      </c>
      <c r="D29" s="3662">
        <f>-'14. ОПР'!D32</f>
        <v>-249.391358</v>
      </c>
      <c r="E29" s="3662">
        <f>-'14. ОПР'!E32</f>
        <v>-276.73135799999994</v>
      </c>
      <c r="F29" s="3662">
        <f>-'14. ОПР'!F32</f>
        <v>-309.10135799999995</v>
      </c>
      <c r="G29" s="3663">
        <f>-'14. ОПР'!G32</f>
        <v>-342.791358</v>
      </c>
    </row>
    <row r="30" spans="1:7">
      <c r="A30" s="3621" t="s">
        <v>1025</v>
      </c>
      <c r="B30" s="438"/>
      <c r="C30" s="285"/>
      <c r="D30" s="450"/>
      <c r="E30" s="450"/>
      <c r="F30" s="450"/>
      <c r="G30" s="286"/>
    </row>
    <row r="31" spans="1:7">
      <c r="A31" s="3622" t="s">
        <v>539</v>
      </c>
      <c r="B31" s="3664">
        <f>SUM(B32:B33)</f>
        <v>535</v>
      </c>
      <c r="C31" s="3601">
        <f t="shared" ref="C31:G31" si="5">SUM(C32:C33)</f>
        <v>-3522.9229999999998</v>
      </c>
      <c r="D31" s="3602">
        <f t="shared" si="5"/>
        <v>-6411.6579999999994</v>
      </c>
      <c r="E31" s="3602">
        <f t="shared" si="5"/>
        <v>-868.1</v>
      </c>
      <c r="F31" s="3602">
        <f t="shared" si="5"/>
        <v>-634.9</v>
      </c>
      <c r="G31" s="3603">
        <f t="shared" si="5"/>
        <v>-658.3</v>
      </c>
    </row>
    <row r="32" spans="1:7">
      <c r="A32" s="3608" t="s">
        <v>334</v>
      </c>
      <c r="B32" s="448">
        <v>535</v>
      </c>
      <c r="C32" s="3605">
        <f>-'9.Инвестиционна програма'!H124</f>
        <v>-3522.9229999999998</v>
      </c>
      <c r="D32" s="3606">
        <f>-'9.Инвестиционна програма'!I124</f>
        <v>-6411.6579999999994</v>
      </c>
      <c r="E32" s="3606">
        <f>-'9.Инвестиционна програма'!J124</f>
        <v>-868.1</v>
      </c>
      <c r="F32" s="3606">
        <f>-'9.Инвестиционна програма'!K124</f>
        <v>-634.9</v>
      </c>
      <c r="G32" s="3607">
        <f>-'9.Инвестиционна програма'!L124</f>
        <v>-658.3</v>
      </c>
    </row>
    <row r="33" spans="1:7">
      <c r="A33" s="3628" t="s">
        <v>540</v>
      </c>
      <c r="B33" s="448"/>
      <c r="C33" s="285"/>
      <c r="D33" s="450"/>
      <c r="E33" s="450"/>
      <c r="F33" s="450"/>
      <c r="G33" s="286"/>
    </row>
    <row r="34" spans="1:7">
      <c r="A34" s="3622" t="s">
        <v>541</v>
      </c>
      <c r="B34" s="3600">
        <f t="shared" ref="B34:G34" si="6">SUM(B35:B41)</f>
        <v>-3251</v>
      </c>
      <c r="C34" s="3601">
        <f t="shared" si="6"/>
        <v>-3266.776232964934</v>
      </c>
      <c r="D34" s="3602">
        <f t="shared" si="6"/>
        <v>-4081.7287801870393</v>
      </c>
      <c r="E34" s="3602">
        <f t="shared" si="6"/>
        <v>-3742.5355624958665</v>
      </c>
      <c r="F34" s="3602">
        <f t="shared" si="6"/>
        <v>-3955.0184586765672</v>
      </c>
      <c r="G34" s="3603">
        <f t="shared" si="6"/>
        <v>-3996.6102397930117</v>
      </c>
    </row>
    <row r="35" spans="1:7">
      <c r="A35" s="3608" t="s">
        <v>542</v>
      </c>
      <c r="B35" s="3665">
        <f>-'14. ОПР'!B35</f>
        <v>0</v>
      </c>
      <c r="C35" s="3661">
        <f>-'14. ОПР'!C35</f>
        <v>-4</v>
      </c>
      <c r="D35" s="3662">
        <f>-'14. ОПР'!D35</f>
        <v>-98</v>
      </c>
      <c r="E35" s="3662">
        <f>-'14. ОПР'!E35</f>
        <v>-163</v>
      </c>
      <c r="F35" s="3662">
        <f>-'14. ОПР'!F35</f>
        <v>-155</v>
      </c>
      <c r="G35" s="3663">
        <f>-'14. ОПР'!G35</f>
        <v>-143</v>
      </c>
    </row>
    <row r="36" spans="1:7">
      <c r="A36" s="3608" t="s">
        <v>543</v>
      </c>
      <c r="B36" s="448"/>
      <c r="C36" s="285"/>
      <c r="D36" s="450"/>
      <c r="E36" s="450"/>
      <c r="F36" s="450"/>
      <c r="G36" s="286"/>
    </row>
    <row r="37" spans="1:7">
      <c r="A37" s="3628" t="s">
        <v>544</v>
      </c>
      <c r="B37" s="448"/>
      <c r="C37" s="285"/>
      <c r="D37" s="450"/>
      <c r="E37" s="450"/>
      <c r="F37" s="450"/>
      <c r="G37" s="286"/>
    </row>
    <row r="38" spans="1:7">
      <c r="A38" s="3628" t="s">
        <v>545</v>
      </c>
      <c r="B38" s="448">
        <v>0</v>
      </c>
      <c r="C38" s="436">
        <v>0</v>
      </c>
      <c r="D38" s="3605">
        <f>-'14. ОПР'!C41</f>
        <v>-55.791684311614887</v>
      </c>
      <c r="E38" s="3606">
        <f>-'14. ОПР'!D41</f>
        <v>-96.39193449819723</v>
      </c>
      <c r="F38" s="3606">
        <f>-'14. ОПР'!E41</f>
        <v>-92.58626076188412</v>
      </c>
      <c r="G38" s="3607">
        <f>-'14. ОПР'!F41</f>
        <v>-91.631247730571715</v>
      </c>
    </row>
    <row r="39" spans="1:7">
      <c r="A39" s="3666" t="s">
        <v>1070</v>
      </c>
      <c r="B39" s="70">
        <v>-1979</v>
      </c>
      <c r="C39" s="3654">
        <f>SUM(C21+C22+C28+C29+C32)*20%</f>
        <v>-2076.5749303417042</v>
      </c>
      <c r="D39" s="3652">
        <f t="shared" ref="D39:G39" si="7">SUM(D21+D22+D28+D29+D32)*20%</f>
        <v>-2565.5346768172876</v>
      </c>
      <c r="E39" s="3652">
        <f t="shared" si="7"/>
        <v>-1479.5589537851101</v>
      </c>
      <c r="F39" s="3652">
        <f t="shared" si="7"/>
        <v>-1392.4825671376996</v>
      </c>
      <c r="G39" s="3653">
        <f t="shared" si="7"/>
        <v>-1366.3553651295292</v>
      </c>
    </row>
    <row r="40" spans="1:7">
      <c r="A40" s="3628" t="s">
        <v>546</v>
      </c>
      <c r="B40" s="439">
        <v>-1272</v>
      </c>
      <c r="C40" s="3661">
        <f>-20%*(C10+C12+C13)-20%*(C21+C22+C28+C29+C32)</f>
        <v>-1186.2013026232298</v>
      </c>
      <c r="D40" s="3662">
        <f t="shared" ref="D40:G40" si="8">-20%*(D10+D12+D13)-20%*(D21+D22+D28+D29+D32)</f>
        <v>-1362.4024190581367</v>
      </c>
      <c r="E40" s="3662">
        <f t="shared" si="8"/>
        <v>-2003.5846742125591</v>
      </c>
      <c r="F40" s="3662">
        <f t="shared" si="8"/>
        <v>-2314.9496307769832</v>
      </c>
      <c r="G40" s="3663">
        <f t="shared" si="8"/>
        <v>-2395.6236269329106</v>
      </c>
    </row>
    <row r="41" spans="1:7">
      <c r="A41" s="3628" t="s">
        <v>547</v>
      </c>
      <c r="B41" s="448"/>
      <c r="C41" s="285"/>
      <c r="D41" s="450"/>
      <c r="E41" s="450"/>
      <c r="F41" s="450"/>
      <c r="G41" s="286"/>
    </row>
    <row r="42" spans="1:7">
      <c r="A42" s="3667" t="s">
        <v>548</v>
      </c>
      <c r="B42" s="3616">
        <f t="shared" ref="B42:G42" si="9">B9+B20</f>
        <v>-3585.2883579999998</v>
      </c>
      <c r="C42" s="3617">
        <f t="shared" si="9"/>
        <v>3659.5705131161485</v>
      </c>
      <c r="D42" s="3618">
        <f t="shared" si="9"/>
        <v>6704.6700249819733</v>
      </c>
      <c r="E42" s="3618">
        <f t="shared" si="9"/>
        <v>3509.128387618839</v>
      </c>
      <c r="F42" s="3618">
        <f t="shared" si="9"/>
        <v>3789.3232573057139</v>
      </c>
      <c r="G42" s="3619">
        <f t="shared" si="9"/>
        <v>3774.5738869871802</v>
      </c>
    </row>
    <row r="43" spans="1:7">
      <c r="A43" s="3667" t="s">
        <v>549</v>
      </c>
      <c r="B43" s="3616">
        <f>B42+B31</f>
        <v>-3050.2883579999998</v>
      </c>
      <c r="C43" s="3617">
        <f>C42+C31</f>
        <v>136.64751311614873</v>
      </c>
      <c r="D43" s="3618">
        <f t="shared" ref="D43:G43" si="10">D42+D31</f>
        <v>293.01202498197381</v>
      </c>
      <c r="E43" s="3618">
        <f t="shared" si="10"/>
        <v>2641.0283876188391</v>
      </c>
      <c r="F43" s="3618">
        <f t="shared" si="10"/>
        <v>3154.4232573057138</v>
      </c>
      <c r="G43" s="3619">
        <f t="shared" si="10"/>
        <v>3116.27388698718</v>
      </c>
    </row>
    <row r="44" spans="1:7">
      <c r="A44" s="3667" t="s">
        <v>550</v>
      </c>
      <c r="B44" s="3616">
        <f t="shared" ref="B44:G44" si="11">B43+(B14+B34)</f>
        <v>-6272.0753580000001</v>
      </c>
      <c r="C44" s="3617">
        <f t="shared" si="11"/>
        <v>2931.2305131161484</v>
      </c>
      <c r="D44" s="3618">
        <f t="shared" si="11"/>
        <v>5708.7753406703596</v>
      </c>
      <c r="E44" s="3618">
        <f t="shared" si="11"/>
        <v>2381.6364531206418</v>
      </c>
      <c r="F44" s="3618">
        <f t="shared" si="11"/>
        <v>2906.8369965438296</v>
      </c>
      <c r="G44" s="3619">
        <f t="shared" si="11"/>
        <v>2881.6426392566082</v>
      </c>
    </row>
    <row r="45" spans="1:7">
      <c r="A45" s="3668" t="s">
        <v>551</v>
      </c>
      <c r="B45" s="448">
        <v>1322</v>
      </c>
      <c r="C45" s="436">
        <v>5386</v>
      </c>
      <c r="D45" s="3830">
        <f t="shared" ref="D45:F45" si="12">C46</f>
        <v>8317.2305131161484</v>
      </c>
      <c r="E45" s="3669">
        <f t="shared" si="12"/>
        <v>14026.005853786508</v>
      </c>
      <c r="F45" s="3669">
        <f t="shared" si="12"/>
        <v>16407.64230690715</v>
      </c>
      <c r="G45" s="3670">
        <f>F46</f>
        <v>19314.479303450978</v>
      </c>
    </row>
    <row r="46" spans="1:7" ht="13.5" thickBot="1">
      <c r="A46" s="3671" t="s">
        <v>552</v>
      </c>
      <c r="B46" s="3672">
        <f>SUM(B44:B45)</f>
        <v>-4950.0753580000001</v>
      </c>
      <c r="C46" s="3673">
        <f>SUM(C44:C45)</f>
        <v>8317.2305131161484</v>
      </c>
      <c r="D46" s="3674">
        <f t="shared" ref="D46:G46" si="13">SUM(D44:D45)</f>
        <v>14026.005853786508</v>
      </c>
      <c r="E46" s="3674">
        <f t="shared" si="13"/>
        <v>16407.64230690715</v>
      </c>
      <c r="F46" s="3674">
        <f t="shared" si="13"/>
        <v>19314.479303450978</v>
      </c>
      <c r="G46" s="3675">
        <f t="shared" si="13"/>
        <v>22196.121942707585</v>
      </c>
    </row>
    <row r="47" spans="1:7">
      <c r="A47" s="3676"/>
      <c r="B47" s="3676"/>
      <c r="C47" s="3677"/>
      <c r="D47" s="3677"/>
      <c r="E47" s="3677"/>
      <c r="F47" s="3590"/>
      <c r="G47" s="3590"/>
    </row>
    <row r="48" spans="1:7">
      <c r="A48" s="3589"/>
      <c r="B48" s="3589"/>
      <c r="C48" s="3678">
        <f>C18+C39+C40</f>
        <v>0</v>
      </c>
      <c r="D48" s="3678">
        <f>D18+D39+D40</f>
        <v>0</v>
      </c>
      <c r="E48" s="3678">
        <f>E18+E39+E40</f>
        <v>0</v>
      </c>
      <c r="F48" s="3678">
        <f>F18+F39+F40</f>
        <v>0</v>
      </c>
      <c r="G48" s="3678">
        <f>G18+G39+G40</f>
        <v>0</v>
      </c>
    </row>
    <row r="49" spans="1:7" s="26" customFormat="1">
      <c r="A49" s="3679" t="str">
        <f>'Приложение '!B81</f>
        <v>Дата: 24 юни 2021 година</v>
      </c>
      <c r="B49" s="3641"/>
      <c r="C49" s="3642"/>
      <c r="D49" s="3680"/>
      <c r="E49" s="1809"/>
      <c r="F49" s="1775"/>
      <c r="G49" s="1775"/>
    </row>
    <row r="50" spans="1:7" s="26" customFormat="1">
      <c r="A50" s="1775"/>
      <c r="B50" s="1775"/>
      <c r="C50" s="3353"/>
      <c r="D50" s="3681" t="str">
        <f>'Приложение '!C81</f>
        <v xml:space="preserve">Гл. счетоводител/Фин.директор: </v>
      </c>
      <c r="E50" s="3682" t="str">
        <f>'Приложение '!D81</f>
        <v>..............................................</v>
      </c>
      <c r="F50" s="3645"/>
      <c r="G50" s="1775"/>
    </row>
    <row r="51" spans="1:7" s="26" customFormat="1">
      <c r="A51" s="3646"/>
      <c r="B51" s="3646"/>
      <c r="C51" s="3353"/>
      <c r="D51" s="3681"/>
      <c r="E51" s="3683" t="str">
        <f>'Приложение '!D82</f>
        <v>(подпис)</v>
      </c>
      <c r="F51" s="3645"/>
      <c r="G51" s="1775"/>
    </row>
    <row r="52" spans="1:7" s="26" customFormat="1">
      <c r="A52" s="1807"/>
      <c r="B52" s="1807"/>
      <c r="C52" s="3353"/>
      <c r="D52" s="3681"/>
      <c r="E52" s="3682"/>
      <c r="F52" s="3645"/>
      <c r="G52" s="1775"/>
    </row>
    <row r="53" spans="1:7" s="26" customFormat="1">
      <c r="A53" s="1807"/>
      <c r="B53" s="1807"/>
      <c r="C53" s="3353"/>
      <c r="D53" s="3681"/>
      <c r="E53" s="3682"/>
      <c r="F53" s="3645"/>
      <c r="G53" s="1775"/>
    </row>
    <row r="54" spans="1:7" s="26" customFormat="1" ht="15">
      <c r="A54" s="1807"/>
      <c r="B54" s="1807"/>
      <c r="C54" s="3648"/>
      <c r="D54" s="3681" t="str">
        <f>'Приложение '!C85</f>
        <v xml:space="preserve">Управител/Изп.директор: </v>
      </c>
      <c r="E54" s="3682" t="str">
        <f>'Приложение '!D85</f>
        <v>.............................................</v>
      </c>
      <c r="F54" s="1802"/>
      <c r="G54" s="1775"/>
    </row>
    <row r="55" spans="1:7" s="26" customFormat="1">
      <c r="A55" s="1807"/>
      <c r="B55" s="1807"/>
      <c r="C55" s="3353"/>
      <c r="D55" s="3684"/>
      <c r="E55" s="3683" t="str">
        <f>'Приложение '!D86</f>
        <v>(подпис и печат)</v>
      </c>
      <c r="F55" s="3645"/>
      <c r="G55" s="1775"/>
    </row>
    <row r="56" spans="1:7" s="26" customFormat="1">
      <c r="A56" s="5550" t="s">
        <v>191</v>
      </c>
      <c r="B56" s="5550"/>
      <c r="C56" s="5550"/>
      <c r="D56" s="3649"/>
      <c r="E56" s="3649"/>
      <c r="F56" s="3649"/>
      <c r="G56" s="3649"/>
    </row>
    <row r="57" spans="1:7" s="26" customFormat="1">
      <c r="A57" s="5554" t="s">
        <v>192</v>
      </c>
      <c r="B57" s="5554"/>
      <c r="C57" s="5554"/>
      <c r="D57" s="3649"/>
      <c r="E57" s="3649"/>
      <c r="F57" s="3649"/>
      <c r="G57" s="3649"/>
    </row>
    <row r="58" spans="1:7">
      <c r="A58" s="5553" t="s">
        <v>727</v>
      </c>
      <c r="B58" s="5553"/>
      <c r="C58" s="5553"/>
      <c r="D58" s="3589"/>
      <c r="E58" s="3589"/>
      <c r="F58" s="3590"/>
      <c r="G58" s="3590"/>
    </row>
    <row r="59" spans="1:7">
      <c r="A59" s="5549" t="s">
        <v>1557</v>
      </c>
      <c r="B59" s="5549"/>
      <c r="C59" s="3589"/>
      <c r="D59" s="3589"/>
      <c r="E59" s="3589"/>
      <c r="F59" s="3590"/>
      <c r="G59" s="3590"/>
    </row>
    <row r="60" spans="1:7">
      <c r="A60" s="3589"/>
      <c r="B60" s="3589"/>
      <c r="C60" s="3589"/>
      <c r="D60" s="3589"/>
      <c r="E60" s="3589"/>
      <c r="F60" s="3590"/>
      <c r="G60" s="3590"/>
    </row>
    <row r="61" spans="1:7">
      <c r="A61" s="3589"/>
      <c r="B61" s="3589"/>
      <c r="C61" s="3589"/>
      <c r="D61" s="3589"/>
      <c r="E61" s="3589"/>
      <c r="F61" s="3590"/>
      <c r="G61" s="3590"/>
    </row>
    <row r="62" spans="1:7">
      <c r="A62" s="3589"/>
      <c r="B62" s="3589"/>
      <c r="C62" s="3589"/>
      <c r="D62" s="3589"/>
      <c r="E62" s="3589"/>
      <c r="F62" s="3590"/>
      <c r="G62" s="3590"/>
    </row>
    <row r="63" spans="1:7">
      <c r="A63" s="3589"/>
      <c r="B63" s="3589"/>
      <c r="C63" s="3589"/>
      <c r="D63" s="3589"/>
      <c r="E63" s="3589"/>
      <c r="F63" s="3590"/>
      <c r="G63" s="3590"/>
    </row>
  </sheetData>
  <sheetProtection password="EB75" sheet="1" objects="1" scenarios="1" formatCells="0" formatColumns="0" formatRows="0"/>
  <mergeCells count="8">
    <mergeCell ref="A2:G2"/>
    <mergeCell ref="A4:G4"/>
    <mergeCell ref="A5:G5"/>
    <mergeCell ref="A58:C58"/>
    <mergeCell ref="A59:B59"/>
    <mergeCell ref="A56:C56"/>
    <mergeCell ref="A57:C57"/>
    <mergeCell ref="A3:G3"/>
  </mergeCells>
  <printOptions horizontalCentered="1"/>
  <pageMargins left="0.70866141732283472" right="7.874015748031496E-2" top="0.74803149606299213" bottom="0.55118110236220474" header="0.31496062992125984" footer="0.31496062992125984"/>
  <pageSetup paperSize="9" scale="86" orientation="portrait" verticalDpi="2"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pageSetUpPr fitToPage="1"/>
  </sheetPr>
  <dimension ref="A1:H73"/>
  <sheetViews>
    <sheetView showGridLines="0" view="pageBreakPreview" topLeftCell="A22" zoomScale="115" zoomScaleNormal="100" zoomScaleSheetLayoutView="115" workbookViewId="0">
      <selection activeCell="D36" sqref="D36:H36"/>
    </sheetView>
  </sheetViews>
  <sheetFormatPr defaultRowHeight="12.75"/>
  <cols>
    <col min="1" max="1" width="6.42578125" customWidth="1"/>
    <col min="2" max="2" width="54.85546875" bestFit="1" customWidth="1"/>
    <col min="3" max="3" width="10.28515625" style="198" customWidth="1"/>
    <col min="4" max="8" width="8.7109375" style="198" customWidth="1"/>
    <col min="254" max="254" width="6.42578125" customWidth="1"/>
    <col min="255" max="255" width="60.5703125" customWidth="1"/>
    <col min="256" max="256" width="10.28515625" customWidth="1"/>
    <col min="257" max="257" width="13.85546875" customWidth="1"/>
    <col min="258" max="258" width="13.5703125" customWidth="1"/>
    <col min="259" max="259" width="14.140625" customWidth="1"/>
    <col min="260" max="260" width="8.28515625" customWidth="1"/>
    <col min="261" max="261" width="11" customWidth="1"/>
    <col min="510" max="510" width="6.42578125" customWidth="1"/>
    <col min="511" max="511" width="60.5703125" customWidth="1"/>
    <col min="512" max="512" width="10.28515625" customWidth="1"/>
    <col min="513" max="513" width="13.85546875" customWidth="1"/>
    <col min="514" max="514" width="13.5703125" customWidth="1"/>
    <col min="515" max="515" width="14.140625" customWidth="1"/>
    <col min="516" max="516" width="8.28515625" customWidth="1"/>
    <col min="517" max="517" width="11" customWidth="1"/>
    <col min="766" max="766" width="6.42578125" customWidth="1"/>
    <col min="767" max="767" width="60.5703125" customWidth="1"/>
    <col min="768" max="768" width="10.28515625" customWidth="1"/>
    <col min="769" max="769" width="13.85546875" customWidth="1"/>
    <col min="770" max="770" width="13.5703125" customWidth="1"/>
    <col min="771" max="771" width="14.140625" customWidth="1"/>
    <col min="772" max="772" width="8.28515625" customWidth="1"/>
    <col min="773" max="773" width="11" customWidth="1"/>
    <col min="1022" max="1022" width="6.42578125" customWidth="1"/>
    <col min="1023" max="1023" width="60.5703125" customWidth="1"/>
    <col min="1024" max="1024" width="10.28515625" customWidth="1"/>
    <col min="1025" max="1025" width="13.85546875" customWidth="1"/>
    <col min="1026" max="1026" width="13.5703125" customWidth="1"/>
    <col min="1027" max="1027" width="14.140625" customWidth="1"/>
    <col min="1028" max="1028" width="8.28515625" customWidth="1"/>
    <col min="1029" max="1029" width="11" customWidth="1"/>
    <col min="1278" max="1278" width="6.42578125" customWidth="1"/>
    <col min="1279" max="1279" width="60.5703125" customWidth="1"/>
    <col min="1280" max="1280" width="10.28515625" customWidth="1"/>
    <col min="1281" max="1281" width="13.85546875" customWidth="1"/>
    <col min="1282" max="1282" width="13.5703125" customWidth="1"/>
    <col min="1283" max="1283" width="14.140625" customWidth="1"/>
    <col min="1284" max="1284" width="8.28515625" customWidth="1"/>
    <col min="1285" max="1285" width="11" customWidth="1"/>
    <col min="1534" max="1534" width="6.42578125" customWidth="1"/>
    <col min="1535" max="1535" width="60.5703125" customWidth="1"/>
    <col min="1536" max="1536" width="10.28515625" customWidth="1"/>
    <col min="1537" max="1537" width="13.85546875" customWidth="1"/>
    <col min="1538" max="1538" width="13.5703125" customWidth="1"/>
    <col min="1539" max="1539" width="14.140625" customWidth="1"/>
    <col min="1540" max="1540" width="8.28515625" customWidth="1"/>
    <col min="1541" max="1541" width="11" customWidth="1"/>
    <col min="1790" max="1790" width="6.42578125" customWidth="1"/>
    <col min="1791" max="1791" width="60.5703125" customWidth="1"/>
    <col min="1792" max="1792" width="10.28515625" customWidth="1"/>
    <col min="1793" max="1793" width="13.85546875" customWidth="1"/>
    <col min="1794" max="1794" width="13.5703125" customWidth="1"/>
    <col min="1795" max="1795" width="14.140625" customWidth="1"/>
    <col min="1796" max="1796" width="8.28515625" customWidth="1"/>
    <col min="1797" max="1797" width="11" customWidth="1"/>
    <col min="2046" max="2046" width="6.42578125" customWidth="1"/>
    <col min="2047" max="2047" width="60.5703125" customWidth="1"/>
    <col min="2048" max="2048" width="10.28515625" customWidth="1"/>
    <col min="2049" max="2049" width="13.85546875" customWidth="1"/>
    <col min="2050" max="2050" width="13.5703125" customWidth="1"/>
    <col min="2051" max="2051" width="14.140625" customWidth="1"/>
    <col min="2052" max="2052" width="8.28515625" customWidth="1"/>
    <col min="2053" max="2053" width="11" customWidth="1"/>
    <col min="2302" max="2302" width="6.42578125" customWidth="1"/>
    <col min="2303" max="2303" width="60.5703125" customWidth="1"/>
    <col min="2304" max="2304" width="10.28515625" customWidth="1"/>
    <col min="2305" max="2305" width="13.85546875" customWidth="1"/>
    <col min="2306" max="2306" width="13.5703125" customWidth="1"/>
    <col min="2307" max="2307" width="14.140625" customWidth="1"/>
    <col min="2308" max="2308" width="8.28515625" customWidth="1"/>
    <col min="2309" max="2309" width="11" customWidth="1"/>
    <col min="2558" max="2558" width="6.42578125" customWidth="1"/>
    <col min="2559" max="2559" width="60.5703125" customWidth="1"/>
    <col min="2560" max="2560" width="10.28515625" customWidth="1"/>
    <col min="2561" max="2561" width="13.85546875" customWidth="1"/>
    <col min="2562" max="2562" width="13.5703125" customWidth="1"/>
    <col min="2563" max="2563" width="14.140625" customWidth="1"/>
    <col min="2564" max="2564" width="8.28515625" customWidth="1"/>
    <col min="2565" max="2565" width="11" customWidth="1"/>
    <col min="2814" max="2814" width="6.42578125" customWidth="1"/>
    <col min="2815" max="2815" width="60.5703125" customWidth="1"/>
    <col min="2816" max="2816" width="10.28515625" customWidth="1"/>
    <col min="2817" max="2817" width="13.85546875" customWidth="1"/>
    <col min="2818" max="2818" width="13.5703125" customWidth="1"/>
    <col min="2819" max="2819" width="14.140625" customWidth="1"/>
    <col min="2820" max="2820" width="8.28515625" customWidth="1"/>
    <col min="2821" max="2821" width="11" customWidth="1"/>
    <col min="3070" max="3070" width="6.42578125" customWidth="1"/>
    <col min="3071" max="3071" width="60.5703125" customWidth="1"/>
    <col min="3072" max="3072" width="10.28515625" customWidth="1"/>
    <col min="3073" max="3073" width="13.85546875" customWidth="1"/>
    <col min="3074" max="3074" width="13.5703125" customWidth="1"/>
    <col min="3075" max="3075" width="14.140625" customWidth="1"/>
    <col min="3076" max="3076" width="8.28515625" customWidth="1"/>
    <col min="3077" max="3077" width="11" customWidth="1"/>
    <col min="3326" max="3326" width="6.42578125" customWidth="1"/>
    <col min="3327" max="3327" width="60.5703125" customWidth="1"/>
    <col min="3328" max="3328" width="10.28515625" customWidth="1"/>
    <col min="3329" max="3329" width="13.85546875" customWidth="1"/>
    <col min="3330" max="3330" width="13.5703125" customWidth="1"/>
    <col min="3331" max="3331" width="14.140625" customWidth="1"/>
    <col min="3332" max="3332" width="8.28515625" customWidth="1"/>
    <col min="3333" max="3333" width="11" customWidth="1"/>
    <col min="3582" max="3582" width="6.42578125" customWidth="1"/>
    <col min="3583" max="3583" width="60.5703125" customWidth="1"/>
    <col min="3584" max="3584" width="10.28515625" customWidth="1"/>
    <col min="3585" max="3585" width="13.85546875" customWidth="1"/>
    <col min="3586" max="3586" width="13.5703125" customWidth="1"/>
    <col min="3587" max="3587" width="14.140625" customWidth="1"/>
    <col min="3588" max="3588" width="8.28515625" customWidth="1"/>
    <col min="3589" max="3589" width="11" customWidth="1"/>
    <col min="3838" max="3838" width="6.42578125" customWidth="1"/>
    <col min="3839" max="3839" width="60.5703125" customWidth="1"/>
    <col min="3840" max="3840" width="10.28515625" customWidth="1"/>
    <col min="3841" max="3841" width="13.85546875" customWidth="1"/>
    <col min="3842" max="3842" width="13.5703125" customWidth="1"/>
    <col min="3843" max="3843" width="14.140625" customWidth="1"/>
    <col min="3844" max="3844" width="8.28515625" customWidth="1"/>
    <col min="3845" max="3845" width="11" customWidth="1"/>
    <col min="4094" max="4094" width="6.42578125" customWidth="1"/>
    <col min="4095" max="4095" width="60.5703125" customWidth="1"/>
    <col min="4096" max="4096" width="10.28515625" customWidth="1"/>
    <col min="4097" max="4097" width="13.85546875" customWidth="1"/>
    <col min="4098" max="4098" width="13.5703125" customWidth="1"/>
    <col min="4099" max="4099" width="14.140625" customWidth="1"/>
    <col min="4100" max="4100" width="8.28515625" customWidth="1"/>
    <col min="4101" max="4101" width="11" customWidth="1"/>
    <col min="4350" max="4350" width="6.42578125" customWidth="1"/>
    <col min="4351" max="4351" width="60.5703125" customWidth="1"/>
    <col min="4352" max="4352" width="10.28515625" customWidth="1"/>
    <col min="4353" max="4353" width="13.85546875" customWidth="1"/>
    <col min="4354" max="4354" width="13.5703125" customWidth="1"/>
    <col min="4355" max="4355" width="14.140625" customWidth="1"/>
    <col min="4356" max="4356" width="8.28515625" customWidth="1"/>
    <col min="4357" max="4357" width="11" customWidth="1"/>
    <col min="4606" max="4606" width="6.42578125" customWidth="1"/>
    <col min="4607" max="4607" width="60.5703125" customWidth="1"/>
    <col min="4608" max="4608" width="10.28515625" customWidth="1"/>
    <col min="4609" max="4609" width="13.85546875" customWidth="1"/>
    <col min="4610" max="4610" width="13.5703125" customWidth="1"/>
    <col min="4611" max="4611" width="14.140625" customWidth="1"/>
    <col min="4612" max="4612" width="8.28515625" customWidth="1"/>
    <col min="4613" max="4613" width="11" customWidth="1"/>
    <col min="4862" max="4862" width="6.42578125" customWidth="1"/>
    <col min="4863" max="4863" width="60.5703125" customWidth="1"/>
    <col min="4864" max="4864" width="10.28515625" customWidth="1"/>
    <col min="4865" max="4865" width="13.85546875" customWidth="1"/>
    <col min="4866" max="4866" width="13.5703125" customWidth="1"/>
    <col min="4867" max="4867" width="14.140625" customWidth="1"/>
    <col min="4868" max="4868" width="8.28515625" customWidth="1"/>
    <col min="4869" max="4869" width="11" customWidth="1"/>
    <col min="5118" max="5118" width="6.42578125" customWidth="1"/>
    <col min="5119" max="5119" width="60.5703125" customWidth="1"/>
    <col min="5120" max="5120" width="10.28515625" customWidth="1"/>
    <col min="5121" max="5121" width="13.85546875" customWidth="1"/>
    <col min="5122" max="5122" width="13.5703125" customWidth="1"/>
    <col min="5123" max="5123" width="14.140625" customWidth="1"/>
    <col min="5124" max="5124" width="8.28515625" customWidth="1"/>
    <col min="5125" max="5125" width="11" customWidth="1"/>
    <col min="5374" max="5374" width="6.42578125" customWidth="1"/>
    <col min="5375" max="5375" width="60.5703125" customWidth="1"/>
    <col min="5376" max="5376" width="10.28515625" customWidth="1"/>
    <col min="5377" max="5377" width="13.85546875" customWidth="1"/>
    <col min="5378" max="5378" width="13.5703125" customWidth="1"/>
    <col min="5379" max="5379" width="14.140625" customWidth="1"/>
    <col min="5380" max="5380" width="8.28515625" customWidth="1"/>
    <col min="5381" max="5381" width="11" customWidth="1"/>
    <col min="5630" max="5630" width="6.42578125" customWidth="1"/>
    <col min="5631" max="5631" width="60.5703125" customWidth="1"/>
    <col min="5632" max="5632" width="10.28515625" customWidth="1"/>
    <col min="5633" max="5633" width="13.85546875" customWidth="1"/>
    <col min="5634" max="5634" width="13.5703125" customWidth="1"/>
    <col min="5635" max="5635" width="14.140625" customWidth="1"/>
    <col min="5636" max="5636" width="8.28515625" customWidth="1"/>
    <col min="5637" max="5637" width="11" customWidth="1"/>
    <col min="5886" max="5886" width="6.42578125" customWidth="1"/>
    <col min="5887" max="5887" width="60.5703125" customWidth="1"/>
    <col min="5888" max="5888" width="10.28515625" customWidth="1"/>
    <col min="5889" max="5889" width="13.85546875" customWidth="1"/>
    <col min="5890" max="5890" width="13.5703125" customWidth="1"/>
    <col min="5891" max="5891" width="14.140625" customWidth="1"/>
    <col min="5892" max="5892" width="8.28515625" customWidth="1"/>
    <col min="5893" max="5893" width="11" customWidth="1"/>
    <col min="6142" max="6142" width="6.42578125" customWidth="1"/>
    <col min="6143" max="6143" width="60.5703125" customWidth="1"/>
    <col min="6144" max="6144" width="10.28515625" customWidth="1"/>
    <col min="6145" max="6145" width="13.85546875" customWidth="1"/>
    <col min="6146" max="6146" width="13.5703125" customWidth="1"/>
    <col min="6147" max="6147" width="14.140625" customWidth="1"/>
    <col min="6148" max="6148" width="8.28515625" customWidth="1"/>
    <col min="6149" max="6149" width="11" customWidth="1"/>
    <col min="6398" max="6398" width="6.42578125" customWidth="1"/>
    <col min="6399" max="6399" width="60.5703125" customWidth="1"/>
    <col min="6400" max="6400" width="10.28515625" customWidth="1"/>
    <col min="6401" max="6401" width="13.85546875" customWidth="1"/>
    <col min="6402" max="6402" width="13.5703125" customWidth="1"/>
    <col min="6403" max="6403" width="14.140625" customWidth="1"/>
    <col min="6404" max="6404" width="8.28515625" customWidth="1"/>
    <col min="6405" max="6405" width="11" customWidth="1"/>
    <col min="6654" max="6654" width="6.42578125" customWidth="1"/>
    <col min="6655" max="6655" width="60.5703125" customWidth="1"/>
    <col min="6656" max="6656" width="10.28515625" customWidth="1"/>
    <col min="6657" max="6657" width="13.85546875" customWidth="1"/>
    <col min="6658" max="6658" width="13.5703125" customWidth="1"/>
    <col min="6659" max="6659" width="14.140625" customWidth="1"/>
    <col min="6660" max="6660" width="8.28515625" customWidth="1"/>
    <col min="6661" max="6661" width="11" customWidth="1"/>
    <col min="6910" max="6910" width="6.42578125" customWidth="1"/>
    <col min="6911" max="6911" width="60.5703125" customWidth="1"/>
    <col min="6912" max="6912" width="10.28515625" customWidth="1"/>
    <col min="6913" max="6913" width="13.85546875" customWidth="1"/>
    <col min="6914" max="6914" width="13.5703125" customWidth="1"/>
    <col min="6915" max="6915" width="14.140625" customWidth="1"/>
    <col min="6916" max="6916" width="8.28515625" customWidth="1"/>
    <col min="6917" max="6917" width="11" customWidth="1"/>
    <col min="7166" max="7166" width="6.42578125" customWidth="1"/>
    <col min="7167" max="7167" width="60.5703125" customWidth="1"/>
    <col min="7168" max="7168" width="10.28515625" customWidth="1"/>
    <col min="7169" max="7169" width="13.85546875" customWidth="1"/>
    <col min="7170" max="7170" width="13.5703125" customWidth="1"/>
    <col min="7171" max="7171" width="14.140625" customWidth="1"/>
    <col min="7172" max="7172" width="8.28515625" customWidth="1"/>
    <col min="7173" max="7173" width="11" customWidth="1"/>
    <col min="7422" max="7422" width="6.42578125" customWidth="1"/>
    <col min="7423" max="7423" width="60.5703125" customWidth="1"/>
    <col min="7424" max="7424" width="10.28515625" customWidth="1"/>
    <col min="7425" max="7425" width="13.85546875" customWidth="1"/>
    <col min="7426" max="7426" width="13.5703125" customWidth="1"/>
    <col min="7427" max="7427" width="14.140625" customWidth="1"/>
    <col min="7428" max="7428" width="8.28515625" customWidth="1"/>
    <col min="7429" max="7429" width="11" customWidth="1"/>
    <col min="7678" max="7678" width="6.42578125" customWidth="1"/>
    <col min="7679" max="7679" width="60.5703125" customWidth="1"/>
    <col min="7680" max="7680" width="10.28515625" customWidth="1"/>
    <col min="7681" max="7681" width="13.85546875" customWidth="1"/>
    <col min="7682" max="7682" width="13.5703125" customWidth="1"/>
    <col min="7683" max="7683" width="14.140625" customWidth="1"/>
    <col min="7684" max="7684" width="8.28515625" customWidth="1"/>
    <col min="7685" max="7685" width="11" customWidth="1"/>
    <col min="7934" max="7934" width="6.42578125" customWidth="1"/>
    <col min="7935" max="7935" width="60.5703125" customWidth="1"/>
    <col min="7936" max="7936" width="10.28515625" customWidth="1"/>
    <col min="7937" max="7937" width="13.85546875" customWidth="1"/>
    <col min="7938" max="7938" width="13.5703125" customWidth="1"/>
    <col min="7939" max="7939" width="14.140625" customWidth="1"/>
    <col min="7940" max="7940" width="8.28515625" customWidth="1"/>
    <col min="7941" max="7941" width="11" customWidth="1"/>
    <col min="8190" max="8190" width="6.42578125" customWidth="1"/>
    <col min="8191" max="8191" width="60.5703125" customWidth="1"/>
    <col min="8192" max="8192" width="10.28515625" customWidth="1"/>
    <col min="8193" max="8193" width="13.85546875" customWidth="1"/>
    <col min="8194" max="8194" width="13.5703125" customWidth="1"/>
    <col min="8195" max="8195" width="14.140625" customWidth="1"/>
    <col min="8196" max="8196" width="8.28515625" customWidth="1"/>
    <col min="8197" max="8197" width="11" customWidth="1"/>
    <col min="8446" max="8446" width="6.42578125" customWidth="1"/>
    <col min="8447" max="8447" width="60.5703125" customWidth="1"/>
    <col min="8448" max="8448" width="10.28515625" customWidth="1"/>
    <col min="8449" max="8449" width="13.85546875" customWidth="1"/>
    <col min="8450" max="8450" width="13.5703125" customWidth="1"/>
    <col min="8451" max="8451" width="14.140625" customWidth="1"/>
    <col min="8452" max="8452" width="8.28515625" customWidth="1"/>
    <col min="8453" max="8453" width="11" customWidth="1"/>
    <col min="8702" max="8702" width="6.42578125" customWidth="1"/>
    <col min="8703" max="8703" width="60.5703125" customWidth="1"/>
    <col min="8704" max="8704" width="10.28515625" customWidth="1"/>
    <col min="8705" max="8705" width="13.85546875" customWidth="1"/>
    <col min="8706" max="8706" width="13.5703125" customWidth="1"/>
    <col min="8707" max="8707" width="14.140625" customWidth="1"/>
    <col min="8708" max="8708" width="8.28515625" customWidth="1"/>
    <col min="8709" max="8709" width="11" customWidth="1"/>
    <col min="8958" max="8958" width="6.42578125" customWidth="1"/>
    <col min="8959" max="8959" width="60.5703125" customWidth="1"/>
    <col min="8960" max="8960" width="10.28515625" customWidth="1"/>
    <col min="8961" max="8961" width="13.85546875" customWidth="1"/>
    <col min="8962" max="8962" width="13.5703125" customWidth="1"/>
    <col min="8963" max="8963" width="14.140625" customWidth="1"/>
    <col min="8964" max="8964" width="8.28515625" customWidth="1"/>
    <col min="8965" max="8965" width="11" customWidth="1"/>
    <col min="9214" max="9214" width="6.42578125" customWidth="1"/>
    <col min="9215" max="9215" width="60.5703125" customWidth="1"/>
    <col min="9216" max="9216" width="10.28515625" customWidth="1"/>
    <col min="9217" max="9217" width="13.85546875" customWidth="1"/>
    <col min="9218" max="9218" width="13.5703125" customWidth="1"/>
    <col min="9219" max="9219" width="14.140625" customWidth="1"/>
    <col min="9220" max="9220" width="8.28515625" customWidth="1"/>
    <col min="9221" max="9221" width="11" customWidth="1"/>
    <col min="9470" max="9470" width="6.42578125" customWidth="1"/>
    <col min="9471" max="9471" width="60.5703125" customWidth="1"/>
    <col min="9472" max="9472" width="10.28515625" customWidth="1"/>
    <col min="9473" max="9473" width="13.85546875" customWidth="1"/>
    <col min="9474" max="9474" width="13.5703125" customWidth="1"/>
    <col min="9475" max="9475" width="14.140625" customWidth="1"/>
    <col min="9476" max="9476" width="8.28515625" customWidth="1"/>
    <col min="9477" max="9477" width="11" customWidth="1"/>
    <col min="9726" max="9726" width="6.42578125" customWidth="1"/>
    <col min="9727" max="9727" width="60.5703125" customWidth="1"/>
    <col min="9728" max="9728" width="10.28515625" customWidth="1"/>
    <col min="9729" max="9729" width="13.85546875" customWidth="1"/>
    <col min="9730" max="9730" width="13.5703125" customWidth="1"/>
    <col min="9731" max="9731" width="14.140625" customWidth="1"/>
    <col min="9732" max="9732" width="8.28515625" customWidth="1"/>
    <col min="9733" max="9733" width="11" customWidth="1"/>
    <col min="9982" max="9982" width="6.42578125" customWidth="1"/>
    <col min="9983" max="9983" width="60.5703125" customWidth="1"/>
    <col min="9984" max="9984" width="10.28515625" customWidth="1"/>
    <col min="9985" max="9985" width="13.85546875" customWidth="1"/>
    <col min="9986" max="9986" width="13.5703125" customWidth="1"/>
    <col min="9987" max="9987" width="14.140625" customWidth="1"/>
    <col min="9988" max="9988" width="8.28515625" customWidth="1"/>
    <col min="9989" max="9989" width="11" customWidth="1"/>
    <col min="10238" max="10238" width="6.42578125" customWidth="1"/>
    <col min="10239" max="10239" width="60.5703125" customWidth="1"/>
    <col min="10240" max="10240" width="10.28515625" customWidth="1"/>
    <col min="10241" max="10241" width="13.85546875" customWidth="1"/>
    <col min="10242" max="10242" width="13.5703125" customWidth="1"/>
    <col min="10243" max="10243" width="14.140625" customWidth="1"/>
    <col min="10244" max="10244" width="8.28515625" customWidth="1"/>
    <col min="10245" max="10245" width="11" customWidth="1"/>
    <col min="10494" max="10494" width="6.42578125" customWidth="1"/>
    <col min="10495" max="10495" width="60.5703125" customWidth="1"/>
    <col min="10496" max="10496" width="10.28515625" customWidth="1"/>
    <col min="10497" max="10497" width="13.85546875" customWidth="1"/>
    <col min="10498" max="10498" width="13.5703125" customWidth="1"/>
    <col min="10499" max="10499" width="14.140625" customWidth="1"/>
    <col min="10500" max="10500" width="8.28515625" customWidth="1"/>
    <col min="10501" max="10501" width="11" customWidth="1"/>
    <col min="10750" max="10750" width="6.42578125" customWidth="1"/>
    <col min="10751" max="10751" width="60.5703125" customWidth="1"/>
    <col min="10752" max="10752" width="10.28515625" customWidth="1"/>
    <col min="10753" max="10753" width="13.85546875" customWidth="1"/>
    <col min="10754" max="10754" width="13.5703125" customWidth="1"/>
    <col min="10755" max="10755" width="14.140625" customWidth="1"/>
    <col min="10756" max="10756" width="8.28515625" customWidth="1"/>
    <col min="10757" max="10757" width="11" customWidth="1"/>
    <col min="11006" max="11006" width="6.42578125" customWidth="1"/>
    <col min="11007" max="11007" width="60.5703125" customWidth="1"/>
    <col min="11008" max="11008" width="10.28515625" customWidth="1"/>
    <col min="11009" max="11009" width="13.85546875" customWidth="1"/>
    <col min="11010" max="11010" width="13.5703125" customWidth="1"/>
    <col min="11011" max="11011" width="14.140625" customWidth="1"/>
    <col min="11012" max="11012" width="8.28515625" customWidth="1"/>
    <col min="11013" max="11013" width="11" customWidth="1"/>
    <col min="11262" max="11262" width="6.42578125" customWidth="1"/>
    <col min="11263" max="11263" width="60.5703125" customWidth="1"/>
    <col min="11264" max="11264" width="10.28515625" customWidth="1"/>
    <col min="11265" max="11265" width="13.85546875" customWidth="1"/>
    <col min="11266" max="11266" width="13.5703125" customWidth="1"/>
    <col min="11267" max="11267" width="14.140625" customWidth="1"/>
    <col min="11268" max="11268" width="8.28515625" customWidth="1"/>
    <col min="11269" max="11269" width="11" customWidth="1"/>
    <col min="11518" max="11518" width="6.42578125" customWidth="1"/>
    <col min="11519" max="11519" width="60.5703125" customWidth="1"/>
    <col min="11520" max="11520" width="10.28515625" customWidth="1"/>
    <col min="11521" max="11521" width="13.85546875" customWidth="1"/>
    <col min="11522" max="11522" width="13.5703125" customWidth="1"/>
    <col min="11523" max="11523" width="14.140625" customWidth="1"/>
    <col min="11524" max="11524" width="8.28515625" customWidth="1"/>
    <col min="11525" max="11525" width="11" customWidth="1"/>
    <col min="11774" max="11774" width="6.42578125" customWidth="1"/>
    <col min="11775" max="11775" width="60.5703125" customWidth="1"/>
    <col min="11776" max="11776" width="10.28515625" customWidth="1"/>
    <col min="11777" max="11777" width="13.85546875" customWidth="1"/>
    <col min="11778" max="11778" width="13.5703125" customWidth="1"/>
    <col min="11779" max="11779" width="14.140625" customWidth="1"/>
    <col min="11780" max="11780" width="8.28515625" customWidth="1"/>
    <col min="11781" max="11781" width="11" customWidth="1"/>
    <col min="12030" max="12030" width="6.42578125" customWidth="1"/>
    <col min="12031" max="12031" width="60.5703125" customWidth="1"/>
    <col min="12032" max="12032" width="10.28515625" customWidth="1"/>
    <col min="12033" max="12033" width="13.85546875" customWidth="1"/>
    <col min="12034" max="12034" width="13.5703125" customWidth="1"/>
    <col min="12035" max="12035" width="14.140625" customWidth="1"/>
    <col min="12036" max="12036" width="8.28515625" customWidth="1"/>
    <col min="12037" max="12037" width="11" customWidth="1"/>
    <col min="12286" max="12286" width="6.42578125" customWidth="1"/>
    <col min="12287" max="12287" width="60.5703125" customWidth="1"/>
    <col min="12288" max="12288" width="10.28515625" customWidth="1"/>
    <col min="12289" max="12289" width="13.85546875" customWidth="1"/>
    <col min="12290" max="12290" width="13.5703125" customWidth="1"/>
    <col min="12291" max="12291" width="14.140625" customWidth="1"/>
    <col min="12292" max="12292" width="8.28515625" customWidth="1"/>
    <col min="12293" max="12293" width="11" customWidth="1"/>
    <col min="12542" max="12542" width="6.42578125" customWidth="1"/>
    <col min="12543" max="12543" width="60.5703125" customWidth="1"/>
    <col min="12544" max="12544" width="10.28515625" customWidth="1"/>
    <col min="12545" max="12545" width="13.85546875" customWidth="1"/>
    <col min="12546" max="12546" width="13.5703125" customWidth="1"/>
    <col min="12547" max="12547" width="14.140625" customWidth="1"/>
    <col min="12548" max="12548" width="8.28515625" customWidth="1"/>
    <col min="12549" max="12549" width="11" customWidth="1"/>
    <col min="12798" max="12798" width="6.42578125" customWidth="1"/>
    <col min="12799" max="12799" width="60.5703125" customWidth="1"/>
    <col min="12800" max="12800" width="10.28515625" customWidth="1"/>
    <col min="12801" max="12801" width="13.85546875" customWidth="1"/>
    <col min="12802" max="12802" width="13.5703125" customWidth="1"/>
    <col min="12803" max="12803" width="14.140625" customWidth="1"/>
    <col min="12804" max="12804" width="8.28515625" customWidth="1"/>
    <col min="12805" max="12805" width="11" customWidth="1"/>
    <col min="13054" max="13054" width="6.42578125" customWidth="1"/>
    <col min="13055" max="13055" width="60.5703125" customWidth="1"/>
    <col min="13056" max="13056" width="10.28515625" customWidth="1"/>
    <col min="13057" max="13057" width="13.85546875" customWidth="1"/>
    <col min="13058" max="13058" width="13.5703125" customWidth="1"/>
    <col min="13059" max="13059" width="14.140625" customWidth="1"/>
    <col min="13060" max="13060" width="8.28515625" customWidth="1"/>
    <col min="13061" max="13061" width="11" customWidth="1"/>
    <col min="13310" max="13310" width="6.42578125" customWidth="1"/>
    <col min="13311" max="13311" width="60.5703125" customWidth="1"/>
    <col min="13312" max="13312" width="10.28515625" customWidth="1"/>
    <col min="13313" max="13313" width="13.85546875" customWidth="1"/>
    <col min="13314" max="13314" width="13.5703125" customWidth="1"/>
    <col min="13315" max="13315" width="14.140625" customWidth="1"/>
    <col min="13316" max="13316" width="8.28515625" customWidth="1"/>
    <col min="13317" max="13317" width="11" customWidth="1"/>
    <col min="13566" max="13566" width="6.42578125" customWidth="1"/>
    <col min="13567" max="13567" width="60.5703125" customWidth="1"/>
    <col min="13568" max="13568" width="10.28515625" customWidth="1"/>
    <col min="13569" max="13569" width="13.85546875" customWidth="1"/>
    <col min="13570" max="13570" width="13.5703125" customWidth="1"/>
    <col min="13571" max="13571" width="14.140625" customWidth="1"/>
    <col min="13572" max="13572" width="8.28515625" customWidth="1"/>
    <col min="13573" max="13573" width="11" customWidth="1"/>
    <col min="13822" max="13822" width="6.42578125" customWidth="1"/>
    <col min="13823" max="13823" width="60.5703125" customWidth="1"/>
    <col min="13824" max="13824" width="10.28515625" customWidth="1"/>
    <col min="13825" max="13825" width="13.85546875" customWidth="1"/>
    <col min="13826" max="13826" width="13.5703125" customWidth="1"/>
    <col min="13827" max="13827" width="14.140625" customWidth="1"/>
    <col min="13828" max="13828" width="8.28515625" customWidth="1"/>
    <col min="13829" max="13829" width="11" customWidth="1"/>
    <col min="14078" max="14078" width="6.42578125" customWidth="1"/>
    <col min="14079" max="14079" width="60.5703125" customWidth="1"/>
    <col min="14080" max="14080" width="10.28515625" customWidth="1"/>
    <col min="14081" max="14081" width="13.85546875" customWidth="1"/>
    <col min="14082" max="14082" width="13.5703125" customWidth="1"/>
    <col min="14083" max="14083" width="14.140625" customWidth="1"/>
    <col min="14084" max="14084" width="8.28515625" customWidth="1"/>
    <col min="14085" max="14085" width="11" customWidth="1"/>
    <col min="14334" max="14334" width="6.42578125" customWidth="1"/>
    <col min="14335" max="14335" width="60.5703125" customWidth="1"/>
    <col min="14336" max="14336" width="10.28515625" customWidth="1"/>
    <col min="14337" max="14337" width="13.85546875" customWidth="1"/>
    <col min="14338" max="14338" width="13.5703125" customWidth="1"/>
    <col min="14339" max="14339" width="14.140625" customWidth="1"/>
    <col min="14340" max="14340" width="8.28515625" customWidth="1"/>
    <col min="14341" max="14341" width="11" customWidth="1"/>
    <col min="14590" max="14590" width="6.42578125" customWidth="1"/>
    <col min="14591" max="14591" width="60.5703125" customWidth="1"/>
    <col min="14592" max="14592" width="10.28515625" customWidth="1"/>
    <col min="14593" max="14593" width="13.85546875" customWidth="1"/>
    <col min="14594" max="14594" width="13.5703125" customWidth="1"/>
    <col min="14595" max="14595" width="14.140625" customWidth="1"/>
    <col min="14596" max="14596" width="8.28515625" customWidth="1"/>
    <col min="14597" max="14597" width="11" customWidth="1"/>
    <col min="14846" max="14846" width="6.42578125" customWidth="1"/>
    <col min="14847" max="14847" width="60.5703125" customWidth="1"/>
    <col min="14848" max="14848" width="10.28515625" customWidth="1"/>
    <col min="14849" max="14849" width="13.85546875" customWidth="1"/>
    <col min="14850" max="14850" width="13.5703125" customWidth="1"/>
    <col min="14851" max="14851" width="14.140625" customWidth="1"/>
    <col min="14852" max="14852" width="8.28515625" customWidth="1"/>
    <col min="14853" max="14853" width="11" customWidth="1"/>
    <col min="15102" max="15102" width="6.42578125" customWidth="1"/>
    <col min="15103" max="15103" width="60.5703125" customWidth="1"/>
    <col min="15104" max="15104" width="10.28515625" customWidth="1"/>
    <col min="15105" max="15105" width="13.85546875" customWidth="1"/>
    <col min="15106" max="15106" width="13.5703125" customWidth="1"/>
    <col min="15107" max="15107" width="14.140625" customWidth="1"/>
    <col min="15108" max="15108" width="8.28515625" customWidth="1"/>
    <col min="15109" max="15109" width="11" customWidth="1"/>
    <col min="15358" max="15358" width="6.42578125" customWidth="1"/>
    <col min="15359" max="15359" width="60.5703125" customWidth="1"/>
    <col min="15360" max="15360" width="10.28515625" customWidth="1"/>
    <col min="15361" max="15361" width="13.85546875" customWidth="1"/>
    <col min="15362" max="15362" width="13.5703125" customWidth="1"/>
    <col min="15363" max="15363" width="14.140625" customWidth="1"/>
    <col min="15364" max="15364" width="8.28515625" customWidth="1"/>
    <col min="15365" max="15365" width="11" customWidth="1"/>
    <col min="15614" max="15614" width="6.42578125" customWidth="1"/>
    <col min="15615" max="15615" width="60.5703125" customWidth="1"/>
    <col min="15616" max="15616" width="10.28515625" customWidth="1"/>
    <col min="15617" max="15617" width="13.85546875" customWidth="1"/>
    <col min="15618" max="15618" width="13.5703125" customWidth="1"/>
    <col min="15619" max="15619" width="14.140625" customWidth="1"/>
    <col min="15620" max="15620" width="8.28515625" customWidth="1"/>
    <col min="15621" max="15621" width="11" customWidth="1"/>
    <col min="15870" max="15870" width="6.42578125" customWidth="1"/>
    <col min="15871" max="15871" width="60.5703125" customWidth="1"/>
    <col min="15872" max="15872" width="10.28515625" customWidth="1"/>
    <col min="15873" max="15873" width="13.85546875" customWidth="1"/>
    <col min="15874" max="15874" width="13.5703125" customWidth="1"/>
    <col min="15875" max="15875" width="14.140625" customWidth="1"/>
    <col min="15876" max="15876" width="8.28515625" customWidth="1"/>
    <col min="15877" max="15877" width="11" customWidth="1"/>
    <col min="16126" max="16126" width="6.42578125" customWidth="1"/>
    <col min="16127" max="16127" width="60.5703125" customWidth="1"/>
    <col min="16128" max="16128" width="10.28515625" customWidth="1"/>
    <col min="16129" max="16129" width="13.85546875" customWidth="1"/>
    <col min="16130" max="16130" width="13.5703125" customWidth="1"/>
    <col min="16131" max="16131" width="14.140625" customWidth="1"/>
    <col min="16132" max="16132" width="8.28515625" customWidth="1"/>
    <col min="16133" max="16133" width="11" customWidth="1"/>
  </cols>
  <sheetData>
    <row r="1" spans="1:8" ht="13.5">
      <c r="A1" s="3685"/>
      <c r="B1" s="3685"/>
      <c r="C1" s="3686"/>
      <c r="D1" s="3686"/>
      <c r="E1" s="3686"/>
      <c r="F1" s="3686"/>
      <c r="G1" s="3686"/>
      <c r="H1" s="3553" t="s">
        <v>558</v>
      </c>
    </row>
    <row r="2" spans="1:8" s="4" customFormat="1" ht="18.75">
      <c r="A2" s="5560" t="s">
        <v>1564</v>
      </c>
      <c r="B2" s="5560"/>
      <c r="C2" s="5560"/>
      <c r="D2" s="5560"/>
      <c r="E2" s="5560"/>
      <c r="F2" s="5560"/>
      <c r="G2" s="5560"/>
      <c r="H2" s="5560"/>
    </row>
    <row r="3" spans="1:8" ht="18.75">
      <c r="A3" s="5560" t="s">
        <v>1019</v>
      </c>
      <c r="B3" s="5560"/>
      <c r="C3" s="5560"/>
      <c r="D3" s="5560"/>
      <c r="E3" s="5560"/>
      <c r="F3" s="5560"/>
      <c r="G3" s="5560"/>
      <c r="H3" s="5560"/>
    </row>
    <row r="4" spans="1:8" s="17" customFormat="1" ht="16.5" customHeight="1">
      <c r="A4" s="5559" t="str">
        <f>'1. Обща информация'!A4:D4</f>
        <v>на "Водоснабдяване и канализаиця"ООД, гр. Перник</v>
      </c>
      <c r="B4" s="5559"/>
      <c r="C4" s="5559"/>
      <c r="D4" s="5559"/>
      <c r="E4" s="5559"/>
      <c r="F4" s="5559"/>
      <c r="G4" s="5559"/>
      <c r="H4" s="5559"/>
    </row>
    <row r="5" spans="1:8" s="17" customFormat="1" ht="15.75" customHeight="1">
      <c r="A5" s="5559" t="str">
        <f>'1. Обща информация'!A5:D5</f>
        <v>ЕИК по БУЛСТАТ: 823073638</v>
      </c>
      <c r="B5" s="5559"/>
      <c r="C5" s="5559"/>
      <c r="D5" s="5559"/>
      <c r="E5" s="5559"/>
      <c r="F5" s="5559"/>
      <c r="G5" s="5559"/>
      <c r="H5" s="5559"/>
    </row>
    <row r="6" spans="1:8" ht="13.5" customHeight="1" thickBot="1">
      <c r="A6" s="3687"/>
      <c r="B6" s="3687"/>
      <c r="C6" s="3687"/>
      <c r="D6" s="3688"/>
      <c r="E6" s="3688"/>
      <c r="F6" s="3688"/>
      <c r="G6" s="3688"/>
      <c r="H6" s="3688"/>
    </row>
    <row r="7" spans="1:8" ht="13.5" customHeight="1">
      <c r="A7" s="5565" t="s">
        <v>1</v>
      </c>
      <c r="B7" s="5567" t="s">
        <v>298</v>
      </c>
      <c r="C7" s="5571" t="s">
        <v>170</v>
      </c>
      <c r="D7" s="5562" t="s">
        <v>215</v>
      </c>
      <c r="E7" s="5562"/>
      <c r="F7" s="5562"/>
      <c r="G7" s="5562"/>
      <c r="H7" s="5563"/>
    </row>
    <row r="8" spans="1:8" ht="13.5" thickBot="1">
      <c r="A8" s="5566"/>
      <c r="B8" s="5568"/>
      <c r="C8" s="5572"/>
      <c r="D8" s="689" t="str">
        <f>'Приложение '!$C14</f>
        <v>2022 г.</v>
      </c>
      <c r="E8" s="277" t="str">
        <f>'Приложение '!$C15</f>
        <v>2023 г.</v>
      </c>
      <c r="F8" s="277" t="str">
        <f>'Приложение '!$C16</f>
        <v>2024 г.</v>
      </c>
      <c r="G8" s="277" t="str">
        <f>'Приложение '!$C17</f>
        <v>2025 г.</v>
      </c>
      <c r="H8" s="278" t="str">
        <f>'Приложение '!$C18</f>
        <v>2026 г.</v>
      </c>
    </row>
    <row r="9" spans="1:8" ht="15" customHeight="1">
      <c r="A9" s="3689">
        <v>1</v>
      </c>
      <c r="B9" s="3690" t="s">
        <v>299</v>
      </c>
      <c r="C9" s="3691" t="s">
        <v>300</v>
      </c>
      <c r="D9" s="3692">
        <f>'19. HB'!D17</f>
        <v>604.38154770324206</v>
      </c>
      <c r="E9" s="3693">
        <f>'19. HB'!E17</f>
        <v>772.35979169668337</v>
      </c>
      <c r="F9" s="3693">
        <f>'19. HB'!F17</f>
        <v>796.47065174280442</v>
      </c>
      <c r="G9" s="3693">
        <f>'19. HB'!G17</f>
        <v>807.29879514225468</v>
      </c>
      <c r="H9" s="3694">
        <f>'19. HB'!H17</f>
        <v>812.17263107097847</v>
      </c>
    </row>
    <row r="10" spans="1:8" ht="15" customHeight="1">
      <c r="A10" s="3695">
        <v>2</v>
      </c>
      <c r="B10" s="3696" t="s">
        <v>301</v>
      </c>
      <c r="C10" s="3697" t="s">
        <v>300</v>
      </c>
      <c r="D10" s="3698">
        <f>'12. Разходи'!D88</f>
        <v>10758.772272327446</v>
      </c>
      <c r="E10" s="3699">
        <f>'12. Разходи'!E88</f>
        <v>10774.357426347238</v>
      </c>
      <c r="F10" s="3699">
        <f>'12. Разходи'!F88</f>
        <v>11258.326140755124</v>
      </c>
      <c r="G10" s="3699">
        <f>'12. Разходи'!G88</f>
        <v>11986.882838469724</v>
      </c>
      <c r="H10" s="3700">
        <f>'12. Разходи'!H88</f>
        <v>12188.304267918858</v>
      </c>
    </row>
    <row r="11" spans="1:8" ht="15" customHeight="1">
      <c r="A11" s="3695">
        <v>3</v>
      </c>
      <c r="B11" s="3696" t="s">
        <v>302</v>
      </c>
      <c r="C11" s="3697" t="s">
        <v>300</v>
      </c>
      <c r="D11" s="3701">
        <f t="shared" ref="D11:H11" si="0">D9+D10</f>
        <v>11363.153820030688</v>
      </c>
      <c r="E11" s="3702">
        <f t="shared" si="0"/>
        <v>11546.717218043921</v>
      </c>
      <c r="F11" s="3702">
        <f t="shared" si="0"/>
        <v>12054.796792497928</v>
      </c>
      <c r="G11" s="3702">
        <f t="shared" si="0"/>
        <v>12794.181633611979</v>
      </c>
      <c r="H11" s="3703">
        <f t="shared" si="0"/>
        <v>13000.476898989837</v>
      </c>
    </row>
    <row r="12" spans="1:8" ht="15" customHeight="1" thickBot="1">
      <c r="A12" s="4235">
        <v>4</v>
      </c>
      <c r="B12" s="3696" t="s">
        <v>345</v>
      </c>
      <c r="C12" s="3704" t="s">
        <v>928</v>
      </c>
      <c r="D12" s="3701">
        <f>('4. Отчет и прогн. потребление'!E9-'4. Отчет и прогн. потребление'!E43)/1000</f>
        <v>5622.6746666666677</v>
      </c>
      <c r="E12" s="3702">
        <f>('4. Отчет и прогн. потребление'!F9-'4. Отчет и прогн. потребление'!F43)/1000</f>
        <v>5599.1167078386843</v>
      </c>
      <c r="F12" s="3702">
        <f>('4. Отчет и прогн. потребление'!G9-'4. Отчет и прогн. потребление'!G43)/1000</f>
        <v>5536.584783862133</v>
      </c>
      <c r="G12" s="3702">
        <f>('4. Отчет и прогн. потребление'!H9-'4. Отчет и прогн. потребление'!H43)/1000</f>
        <v>5480.7542598855835</v>
      </c>
      <c r="H12" s="3703">
        <f>('4. Отчет и прогн. потребление'!I9-'4. Отчет и прогн. потребление'!I43)/1000</f>
        <v>5443.6898026957861</v>
      </c>
    </row>
    <row r="13" spans="1:8" ht="15" customHeight="1">
      <c r="A13" s="5565" t="s">
        <v>1</v>
      </c>
      <c r="B13" s="5567" t="s">
        <v>298</v>
      </c>
      <c r="C13" s="5569" t="s">
        <v>170</v>
      </c>
      <c r="D13" s="5561" t="s">
        <v>178</v>
      </c>
      <c r="E13" s="5562"/>
      <c r="F13" s="5562"/>
      <c r="G13" s="5562"/>
      <c r="H13" s="5563"/>
    </row>
    <row r="14" spans="1:8" ht="15" customHeight="1" thickBot="1">
      <c r="A14" s="5566"/>
      <c r="B14" s="5568"/>
      <c r="C14" s="5570"/>
      <c r="D14" s="279" t="str">
        <f t="shared" ref="D14:H14" si="1">D8</f>
        <v>2022 г.</v>
      </c>
      <c r="E14" s="277" t="str">
        <f t="shared" si="1"/>
        <v>2023 г.</v>
      </c>
      <c r="F14" s="277" t="str">
        <f t="shared" si="1"/>
        <v>2024 г.</v>
      </c>
      <c r="G14" s="277" t="str">
        <f t="shared" si="1"/>
        <v>2025 г.</v>
      </c>
      <c r="H14" s="278" t="str">
        <f t="shared" si="1"/>
        <v>2026 г.</v>
      </c>
    </row>
    <row r="15" spans="1:8" ht="15" customHeight="1">
      <c r="A15" s="3689">
        <v>1</v>
      </c>
      <c r="B15" s="3690" t="s">
        <v>299</v>
      </c>
      <c r="C15" s="3691" t="s">
        <v>300</v>
      </c>
      <c r="D15" s="3693">
        <f>'19. HB'!D18</f>
        <v>116.53808551743269</v>
      </c>
      <c r="E15" s="3705">
        <f>'19. HB'!E18</f>
        <v>362.35674581387281</v>
      </c>
      <c r="F15" s="3705">
        <f>'19. HB'!F18</f>
        <v>366.95040106300382</v>
      </c>
      <c r="G15" s="3705">
        <f>'19. HB'!G18</f>
        <v>362.92330701812602</v>
      </c>
      <c r="H15" s="3706">
        <f>'19. HB'!H18</f>
        <v>359.87668280045102</v>
      </c>
    </row>
    <row r="16" spans="1:8" ht="15" customHeight="1">
      <c r="A16" s="3695">
        <v>2</v>
      </c>
      <c r="B16" s="3696" t="s">
        <v>301</v>
      </c>
      <c r="C16" s="3697" t="s">
        <v>300</v>
      </c>
      <c r="D16" s="3699">
        <f>'12. Разходи'!L88</f>
        <v>696.80238381462857</v>
      </c>
      <c r="E16" s="3699">
        <f>'12. Разходи'!M88</f>
        <v>787.27424856464017</v>
      </c>
      <c r="F16" s="3699">
        <f>'12. Разходи'!N88</f>
        <v>1113.6251684045021</v>
      </c>
      <c r="G16" s="3699">
        <f>'12. Разходи'!O88</f>
        <v>1357.7829176987436</v>
      </c>
      <c r="H16" s="3700">
        <f>'12. Разходи'!P88</f>
        <v>1393.9853830056149</v>
      </c>
    </row>
    <row r="17" spans="1:8" ht="15" customHeight="1">
      <c r="A17" s="3695">
        <v>3</v>
      </c>
      <c r="B17" s="3696" t="s">
        <v>302</v>
      </c>
      <c r="C17" s="3697" t="s">
        <v>300</v>
      </c>
      <c r="D17" s="3701">
        <f t="shared" ref="D17:H17" si="2">D15+D16</f>
        <v>813.34046933206128</v>
      </c>
      <c r="E17" s="3702">
        <f t="shared" si="2"/>
        <v>1149.6309943785129</v>
      </c>
      <c r="F17" s="3702">
        <f t="shared" si="2"/>
        <v>1480.5755694675058</v>
      </c>
      <c r="G17" s="3702">
        <f t="shared" si="2"/>
        <v>1720.7062247168697</v>
      </c>
      <c r="H17" s="3703">
        <f t="shared" si="2"/>
        <v>1753.8620658060659</v>
      </c>
    </row>
    <row r="18" spans="1:8" ht="15" customHeight="1">
      <c r="A18" s="113">
        <v>4</v>
      </c>
      <c r="B18" s="3707" t="s">
        <v>303</v>
      </c>
      <c r="C18" s="3708" t="s">
        <v>928</v>
      </c>
      <c r="D18" s="3709">
        <f>D19+D20</f>
        <v>3883.1309666666666</v>
      </c>
      <c r="E18" s="3710">
        <f>E19+E20</f>
        <v>3871.1903909444463</v>
      </c>
      <c r="F18" s="3710">
        <f>F19+F20</f>
        <v>4082.7090899444488</v>
      </c>
      <c r="G18" s="3710">
        <f>G19+G20</f>
        <v>4046.078888944452</v>
      </c>
      <c r="H18" s="3711">
        <f>H19+H20</f>
        <v>4016.2794053974503</v>
      </c>
    </row>
    <row r="19" spans="1:8" ht="15" customHeight="1">
      <c r="A19" s="114" t="s">
        <v>104</v>
      </c>
      <c r="B19" s="3712" t="s">
        <v>304</v>
      </c>
      <c r="C19" s="3708" t="s">
        <v>928</v>
      </c>
      <c r="D19" s="3709">
        <f>'4. Отчет и прогн. потребление'!E50/1000</f>
        <v>3795.2312999999999</v>
      </c>
      <c r="E19" s="3710">
        <f>'4. Отчет и прогн. потребление'!F50/1000</f>
        <v>3784.3074385466184</v>
      </c>
      <c r="F19" s="3710">
        <f>'4. Отчет и прогн. потребление'!G50/1000</f>
        <v>3996.8428518154597</v>
      </c>
      <c r="G19" s="3710">
        <f>'4. Отчет и прогн. потребление'!H50/1000</f>
        <v>3961.2293650843017</v>
      </c>
      <c r="H19" s="3711">
        <f>'4. Отчет и прогн. потребление'!I50/1000</f>
        <v>3932.4347435100744</v>
      </c>
    </row>
    <row r="20" spans="1:8" ht="24.75" thickBot="1">
      <c r="A20" s="114" t="s">
        <v>105</v>
      </c>
      <c r="B20" s="3713" t="s">
        <v>305</v>
      </c>
      <c r="C20" s="3708" t="s">
        <v>928</v>
      </c>
      <c r="D20" s="3714">
        <f>'4. Отчет и прогн. потребление'!E51/1000</f>
        <v>87.899666666666675</v>
      </c>
      <c r="E20" s="3715">
        <f>'4. Отчет и прогн. потребление'!F51/1000</f>
        <v>86.882952397827836</v>
      </c>
      <c r="F20" s="3715">
        <f>'4. Отчет и прогн. потребление'!G51/1000</f>
        <v>85.866238128989011</v>
      </c>
      <c r="G20" s="3715">
        <f>'4. Отчет и прогн. потребление'!H51/1000</f>
        <v>84.849523860150157</v>
      </c>
      <c r="H20" s="3716">
        <f>'4. Отчет и прогн. потребление'!I51/1000</f>
        <v>83.844661887376091</v>
      </c>
    </row>
    <row r="21" spans="1:8" ht="15" customHeight="1">
      <c r="A21" s="5565" t="s">
        <v>1</v>
      </c>
      <c r="B21" s="5567" t="s">
        <v>298</v>
      </c>
      <c r="C21" s="5571" t="s">
        <v>170</v>
      </c>
      <c r="D21" s="5561" t="s">
        <v>188</v>
      </c>
      <c r="E21" s="5562"/>
      <c r="F21" s="5562"/>
      <c r="G21" s="5562"/>
      <c r="H21" s="5563"/>
    </row>
    <row r="22" spans="1:8" ht="15" customHeight="1" thickBot="1">
      <c r="A22" s="5566"/>
      <c r="B22" s="5568"/>
      <c r="C22" s="5572"/>
      <c r="D22" s="279" t="str">
        <f t="shared" ref="D22:H22" si="3">D14</f>
        <v>2022 г.</v>
      </c>
      <c r="E22" s="277" t="str">
        <f t="shared" si="3"/>
        <v>2023 г.</v>
      </c>
      <c r="F22" s="277" t="str">
        <f t="shared" si="3"/>
        <v>2024 г.</v>
      </c>
      <c r="G22" s="277" t="str">
        <f t="shared" si="3"/>
        <v>2025 г.</v>
      </c>
      <c r="H22" s="278" t="str">
        <f t="shared" si="3"/>
        <v>2026 г.</v>
      </c>
    </row>
    <row r="23" spans="1:8" ht="15" customHeight="1">
      <c r="A23" s="3689">
        <v>1</v>
      </c>
      <c r="B23" s="3690" t="s">
        <v>299</v>
      </c>
      <c r="C23" s="3691" t="s">
        <v>300</v>
      </c>
      <c r="D23" s="3705">
        <f>'19. HB'!D19</f>
        <v>131.00702226471051</v>
      </c>
      <c r="E23" s="3705">
        <f>'19. HB'!E19</f>
        <v>227.69415765048677</v>
      </c>
      <c r="F23" s="3705">
        <f>'19. HB'!F19</f>
        <v>231.38479492472422</v>
      </c>
      <c r="G23" s="3705">
        <f>'19. HB'!G19</f>
        <v>225.45723477308402</v>
      </c>
      <c r="H23" s="3706">
        <f>'19. HB'!H19</f>
        <v>219.26251368391851</v>
      </c>
    </row>
    <row r="24" spans="1:8" ht="15" customHeight="1">
      <c r="A24" s="3695">
        <v>2</v>
      </c>
      <c r="B24" s="3696" t="s">
        <v>301</v>
      </c>
      <c r="C24" s="3697" t="s">
        <v>300</v>
      </c>
      <c r="D24" s="3699">
        <f>'12. Разходи'!T88</f>
        <v>1643.3104249504454</v>
      </c>
      <c r="E24" s="3699">
        <f>'12. Разходи'!U88</f>
        <v>1871.0008091472678</v>
      </c>
      <c r="F24" s="3699">
        <f>'12. Разходи'!V88</f>
        <v>2173.2061900318813</v>
      </c>
      <c r="G24" s="3699">
        <f>'12. Разходи'!W88</f>
        <v>2323.5649603032307</v>
      </c>
      <c r="H24" s="3700">
        <f>'12. Разходи'!X88</f>
        <v>2365.5637879345445</v>
      </c>
    </row>
    <row r="25" spans="1:8" ht="15" customHeight="1">
      <c r="A25" s="3695">
        <v>3</v>
      </c>
      <c r="B25" s="3696" t="s">
        <v>302</v>
      </c>
      <c r="C25" s="3697" t="s">
        <v>300</v>
      </c>
      <c r="D25" s="3702">
        <f t="shared" ref="D25:H25" si="4">D23+D24</f>
        <v>1774.3174472151559</v>
      </c>
      <c r="E25" s="3702">
        <f t="shared" si="4"/>
        <v>2098.6949667977547</v>
      </c>
      <c r="F25" s="3702">
        <f t="shared" si="4"/>
        <v>2404.5909849566056</v>
      </c>
      <c r="G25" s="3702">
        <f t="shared" si="4"/>
        <v>2549.0221950763148</v>
      </c>
      <c r="H25" s="3703">
        <f t="shared" si="4"/>
        <v>2584.8263016184628</v>
      </c>
    </row>
    <row r="26" spans="1:8" ht="15" customHeight="1">
      <c r="A26" s="113">
        <v>4</v>
      </c>
      <c r="B26" s="3707" t="s">
        <v>303</v>
      </c>
      <c r="C26" s="3708" t="s">
        <v>928</v>
      </c>
      <c r="D26" s="3710">
        <f t="shared" ref="D26:H26" si="5">D27+D28</f>
        <v>3093.1060000000002</v>
      </c>
      <c r="E26" s="3710">
        <f t="shared" si="5"/>
        <v>3090.2966133213681</v>
      </c>
      <c r="F26" s="3710">
        <f t="shared" si="5"/>
        <v>3855.1787126394288</v>
      </c>
      <c r="G26" s="3710">
        <f t="shared" si="5"/>
        <v>3818.9195006830191</v>
      </c>
      <c r="H26" s="3711">
        <f t="shared" si="5"/>
        <v>3783.0882184252773</v>
      </c>
    </row>
    <row r="27" spans="1:8" ht="15" customHeight="1">
      <c r="A27" s="114" t="s">
        <v>104</v>
      </c>
      <c r="B27" s="3712" t="s">
        <v>304</v>
      </c>
      <c r="C27" s="3708" t="s">
        <v>928</v>
      </c>
      <c r="D27" s="3710">
        <f>'4. Отчет и прогн. потребление'!E55/1000</f>
        <v>3046.893</v>
      </c>
      <c r="E27" s="3710">
        <f>'4. Отчет и прогн. потребление'!F55/1000</f>
        <v>3044.618147959412</v>
      </c>
      <c r="F27" s="3710">
        <f>'4. Отчет и прогн. потребление'!G55/1000</f>
        <v>3772.5347819155168</v>
      </c>
      <c r="G27" s="3710">
        <f>'4. Отчет и прогн. потребление'!H55/1000</f>
        <v>3737.2921045971511</v>
      </c>
      <c r="H27" s="3711">
        <f>'4. Отчет и прогн. потребление'!I55/1000</f>
        <v>3702.4654174026095</v>
      </c>
    </row>
    <row r="28" spans="1:8" ht="24">
      <c r="A28" s="114" t="s">
        <v>105</v>
      </c>
      <c r="B28" s="3713" t="s">
        <v>305</v>
      </c>
      <c r="C28" s="3708" t="s">
        <v>928</v>
      </c>
      <c r="D28" s="1590">
        <f>'4. Отчет и прогн. потребление'!E56/1000</f>
        <v>46.213000000000001</v>
      </c>
      <c r="E28" s="1590">
        <f>'4. Отчет и прогн. потребление'!F56/1000</f>
        <v>45.678465361956064</v>
      </c>
      <c r="F28" s="1590">
        <f>'4. Отчет и прогн. потребление'!G56/1000</f>
        <v>82.643930723912121</v>
      </c>
      <c r="G28" s="1590">
        <f>'4. Отчет и прогн. потребление'!H56/1000</f>
        <v>81.627396085868185</v>
      </c>
      <c r="H28" s="1591">
        <f>'4. Отчет и прогн. потребление'!I56/1000</f>
        <v>80.622801022667673</v>
      </c>
    </row>
    <row r="29" spans="1:8" ht="15" customHeight="1">
      <c r="A29" s="114" t="s">
        <v>1300</v>
      </c>
      <c r="B29" s="3717" t="s">
        <v>1005</v>
      </c>
      <c r="C29" s="3708" t="s">
        <v>928</v>
      </c>
      <c r="D29" s="3718">
        <f>'4. Отчет и прогн. потребление'!E58/1000</f>
        <v>10.000941079295153</v>
      </c>
      <c r="E29" s="3718">
        <f>'4. Отчет и прогн. потребление'!F58/1000</f>
        <v>9.8852626031105313</v>
      </c>
      <c r="F29" s="3718">
        <f>'4. Отчет и прогн. потребление'!G58/1000</f>
        <v>18.582286114918869</v>
      </c>
      <c r="G29" s="3718">
        <f>'4. Отчет и прогн. потребление'!H58/1000</f>
        <v>18.362298167368614</v>
      </c>
      <c r="H29" s="3719">
        <f>'4. Отчет и прогн. потребление'!I58/1000</f>
        <v>18.144894059528422</v>
      </c>
    </row>
    <row r="30" spans="1:8" ht="15" customHeight="1">
      <c r="A30" s="114" t="s">
        <v>1301</v>
      </c>
      <c r="B30" s="3717" t="s">
        <v>1006</v>
      </c>
      <c r="C30" s="3708" t="s">
        <v>928</v>
      </c>
      <c r="D30" s="3718">
        <f>'4. Отчет и прогн. потребление'!E59/1000</f>
        <v>36.212058920704848</v>
      </c>
      <c r="E30" s="3718">
        <f>'4. Отчет и прогн. потребление'!F59/1000</f>
        <v>35.793202758845531</v>
      </c>
      <c r="F30" s="3718">
        <f>'4. Отчет и прогн. потребление'!G59/1000</f>
        <v>64.061644608993262</v>
      </c>
      <c r="G30" s="3718">
        <f>'4. Отчет и прогн. потребление'!H59/1000</f>
        <v>63.265097918499563</v>
      </c>
      <c r="H30" s="3719">
        <f>'4. Отчет и прогн. потребление'!I59/1000</f>
        <v>62.477906963139247</v>
      </c>
    </row>
    <row r="31" spans="1:8" ht="15" customHeight="1" thickBot="1">
      <c r="A31" s="115" t="s">
        <v>1302</v>
      </c>
      <c r="B31" s="3720" t="s">
        <v>1007</v>
      </c>
      <c r="C31" s="3704" t="s">
        <v>928</v>
      </c>
      <c r="D31" s="3721">
        <f>'4. Отчет и прогн. потребление'!E60/1000</f>
        <v>0</v>
      </c>
      <c r="E31" s="3721">
        <f>'4. Отчет и прогн. потребление'!F60/1000</f>
        <v>0</v>
      </c>
      <c r="F31" s="3721">
        <f>'4. Отчет и прогн. потребление'!G60/1000</f>
        <v>0</v>
      </c>
      <c r="G31" s="3721">
        <f>'4. Отчет и прогн. потребление'!H60/1000</f>
        <v>0</v>
      </c>
      <c r="H31" s="3722">
        <f>'4. Отчет и прогн. потребление'!I60/1000</f>
        <v>0</v>
      </c>
    </row>
    <row r="32" spans="1:8" s="11" customFormat="1" ht="15" customHeight="1">
      <c r="A32" s="5565" t="s">
        <v>1</v>
      </c>
      <c r="B32" s="5567" t="s">
        <v>298</v>
      </c>
      <c r="C32" s="5571" t="s">
        <v>170</v>
      </c>
      <c r="D32" s="5561" t="s">
        <v>1256</v>
      </c>
      <c r="E32" s="5562"/>
      <c r="F32" s="5562"/>
      <c r="G32" s="5562"/>
      <c r="H32" s="5563"/>
    </row>
    <row r="33" spans="1:8" s="11" customFormat="1" ht="15" customHeight="1" thickBot="1">
      <c r="A33" s="5566"/>
      <c r="B33" s="5568"/>
      <c r="C33" s="5572"/>
      <c r="D33" s="305" t="str">
        <f t="shared" ref="D33:H33" si="6">D22</f>
        <v>2022 г.</v>
      </c>
      <c r="E33" s="305" t="str">
        <f t="shared" si="6"/>
        <v>2023 г.</v>
      </c>
      <c r="F33" s="305" t="str">
        <f t="shared" si="6"/>
        <v>2024 г.</v>
      </c>
      <c r="G33" s="305" t="str">
        <f t="shared" si="6"/>
        <v>2025 г.</v>
      </c>
      <c r="H33" s="306" t="str">
        <f t="shared" si="6"/>
        <v>2026 г.</v>
      </c>
    </row>
    <row r="34" spans="1:8" s="11" customFormat="1" ht="15" customHeight="1">
      <c r="A34" s="3689">
        <v>1</v>
      </c>
      <c r="B34" s="3690" t="s">
        <v>299</v>
      </c>
      <c r="C34" s="3691" t="s">
        <v>300</v>
      </c>
      <c r="D34" s="3692">
        <f>'19. HB'!D20</f>
        <v>2.9245456307659548</v>
      </c>
      <c r="E34" s="3692">
        <f>'19. HB'!E20</f>
        <v>3.90000782093253</v>
      </c>
      <c r="F34" s="3692">
        <f>'19. HB'!F20</f>
        <v>3.7881178883057172</v>
      </c>
      <c r="G34" s="3692">
        <f>'19. HB'!G20</f>
        <v>3.7344983722505205</v>
      </c>
      <c r="H34" s="3692">
        <f>'19. HB'!H20</f>
        <v>3.6806374318317081</v>
      </c>
    </row>
    <row r="35" spans="1:8" s="11" customFormat="1" ht="15" customHeight="1">
      <c r="A35" s="3695">
        <v>2</v>
      </c>
      <c r="B35" s="3696" t="s">
        <v>301</v>
      </c>
      <c r="C35" s="3697" t="s">
        <v>300</v>
      </c>
      <c r="D35" s="3723">
        <f>'12. Разходи'!AB88</f>
        <v>176.14488261600005</v>
      </c>
      <c r="E35" s="3724">
        <f>'12. Разходи'!AC88</f>
        <v>244.74229233600002</v>
      </c>
      <c r="F35" s="3724">
        <f>'12. Разходи'!AD88</f>
        <v>241.966675178</v>
      </c>
      <c r="G35" s="3724">
        <f>'12. Разходи'!AE88</f>
        <v>239.51643779600002</v>
      </c>
      <c r="H35" s="3725">
        <f>'12. Разходи'!AF88</f>
        <v>237.04905646600002</v>
      </c>
    </row>
    <row r="36" spans="1:8" s="11" customFormat="1" ht="15" customHeight="1">
      <c r="A36" s="3695">
        <v>3</v>
      </c>
      <c r="B36" s="3696" t="s">
        <v>302</v>
      </c>
      <c r="C36" s="3697" t="s">
        <v>300</v>
      </c>
      <c r="D36" s="2214">
        <f t="shared" ref="D36:H36" si="7">D34+D35</f>
        <v>179.06942824676599</v>
      </c>
      <c r="E36" s="2214">
        <f t="shared" si="7"/>
        <v>248.64230015693255</v>
      </c>
      <c r="F36" s="2214">
        <f t="shared" si="7"/>
        <v>245.75479306630572</v>
      </c>
      <c r="G36" s="2214">
        <f t="shared" si="7"/>
        <v>243.25093616825055</v>
      </c>
      <c r="H36" s="3726">
        <f t="shared" si="7"/>
        <v>240.72969389783174</v>
      </c>
    </row>
    <row r="37" spans="1:8" s="11" customFormat="1" ht="15" customHeight="1" thickBot="1">
      <c r="A37" s="4235">
        <v>4</v>
      </c>
      <c r="B37" s="3696" t="s">
        <v>345</v>
      </c>
      <c r="C37" s="3708" t="s">
        <v>928</v>
      </c>
      <c r="D37" s="2214">
        <f>('4. Отчет и прогн. потребление'!E62-'4. Отчет и прогн. потребление'!E88)/1000</f>
        <v>1363.3038333333332</v>
      </c>
      <c r="E37" s="2214">
        <f>('4. Отчет и прогн. потребление'!F62-'4. Отчет и прогн. потребление'!F88)/1000</f>
        <v>1347.5348263202686</v>
      </c>
      <c r="F37" s="2214">
        <f>('4. Отчет и прогн. потребление'!G62-'4. Отчет и прогн. потребление'!G88)/1000</f>
        <v>1331.7658193072043</v>
      </c>
      <c r="G37" s="2214">
        <f>('4. Отчет и прогн. потребление'!H62-'4. Отчет и прогн. потребление'!H88)/1000</f>
        <v>1315.99681229414</v>
      </c>
      <c r="H37" s="3726">
        <f>('4. Отчет и прогн. потребление'!I62-'4. Отчет и прогн. потребление'!I88)/1000</f>
        <v>1300.4116316967113</v>
      </c>
    </row>
    <row r="38" spans="1:8" s="11" customFormat="1" ht="15" customHeight="1">
      <c r="A38" s="5565" t="s">
        <v>1</v>
      </c>
      <c r="B38" s="5567" t="s">
        <v>298</v>
      </c>
      <c r="C38" s="5571" t="s">
        <v>170</v>
      </c>
      <c r="D38" s="5561" t="s">
        <v>1257</v>
      </c>
      <c r="E38" s="5562"/>
      <c r="F38" s="5562"/>
      <c r="G38" s="5562"/>
      <c r="H38" s="5563"/>
    </row>
    <row r="39" spans="1:8" s="11" customFormat="1" ht="15" customHeight="1" thickBot="1">
      <c r="A39" s="5566"/>
      <c r="B39" s="5568"/>
      <c r="C39" s="5572"/>
      <c r="D39" s="305" t="str">
        <f t="shared" ref="D39:H39" si="8">D33</f>
        <v>2022 г.</v>
      </c>
      <c r="E39" s="305" t="str">
        <f t="shared" si="8"/>
        <v>2023 г.</v>
      </c>
      <c r="F39" s="305" t="str">
        <f t="shared" si="8"/>
        <v>2024 г.</v>
      </c>
      <c r="G39" s="305" t="str">
        <f t="shared" si="8"/>
        <v>2025 г.</v>
      </c>
      <c r="H39" s="306" t="str">
        <f t="shared" si="8"/>
        <v>2026 г.</v>
      </c>
    </row>
    <row r="40" spans="1:8" s="11" customFormat="1" ht="15" customHeight="1">
      <c r="A40" s="3689">
        <v>1</v>
      </c>
      <c r="B40" s="3690" t="s">
        <v>299</v>
      </c>
      <c r="C40" s="3691" t="s">
        <v>300</v>
      </c>
      <c r="D40" s="3692">
        <f>'19. HB'!D21</f>
        <v>0</v>
      </c>
      <c r="E40" s="3692">
        <f>'19. HB'!E21</f>
        <v>0</v>
      </c>
      <c r="F40" s="3692">
        <f>'19. HB'!F21</f>
        <v>0</v>
      </c>
      <c r="G40" s="3692">
        <f>'19. HB'!G21</f>
        <v>0</v>
      </c>
      <c r="H40" s="3727">
        <f>'19. HB'!H21</f>
        <v>0</v>
      </c>
    </row>
    <row r="41" spans="1:8" s="11" customFormat="1" ht="15" customHeight="1">
      <c r="A41" s="3695">
        <v>2</v>
      </c>
      <c r="B41" s="3696" t="s">
        <v>301</v>
      </c>
      <c r="C41" s="3697" t="s">
        <v>300</v>
      </c>
      <c r="D41" s="3723">
        <f>'12. Разходи'!AJ88</f>
        <v>0</v>
      </c>
      <c r="E41" s="3724">
        <f>'12. Разходи'!AK88</f>
        <v>0</v>
      </c>
      <c r="F41" s="3724">
        <f>'12. Разходи'!AL88</f>
        <v>0</v>
      </c>
      <c r="G41" s="3724">
        <f>'12. Разходи'!AM88</f>
        <v>0</v>
      </c>
      <c r="H41" s="3725">
        <f>'12. Разходи'!AN88</f>
        <v>0</v>
      </c>
    </row>
    <row r="42" spans="1:8" s="11" customFormat="1" ht="15" customHeight="1">
      <c r="A42" s="3695">
        <v>3</v>
      </c>
      <c r="B42" s="3696" t="s">
        <v>302</v>
      </c>
      <c r="C42" s="3697" t="s">
        <v>300</v>
      </c>
      <c r="D42" s="2214">
        <f t="shared" ref="D42:H42" si="9">D40+D41</f>
        <v>0</v>
      </c>
      <c r="E42" s="2214">
        <f t="shared" si="9"/>
        <v>0</v>
      </c>
      <c r="F42" s="2214">
        <f t="shared" si="9"/>
        <v>0</v>
      </c>
      <c r="G42" s="2214">
        <f t="shared" si="9"/>
        <v>0</v>
      </c>
      <c r="H42" s="3726">
        <f t="shared" si="9"/>
        <v>0</v>
      </c>
    </row>
    <row r="43" spans="1:8" s="11" customFormat="1" ht="15" customHeight="1" thickBot="1">
      <c r="A43" s="4236">
        <v>4</v>
      </c>
      <c r="B43" s="3728" t="s">
        <v>345</v>
      </c>
      <c r="C43" s="3704" t="s">
        <v>928</v>
      </c>
      <c r="D43" s="3729">
        <f>('4. Отчет и прогн. потребление'!E93-'4. Отчет и прогн. потребление'!E110)/1000</f>
        <v>0</v>
      </c>
      <c r="E43" s="3729">
        <f>('4. Отчет и прогн. потребление'!F93-'4. Отчет и прогн. потребление'!F110)/1000</f>
        <v>0</v>
      </c>
      <c r="F43" s="3729">
        <f>('4. Отчет и прогн. потребление'!G93-'4. Отчет и прогн. потребление'!G110)/1000</f>
        <v>0</v>
      </c>
      <c r="G43" s="3729">
        <f>('4. Отчет и прогн. потребление'!H93-'4. Отчет и прогн. потребление'!H110)/1000</f>
        <v>0</v>
      </c>
      <c r="H43" s="3730">
        <f>('4. Отчет и прогн. потребление'!I93-'4. Отчет и прогн. потребление'!I110)/1000</f>
        <v>0</v>
      </c>
    </row>
    <row r="44" spans="1:8" ht="15" customHeight="1">
      <c r="A44" s="5"/>
      <c r="B44" s="3731" t="s">
        <v>207</v>
      </c>
      <c r="C44" s="3732"/>
      <c r="D44" s="3733"/>
      <c r="E44" s="3734"/>
      <c r="F44" s="3735"/>
      <c r="G44" s="3736"/>
      <c r="H44" s="3736"/>
    </row>
    <row r="45" spans="1:8" ht="15" customHeight="1" thickBot="1">
      <c r="A45" s="5573" t="s">
        <v>306</v>
      </c>
      <c r="B45" s="5573"/>
      <c r="C45" s="5573"/>
      <c r="D45" s="3733"/>
      <c r="E45" s="3734"/>
      <c r="F45" s="3735"/>
      <c r="G45" s="3736"/>
      <c r="H45" s="3736"/>
    </row>
    <row r="46" spans="1:8" ht="15" customHeight="1">
      <c r="A46" s="5575" t="s">
        <v>1</v>
      </c>
      <c r="B46" s="5577" t="s">
        <v>298</v>
      </c>
      <c r="C46" s="5571" t="s">
        <v>170</v>
      </c>
      <c r="D46" s="5561" t="s">
        <v>188</v>
      </c>
      <c r="E46" s="5562"/>
      <c r="F46" s="5562"/>
      <c r="G46" s="5562"/>
      <c r="H46" s="5563"/>
    </row>
    <row r="47" spans="1:8" ht="13.5" thickBot="1">
      <c r="A47" s="5576"/>
      <c r="B47" s="5578"/>
      <c r="C47" s="5574"/>
      <c r="D47" s="305" t="s">
        <v>1072</v>
      </c>
      <c r="E47" s="305" t="s">
        <v>1073</v>
      </c>
      <c r="F47" s="305" t="s">
        <v>1074</v>
      </c>
      <c r="G47" s="305" t="s">
        <v>1075</v>
      </c>
      <c r="H47" s="306" t="s">
        <v>1076</v>
      </c>
    </row>
    <row r="48" spans="1:8" ht="13.5" customHeight="1" thickBot="1">
      <c r="A48" s="304">
        <v>1</v>
      </c>
      <c r="B48" s="3737" t="s">
        <v>1578</v>
      </c>
      <c r="C48" s="3738"/>
      <c r="D48" s="3739"/>
      <c r="E48" s="3739"/>
      <c r="F48" s="3739"/>
      <c r="G48" s="3739"/>
      <c r="H48" s="3740"/>
    </row>
    <row r="49" spans="1:8">
      <c r="A49" s="116" t="s">
        <v>93</v>
      </c>
      <c r="B49" s="3741" t="s">
        <v>307</v>
      </c>
      <c r="C49" s="4228" t="s">
        <v>929</v>
      </c>
      <c r="D49" s="4225">
        <f>IFERROR($C69+((D55/($D$55+$D$56+$D$57))*$E69),0)</f>
        <v>1.1121637204515291</v>
      </c>
      <c r="E49" s="4013">
        <f>IFERROR($C69+((E55/($E$55+$E$56+$E$57))*$E69),0)</f>
        <v>1.1121637204515291</v>
      </c>
      <c r="F49" s="4013">
        <f>IFERROR($C69+((F55/($F$55+$F$56+$F$57))*$E69),0)</f>
        <v>1.1081735906787262</v>
      </c>
      <c r="G49" s="4013">
        <f>IFERROR($C69+((G55/($G$55+$G$56+$G$57))*$E69),0)</f>
        <v>1.1081735906787262</v>
      </c>
      <c r="H49" s="4013">
        <f>IFERROR($C69+((H55/($H$55+$H$56+$H$57))*$E69),0)</f>
        <v>1.1081735906787262</v>
      </c>
    </row>
    <row r="50" spans="1:8">
      <c r="A50" s="6" t="s">
        <v>94</v>
      </c>
      <c r="B50" s="3742" t="s">
        <v>308</v>
      </c>
      <c r="C50" s="4229" t="s">
        <v>929</v>
      </c>
      <c r="D50" s="4226">
        <f t="shared" ref="D50" si="10">IFERROR($C70+((D56/($D$55+$D$56+$D$57))*$E70),0)</f>
        <v>1.9902690236387768</v>
      </c>
      <c r="E50" s="4014">
        <f t="shared" ref="E50" si="11">IFERROR($C70+((E56/($E$55+$E$56+$E$57))*$E70),0)</f>
        <v>1.9902690236387768</v>
      </c>
      <c r="F50" s="4014">
        <f t="shared" ref="F50" si="12">IFERROR($C70+((F56/($F$55+$F$56+$F$57))*$E70),0)</f>
        <v>1.9934611274570191</v>
      </c>
      <c r="G50" s="4014">
        <f t="shared" ref="G50" si="13">IFERROR($C70+((G56/($G$55+$G$56+$G$57))*$E70),0)</f>
        <v>1.9934611274570191</v>
      </c>
      <c r="H50" s="4014">
        <f t="shared" ref="H50" si="14">IFERROR($C70+((H56/($H$55+$H$56+$H$57))*$E70),0)</f>
        <v>1.9934611274570191</v>
      </c>
    </row>
    <row r="51" spans="1:8" ht="13.5" thickBot="1">
      <c r="A51" s="117" t="s">
        <v>96</v>
      </c>
      <c r="B51" s="3743" t="s">
        <v>309</v>
      </c>
      <c r="C51" s="4230" t="s">
        <v>929</v>
      </c>
      <c r="D51" s="4227"/>
      <c r="E51" s="4015"/>
      <c r="F51" s="4015"/>
      <c r="G51" s="4015"/>
      <c r="H51" s="4015"/>
    </row>
    <row r="52" spans="1:8" ht="16.5" thickBot="1">
      <c r="A52" s="4017"/>
      <c r="B52" s="4016" t="s">
        <v>1820</v>
      </c>
      <c r="C52" s="4016"/>
      <c r="D52" s="4016"/>
      <c r="E52" s="4011"/>
      <c r="F52" s="4011"/>
      <c r="G52" s="4011"/>
      <c r="H52" s="4011"/>
    </row>
    <row r="53" spans="1:8">
      <c r="A53" s="5575" t="s">
        <v>1</v>
      </c>
      <c r="B53" s="5580" t="s">
        <v>298</v>
      </c>
      <c r="C53" s="5582" t="s">
        <v>170</v>
      </c>
      <c r="D53" s="5555" t="s">
        <v>188</v>
      </c>
      <c r="E53" s="5556"/>
      <c r="F53" s="5556"/>
      <c r="G53" s="5556"/>
      <c r="H53" s="5557"/>
    </row>
    <row r="54" spans="1:8" ht="13.5" customHeight="1" thickBot="1">
      <c r="A54" s="5579"/>
      <c r="B54" s="5581"/>
      <c r="C54" s="5583"/>
      <c r="D54" s="4231" t="s">
        <v>1072</v>
      </c>
      <c r="E54" s="4012" t="s">
        <v>1073</v>
      </c>
      <c r="F54" s="4012" t="s">
        <v>1074</v>
      </c>
      <c r="G54" s="4012" t="s">
        <v>1075</v>
      </c>
      <c r="H54" s="4018" t="s">
        <v>1076</v>
      </c>
    </row>
    <row r="55" spans="1:8">
      <c r="A55" s="116" t="s">
        <v>469</v>
      </c>
      <c r="B55" s="3741" t="s">
        <v>1818</v>
      </c>
      <c r="C55" s="4228" t="s">
        <v>1810</v>
      </c>
      <c r="D55" s="4232">
        <v>257.17</v>
      </c>
      <c r="E55" s="4223">
        <v>257.17</v>
      </c>
      <c r="F55" s="4223">
        <v>285.3</v>
      </c>
      <c r="G55" s="4223">
        <v>285.3</v>
      </c>
      <c r="H55" s="4223">
        <v>285.3</v>
      </c>
    </row>
    <row r="56" spans="1:8">
      <c r="A56" s="6" t="s">
        <v>471</v>
      </c>
      <c r="B56" s="3742" t="s">
        <v>1817</v>
      </c>
      <c r="C56" s="4229" t="s">
        <v>1810</v>
      </c>
      <c r="D56" s="452">
        <v>10314.02</v>
      </c>
      <c r="E56" s="450">
        <v>10314.02</v>
      </c>
      <c r="F56" s="450">
        <v>17167.25</v>
      </c>
      <c r="G56" s="450">
        <v>17167.25</v>
      </c>
      <c r="H56" s="450">
        <v>17167.25</v>
      </c>
    </row>
    <row r="57" spans="1:8" ht="13.5" thickBot="1">
      <c r="A57" s="117" t="s">
        <v>472</v>
      </c>
      <c r="B57" s="3743" t="s">
        <v>1819</v>
      </c>
      <c r="C57" s="4230" t="s">
        <v>1810</v>
      </c>
      <c r="D57" s="4233">
        <v>0</v>
      </c>
      <c r="E57" s="4224">
        <v>0</v>
      </c>
      <c r="F57" s="4224">
        <v>0</v>
      </c>
      <c r="G57" s="4224">
        <v>0</v>
      </c>
      <c r="H57" s="4224">
        <v>0</v>
      </c>
    </row>
    <row r="58" spans="1:8">
      <c r="A58" s="5"/>
      <c r="B58" s="3744" t="str">
        <f>'Приложение '!B81</f>
        <v>Дата: 24 юни 2021 година</v>
      </c>
      <c r="C58" s="3732"/>
      <c r="D58" s="3745"/>
      <c r="E58" s="3745"/>
      <c r="F58" s="3745"/>
      <c r="G58" s="3745"/>
      <c r="H58" s="3745"/>
    </row>
    <row r="59" spans="1:8">
      <c r="A59" s="5"/>
      <c r="B59" s="3746"/>
      <c r="C59" s="3745"/>
      <c r="D59" s="3745"/>
      <c r="E59" s="3747" t="str">
        <f>'Приложение '!C81</f>
        <v xml:space="preserve">Гл. счетоводител/Фин.директор: </v>
      </c>
      <c r="F59" s="3748" t="str">
        <f>'Приложение '!D81</f>
        <v>..............................................</v>
      </c>
      <c r="G59" s="3749"/>
      <c r="H59" s="3745"/>
    </row>
    <row r="60" spans="1:8">
      <c r="A60" s="3746"/>
      <c r="B60" s="3746"/>
      <c r="C60" s="3745"/>
      <c r="D60" s="3745"/>
      <c r="E60" s="3747"/>
      <c r="F60" s="3750" t="str">
        <f>'Приложение '!D82</f>
        <v>(подпис)</v>
      </c>
      <c r="G60" s="3751"/>
      <c r="H60" s="3745"/>
    </row>
    <row r="61" spans="1:8">
      <c r="A61" s="3746"/>
      <c r="B61" s="3746"/>
      <c r="C61" s="3745"/>
      <c r="D61" s="3745"/>
      <c r="E61" s="3747"/>
      <c r="F61" s="3752"/>
      <c r="G61" s="3751"/>
      <c r="H61" s="3745"/>
    </row>
    <row r="62" spans="1:8">
      <c r="A62" s="3746"/>
      <c r="B62" s="3746"/>
      <c r="C62" s="3745"/>
      <c r="D62" s="3745"/>
      <c r="E62" s="3747"/>
      <c r="F62" s="3752"/>
      <c r="G62" s="3751"/>
      <c r="H62" s="3745"/>
    </row>
    <row r="63" spans="1:8">
      <c r="A63" s="3746"/>
      <c r="B63" s="3746"/>
      <c r="C63" s="3745"/>
      <c r="D63" s="3745"/>
      <c r="E63" s="3745"/>
      <c r="F63" s="3745"/>
      <c r="G63" s="3751"/>
      <c r="H63" s="3745"/>
    </row>
    <row r="64" spans="1:8">
      <c r="A64" s="3746"/>
      <c r="B64" s="3746"/>
      <c r="C64" s="3745"/>
      <c r="D64" s="3753"/>
      <c r="E64" s="3747" t="str">
        <f>'Приложение '!C85</f>
        <v xml:space="preserve">Управител/Изп.директор: </v>
      </c>
      <c r="F64" s="3748" t="str">
        <f>'Приложение '!D85</f>
        <v>.............................................</v>
      </c>
      <c r="G64" s="3749"/>
      <c r="H64" s="3745"/>
    </row>
    <row r="65" spans="1:8">
      <c r="A65" s="5550" t="s">
        <v>191</v>
      </c>
      <c r="B65" s="5550"/>
      <c r="C65" s="5550"/>
      <c r="D65" s="3754"/>
      <c r="E65" s="3755"/>
      <c r="F65" s="3750" t="str">
        <f>'Приложение '!D86</f>
        <v>(подпис и печат)</v>
      </c>
      <c r="G65" s="3751"/>
      <c r="H65" s="3745"/>
    </row>
    <row r="66" spans="1:8">
      <c r="A66" s="5564" t="s">
        <v>192</v>
      </c>
      <c r="B66" s="5564"/>
      <c r="C66" s="5564"/>
      <c r="D66" s="3686"/>
      <c r="E66" s="3686"/>
      <c r="F66" s="3686"/>
      <c r="G66" s="3686"/>
      <c r="H66" s="3686"/>
    </row>
    <row r="67" spans="1:8">
      <c r="A67" s="5564" t="s">
        <v>991</v>
      </c>
      <c r="B67" s="5564"/>
      <c r="C67" s="5564"/>
      <c r="D67" s="3686"/>
      <c r="E67" s="3686"/>
      <c r="F67" s="3686"/>
      <c r="G67" s="3686"/>
      <c r="H67" s="3686"/>
    </row>
    <row r="68" spans="1:8" ht="24">
      <c r="A68" s="3746"/>
      <c r="B68" s="4218" t="s">
        <v>1811</v>
      </c>
      <c r="C68" s="4221" t="s">
        <v>1815</v>
      </c>
      <c r="D68" s="4221" t="s">
        <v>1816</v>
      </c>
      <c r="E68" s="4222" t="s">
        <v>733</v>
      </c>
      <c r="F68" s="3686"/>
      <c r="G68" s="3686"/>
      <c r="H68" s="3686"/>
    </row>
    <row r="69" spans="1:8">
      <c r="A69" s="3746"/>
      <c r="B69" s="4220" t="s">
        <v>1812</v>
      </c>
      <c r="C69" s="4219">
        <v>1.1000000000000001</v>
      </c>
      <c r="D69" s="4219">
        <v>1.6</v>
      </c>
      <c r="E69" s="4219">
        <f>D69-C69</f>
        <v>0.5</v>
      </c>
      <c r="F69" s="3686"/>
      <c r="G69" s="3686"/>
      <c r="H69" s="3686"/>
    </row>
    <row r="70" spans="1:8">
      <c r="A70" s="3746"/>
      <c r="B70" s="4220" t="s">
        <v>1813</v>
      </c>
      <c r="C70" s="4219">
        <v>1.6</v>
      </c>
      <c r="D70" s="4219">
        <v>2</v>
      </c>
      <c r="E70" s="4219">
        <f t="shared" ref="E70:E71" si="15">D70-C70</f>
        <v>0.39999999999999991</v>
      </c>
      <c r="F70" s="3686"/>
      <c r="G70" s="3686"/>
      <c r="H70" s="3686"/>
    </row>
    <row r="71" spans="1:8">
      <c r="A71" s="3746"/>
      <c r="B71" s="4220" t="s">
        <v>1814</v>
      </c>
      <c r="C71" s="4219">
        <v>2</v>
      </c>
      <c r="D71" s="4219">
        <v>2.5</v>
      </c>
      <c r="E71" s="4219">
        <f t="shared" si="15"/>
        <v>0.5</v>
      </c>
      <c r="F71" s="3686"/>
      <c r="G71" s="3686"/>
      <c r="H71" s="3686"/>
    </row>
    <row r="72" spans="1:8" ht="35.25" customHeight="1">
      <c r="A72" s="5558" t="s">
        <v>1823</v>
      </c>
      <c r="B72" s="5558"/>
      <c r="C72" s="5558"/>
      <c r="D72" s="5558"/>
      <c r="E72" s="5558"/>
      <c r="F72" s="5558"/>
      <c r="G72" s="5558"/>
      <c r="H72" s="5558"/>
    </row>
    <row r="73" spans="1:8" ht="24.75" customHeight="1">
      <c r="A73" s="5558" t="s">
        <v>1821</v>
      </c>
      <c r="B73" s="5558"/>
      <c r="C73" s="5558"/>
      <c r="D73" s="5558"/>
      <c r="E73" s="5558"/>
      <c r="F73" s="5558"/>
      <c r="G73" s="5558"/>
      <c r="H73" s="5558"/>
    </row>
  </sheetData>
  <sheetProtection password="EB75" sheet="1" objects="1" scenarios="1" formatCells="0" formatColumns="0" formatRows="0"/>
  <mergeCells count="38">
    <mergeCell ref="A66:C66"/>
    <mergeCell ref="A45:C45"/>
    <mergeCell ref="C46:C47"/>
    <mergeCell ref="A46:A47"/>
    <mergeCell ref="B46:B47"/>
    <mergeCell ref="A53:A54"/>
    <mergeCell ref="B53:B54"/>
    <mergeCell ref="C53:C54"/>
    <mergeCell ref="B21:B22"/>
    <mergeCell ref="A65:C65"/>
    <mergeCell ref="A32:A33"/>
    <mergeCell ref="B32:B33"/>
    <mergeCell ref="C32:C33"/>
    <mergeCell ref="C21:C22"/>
    <mergeCell ref="A38:A39"/>
    <mergeCell ref="B38:B39"/>
    <mergeCell ref="C38:C39"/>
    <mergeCell ref="A2:H2"/>
    <mergeCell ref="D7:H7"/>
    <mergeCell ref="A7:A8"/>
    <mergeCell ref="B7:B8"/>
    <mergeCell ref="C7:C8"/>
    <mergeCell ref="D53:H53"/>
    <mergeCell ref="A73:H73"/>
    <mergeCell ref="A5:H5"/>
    <mergeCell ref="A4:H4"/>
    <mergeCell ref="A3:H3"/>
    <mergeCell ref="D46:H46"/>
    <mergeCell ref="D38:H38"/>
    <mergeCell ref="D32:H32"/>
    <mergeCell ref="D21:H21"/>
    <mergeCell ref="D13:H13"/>
    <mergeCell ref="A67:C67"/>
    <mergeCell ref="A72:H72"/>
    <mergeCell ref="A13:A14"/>
    <mergeCell ref="B13:B14"/>
    <mergeCell ref="C13:C14"/>
    <mergeCell ref="A21:A22"/>
  </mergeCells>
  <printOptions horizontalCentered="1"/>
  <pageMargins left="0.59055118110236227" right="7.874015748031496E-2" top="0.59055118110236227" bottom="0.19685039370078741" header="0.31496062992125984" footer="0.11811023622047245"/>
  <pageSetup paperSize="9" scale="73" orientation="portrait" r:id="rId1"/>
  <headerFooter alignWithMargins="0">
    <oddFooter>&amp;C&amp;A</oddFooter>
  </headerFooter>
  <ignoredErrors>
    <ignoredError sqref="A29:A31" twoDigitTextYear="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pageSetUpPr fitToPage="1"/>
  </sheetPr>
  <dimension ref="A1:G87"/>
  <sheetViews>
    <sheetView showGridLines="0" zoomScale="90" zoomScaleNormal="90" zoomScaleSheetLayoutView="80" workbookViewId="0">
      <pane xSplit="2" ySplit="9" topLeftCell="C28" activePane="bottomRight" state="frozen"/>
      <selection pane="topRight" activeCell="C1" sqref="C1"/>
      <selection pane="bottomLeft" activeCell="A10" sqref="A10"/>
      <selection pane="bottomRight" activeCell="F43" sqref="F43"/>
    </sheetView>
  </sheetViews>
  <sheetFormatPr defaultColWidth="9.140625" defaultRowHeight="12"/>
  <cols>
    <col min="1" max="1" width="6" style="21" customWidth="1"/>
    <col min="2" max="2" width="76.7109375" style="21" customWidth="1"/>
    <col min="3" max="7" width="9.7109375" style="680" bestFit="1" customWidth="1"/>
    <col min="8" max="104" width="9.140625" style="21"/>
    <col min="105" max="105" width="4.28515625" style="21" customWidth="1"/>
    <col min="106" max="106" width="40.7109375" style="21" customWidth="1"/>
    <col min="107" max="114" width="8.7109375" style="21" customWidth="1"/>
    <col min="115" max="116" width="0" style="21" hidden="1" customWidth="1"/>
    <col min="117" max="360" width="9.140625" style="21"/>
    <col min="361" max="361" width="4.28515625" style="21" customWidth="1"/>
    <col min="362" max="362" width="40.7109375" style="21" customWidth="1"/>
    <col min="363" max="370" width="8.7109375" style="21" customWidth="1"/>
    <col min="371" max="372" width="0" style="21" hidden="1" customWidth="1"/>
    <col min="373" max="616" width="9.140625" style="21"/>
    <col min="617" max="617" width="4.28515625" style="21" customWidth="1"/>
    <col min="618" max="618" width="40.7109375" style="21" customWidth="1"/>
    <col min="619" max="626" width="8.7109375" style="21" customWidth="1"/>
    <col min="627" max="628" width="0" style="21" hidden="1" customWidth="1"/>
    <col min="629" max="16384" width="9.140625" style="21"/>
  </cols>
  <sheetData>
    <row r="1" spans="1:7" ht="13.5">
      <c r="A1" s="4676"/>
      <c r="G1" s="4677" t="str">
        <f>'16. Необходими приходи'!H1</f>
        <v>Приложение № 6</v>
      </c>
    </row>
    <row r="2" spans="1:7" ht="18.75">
      <c r="A2" s="5596" t="s">
        <v>1565</v>
      </c>
      <c r="B2" s="5596"/>
      <c r="C2" s="5596"/>
      <c r="D2" s="5596"/>
      <c r="E2" s="5596"/>
      <c r="F2" s="5596"/>
      <c r="G2" s="5596"/>
    </row>
    <row r="3" spans="1:7" ht="18.75">
      <c r="A3" s="5597" t="s">
        <v>310</v>
      </c>
      <c r="B3" s="5597"/>
      <c r="C3" s="5597"/>
      <c r="D3" s="5597"/>
      <c r="E3" s="5597"/>
      <c r="F3" s="5597"/>
      <c r="G3" s="5597"/>
    </row>
    <row r="4" spans="1:7" ht="14.25">
      <c r="A4" s="5598" t="str">
        <f>'1. Обща информация'!A4:D4</f>
        <v>на "Водоснабдяване и канализаиця"ООД, гр. Перник</v>
      </c>
      <c r="B4" s="5598"/>
      <c r="C4" s="5598"/>
      <c r="D4" s="5598"/>
      <c r="E4" s="5598"/>
      <c r="F4" s="5598"/>
      <c r="G4" s="5598"/>
    </row>
    <row r="5" spans="1:7" ht="14.25">
      <c r="A5" s="5598" t="str">
        <f>'1. Обща информация'!A5:D5</f>
        <v>ЕИК по БУЛСТАТ: 823073638</v>
      </c>
      <c r="B5" s="5598"/>
      <c r="C5" s="5598"/>
      <c r="D5" s="5598"/>
      <c r="E5" s="5598"/>
      <c r="F5" s="5598"/>
      <c r="G5" s="5598"/>
    </row>
    <row r="6" spans="1:7" ht="13.5" thickBot="1">
      <c r="D6" s="681"/>
      <c r="G6" s="2712" t="s">
        <v>194</v>
      </c>
    </row>
    <row r="7" spans="1:7" s="22" customFormat="1" ht="12.75" thickBot="1">
      <c r="A7" s="5588" t="s">
        <v>1</v>
      </c>
      <c r="B7" s="5593" t="s">
        <v>90</v>
      </c>
      <c r="C7" s="5599" t="s">
        <v>229</v>
      </c>
      <c r="D7" s="5600"/>
      <c r="E7" s="5600"/>
      <c r="F7" s="5600"/>
      <c r="G7" s="5601"/>
    </row>
    <row r="8" spans="1:7" s="22" customFormat="1">
      <c r="A8" s="5592"/>
      <c r="B8" s="5594"/>
      <c r="C8" s="5585" t="s">
        <v>215</v>
      </c>
      <c r="D8" s="5586"/>
      <c r="E8" s="5586"/>
      <c r="F8" s="5586"/>
      <c r="G8" s="5587"/>
    </row>
    <row r="9" spans="1:7" ht="12.75" thickBot="1">
      <c r="A9" s="5589"/>
      <c r="B9" s="5595"/>
      <c r="C9" s="1338" t="str">
        <f>'Приложение '!$C14</f>
        <v>2022 г.</v>
      </c>
      <c r="D9" s="1339" t="str">
        <f>'Приложение '!$C15</f>
        <v>2023 г.</v>
      </c>
      <c r="E9" s="1339" t="str">
        <f>'Приложение '!$C16</f>
        <v>2024 г.</v>
      </c>
      <c r="F9" s="1339" t="str">
        <f>'Приложение '!$C17</f>
        <v>2025 г.</v>
      </c>
      <c r="G9" s="1340" t="str">
        <f>'Приложение '!$C18</f>
        <v>2026 г.</v>
      </c>
    </row>
    <row r="10" spans="1:7" s="149" customFormat="1">
      <c r="A10" s="151" t="s">
        <v>145</v>
      </c>
      <c r="B10" s="152" t="s">
        <v>553</v>
      </c>
      <c r="C10" s="4741">
        <f t="shared" ref="C10:G10" si="0">C11-C12</f>
        <v>7171.4211796246645</v>
      </c>
      <c r="D10" s="4742">
        <f t="shared" si="0"/>
        <v>8953.861179624666</v>
      </c>
      <c r="E10" s="4742">
        <f t="shared" si="0"/>
        <v>11273.292512958</v>
      </c>
      <c r="F10" s="4742">
        <f t="shared" si="0"/>
        <v>11904.292512958</v>
      </c>
      <c r="G10" s="4743">
        <f t="shared" si="0"/>
        <v>12379.292512958</v>
      </c>
    </row>
    <row r="11" spans="1:7">
      <c r="A11" s="1336" t="s">
        <v>93</v>
      </c>
      <c r="B11" s="1337" t="s">
        <v>692</v>
      </c>
      <c r="C11" s="4744">
        <f>'11. Амортиз. план'!F10+'11. Амортиз. план'!F111</f>
        <v>7171.4211796246645</v>
      </c>
      <c r="D11" s="4745">
        <f>'11. Амортиз. план'!G10+'11. Амортиз. план'!G111</f>
        <v>8953.861179624666</v>
      </c>
      <c r="E11" s="4745">
        <f>'11. Амортиз. план'!H10+'11. Амортиз. план'!H111</f>
        <v>11273.292512958</v>
      </c>
      <c r="F11" s="4745">
        <f>'11. Амортиз. план'!I10+'11. Амортиз. план'!I111</f>
        <v>11904.292512958</v>
      </c>
      <c r="G11" s="4746">
        <f>'11. Амортиз. план'!J10+'11. Амортиз. план'!J111</f>
        <v>12379.292512958</v>
      </c>
    </row>
    <row r="12" spans="1:7">
      <c r="A12" s="1336" t="s">
        <v>94</v>
      </c>
      <c r="B12" s="1337" t="s">
        <v>655</v>
      </c>
      <c r="C12" s="4744">
        <f>'11. Амортиз. план'!G32</f>
        <v>0</v>
      </c>
      <c r="D12" s="4745">
        <f>'11. Амортиз. план'!H32</f>
        <v>0</v>
      </c>
      <c r="E12" s="4745">
        <f>'11. Амортиз. план'!I32</f>
        <v>0</v>
      </c>
      <c r="F12" s="4745">
        <f>'11. Амортиз. план'!J32</f>
        <v>0</v>
      </c>
      <c r="G12" s="4746">
        <f>'11. Амортиз. план'!K32</f>
        <v>0</v>
      </c>
    </row>
    <row r="13" spans="1:7" s="149" customFormat="1">
      <c r="A13" s="150" t="s">
        <v>98</v>
      </c>
      <c r="B13" s="148" t="s">
        <v>554</v>
      </c>
      <c r="C13" s="4747">
        <f t="shared" ref="C13:G13" si="1">C14-C15</f>
        <v>3571.762452728165</v>
      </c>
      <c r="D13" s="4748">
        <f t="shared" si="1"/>
        <v>3928.5103892239781</v>
      </c>
      <c r="E13" s="4748">
        <f t="shared" si="1"/>
        <v>4347.7246514338394</v>
      </c>
      <c r="F13" s="4748">
        <f t="shared" si="1"/>
        <v>4810.5083532721692</v>
      </c>
      <c r="G13" s="4749">
        <f t="shared" si="1"/>
        <v>5283.3899867198797</v>
      </c>
    </row>
    <row r="14" spans="1:7">
      <c r="A14" s="132" t="s">
        <v>99</v>
      </c>
      <c r="B14" s="133" t="s">
        <v>693</v>
      </c>
      <c r="C14" s="4744">
        <f>'11. Амортиз. план'!F60+'11. Амортиз. план'!F151</f>
        <v>3571.762452728165</v>
      </c>
      <c r="D14" s="4745">
        <f>'11. Амортиз. план'!G60+'11. Амортиз. план'!G151</f>
        <v>3928.5103892239781</v>
      </c>
      <c r="E14" s="4745">
        <f>'11. Амортиз. план'!H60+'11. Амортиз. план'!H151</f>
        <v>4347.7246514338394</v>
      </c>
      <c r="F14" s="4745">
        <f>'11. Амортиз. план'!I60+'11. Амортиз. план'!I151</f>
        <v>4810.5083532721692</v>
      </c>
      <c r="G14" s="4746">
        <f>'11. Амортиз. план'!J60+'11. Амортиз. план'!J151</f>
        <v>5283.3899867198797</v>
      </c>
    </row>
    <row r="15" spans="1:7">
      <c r="A15" s="132" t="s">
        <v>100</v>
      </c>
      <c r="B15" s="133" t="s">
        <v>656</v>
      </c>
      <c r="C15" s="4750">
        <f>'11. Амортиз. план'!G82</f>
        <v>0</v>
      </c>
      <c r="D15" s="4751">
        <f>'11. Амортиз. план'!H82</f>
        <v>0</v>
      </c>
      <c r="E15" s="4751">
        <f>'11. Амортиз. план'!I82</f>
        <v>0</v>
      </c>
      <c r="F15" s="4751">
        <f>'11. Амортиз. план'!J82</f>
        <v>0</v>
      </c>
      <c r="G15" s="4752">
        <f>'11. Амортиз. план'!K82</f>
        <v>0</v>
      </c>
    </row>
    <row r="16" spans="1:7" s="149" customFormat="1" ht="24">
      <c r="A16" s="147" t="s">
        <v>102</v>
      </c>
      <c r="B16" s="148" t="s">
        <v>555</v>
      </c>
      <c r="C16" s="4753">
        <f t="shared" ref="C16:G16" si="2">(C17+C18)/2</f>
        <v>0</v>
      </c>
      <c r="D16" s="4754">
        <f t="shared" si="2"/>
        <v>0</v>
      </c>
      <c r="E16" s="4754">
        <f t="shared" si="2"/>
        <v>0</v>
      </c>
      <c r="F16" s="4754">
        <f t="shared" si="2"/>
        <v>0</v>
      </c>
      <c r="G16" s="4755">
        <f t="shared" si="2"/>
        <v>0</v>
      </c>
    </row>
    <row r="17" spans="1:7">
      <c r="A17" s="132" t="s">
        <v>175</v>
      </c>
      <c r="B17" s="133" t="s">
        <v>199</v>
      </c>
      <c r="C17" s="4678">
        <f>IF('10. Финансиране на ИП'!E37=0,0,'10. Финансиране на ИП'!E37)</f>
        <v>0</v>
      </c>
      <c r="D17" s="4679">
        <f>IF('10. Финансиране на ИП'!F37=0,0,'10. Финансиране на ИП'!F37)</f>
        <v>0</v>
      </c>
      <c r="E17" s="4679">
        <f>IF('10. Финансиране на ИП'!G37=0,0,'10. Финансиране на ИП'!G37)</f>
        <v>0</v>
      </c>
      <c r="F17" s="4679">
        <f>IF('10. Финансиране на ИП'!H37=0,0,'10. Финансиране на ИП'!H37)</f>
        <v>0</v>
      </c>
      <c r="G17" s="4680">
        <f>IF('10. Финансиране на ИП'!I37=0,0,'10. Финансиране на ИП'!I37)</f>
        <v>0</v>
      </c>
    </row>
    <row r="18" spans="1:7">
      <c r="A18" s="132" t="s">
        <v>176</v>
      </c>
      <c r="B18" s="133" t="s">
        <v>556</v>
      </c>
      <c r="C18" s="4678">
        <f>IF('10. Финансиране на ИП'!E43=0,0,'10. Финансиране на ИП'!E43)</f>
        <v>0</v>
      </c>
      <c r="D18" s="4679">
        <f>IF('10. Финансиране на ИП'!F43=0,0,'10. Финансиране на ИП'!F43)</f>
        <v>0</v>
      </c>
      <c r="E18" s="4679">
        <f>IF('10. Финансиране на ИП'!G43=0,0,'10. Финансиране на ИП'!G43)</f>
        <v>0</v>
      </c>
      <c r="F18" s="4679">
        <f>IF('10. Финансиране на ИП'!H43=0,0,'10. Финансиране на ИП'!H43)</f>
        <v>0</v>
      </c>
      <c r="G18" s="4680">
        <f>IF('10. Финансиране на ИП'!I43=0,0,'10. Финансиране на ИП'!I43)</f>
        <v>0</v>
      </c>
    </row>
    <row r="19" spans="1:7" s="149" customFormat="1">
      <c r="A19" s="153" t="s">
        <v>103</v>
      </c>
      <c r="B19" s="148" t="s">
        <v>334</v>
      </c>
      <c r="C19" s="4753">
        <f>'9.Инвестиционна програма'!H140</f>
        <v>1782.44</v>
      </c>
      <c r="D19" s="4754">
        <f>'9.Инвестиционна програма'!I140</f>
        <v>2319.4313333333334</v>
      </c>
      <c r="E19" s="4754">
        <f>'9.Инвестиционна програма'!J140</f>
        <v>631</v>
      </c>
      <c r="F19" s="4754">
        <f>'9.Инвестиционна програма'!K140</f>
        <v>475</v>
      </c>
      <c r="G19" s="4755">
        <f>'9.Инвестиционна програма'!L140</f>
        <v>500.83333333333331</v>
      </c>
    </row>
    <row r="20" spans="1:7" s="149" customFormat="1" ht="12.75" thickBot="1">
      <c r="A20" s="154">
        <v>5</v>
      </c>
      <c r="B20" s="155" t="s">
        <v>311</v>
      </c>
      <c r="C20" s="4756">
        <f>'18. OK'!D25</f>
        <v>1672.9387949312274</v>
      </c>
      <c r="D20" s="4757">
        <f>'18. OK'!E25</f>
        <v>1671.0909310910758</v>
      </c>
      <c r="E20" s="4757">
        <f>'18. OK'!F25</f>
        <v>1740.754921465774</v>
      </c>
      <c r="F20" s="4757">
        <f>'18. OK'!G25</f>
        <v>1854.9371843871807</v>
      </c>
      <c r="G20" s="4758">
        <f>'18. OK'!H25</f>
        <v>1883.8785109068951</v>
      </c>
    </row>
    <row r="21" spans="1:7" ht="12.75" thickBot="1">
      <c r="A21" s="136">
        <v>6</v>
      </c>
      <c r="B21" s="137" t="s">
        <v>310</v>
      </c>
      <c r="C21" s="682">
        <f t="shared" ref="C21:G21" si="3">C10-C13+C16+C19+C20</f>
        <v>7055.0375218277277</v>
      </c>
      <c r="D21" s="683">
        <f t="shared" si="3"/>
        <v>9015.8730548250969</v>
      </c>
      <c r="E21" s="683">
        <f t="shared" si="3"/>
        <v>9297.3227829899351</v>
      </c>
      <c r="F21" s="683">
        <f t="shared" si="3"/>
        <v>9423.721344073012</v>
      </c>
      <c r="G21" s="684">
        <f t="shared" si="3"/>
        <v>9480.6143704783481</v>
      </c>
    </row>
    <row r="22" spans="1:7">
      <c r="A22" s="5588" t="s">
        <v>1</v>
      </c>
      <c r="B22" s="5590" t="s">
        <v>90</v>
      </c>
      <c r="C22" s="5585" t="s">
        <v>178</v>
      </c>
      <c r="D22" s="5586"/>
      <c r="E22" s="5586"/>
      <c r="F22" s="5586"/>
      <c r="G22" s="5587"/>
    </row>
    <row r="23" spans="1:7" ht="12.75" thickBot="1">
      <c r="A23" s="5589"/>
      <c r="B23" s="5591"/>
      <c r="C23" s="1338" t="str">
        <f t="shared" ref="C23:G23" si="4">C9</f>
        <v>2022 г.</v>
      </c>
      <c r="D23" s="1339" t="str">
        <f t="shared" si="4"/>
        <v>2023 г.</v>
      </c>
      <c r="E23" s="1339" t="str">
        <f t="shared" si="4"/>
        <v>2024 г.</v>
      </c>
      <c r="F23" s="1339" t="str">
        <f t="shared" si="4"/>
        <v>2025 г.</v>
      </c>
      <c r="G23" s="1340" t="str">
        <f t="shared" si="4"/>
        <v>2026 г.</v>
      </c>
    </row>
    <row r="24" spans="1:7">
      <c r="A24" s="151" t="s">
        <v>145</v>
      </c>
      <c r="B24" s="152" t="s">
        <v>553</v>
      </c>
      <c r="C24" s="4741">
        <f t="shared" ref="C24:G24" si="5">C25-C26</f>
        <v>1682.8627345844511</v>
      </c>
      <c r="D24" s="4742">
        <f t="shared" si="5"/>
        <v>2294.4117345844506</v>
      </c>
      <c r="E24" s="4742">
        <f t="shared" si="5"/>
        <v>5242.180067917785</v>
      </c>
      <c r="F24" s="4742">
        <f t="shared" si="5"/>
        <v>5387.2800679177844</v>
      </c>
      <c r="G24" s="4743">
        <f t="shared" si="5"/>
        <v>5508.6800679177841</v>
      </c>
    </row>
    <row r="25" spans="1:7">
      <c r="A25" s="1336" t="s">
        <v>93</v>
      </c>
      <c r="B25" s="1337" t="s">
        <v>692</v>
      </c>
      <c r="C25" s="4744">
        <f>'11. Амортиз. план'!M10+'11. Амортиз. план'!M111</f>
        <v>1682.8627345844511</v>
      </c>
      <c r="D25" s="4745">
        <f>'11. Амортиз. план'!N10+'11. Амортиз. план'!N111</f>
        <v>2294.4117345844506</v>
      </c>
      <c r="E25" s="4745">
        <f>'11. Амортиз. план'!O10+'11. Амортиз. план'!O111</f>
        <v>5242.180067917785</v>
      </c>
      <c r="F25" s="4745">
        <f>'11. Амортиз. план'!P10+'11. Амортиз. план'!P111</f>
        <v>5387.2800679177844</v>
      </c>
      <c r="G25" s="4746">
        <f>'11. Амортиз. план'!Q10+'11. Амортиз. план'!Q111</f>
        <v>5508.6800679177841</v>
      </c>
    </row>
    <row r="26" spans="1:7">
      <c r="A26" s="1336" t="s">
        <v>94</v>
      </c>
      <c r="B26" s="1337" t="s">
        <v>655</v>
      </c>
      <c r="C26" s="4744">
        <f>'11. Амортиз. план'!N32</f>
        <v>0</v>
      </c>
      <c r="D26" s="4745">
        <f>'11. Амортиз. план'!O32</f>
        <v>0</v>
      </c>
      <c r="E26" s="4745">
        <f>'11. Амортиз. план'!P32</f>
        <v>0</v>
      </c>
      <c r="F26" s="4745">
        <f>'11. Амортиз. план'!Q32</f>
        <v>0</v>
      </c>
      <c r="G26" s="4746">
        <f>'11. Амортиз. план'!R32</f>
        <v>0</v>
      </c>
    </row>
    <row r="27" spans="1:7">
      <c r="A27" s="150" t="s">
        <v>98</v>
      </c>
      <c r="B27" s="148" t="s">
        <v>554</v>
      </c>
      <c r="C27" s="4747">
        <f t="shared" ref="C27:G27" si="6">C28-C29</f>
        <v>1032.5600460647688</v>
      </c>
      <c r="D27" s="4748">
        <f t="shared" si="6"/>
        <v>1119.1724298793984</v>
      </c>
      <c r="E27" s="4748">
        <f t="shared" si="6"/>
        <v>1255.777678444038</v>
      </c>
      <c r="F27" s="4748">
        <f t="shared" si="6"/>
        <v>1432.4271062905409</v>
      </c>
      <c r="G27" s="4749">
        <f t="shared" si="6"/>
        <v>1592.9742834312838</v>
      </c>
    </row>
    <row r="28" spans="1:7">
      <c r="A28" s="132" t="s">
        <v>99</v>
      </c>
      <c r="B28" s="133" t="s">
        <v>693</v>
      </c>
      <c r="C28" s="4744">
        <f>'11. Амортиз. план'!M60+'11. Амортиз. план'!M151</f>
        <v>1032.5600460647688</v>
      </c>
      <c r="D28" s="4745">
        <f>'11. Амортиз. план'!N60+'11. Амортиз. план'!N151</f>
        <v>1119.1724298793984</v>
      </c>
      <c r="E28" s="4745">
        <f>'11. Амортиз. план'!O60+'11. Амортиз. план'!O151</f>
        <v>1255.777678444038</v>
      </c>
      <c r="F28" s="4745">
        <f>'11. Амортиз. план'!P60+'11. Амортиз. план'!P151</f>
        <v>1432.4271062905409</v>
      </c>
      <c r="G28" s="4746">
        <f>'11. Амортиз. план'!Q60+'11. Амортиз. план'!Q151</f>
        <v>1592.9742834312838</v>
      </c>
    </row>
    <row r="29" spans="1:7">
      <c r="A29" s="132" t="s">
        <v>100</v>
      </c>
      <c r="B29" s="133" t="s">
        <v>656</v>
      </c>
      <c r="C29" s="4750">
        <f>'11. Амортиз. план'!N82</f>
        <v>0</v>
      </c>
      <c r="D29" s="4751">
        <f>'11. Амортиз. план'!O82</f>
        <v>0</v>
      </c>
      <c r="E29" s="4751">
        <f>'11. Амортиз. план'!P82</f>
        <v>0</v>
      </c>
      <c r="F29" s="4751">
        <f>'11. Амортиз. план'!Q82</f>
        <v>0</v>
      </c>
      <c r="G29" s="4752">
        <f>'11. Амортиз. план'!R82</f>
        <v>0</v>
      </c>
    </row>
    <row r="30" spans="1:7" ht="24">
      <c r="A30" s="147" t="s">
        <v>102</v>
      </c>
      <c r="B30" s="148" t="s">
        <v>555</v>
      </c>
      <c r="C30" s="4753">
        <f t="shared" ref="C30:G30" si="7">(C31+C32)/2</f>
        <v>0</v>
      </c>
      <c r="D30" s="4754">
        <f t="shared" si="7"/>
        <v>0</v>
      </c>
      <c r="E30" s="4754">
        <f t="shared" si="7"/>
        <v>0</v>
      </c>
      <c r="F30" s="4754">
        <f t="shared" si="7"/>
        <v>0</v>
      </c>
      <c r="G30" s="4755">
        <f t="shared" si="7"/>
        <v>0</v>
      </c>
    </row>
    <row r="31" spans="1:7">
      <c r="A31" s="132" t="s">
        <v>175</v>
      </c>
      <c r="B31" s="133" t="s">
        <v>199</v>
      </c>
      <c r="C31" s="4678">
        <f>IF('10. Финансиране на ИП'!L37=0,0,'10. Финансиране на ИП'!L37)</f>
        <v>0</v>
      </c>
      <c r="D31" s="4679">
        <f>IF('10. Финансиране на ИП'!M37=0,0,'10. Финансиране на ИП'!M37)</f>
        <v>0</v>
      </c>
      <c r="E31" s="4679">
        <f>IF('10. Финансиране на ИП'!N37=0,0,'10. Финансиране на ИП'!N37)</f>
        <v>0</v>
      </c>
      <c r="F31" s="4679">
        <f>IF('10. Финансиране на ИП'!O37=0,0,'10. Финансиране на ИП'!O37)</f>
        <v>0</v>
      </c>
      <c r="G31" s="4680">
        <f>IF('10. Финансиране на ИП'!P37=0,0,'10. Финансиране на ИП'!P37)</f>
        <v>0</v>
      </c>
    </row>
    <row r="32" spans="1:7">
      <c r="A32" s="132" t="s">
        <v>176</v>
      </c>
      <c r="B32" s="133" t="s">
        <v>556</v>
      </c>
      <c r="C32" s="4678">
        <f>IF('10. Финансиране на ИП'!L43=0,0,'10. Финансиране на ИП'!L43)</f>
        <v>0</v>
      </c>
      <c r="D32" s="4679">
        <f>IF('10. Финансиране на ИП'!M43=0,0,'10. Финансиране на ИП'!M43)</f>
        <v>0</v>
      </c>
      <c r="E32" s="4679">
        <f>IF('10. Финансиране на ИП'!N43=0,0,'10. Финансиране на ИП'!N43)</f>
        <v>0</v>
      </c>
      <c r="F32" s="4679">
        <f>IF('10. Финансиране на ИП'!O43=0,0,'10. Финансиране на ИП'!O43)</f>
        <v>0</v>
      </c>
      <c r="G32" s="4680">
        <f>IF('10. Финансиране на ИП'!P43=0,0,'10. Финансиране на ИП'!P43)</f>
        <v>0</v>
      </c>
    </row>
    <row r="33" spans="1:7">
      <c r="A33" s="153" t="s">
        <v>103</v>
      </c>
      <c r="B33" s="148" t="s">
        <v>334</v>
      </c>
      <c r="C33" s="4753">
        <f>'9.Инвестиционна програма'!H141</f>
        <v>611.54899999999998</v>
      </c>
      <c r="D33" s="4754">
        <f>'9.Инвестиционна програма'!I141</f>
        <v>2947.7683333333334</v>
      </c>
      <c r="E33" s="4754">
        <f>'9.Инвестиционна програма'!J141</f>
        <v>145.1</v>
      </c>
      <c r="F33" s="4754">
        <f>'9.Инвестиционна програма'!K141</f>
        <v>121.4</v>
      </c>
      <c r="G33" s="4755">
        <f>'9.Инвестиционна програма'!L141</f>
        <v>118.63333333333333</v>
      </c>
    </row>
    <row r="34" spans="1:7" ht="12.75" thickBot="1">
      <c r="A34" s="154">
        <v>5</v>
      </c>
      <c r="B34" s="155" t="s">
        <v>311</v>
      </c>
      <c r="C34" s="4756">
        <f>'18. OK'!D26</f>
        <v>98.515068493150679</v>
      </c>
      <c r="D34" s="4757">
        <f>'18. OK'!E26</f>
        <v>106.83764383561643</v>
      </c>
      <c r="E34" s="4757">
        <f>'18. OK'!F26</f>
        <v>151.96532721501373</v>
      </c>
      <c r="F34" s="4757">
        <f>'18. OK'!G26</f>
        <v>160.20587516021919</v>
      </c>
      <c r="G34" s="4758">
        <f>'18. OK'!H26</f>
        <v>166.55601214652057</v>
      </c>
    </row>
    <row r="35" spans="1:7" ht="12.75" thickBot="1">
      <c r="A35" s="136">
        <v>6</v>
      </c>
      <c r="B35" s="137" t="s">
        <v>310</v>
      </c>
      <c r="C35" s="682">
        <f t="shared" ref="C35:G35" si="8">C24-C27+C30+C33+C34</f>
        <v>1360.366757012833</v>
      </c>
      <c r="D35" s="683">
        <f t="shared" si="8"/>
        <v>4229.8452818740016</v>
      </c>
      <c r="E35" s="683">
        <f t="shared" si="8"/>
        <v>4283.4677166887604</v>
      </c>
      <c r="F35" s="683">
        <f t="shared" si="8"/>
        <v>4236.458836787463</v>
      </c>
      <c r="G35" s="684">
        <f t="shared" si="8"/>
        <v>4200.895129966354</v>
      </c>
    </row>
    <row r="36" spans="1:7">
      <c r="A36" s="5588" t="s">
        <v>1</v>
      </c>
      <c r="B36" s="5590" t="s">
        <v>90</v>
      </c>
      <c r="C36" s="5585" t="s">
        <v>188</v>
      </c>
      <c r="D36" s="5586"/>
      <c r="E36" s="5586"/>
      <c r="F36" s="5586"/>
      <c r="G36" s="5587"/>
    </row>
    <row r="37" spans="1:7" ht="12.75" thickBot="1">
      <c r="A37" s="5589"/>
      <c r="B37" s="5591"/>
      <c r="C37" s="1338" t="str">
        <f t="shared" ref="C37:G37" si="9">C23</f>
        <v>2022 г.</v>
      </c>
      <c r="D37" s="1339" t="str">
        <f t="shared" si="9"/>
        <v>2023 г.</v>
      </c>
      <c r="E37" s="1339" t="str">
        <f t="shared" si="9"/>
        <v>2024 г.</v>
      </c>
      <c r="F37" s="1339" t="str">
        <f t="shared" si="9"/>
        <v>2025 г.</v>
      </c>
      <c r="G37" s="1340" t="str">
        <f t="shared" si="9"/>
        <v>2026 г.</v>
      </c>
    </row>
    <row r="38" spans="1:7">
      <c r="A38" s="151" t="s">
        <v>145</v>
      </c>
      <c r="B38" s="152" t="s">
        <v>553</v>
      </c>
      <c r="C38" s="4741">
        <f t="shared" ref="C38:G38" si="10">C39-C40</f>
        <v>426.73608579088483</v>
      </c>
      <c r="D38" s="4742">
        <f t="shared" si="10"/>
        <v>1554.6700857908845</v>
      </c>
      <c r="E38" s="4742">
        <f t="shared" si="10"/>
        <v>2698.1284191242175</v>
      </c>
      <c r="F38" s="4742">
        <f t="shared" si="10"/>
        <v>2790.128419124218</v>
      </c>
      <c r="G38" s="4743">
        <f t="shared" si="10"/>
        <v>2828.6284191242175</v>
      </c>
    </row>
    <row r="39" spans="1:7">
      <c r="A39" s="1336" t="s">
        <v>93</v>
      </c>
      <c r="B39" s="1337" t="s">
        <v>692</v>
      </c>
      <c r="C39" s="4750">
        <f>'11. Амортиз. план'!T10+'11. Амортиз. план'!T111</f>
        <v>426.73608579088483</v>
      </c>
      <c r="D39" s="4751">
        <f>'11. Амортиз. план'!U10+'11. Амортиз. план'!U111</f>
        <v>1554.6700857908845</v>
      </c>
      <c r="E39" s="4751">
        <f>'11. Амортиз. план'!V10+'11. Амортиз. план'!V111</f>
        <v>2698.1284191242175</v>
      </c>
      <c r="F39" s="4751">
        <f>'11. Амортиз. план'!W10+'11. Амортиз. план'!W111</f>
        <v>2790.128419124218</v>
      </c>
      <c r="G39" s="4752">
        <f>'11. Амортиз. план'!X10+'11. Амортиз. план'!X111</f>
        <v>2828.6284191242175</v>
      </c>
    </row>
    <row r="40" spans="1:7">
      <c r="A40" s="1336" t="s">
        <v>94</v>
      </c>
      <c r="B40" s="1337" t="s">
        <v>655</v>
      </c>
      <c r="C40" s="4750">
        <f>'11. Амортиз. план'!U32</f>
        <v>0</v>
      </c>
      <c r="D40" s="4751">
        <f>'11. Амортиз. план'!V32</f>
        <v>0</v>
      </c>
      <c r="E40" s="4751">
        <f>'11. Амортиз. план'!W32</f>
        <v>0</v>
      </c>
      <c r="F40" s="4751">
        <f>'11. Амортиз. план'!X32</f>
        <v>0</v>
      </c>
      <c r="G40" s="4752">
        <f>'11. Амортиз. план'!Y32</f>
        <v>0</v>
      </c>
    </row>
    <row r="41" spans="1:7">
      <c r="A41" s="150" t="s">
        <v>98</v>
      </c>
      <c r="B41" s="148" t="s">
        <v>554</v>
      </c>
      <c r="C41" s="4753">
        <f t="shared" ref="C41:G41" si="11">C42-C43</f>
        <v>288.21513120706584</v>
      </c>
      <c r="D41" s="4754">
        <f t="shared" si="11"/>
        <v>332.18535089662481</v>
      </c>
      <c r="E41" s="4754">
        <f t="shared" si="11"/>
        <v>426.79339012212472</v>
      </c>
      <c r="F41" s="4754">
        <f t="shared" si="11"/>
        <v>545.43291043729073</v>
      </c>
      <c r="G41" s="4755">
        <f t="shared" si="11"/>
        <v>663.41174984883799</v>
      </c>
    </row>
    <row r="42" spans="1:7">
      <c r="A42" s="132" t="s">
        <v>99</v>
      </c>
      <c r="B42" s="133" t="s">
        <v>693</v>
      </c>
      <c r="C42" s="4750">
        <f>'11. Амортиз. план'!T60+'11. Амортиз. план'!T151</f>
        <v>288.21513120706584</v>
      </c>
      <c r="D42" s="4751">
        <f>'11. Амортиз. план'!U60+'11. Амортиз. план'!U151</f>
        <v>332.18535089662481</v>
      </c>
      <c r="E42" s="4751">
        <f>'11. Амортиз. план'!V60+'11. Амортиз. план'!V151</f>
        <v>426.79339012212472</v>
      </c>
      <c r="F42" s="4751">
        <f>'11. Амортиз. план'!W60+'11. Амортиз. план'!W151</f>
        <v>545.43291043729073</v>
      </c>
      <c r="G42" s="4752">
        <f>'11. Амортиз. план'!X60+'11. Амортиз. план'!X151</f>
        <v>663.41174984883799</v>
      </c>
    </row>
    <row r="43" spans="1:7">
      <c r="A43" s="132" t="s">
        <v>100</v>
      </c>
      <c r="B43" s="133" t="s">
        <v>656</v>
      </c>
      <c r="C43" s="4750">
        <f>'11. Амортиз. план'!U82</f>
        <v>0</v>
      </c>
      <c r="D43" s="4751">
        <f>'11. Амортиз. план'!V82</f>
        <v>0</v>
      </c>
      <c r="E43" s="4751">
        <f>'11. Амортиз. план'!W82</f>
        <v>0</v>
      </c>
      <c r="F43" s="4751">
        <f>'11. Амортиз. план'!X82</f>
        <v>0</v>
      </c>
      <c r="G43" s="4752">
        <f>'11. Амортиз. план'!Y82</f>
        <v>0</v>
      </c>
    </row>
    <row r="44" spans="1:7" ht="24">
      <c r="A44" s="147" t="s">
        <v>102</v>
      </c>
      <c r="B44" s="148" t="s">
        <v>555</v>
      </c>
      <c r="C44" s="4753">
        <f t="shared" ref="C44:G44" si="12">(C45+C46)/2</f>
        <v>0</v>
      </c>
      <c r="D44" s="4754">
        <f t="shared" si="12"/>
        <v>0</v>
      </c>
      <c r="E44" s="4754">
        <f t="shared" si="12"/>
        <v>0</v>
      </c>
      <c r="F44" s="4754">
        <f t="shared" si="12"/>
        <v>0</v>
      </c>
      <c r="G44" s="4755">
        <f t="shared" si="12"/>
        <v>0</v>
      </c>
    </row>
    <row r="45" spans="1:7">
      <c r="A45" s="132" t="s">
        <v>175</v>
      </c>
      <c r="B45" s="133" t="s">
        <v>199</v>
      </c>
      <c r="C45" s="4678">
        <f>IF('10. Финансиране на ИП'!S37=0,0,'10. Финансиране на ИП'!S37)</f>
        <v>0</v>
      </c>
      <c r="D45" s="4679">
        <f>IF('10. Финансиране на ИП'!T37=0,0,'10. Финансиране на ИП'!T37)</f>
        <v>0</v>
      </c>
      <c r="E45" s="4679">
        <f>IF('10. Финансиране на ИП'!U37=0,0,'10. Финансиране на ИП'!U37)</f>
        <v>0</v>
      </c>
      <c r="F45" s="4679">
        <f>IF('10. Финансиране на ИП'!V37=0,0,'10. Финансиране на ИП'!V37)</f>
        <v>0</v>
      </c>
      <c r="G45" s="4680">
        <f>IF('10. Финансиране на ИП'!W37=0,0,'10. Финансиране на ИП'!W37)</f>
        <v>0</v>
      </c>
    </row>
    <row r="46" spans="1:7">
      <c r="A46" s="132" t="s">
        <v>176</v>
      </c>
      <c r="B46" s="133" t="s">
        <v>556</v>
      </c>
      <c r="C46" s="4678">
        <f>IF('10. Финансиране на ИП'!S43=0,0,'10. Финансиране на ИП'!S43)</f>
        <v>0</v>
      </c>
      <c r="D46" s="4679">
        <f>IF('10. Финансиране на ИП'!T43=0,0,'10. Финансиране на ИП'!T43)</f>
        <v>0</v>
      </c>
      <c r="E46" s="4679">
        <f>IF('10. Финансиране на ИП'!U43=0,0,'10. Финансиране на ИП'!U43)</f>
        <v>0</v>
      </c>
      <c r="F46" s="4679">
        <f>IF('10. Финансиране на ИП'!V43=0,0,'10. Финансиране на ИП'!V43)</f>
        <v>0</v>
      </c>
      <c r="G46" s="4680">
        <f>IF('10. Финансиране на ИП'!W43=0,0,'10. Финансиране на ИП'!W43)</f>
        <v>0</v>
      </c>
    </row>
    <row r="47" spans="1:7">
      <c r="A47" s="153" t="s">
        <v>103</v>
      </c>
      <c r="B47" s="148" t="s">
        <v>334</v>
      </c>
      <c r="C47" s="4681">
        <f>'9.Инвестиционна програма'!H142</f>
        <v>1127.934</v>
      </c>
      <c r="D47" s="4682">
        <f>'9.Инвестиционна програма'!I142</f>
        <v>1143.4583333333333</v>
      </c>
      <c r="E47" s="4682">
        <f>'9.Инвестиционна програма'!J142</f>
        <v>92</v>
      </c>
      <c r="F47" s="4682">
        <f>'9.Инвестиционна програма'!K142</f>
        <v>38.5</v>
      </c>
      <c r="G47" s="4683">
        <f>'9.Инвестиционна програма'!L142</f>
        <v>38.833333333333329</v>
      </c>
    </row>
    <row r="48" spans="1:7" ht="12.75" thickBot="1">
      <c r="A48" s="154">
        <v>5</v>
      </c>
      <c r="B48" s="155" t="s">
        <v>311</v>
      </c>
      <c r="C48" s="4756">
        <f>'18. OK'!D27</f>
        <v>262.8098967552142</v>
      </c>
      <c r="D48" s="4757">
        <f>'18. OK'!E27</f>
        <v>291.96538683645502</v>
      </c>
      <c r="E48" s="4757">
        <f>'18. OK'!F27</f>
        <v>337.65479502192579</v>
      </c>
      <c r="F48" s="4757">
        <f>'18. OK'!G27</f>
        <v>348.60100617397541</v>
      </c>
      <c r="G48" s="4758">
        <f>'18. OK'!H27</f>
        <v>355.43459292340941</v>
      </c>
    </row>
    <row r="49" spans="1:7" ht="12.75" thickBot="1">
      <c r="A49" s="136">
        <v>6</v>
      </c>
      <c r="B49" s="137" t="s">
        <v>310</v>
      </c>
      <c r="C49" s="682">
        <f t="shared" ref="C49:G49" si="13">C38-C41+C44+C47+C48</f>
        <v>1529.2648513390332</v>
      </c>
      <c r="D49" s="683">
        <f t="shared" si="13"/>
        <v>2657.9084550640478</v>
      </c>
      <c r="E49" s="683">
        <f t="shared" si="13"/>
        <v>2700.9898240240182</v>
      </c>
      <c r="F49" s="683">
        <f t="shared" si="13"/>
        <v>2631.7965148609028</v>
      </c>
      <c r="G49" s="684">
        <f t="shared" si="13"/>
        <v>2559.4845955321225</v>
      </c>
    </row>
    <row r="50" spans="1:7" s="1460" customFormat="1">
      <c r="A50" s="5588" t="s">
        <v>1</v>
      </c>
      <c r="B50" s="5590" t="s">
        <v>90</v>
      </c>
      <c r="C50" s="5585" t="s">
        <v>1256</v>
      </c>
      <c r="D50" s="5586"/>
      <c r="E50" s="5586"/>
      <c r="F50" s="5586"/>
      <c r="G50" s="5587"/>
    </row>
    <row r="51" spans="1:7" s="1460" customFormat="1" ht="12.75" thickBot="1">
      <c r="A51" s="5589"/>
      <c r="B51" s="5591"/>
      <c r="C51" s="1338" t="str">
        <f t="shared" ref="C51:G51" si="14">C37</f>
        <v>2022 г.</v>
      </c>
      <c r="D51" s="1339" t="str">
        <f t="shared" si="14"/>
        <v>2023 г.</v>
      </c>
      <c r="E51" s="1339" t="str">
        <f t="shared" si="14"/>
        <v>2024 г.</v>
      </c>
      <c r="F51" s="1339" t="str">
        <f t="shared" si="14"/>
        <v>2025 г.</v>
      </c>
      <c r="G51" s="1340" t="str">
        <f t="shared" si="14"/>
        <v>2026 г.</v>
      </c>
    </row>
    <row r="52" spans="1:7" s="1463" customFormat="1">
      <c r="A52" s="1461" t="s">
        <v>145</v>
      </c>
      <c r="B52" s="1462" t="s">
        <v>553</v>
      </c>
      <c r="C52" s="4759">
        <f t="shared" ref="C52:G52" si="15">C53-C54</f>
        <v>11.700000000000001</v>
      </c>
      <c r="D52" s="4760">
        <f t="shared" si="15"/>
        <v>12.699999999999998</v>
      </c>
      <c r="E52" s="4760">
        <f t="shared" si="15"/>
        <v>13.699999999999998</v>
      </c>
      <c r="F52" s="4760">
        <f t="shared" si="15"/>
        <v>13.699999999999998</v>
      </c>
      <c r="G52" s="4761">
        <f t="shared" si="15"/>
        <v>13.699999999999998</v>
      </c>
    </row>
    <row r="53" spans="1:7" s="1460" customFormat="1">
      <c r="A53" s="1464" t="s">
        <v>93</v>
      </c>
      <c r="B53" s="1465" t="s">
        <v>692</v>
      </c>
      <c r="C53" s="4762">
        <f>'11. Амортиз. план'!AA10+'11. Амортиз. план'!AA111</f>
        <v>11.700000000000001</v>
      </c>
      <c r="D53" s="4763">
        <f>'11. Амортиз. план'!AB10+'11. Амортиз. план'!AB111</f>
        <v>12.699999999999998</v>
      </c>
      <c r="E53" s="4763">
        <f>'11. Амортиз. план'!AC10+'11. Амортиз. план'!AC111</f>
        <v>13.699999999999998</v>
      </c>
      <c r="F53" s="4763">
        <f>'11. Амортиз. план'!AD10+'11. Амортиз. план'!AD111</f>
        <v>13.699999999999998</v>
      </c>
      <c r="G53" s="4764">
        <f>'11. Амортиз. план'!AE10+'11. Амортиз. план'!AE111</f>
        <v>13.699999999999998</v>
      </c>
    </row>
    <row r="54" spans="1:7" s="1460" customFormat="1">
      <c r="A54" s="1464" t="s">
        <v>94</v>
      </c>
      <c r="B54" s="1465" t="s">
        <v>655</v>
      </c>
      <c r="C54" s="4762">
        <f>'11. Амортиз. план'!AB32</f>
        <v>0</v>
      </c>
      <c r="D54" s="4763">
        <f>'11. Амортиз. план'!AC32</f>
        <v>0</v>
      </c>
      <c r="E54" s="4763">
        <f>'11. Амортиз. план'!AD32</f>
        <v>0</v>
      </c>
      <c r="F54" s="4763">
        <f>'11. Амортиз. план'!AE32</f>
        <v>0</v>
      </c>
      <c r="G54" s="4765">
        <f>'11. Амортиз. план'!AF32</f>
        <v>0</v>
      </c>
    </row>
    <row r="55" spans="1:7" s="1463" customFormat="1">
      <c r="A55" s="1466" t="s">
        <v>98</v>
      </c>
      <c r="B55" s="1467" t="s">
        <v>554</v>
      </c>
      <c r="C55" s="4766">
        <f t="shared" ref="C55:G55" si="16">C56-C57</f>
        <v>7.3731300000000015</v>
      </c>
      <c r="D55" s="4767">
        <f t="shared" si="16"/>
        <v>8.2462599999999995</v>
      </c>
      <c r="E55" s="4767">
        <f t="shared" si="16"/>
        <v>9.2193900000000006</v>
      </c>
      <c r="F55" s="4767">
        <f t="shared" si="16"/>
        <v>9.44252</v>
      </c>
      <c r="G55" s="4768">
        <f t="shared" si="16"/>
        <v>9.6656499999999994</v>
      </c>
    </row>
    <row r="56" spans="1:7" s="1460" customFormat="1">
      <c r="A56" s="1464" t="s">
        <v>99</v>
      </c>
      <c r="B56" s="1465" t="s">
        <v>693</v>
      </c>
      <c r="C56" s="4762">
        <f>'11. Амортиз. план'!AA60+'11. Амортиз. план'!AA151</f>
        <v>7.3731300000000015</v>
      </c>
      <c r="D56" s="4763">
        <f>'11. Амортиз. план'!AB60+'11. Амортиз. план'!AB151</f>
        <v>8.2462599999999995</v>
      </c>
      <c r="E56" s="4763">
        <f>'11. Амортиз. план'!AC60+'11. Амортиз. план'!AC151</f>
        <v>9.2193900000000006</v>
      </c>
      <c r="F56" s="4763">
        <f>'11. Амортиз. план'!AD60+'11. Амортиз. план'!AD151</f>
        <v>9.44252</v>
      </c>
      <c r="G56" s="4765">
        <f>'11. Амортиз. план'!AE60+'11. Амортиз. план'!AE151</f>
        <v>9.6656499999999994</v>
      </c>
    </row>
    <row r="57" spans="1:7" s="1460" customFormat="1">
      <c r="A57" s="1464" t="s">
        <v>100</v>
      </c>
      <c r="B57" s="1465" t="s">
        <v>656</v>
      </c>
      <c r="C57" s="4762">
        <f>'11. Амортиз. план'!AB82</f>
        <v>0</v>
      </c>
      <c r="D57" s="4763">
        <f>'11. Амортиз. план'!AC82</f>
        <v>0</v>
      </c>
      <c r="E57" s="4763">
        <f>'11. Амортиз. план'!AD82</f>
        <v>0</v>
      </c>
      <c r="F57" s="4763">
        <f>'11. Амортиз. план'!AE82</f>
        <v>0</v>
      </c>
      <c r="G57" s="4765">
        <f>'11. Амортиз. план'!AF82</f>
        <v>0</v>
      </c>
    </row>
    <row r="58" spans="1:7" s="1463" customFormat="1" ht="24">
      <c r="A58" s="1466" t="s">
        <v>102</v>
      </c>
      <c r="B58" s="1467" t="s">
        <v>555</v>
      </c>
      <c r="C58" s="4766">
        <f t="shared" ref="C58:G58" si="17">(C59+C60)/2</f>
        <v>0</v>
      </c>
      <c r="D58" s="4767">
        <f t="shared" si="17"/>
        <v>0</v>
      </c>
      <c r="E58" s="4767">
        <f t="shared" si="17"/>
        <v>0</v>
      </c>
      <c r="F58" s="4767">
        <f t="shared" si="17"/>
        <v>0</v>
      </c>
      <c r="G58" s="4768">
        <f t="shared" si="17"/>
        <v>0</v>
      </c>
    </row>
    <row r="59" spans="1:7" s="1460" customFormat="1">
      <c r="A59" s="1464" t="s">
        <v>175</v>
      </c>
      <c r="B59" s="1465" t="s">
        <v>199</v>
      </c>
      <c r="C59" s="4684">
        <f>IF('10. Финансиране на ИП'!Z37=0,0,'10. Финансиране на ИП'!Z37)</f>
        <v>0</v>
      </c>
      <c r="D59" s="4685">
        <f>IF('10. Финансиране на ИП'!AA37=0,0,'10. Финансиране на ИП'!AA37)</f>
        <v>0</v>
      </c>
      <c r="E59" s="4685">
        <f>IF('10. Финансиране на ИП'!AB37=0,0,'10. Финансиране на ИП'!AB37)</f>
        <v>0</v>
      </c>
      <c r="F59" s="4685">
        <f>IF('10. Финансиране на ИП'!AC37=0,0,'10. Финансиране на ИП'!AC37)</f>
        <v>0</v>
      </c>
      <c r="G59" s="4686">
        <f>IF('10. Финансиране на ИП'!AD37=0,0,'10. Финансиране на ИП'!AD37)</f>
        <v>0</v>
      </c>
    </row>
    <row r="60" spans="1:7" s="1460" customFormat="1">
      <c r="A60" s="1464" t="s">
        <v>176</v>
      </c>
      <c r="B60" s="1465" t="s">
        <v>556</v>
      </c>
      <c r="C60" s="4684">
        <f>IF('10. Финансиране на ИП'!Z43=0,0,'10. Финансиране на ИП'!Z43)</f>
        <v>0</v>
      </c>
      <c r="D60" s="4685">
        <f>IF('10. Финансиране на ИП'!AA43=0,0,'10. Финансиране на ИП'!AA43)</f>
        <v>0</v>
      </c>
      <c r="E60" s="4685">
        <f>IF('10. Финансиране на ИП'!AB43=0,0,'10. Финансиране на ИП'!AB43)</f>
        <v>0</v>
      </c>
      <c r="F60" s="4685">
        <f>IF('10. Финансиране на ИП'!AC43=0,0,'10. Финансиране на ИП'!AC43)</f>
        <v>0</v>
      </c>
      <c r="G60" s="4686">
        <f>IF('10. Финансиране на ИП'!AD43=0,0,'10. Финансиране на ИП'!AD43)</f>
        <v>0</v>
      </c>
    </row>
    <row r="61" spans="1:7" s="1463" customFormat="1">
      <c r="A61" s="1466" t="s">
        <v>103</v>
      </c>
      <c r="B61" s="1467" t="s">
        <v>334</v>
      </c>
      <c r="C61" s="4766">
        <f>'9.Инвестиционна програма'!H143</f>
        <v>1</v>
      </c>
      <c r="D61" s="4767">
        <f>'9.Инвестиционна програма'!I143</f>
        <v>1</v>
      </c>
      <c r="E61" s="4767">
        <f>'9.Инвестиционна програма'!J143</f>
        <v>0</v>
      </c>
      <c r="F61" s="4767">
        <f>'9.Инвестиционна програма'!K143</f>
        <v>0</v>
      </c>
      <c r="G61" s="4768">
        <f>'9.Инвестиционна програма'!L143</f>
        <v>0</v>
      </c>
    </row>
    <row r="62" spans="1:7" s="1463" customFormat="1" ht="12.75" thickBot="1">
      <c r="A62" s="1468">
        <v>5</v>
      </c>
      <c r="B62" s="1469" t="s">
        <v>311</v>
      </c>
      <c r="C62" s="4769">
        <f>'18. OK'!D28</f>
        <v>28.811794950575351</v>
      </c>
      <c r="D62" s="4770">
        <f>'18. OK'!E28</f>
        <v>40.071643123726034</v>
      </c>
      <c r="E62" s="4770">
        <f>'18. OK'!F28</f>
        <v>39.738664960767125</v>
      </c>
      <c r="F62" s="4770">
        <f>'18. OK'!G28</f>
        <v>39.3358862130411</v>
      </c>
      <c r="G62" s="4771">
        <f>'18. OK'!H28</f>
        <v>38.9302892820822</v>
      </c>
    </row>
    <row r="63" spans="1:7" s="1460" customFormat="1" ht="12.75" thickBot="1">
      <c r="A63" s="136">
        <v>6</v>
      </c>
      <c r="B63" s="137" t="s">
        <v>310</v>
      </c>
      <c r="C63" s="682">
        <f t="shared" ref="C63:G63" si="18">C52-C55+C58+C61+C62</f>
        <v>34.138664950575347</v>
      </c>
      <c r="D63" s="683">
        <f t="shared" si="18"/>
        <v>45.52538312372603</v>
      </c>
      <c r="E63" s="683">
        <f t="shared" si="18"/>
        <v>44.219274960767123</v>
      </c>
      <c r="F63" s="683">
        <f t="shared" si="18"/>
        <v>43.593366213041094</v>
      </c>
      <c r="G63" s="684">
        <f t="shared" si="18"/>
        <v>42.964639282082196</v>
      </c>
    </row>
    <row r="64" spans="1:7" s="1460" customFormat="1">
      <c r="A64" s="5588" t="s">
        <v>1</v>
      </c>
      <c r="B64" s="5590" t="s">
        <v>90</v>
      </c>
      <c r="C64" s="5585" t="s">
        <v>1257</v>
      </c>
      <c r="D64" s="5586"/>
      <c r="E64" s="5586"/>
      <c r="F64" s="5586"/>
      <c r="G64" s="5587"/>
    </row>
    <row r="65" spans="1:7" s="1460" customFormat="1" ht="12.75" thickBot="1">
      <c r="A65" s="5589"/>
      <c r="B65" s="5591"/>
      <c r="C65" s="1338" t="str">
        <f t="shared" ref="C65:G65" si="19">C51</f>
        <v>2022 г.</v>
      </c>
      <c r="D65" s="1339" t="str">
        <f t="shared" si="19"/>
        <v>2023 г.</v>
      </c>
      <c r="E65" s="1339" t="str">
        <f t="shared" si="19"/>
        <v>2024 г.</v>
      </c>
      <c r="F65" s="1339" t="str">
        <f t="shared" si="19"/>
        <v>2025 г.</v>
      </c>
      <c r="G65" s="1340" t="str">
        <f t="shared" si="19"/>
        <v>2026 г.</v>
      </c>
    </row>
    <row r="66" spans="1:7" s="1463" customFormat="1">
      <c r="A66" s="1470" t="s">
        <v>145</v>
      </c>
      <c r="B66" s="1471" t="s">
        <v>553</v>
      </c>
      <c r="C66" s="4759">
        <f t="shared" ref="C66:G66" si="20">C67-C68</f>
        <v>0</v>
      </c>
      <c r="D66" s="4760">
        <f t="shared" si="20"/>
        <v>0</v>
      </c>
      <c r="E66" s="4760">
        <f t="shared" si="20"/>
        <v>0</v>
      </c>
      <c r="F66" s="4760">
        <f t="shared" si="20"/>
        <v>0</v>
      </c>
      <c r="G66" s="4761">
        <f t="shared" si="20"/>
        <v>0</v>
      </c>
    </row>
    <row r="67" spans="1:7" s="1460" customFormat="1">
      <c r="A67" s="1464" t="s">
        <v>93</v>
      </c>
      <c r="B67" s="1465" t="s">
        <v>692</v>
      </c>
      <c r="C67" s="4762">
        <f>'11. Амортиз. план'!AH10+'11. Амортиз. план'!AH111</f>
        <v>0</v>
      </c>
      <c r="D67" s="4763">
        <f>'11. Амортиз. план'!AI10+'11. Амортиз. план'!AI111</f>
        <v>0</v>
      </c>
      <c r="E67" s="4763">
        <f>'11. Амортиз. план'!AJ10+'11. Амортиз. план'!AJ111</f>
        <v>0</v>
      </c>
      <c r="F67" s="4763">
        <f>'11. Амортиз. план'!AK10+'11. Амортиз. план'!AK111</f>
        <v>0</v>
      </c>
      <c r="G67" s="4765">
        <f>'11. Амортиз. план'!AL10+'11. Амортиз. план'!AL111</f>
        <v>0</v>
      </c>
    </row>
    <row r="68" spans="1:7" s="1460" customFormat="1">
      <c r="A68" s="1464" t="s">
        <v>94</v>
      </c>
      <c r="B68" s="1465" t="s">
        <v>655</v>
      </c>
      <c r="C68" s="4762">
        <f>'11. Амортиз. план'!AI32</f>
        <v>0</v>
      </c>
      <c r="D68" s="4763">
        <f>'11. Амортиз. план'!AJ32</f>
        <v>0</v>
      </c>
      <c r="E68" s="4763">
        <f>'11. Амортиз. план'!AK32</f>
        <v>0</v>
      </c>
      <c r="F68" s="4763">
        <f>'11. Амортиз. план'!AL32</f>
        <v>0</v>
      </c>
      <c r="G68" s="4765">
        <f>'11. Амортиз. план'!AM32</f>
        <v>0</v>
      </c>
    </row>
    <row r="69" spans="1:7" s="1463" customFormat="1">
      <c r="A69" s="1466" t="s">
        <v>98</v>
      </c>
      <c r="B69" s="1467" t="s">
        <v>554</v>
      </c>
      <c r="C69" s="4766">
        <f t="shared" ref="C69:G69" si="21">C70-C71</f>
        <v>0</v>
      </c>
      <c r="D69" s="4767">
        <f t="shared" si="21"/>
        <v>0</v>
      </c>
      <c r="E69" s="4767">
        <f t="shared" si="21"/>
        <v>0</v>
      </c>
      <c r="F69" s="4767">
        <f t="shared" si="21"/>
        <v>0</v>
      </c>
      <c r="G69" s="4768">
        <f t="shared" si="21"/>
        <v>0</v>
      </c>
    </row>
    <row r="70" spans="1:7" s="1460" customFormat="1">
      <c r="A70" s="1464" t="s">
        <v>99</v>
      </c>
      <c r="B70" s="1465" t="s">
        <v>693</v>
      </c>
      <c r="C70" s="4762">
        <f>'11. Амортиз. план'!AH60+'11. Амортиз. план'!AH151</f>
        <v>0</v>
      </c>
      <c r="D70" s="4763">
        <f>'11. Амортиз. план'!AI60+'11. Амортиз. план'!AI151</f>
        <v>0</v>
      </c>
      <c r="E70" s="4763">
        <f>'11. Амортиз. план'!AJ60+'11. Амортиз. план'!AJ151</f>
        <v>0</v>
      </c>
      <c r="F70" s="4763">
        <f>'11. Амортиз. план'!AK60+'11. Амортиз. план'!AK151</f>
        <v>0</v>
      </c>
      <c r="G70" s="4765">
        <f>'11. Амортиз. план'!AL60+'11. Амортиз. план'!AL151</f>
        <v>0</v>
      </c>
    </row>
    <row r="71" spans="1:7" s="1460" customFormat="1">
      <c r="A71" s="1464" t="s">
        <v>100</v>
      </c>
      <c r="B71" s="1465" t="s">
        <v>656</v>
      </c>
      <c r="C71" s="4762">
        <f>'11. Амортиз. план'!AI82</f>
        <v>0</v>
      </c>
      <c r="D71" s="4763">
        <f>'11. Амортиз. план'!AJ82</f>
        <v>0</v>
      </c>
      <c r="E71" s="4763">
        <f>'11. Амортиз. план'!AK82</f>
        <v>0</v>
      </c>
      <c r="F71" s="4763">
        <f>'11. Амортиз. план'!AL82</f>
        <v>0</v>
      </c>
      <c r="G71" s="4765">
        <f>'11. Амортиз. план'!AM82</f>
        <v>0</v>
      </c>
    </row>
    <row r="72" spans="1:7" s="1463" customFormat="1" ht="24">
      <c r="A72" s="1466" t="s">
        <v>102</v>
      </c>
      <c r="B72" s="1467" t="s">
        <v>555</v>
      </c>
      <c r="C72" s="4766">
        <f t="shared" ref="C72:G72" si="22">(C73+C74)/2</f>
        <v>0</v>
      </c>
      <c r="D72" s="4767">
        <f t="shared" si="22"/>
        <v>0</v>
      </c>
      <c r="E72" s="4767">
        <f t="shared" si="22"/>
        <v>0</v>
      </c>
      <c r="F72" s="4767">
        <f t="shared" si="22"/>
        <v>0</v>
      </c>
      <c r="G72" s="4768">
        <f t="shared" si="22"/>
        <v>0</v>
      </c>
    </row>
    <row r="73" spans="1:7" s="1460" customFormat="1">
      <c r="A73" s="1464" t="s">
        <v>175</v>
      </c>
      <c r="B73" s="1465" t="s">
        <v>199</v>
      </c>
      <c r="C73" s="4684">
        <f>IF('10. Финансиране на ИП'!AG37=0,0,'10. Финансиране на ИП'!AG37)</f>
        <v>0</v>
      </c>
      <c r="D73" s="4687">
        <f>IF('10. Финансиране на ИП'!AH37=0,0,'10. Финансиране на ИП'!AH37)</f>
        <v>0</v>
      </c>
      <c r="E73" s="4687">
        <f>IF('10. Финансиране на ИП'!AI37=0,0,'10. Финансиране на ИП'!AI37)</f>
        <v>0</v>
      </c>
      <c r="F73" s="4687">
        <f>IF('10. Финансиране на ИП'!AJ37=0,0,'10. Финансиране на ИП'!AJ37)</f>
        <v>0</v>
      </c>
      <c r="G73" s="4686">
        <f>IF('10. Финансиране на ИП'!AK37=0,0,'10. Финансиране на ИП'!AK37)</f>
        <v>0</v>
      </c>
    </row>
    <row r="74" spans="1:7" s="1460" customFormat="1">
      <c r="A74" s="1464" t="s">
        <v>176</v>
      </c>
      <c r="B74" s="1465" t="s">
        <v>556</v>
      </c>
      <c r="C74" s="4684">
        <f>IF('10. Финансиране на ИП'!AG43=0,0,'10. Финансиране на ИП'!AG43)</f>
        <v>0</v>
      </c>
      <c r="D74" s="4687">
        <f>IF('10. Финансиране на ИП'!AH43=0,0,'10. Финансиране на ИП'!AH43)</f>
        <v>0</v>
      </c>
      <c r="E74" s="4687">
        <f>IF('10. Финансиране на ИП'!AI43=0,0,'10. Финансиране на ИП'!AI43)</f>
        <v>0</v>
      </c>
      <c r="F74" s="4687">
        <f>IF('10. Финансиране на ИП'!AJ43=0,0,'10. Финансиране на ИП'!AJ43)</f>
        <v>0</v>
      </c>
      <c r="G74" s="4686">
        <f>IF('10. Финансиране на ИП'!AK43=0,0,'10. Финансиране на ИП'!AK43)</f>
        <v>0</v>
      </c>
    </row>
    <row r="75" spans="1:7" s="1463" customFormat="1">
      <c r="A75" s="1466" t="s">
        <v>103</v>
      </c>
      <c r="B75" s="1467" t="s">
        <v>334</v>
      </c>
      <c r="C75" s="4766">
        <f>'9.Инвестиционна програма'!H144</f>
        <v>0</v>
      </c>
      <c r="D75" s="4767">
        <f>'9.Инвестиционна програма'!I144</f>
        <v>0</v>
      </c>
      <c r="E75" s="4767">
        <f>'9.Инвестиционна програма'!J144</f>
        <v>0</v>
      </c>
      <c r="F75" s="4767">
        <f>'9.Инвестиционна програма'!K144</f>
        <v>0</v>
      </c>
      <c r="G75" s="4768">
        <f>'9.Инвестиционна програма'!L144</f>
        <v>0</v>
      </c>
    </row>
    <row r="76" spans="1:7" s="1463" customFormat="1" ht="12.75" thickBot="1">
      <c r="A76" s="1472">
        <v>5</v>
      </c>
      <c r="B76" s="1473" t="s">
        <v>311</v>
      </c>
      <c r="C76" s="4769">
        <f>'18. OK'!D29</f>
        <v>0</v>
      </c>
      <c r="D76" s="4770">
        <f>'18. OK'!E29</f>
        <v>0</v>
      </c>
      <c r="E76" s="4770">
        <f>'18. OK'!F29</f>
        <v>0</v>
      </c>
      <c r="F76" s="4770">
        <f>'18. OK'!G29</f>
        <v>0</v>
      </c>
      <c r="G76" s="4771">
        <f>'18. OK'!H29</f>
        <v>0</v>
      </c>
    </row>
    <row r="77" spans="1:7" s="1460" customFormat="1" ht="12.75" thickBot="1">
      <c r="A77" s="136">
        <v>6</v>
      </c>
      <c r="B77" s="137" t="s">
        <v>310</v>
      </c>
      <c r="C77" s="682">
        <f t="shared" ref="C77:G77" si="23">C66-C69+C72+C75+C76</f>
        <v>0</v>
      </c>
      <c r="D77" s="683">
        <f t="shared" si="23"/>
        <v>0</v>
      </c>
      <c r="E77" s="683">
        <f t="shared" si="23"/>
        <v>0</v>
      </c>
      <c r="F77" s="683">
        <f t="shared" si="23"/>
        <v>0</v>
      </c>
      <c r="G77" s="684">
        <f t="shared" si="23"/>
        <v>0</v>
      </c>
    </row>
    <row r="78" spans="1:7">
      <c r="A78" s="4688"/>
      <c r="B78" s="4688"/>
      <c r="C78" s="4689"/>
      <c r="D78" s="4689"/>
      <c r="E78" s="4689"/>
      <c r="F78" s="4689"/>
      <c r="G78" s="4689"/>
    </row>
    <row r="80" spans="1:7" s="3551" customFormat="1" ht="12.75">
      <c r="A80" s="5"/>
      <c r="B80" s="3679" t="str">
        <f>'Приложение '!B81</f>
        <v>Дата: 24 юни 2021 година</v>
      </c>
      <c r="C80" s="680"/>
      <c r="E80" s="4690" t="str">
        <f>'Приложение '!C81</f>
        <v xml:space="preserve">Гл. счетоводител/Фин.директор: </v>
      </c>
      <c r="F80" s="4691" t="str">
        <f>'Приложение '!D81</f>
        <v>..............................................</v>
      </c>
      <c r="G80" s="2229"/>
    </row>
    <row r="81" spans="1:7" s="3551" customFormat="1" ht="12.75">
      <c r="B81" s="3763"/>
      <c r="C81" s="2229"/>
      <c r="E81" s="3829"/>
      <c r="F81" s="4692" t="str">
        <f>'Приложение '!D82</f>
        <v>(подпис)</v>
      </c>
      <c r="G81" s="4693"/>
    </row>
    <row r="82" spans="1:7" s="3551" customFormat="1" ht="12.75">
      <c r="B82" s="3763"/>
      <c r="C82" s="2229"/>
      <c r="E82" s="3829"/>
      <c r="F82" s="4692"/>
      <c r="G82" s="2229"/>
    </row>
    <row r="83" spans="1:7" s="3551" customFormat="1" ht="12.75">
      <c r="A83" s="5584" t="s">
        <v>191</v>
      </c>
      <c r="B83" s="5584"/>
      <c r="C83" s="5584"/>
      <c r="D83" s="5584"/>
      <c r="E83" s="5584"/>
      <c r="F83" s="5584"/>
      <c r="G83" s="2229"/>
    </row>
    <row r="84" spans="1:7" s="3551" customFormat="1" ht="12.75">
      <c r="A84" s="5407" t="s">
        <v>1554</v>
      </c>
      <c r="B84" s="5407"/>
      <c r="C84" s="5407"/>
      <c r="D84" s="5407"/>
      <c r="E84" s="5407"/>
      <c r="F84" s="5407"/>
      <c r="G84" s="2229"/>
    </row>
    <row r="85" spans="1:7" s="3551" customFormat="1" ht="12.75">
      <c r="B85" s="3763"/>
      <c r="C85" s="680"/>
      <c r="E85" s="4690" t="str">
        <f>'Приложение '!C85</f>
        <v xml:space="preserve">Управител/Изп.директор: </v>
      </c>
      <c r="F85" s="4691" t="str">
        <f>'Приложение '!D85</f>
        <v>.............................................</v>
      </c>
      <c r="G85" s="2229"/>
    </row>
    <row r="86" spans="1:7" s="3551" customFormat="1" ht="12.75">
      <c r="B86" s="3763"/>
      <c r="C86" s="2229"/>
      <c r="E86" s="4690"/>
      <c r="F86" s="4692" t="str">
        <f>'Приложение '!D86</f>
        <v>(подпис и печат)</v>
      </c>
      <c r="G86" s="4693"/>
    </row>
    <row r="87" spans="1:7" ht="12.75">
      <c r="C87" s="3551"/>
      <c r="D87" s="3551"/>
      <c r="E87" s="3551"/>
      <c r="F87" s="3551"/>
      <c r="G87" s="3551"/>
    </row>
  </sheetData>
  <sheetProtection algorithmName="SHA-512" hashValue="rGwh04AfzLSdFIVHQ5M5805GIabGE2tA3ixMGR4dOeuFJYSIBhWvsb4yOgmzaUC6gkRiVg1V+pVm/DsQ/5t5Sw==" saltValue="YWOl5UV0ROfvkEvAbxyIyA==" spinCount="100000" sheet="1" objects="1" scenarios="1" formatCells="0" formatColumns="0" formatRows="0"/>
  <mergeCells count="22">
    <mergeCell ref="A2:G2"/>
    <mergeCell ref="A3:G3"/>
    <mergeCell ref="A4:G4"/>
    <mergeCell ref="A5:G5"/>
    <mergeCell ref="C7:G7"/>
    <mergeCell ref="A22:A23"/>
    <mergeCell ref="B22:B23"/>
    <mergeCell ref="A7:A9"/>
    <mergeCell ref="B7:B9"/>
    <mergeCell ref="C22:G22"/>
    <mergeCell ref="C8:G8"/>
    <mergeCell ref="A83:F83"/>
    <mergeCell ref="A84:F84"/>
    <mergeCell ref="C36:G36"/>
    <mergeCell ref="A36:A37"/>
    <mergeCell ref="B36:B37"/>
    <mergeCell ref="A50:A51"/>
    <mergeCell ref="B50:B51"/>
    <mergeCell ref="A64:A65"/>
    <mergeCell ref="B64:B65"/>
    <mergeCell ref="C64:G64"/>
    <mergeCell ref="C50:G50"/>
  </mergeCells>
  <printOptions horizontalCentered="1"/>
  <pageMargins left="0.59055118110236227" right="0.11811023622047245" top="0.59055118110236227" bottom="0.19685039370078741" header="0.51181102362204722" footer="0.11811023622047245"/>
  <pageSetup paperSize="9" scale="71" orientation="portrait" r:id="rId1"/>
  <headerFooter alignWithMargins="0">
    <oddFooter>&amp;C&amp;A</oddFooter>
  </headerFooter>
  <ignoredErrors>
    <ignoredError sqref="C10:G10 C21:G21 C20:G20 C13:G13 D11:G11 D12:G12 D14:G14 D15:G15 D19:G19 C16:G16" unlockedFormula="1"/>
    <ignoredError sqref="A10:A21" numberStoredAsText="1"/>
  </ignoredError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pageSetUpPr fitToPage="1"/>
  </sheetPr>
  <dimension ref="A1:N48"/>
  <sheetViews>
    <sheetView showGridLines="0" view="pageBreakPreview" topLeftCell="A16" zoomScale="115" zoomScaleNormal="100" zoomScaleSheetLayoutView="115" workbookViewId="0">
      <selection activeCell="D46" sqref="D46"/>
    </sheetView>
  </sheetViews>
  <sheetFormatPr defaultRowHeight="12.75"/>
  <cols>
    <col min="1" max="1" width="4.5703125" style="1" customWidth="1"/>
    <col min="2" max="2" width="45" style="1" customWidth="1"/>
    <col min="3" max="8" width="8.7109375" style="1" customWidth="1"/>
    <col min="9" max="253" width="9.140625" style="1"/>
    <col min="254" max="254" width="3.7109375" style="1" customWidth="1"/>
    <col min="255" max="255" width="75.7109375" style="1" customWidth="1"/>
    <col min="256" max="256" width="9.140625" style="1"/>
    <col min="257" max="258" width="9.85546875" style="1" customWidth="1"/>
    <col min="259" max="509" width="9.140625" style="1"/>
    <col min="510" max="510" width="3.7109375" style="1" customWidth="1"/>
    <col min="511" max="511" width="75.7109375" style="1" customWidth="1"/>
    <col min="512" max="512" width="9.140625" style="1"/>
    <col min="513" max="514" width="9.85546875" style="1" customWidth="1"/>
    <col min="515" max="765" width="9.140625" style="1"/>
    <col min="766" max="766" width="3.7109375" style="1" customWidth="1"/>
    <col min="767" max="767" width="75.7109375" style="1" customWidth="1"/>
    <col min="768" max="768" width="9.140625" style="1"/>
    <col min="769" max="770" width="9.85546875" style="1" customWidth="1"/>
    <col min="771" max="1021" width="9.140625" style="1"/>
    <col min="1022" max="1022" width="3.7109375" style="1" customWidth="1"/>
    <col min="1023" max="1023" width="75.7109375" style="1" customWidth="1"/>
    <col min="1024" max="1024" width="9.140625" style="1"/>
    <col min="1025" max="1026" width="9.85546875" style="1" customWidth="1"/>
    <col min="1027" max="1277" width="9.140625" style="1"/>
    <col min="1278" max="1278" width="3.7109375" style="1" customWidth="1"/>
    <col min="1279" max="1279" width="75.7109375" style="1" customWidth="1"/>
    <col min="1280" max="1280" width="9.140625" style="1"/>
    <col min="1281" max="1282" width="9.85546875" style="1" customWidth="1"/>
    <col min="1283" max="1533" width="9.140625" style="1"/>
    <col min="1534" max="1534" width="3.7109375" style="1" customWidth="1"/>
    <col min="1535" max="1535" width="75.7109375" style="1" customWidth="1"/>
    <col min="1536" max="1536" width="9.140625" style="1"/>
    <col min="1537" max="1538" width="9.85546875" style="1" customWidth="1"/>
    <col min="1539" max="1789" width="9.140625" style="1"/>
    <col min="1790" max="1790" width="3.7109375" style="1" customWidth="1"/>
    <col min="1791" max="1791" width="75.7109375" style="1" customWidth="1"/>
    <col min="1792" max="1792" width="9.140625" style="1"/>
    <col min="1793" max="1794" width="9.85546875" style="1" customWidth="1"/>
    <col min="1795" max="2045" width="9.140625" style="1"/>
    <col min="2046" max="2046" width="3.7109375" style="1" customWidth="1"/>
    <col min="2047" max="2047" width="75.7109375" style="1" customWidth="1"/>
    <col min="2048" max="2048" width="9.140625" style="1"/>
    <col min="2049" max="2050" width="9.85546875" style="1" customWidth="1"/>
    <col min="2051" max="2301" width="9.140625" style="1"/>
    <col min="2302" max="2302" width="3.7109375" style="1" customWidth="1"/>
    <col min="2303" max="2303" width="75.7109375" style="1" customWidth="1"/>
    <col min="2304" max="2304" width="9.140625" style="1"/>
    <col min="2305" max="2306" width="9.85546875" style="1" customWidth="1"/>
    <col min="2307" max="2557" width="9.140625" style="1"/>
    <col min="2558" max="2558" width="3.7109375" style="1" customWidth="1"/>
    <col min="2559" max="2559" width="75.7109375" style="1" customWidth="1"/>
    <col min="2560" max="2560" width="9.140625" style="1"/>
    <col min="2561" max="2562" width="9.85546875" style="1" customWidth="1"/>
    <col min="2563" max="2813" width="9.140625" style="1"/>
    <col min="2814" max="2814" width="3.7109375" style="1" customWidth="1"/>
    <col min="2815" max="2815" width="75.7109375" style="1" customWidth="1"/>
    <col min="2816" max="2816" width="9.140625" style="1"/>
    <col min="2817" max="2818" width="9.85546875" style="1" customWidth="1"/>
    <col min="2819" max="3069" width="9.140625" style="1"/>
    <col min="3070" max="3070" width="3.7109375" style="1" customWidth="1"/>
    <col min="3071" max="3071" width="75.7109375" style="1" customWidth="1"/>
    <col min="3072" max="3072" width="9.140625" style="1"/>
    <col min="3073" max="3074" width="9.85546875" style="1" customWidth="1"/>
    <col min="3075" max="3325" width="9.140625" style="1"/>
    <col min="3326" max="3326" width="3.7109375" style="1" customWidth="1"/>
    <col min="3327" max="3327" width="75.7109375" style="1" customWidth="1"/>
    <col min="3328" max="3328" width="9.140625" style="1"/>
    <col min="3329" max="3330" width="9.85546875" style="1" customWidth="1"/>
    <col min="3331" max="3581" width="9.140625" style="1"/>
    <col min="3582" max="3582" width="3.7109375" style="1" customWidth="1"/>
    <col min="3583" max="3583" width="75.7109375" style="1" customWidth="1"/>
    <col min="3584" max="3584" width="9.140625" style="1"/>
    <col min="3585" max="3586" width="9.85546875" style="1" customWidth="1"/>
    <col min="3587" max="3837" width="9.140625" style="1"/>
    <col min="3838" max="3838" width="3.7109375" style="1" customWidth="1"/>
    <col min="3839" max="3839" width="75.7109375" style="1" customWidth="1"/>
    <col min="3840" max="3840" width="9.140625" style="1"/>
    <col min="3841" max="3842" width="9.85546875" style="1" customWidth="1"/>
    <col min="3843" max="4093" width="9.140625" style="1"/>
    <col min="4094" max="4094" width="3.7109375" style="1" customWidth="1"/>
    <col min="4095" max="4095" width="75.7109375" style="1" customWidth="1"/>
    <col min="4096" max="4096" width="9.140625" style="1"/>
    <col min="4097" max="4098" width="9.85546875" style="1" customWidth="1"/>
    <col min="4099" max="4349" width="9.140625" style="1"/>
    <col min="4350" max="4350" width="3.7109375" style="1" customWidth="1"/>
    <col min="4351" max="4351" width="75.7109375" style="1" customWidth="1"/>
    <col min="4352" max="4352" width="9.140625" style="1"/>
    <col min="4353" max="4354" width="9.85546875" style="1" customWidth="1"/>
    <col min="4355" max="4605" width="9.140625" style="1"/>
    <col min="4606" max="4606" width="3.7109375" style="1" customWidth="1"/>
    <col min="4607" max="4607" width="75.7109375" style="1" customWidth="1"/>
    <col min="4608" max="4608" width="9.140625" style="1"/>
    <col min="4609" max="4610" width="9.85546875" style="1" customWidth="1"/>
    <col min="4611" max="4861" width="9.140625" style="1"/>
    <col min="4862" max="4862" width="3.7109375" style="1" customWidth="1"/>
    <col min="4863" max="4863" width="75.7109375" style="1" customWidth="1"/>
    <col min="4864" max="4864" width="9.140625" style="1"/>
    <col min="4865" max="4866" width="9.85546875" style="1" customWidth="1"/>
    <col min="4867" max="5117" width="9.140625" style="1"/>
    <col min="5118" max="5118" width="3.7109375" style="1" customWidth="1"/>
    <col min="5119" max="5119" width="75.7109375" style="1" customWidth="1"/>
    <col min="5120" max="5120" width="9.140625" style="1"/>
    <col min="5121" max="5122" width="9.85546875" style="1" customWidth="1"/>
    <col min="5123" max="5373" width="9.140625" style="1"/>
    <col min="5374" max="5374" width="3.7109375" style="1" customWidth="1"/>
    <col min="5375" max="5375" width="75.7109375" style="1" customWidth="1"/>
    <col min="5376" max="5376" width="9.140625" style="1"/>
    <col min="5377" max="5378" width="9.85546875" style="1" customWidth="1"/>
    <col min="5379" max="5629" width="9.140625" style="1"/>
    <col min="5630" max="5630" width="3.7109375" style="1" customWidth="1"/>
    <col min="5631" max="5631" width="75.7109375" style="1" customWidth="1"/>
    <col min="5632" max="5632" width="9.140625" style="1"/>
    <col min="5633" max="5634" width="9.85546875" style="1" customWidth="1"/>
    <col min="5635" max="5885" width="9.140625" style="1"/>
    <col min="5886" max="5886" width="3.7109375" style="1" customWidth="1"/>
    <col min="5887" max="5887" width="75.7109375" style="1" customWidth="1"/>
    <col min="5888" max="5888" width="9.140625" style="1"/>
    <col min="5889" max="5890" width="9.85546875" style="1" customWidth="1"/>
    <col min="5891" max="6141" width="9.140625" style="1"/>
    <col min="6142" max="6142" width="3.7109375" style="1" customWidth="1"/>
    <col min="6143" max="6143" width="75.7109375" style="1" customWidth="1"/>
    <col min="6144" max="6144" width="9.140625" style="1"/>
    <col min="6145" max="6146" width="9.85546875" style="1" customWidth="1"/>
    <col min="6147" max="6397" width="9.140625" style="1"/>
    <col min="6398" max="6398" width="3.7109375" style="1" customWidth="1"/>
    <col min="6399" max="6399" width="75.7109375" style="1" customWidth="1"/>
    <col min="6400" max="6400" width="9.140625" style="1"/>
    <col min="6401" max="6402" width="9.85546875" style="1" customWidth="1"/>
    <col min="6403" max="6653" width="9.140625" style="1"/>
    <col min="6654" max="6654" width="3.7109375" style="1" customWidth="1"/>
    <col min="6655" max="6655" width="75.7109375" style="1" customWidth="1"/>
    <col min="6656" max="6656" width="9.140625" style="1"/>
    <col min="6657" max="6658" width="9.85546875" style="1" customWidth="1"/>
    <col min="6659" max="6909" width="9.140625" style="1"/>
    <col min="6910" max="6910" width="3.7109375" style="1" customWidth="1"/>
    <col min="6911" max="6911" width="75.7109375" style="1" customWidth="1"/>
    <col min="6912" max="6912" width="9.140625" style="1"/>
    <col min="6913" max="6914" width="9.85546875" style="1" customWidth="1"/>
    <col min="6915" max="7165" width="9.140625" style="1"/>
    <col min="7166" max="7166" width="3.7109375" style="1" customWidth="1"/>
    <col min="7167" max="7167" width="75.7109375" style="1" customWidth="1"/>
    <col min="7168" max="7168" width="9.140625" style="1"/>
    <col min="7169" max="7170" width="9.85546875" style="1" customWidth="1"/>
    <col min="7171" max="7421" width="9.140625" style="1"/>
    <col min="7422" max="7422" width="3.7109375" style="1" customWidth="1"/>
    <col min="7423" max="7423" width="75.7109375" style="1" customWidth="1"/>
    <col min="7424" max="7424" width="9.140625" style="1"/>
    <col min="7425" max="7426" width="9.85546875" style="1" customWidth="1"/>
    <col min="7427" max="7677" width="9.140625" style="1"/>
    <col min="7678" max="7678" width="3.7109375" style="1" customWidth="1"/>
    <col min="7679" max="7679" width="75.7109375" style="1" customWidth="1"/>
    <col min="7680" max="7680" width="9.140625" style="1"/>
    <col min="7681" max="7682" width="9.85546875" style="1" customWidth="1"/>
    <col min="7683" max="7933" width="9.140625" style="1"/>
    <col min="7934" max="7934" width="3.7109375" style="1" customWidth="1"/>
    <col min="7935" max="7935" width="75.7109375" style="1" customWidth="1"/>
    <col min="7936" max="7936" width="9.140625" style="1"/>
    <col min="7937" max="7938" width="9.85546875" style="1" customWidth="1"/>
    <col min="7939" max="8189" width="9.140625" style="1"/>
    <col min="8190" max="8190" width="3.7109375" style="1" customWidth="1"/>
    <col min="8191" max="8191" width="75.7109375" style="1" customWidth="1"/>
    <col min="8192" max="8192" width="9.140625" style="1"/>
    <col min="8193" max="8194" width="9.85546875" style="1" customWidth="1"/>
    <col min="8195" max="8445" width="9.140625" style="1"/>
    <col min="8446" max="8446" width="3.7109375" style="1" customWidth="1"/>
    <col min="8447" max="8447" width="75.7109375" style="1" customWidth="1"/>
    <col min="8448" max="8448" width="9.140625" style="1"/>
    <col min="8449" max="8450" width="9.85546875" style="1" customWidth="1"/>
    <col min="8451" max="8701" width="9.140625" style="1"/>
    <col min="8702" max="8702" width="3.7109375" style="1" customWidth="1"/>
    <col min="8703" max="8703" width="75.7109375" style="1" customWidth="1"/>
    <col min="8704" max="8704" width="9.140625" style="1"/>
    <col min="8705" max="8706" width="9.85546875" style="1" customWidth="1"/>
    <col min="8707" max="8957" width="9.140625" style="1"/>
    <col min="8958" max="8958" width="3.7109375" style="1" customWidth="1"/>
    <col min="8959" max="8959" width="75.7109375" style="1" customWidth="1"/>
    <col min="8960" max="8960" width="9.140625" style="1"/>
    <col min="8961" max="8962" width="9.85546875" style="1" customWidth="1"/>
    <col min="8963" max="9213" width="9.140625" style="1"/>
    <col min="9214" max="9214" width="3.7109375" style="1" customWidth="1"/>
    <col min="9215" max="9215" width="75.7109375" style="1" customWidth="1"/>
    <col min="9216" max="9216" width="9.140625" style="1"/>
    <col min="9217" max="9218" width="9.85546875" style="1" customWidth="1"/>
    <col min="9219" max="9469" width="9.140625" style="1"/>
    <col min="9470" max="9470" width="3.7109375" style="1" customWidth="1"/>
    <col min="9471" max="9471" width="75.7109375" style="1" customWidth="1"/>
    <col min="9472" max="9472" width="9.140625" style="1"/>
    <col min="9473" max="9474" width="9.85546875" style="1" customWidth="1"/>
    <col min="9475" max="9725" width="9.140625" style="1"/>
    <col min="9726" max="9726" width="3.7109375" style="1" customWidth="1"/>
    <col min="9727" max="9727" width="75.7109375" style="1" customWidth="1"/>
    <col min="9728" max="9728" width="9.140625" style="1"/>
    <col min="9729" max="9730" width="9.85546875" style="1" customWidth="1"/>
    <col min="9731" max="9981" width="9.140625" style="1"/>
    <col min="9982" max="9982" width="3.7109375" style="1" customWidth="1"/>
    <col min="9983" max="9983" width="75.7109375" style="1" customWidth="1"/>
    <col min="9984" max="9984" width="9.140625" style="1"/>
    <col min="9985" max="9986" width="9.85546875" style="1" customWidth="1"/>
    <col min="9987" max="10237" width="9.140625" style="1"/>
    <col min="10238" max="10238" width="3.7109375" style="1" customWidth="1"/>
    <col min="10239" max="10239" width="75.7109375" style="1" customWidth="1"/>
    <col min="10240" max="10240" width="9.140625" style="1"/>
    <col min="10241" max="10242" width="9.85546875" style="1" customWidth="1"/>
    <col min="10243" max="10493" width="9.140625" style="1"/>
    <col min="10494" max="10494" width="3.7109375" style="1" customWidth="1"/>
    <col min="10495" max="10495" width="75.7109375" style="1" customWidth="1"/>
    <col min="10496" max="10496" width="9.140625" style="1"/>
    <col min="10497" max="10498" width="9.85546875" style="1" customWidth="1"/>
    <col min="10499" max="10749" width="9.140625" style="1"/>
    <col min="10750" max="10750" width="3.7109375" style="1" customWidth="1"/>
    <col min="10751" max="10751" width="75.7109375" style="1" customWidth="1"/>
    <col min="10752" max="10752" width="9.140625" style="1"/>
    <col min="10753" max="10754" width="9.85546875" style="1" customWidth="1"/>
    <col min="10755" max="11005" width="9.140625" style="1"/>
    <col min="11006" max="11006" width="3.7109375" style="1" customWidth="1"/>
    <col min="11007" max="11007" width="75.7109375" style="1" customWidth="1"/>
    <col min="11008" max="11008" width="9.140625" style="1"/>
    <col min="11009" max="11010" width="9.85546875" style="1" customWidth="1"/>
    <col min="11011" max="11261" width="9.140625" style="1"/>
    <col min="11262" max="11262" width="3.7109375" style="1" customWidth="1"/>
    <col min="11263" max="11263" width="75.7109375" style="1" customWidth="1"/>
    <col min="11264" max="11264" width="9.140625" style="1"/>
    <col min="11265" max="11266" width="9.85546875" style="1" customWidth="1"/>
    <col min="11267" max="11517" width="9.140625" style="1"/>
    <col min="11518" max="11518" width="3.7109375" style="1" customWidth="1"/>
    <col min="11519" max="11519" width="75.7109375" style="1" customWidth="1"/>
    <col min="11520" max="11520" width="9.140625" style="1"/>
    <col min="11521" max="11522" width="9.85546875" style="1" customWidth="1"/>
    <col min="11523" max="11773" width="9.140625" style="1"/>
    <col min="11774" max="11774" width="3.7109375" style="1" customWidth="1"/>
    <col min="11775" max="11775" width="75.7109375" style="1" customWidth="1"/>
    <col min="11776" max="11776" width="9.140625" style="1"/>
    <col min="11777" max="11778" width="9.85546875" style="1" customWidth="1"/>
    <col min="11779" max="12029" width="9.140625" style="1"/>
    <col min="12030" max="12030" width="3.7109375" style="1" customWidth="1"/>
    <col min="12031" max="12031" width="75.7109375" style="1" customWidth="1"/>
    <col min="12032" max="12032" width="9.140625" style="1"/>
    <col min="12033" max="12034" width="9.85546875" style="1" customWidth="1"/>
    <col min="12035" max="12285" width="9.140625" style="1"/>
    <col min="12286" max="12286" width="3.7109375" style="1" customWidth="1"/>
    <col min="12287" max="12287" width="75.7109375" style="1" customWidth="1"/>
    <col min="12288" max="12288" width="9.140625" style="1"/>
    <col min="12289" max="12290" width="9.85546875" style="1" customWidth="1"/>
    <col min="12291" max="12541" width="9.140625" style="1"/>
    <col min="12542" max="12542" width="3.7109375" style="1" customWidth="1"/>
    <col min="12543" max="12543" width="75.7109375" style="1" customWidth="1"/>
    <col min="12544" max="12544" width="9.140625" style="1"/>
    <col min="12545" max="12546" width="9.85546875" style="1" customWidth="1"/>
    <col min="12547" max="12797" width="9.140625" style="1"/>
    <col min="12798" max="12798" width="3.7109375" style="1" customWidth="1"/>
    <col min="12799" max="12799" width="75.7109375" style="1" customWidth="1"/>
    <col min="12800" max="12800" width="9.140625" style="1"/>
    <col min="12801" max="12802" width="9.85546875" style="1" customWidth="1"/>
    <col min="12803" max="13053" width="9.140625" style="1"/>
    <col min="13054" max="13054" width="3.7109375" style="1" customWidth="1"/>
    <col min="13055" max="13055" width="75.7109375" style="1" customWidth="1"/>
    <col min="13056" max="13056" width="9.140625" style="1"/>
    <col min="13057" max="13058" width="9.85546875" style="1" customWidth="1"/>
    <col min="13059" max="13309" width="9.140625" style="1"/>
    <col min="13310" max="13310" width="3.7109375" style="1" customWidth="1"/>
    <col min="13311" max="13311" width="75.7109375" style="1" customWidth="1"/>
    <col min="13312" max="13312" width="9.140625" style="1"/>
    <col min="13313" max="13314" width="9.85546875" style="1" customWidth="1"/>
    <col min="13315" max="13565" width="9.140625" style="1"/>
    <col min="13566" max="13566" width="3.7109375" style="1" customWidth="1"/>
    <col min="13567" max="13567" width="75.7109375" style="1" customWidth="1"/>
    <col min="13568" max="13568" width="9.140625" style="1"/>
    <col min="13569" max="13570" width="9.85546875" style="1" customWidth="1"/>
    <col min="13571" max="13821" width="9.140625" style="1"/>
    <col min="13822" max="13822" width="3.7109375" style="1" customWidth="1"/>
    <col min="13823" max="13823" width="75.7109375" style="1" customWidth="1"/>
    <col min="13824" max="13824" width="9.140625" style="1"/>
    <col min="13825" max="13826" width="9.85546875" style="1" customWidth="1"/>
    <col min="13827" max="14077" width="9.140625" style="1"/>
    <col min="14078" max="14078" width="3.7109375" style="1" customWidth="1"/>
    <col min="14079" max="14079" width="75.7109375" style="1" customWidth="1"/>
    <col min="14080" max="14080" width="9.140625" style="1"/>
    <col min="14081" max="14082" width="9.85546875" style="1" customWidth="1"/>
    <col min="14083" max="14333" width="9.140625" style="1"/>
    <col min="14334" max="14334" width="3.7109375" style="1" customWidth="1"/>
    <col min="14335" max="14335" width="75.7109375" style="1" customWidth="1"/>
    <col min="14336" max="14336" width="9.140625" style="1"/>
    <col min="14337" max="14338" width="9.85546875" style="1" customWidth="1"/>
    <col min="14339" max="14589" width="9.140625" style="1"/>
    <col min="14590" max="14590" width="3.7109375" style="1" customWidth="1"/>
    <col min="14591" max="14591" width="75.7109375" style="1" customWidth="1"/>
    <col min="14592" max="14592" width="9.140625" style="1"/>
    <col min="14593" max="14594" width="9.85546875" style="1" customWidth="1"/>
    <col min="14595" max="14845" width="9.140625" style="1"/>
    <col min="14846" max="14846" width="3.7109375" style="1" customWidth="1"/>
    <col min="14847" max="14847" width="75.7109375" style="1" customWidth="1"/>
    <col min="14848" max="14848" width="9.140625" style="1"/>
    <col min="14849" max="14850" width="9.85546875" style="1" customWidth="1"/>
    <col min="14851" max="15101" width="9.140625" style="1"/>
    <col min="15102" max="15102" width="3.7109375" style="1" customWidth="1"/>
    <col min="15103" max="15103" width="75.7109375" style="1" customWidth="1"/>
    <col min="15104" max="15104" width="9.140625" style="1"/>
    <col min="15105" max="15106" width="9.85546875" style="1" customWidth="1"/>
    <col min="15107" max="15357" width="9.140625" style="1"/>
    <col min="15358" max="15358" width="3.7109375" style="1" customWidth="1"/>
    <col min="15359" max="15359" width="75.7109375" style="1" customWidth="1"/>
    <col min="15360" max="15360" width="9.140625" style="1"/>
    <col min="15361" max="15362" width="9.85546875" style="1" customWidth="1"/>
    <col min="15363" max="15613" width="9.140625" style="1"/>
    <col min="15614" max="15614" width="3.7109375" style="1" customWidth="1"/>
    <col min="15615" max="15615" width="75.7109375" style="1" customWidth="1"/>
    <col min="15616" max="15616" width="9.140625" style="1"/>
    <col min="15617" max="15618" width="9.85546875" style="1" customWidth="1"/>
    <col min="15619" max="15869" width="9.140625" style="1"/>
    <col min="15870" max="15870" width="3.7109375" style="1" customWidth="1"/>
    <col min="15871" max="15871" width="75.7109375" style="1" customWidth="1"/>
    <col min="15872" max="15872" width="9.140625" style="1"/>
    <col min="15873" max="15874" width="9.85546875" style="1" customWidth="1"/>
    <col min="15875" max="16125" width="9.140625" style="1"/>
    <col min="16126" max="16126" width="3.7109375" style="1" customWidth="1"/>
    <col min="16127" max="16127" width="75.7109375" style="1" customWidth="1"/>
    <col min="16128" max="16128" width="9.140625" style="1"/>
    <col min="16129" max="16130" width="9.85546875" style="1" customWidth="1"/>
    <col min="16131" max="16384" width="9.140625" style="1"/>
  </cols>
  <sheetData>
    <row r="1" spans="1:8" ht="13.5">
      <c r="A1" s="1810"/>
      <c r="B1" s="1810"/>
      <c r="C1" s="1810"/>
      <c r="D1" s="1810"/>
      <c r="E1" s="1810"/>
      <c r="F1" s="1810"/>
      <c r="G1" s="3655"/>
      <c r="H1" s="3553" t="str">
        <f>'17. РБА'!G1</f>
        <v>Приложение № 6</v>
      </c>
    </row>
    <row r="2" spans="1:8" s="7" customFormat="1" ht="18.75">
      <c r="A2" s="5604" t="s">
        <v>1566</v>
      </c>
      <c r="B2" s="5604"/>
      <c r="C2" s="5604"/>
      <c r="D2" s="5604"/>
      <c r="E2" s="5604"/>
      <c r="F2" s="5604"/>
      <c r="G2" s="5604"/>
      <c r="H2" s="5604"/>
    </row>
    <row r="3" spans="1:8" s="8" customFormat="1" ht="18.75">
      <c r="A3" s="5605" t="s">
        <v>1020</v>
      </c>
      <c r="B3" s="5605"/>
      <c r="C3" s="5605"/>
      <c r="D3" s="5605"/>
      <c r="E3" s="5605"/>
      <c r="F3" s="5605"/>
      <c r="G3" s="5605"/>
      <c r="H3" s="5605"/>
    </row>
    <row r="4" spans="1:8" s="1448" customFormat="1" ht="15.75" customHeight="1">
      <c r="A4" s="5606" t="str">
        <f>'1. Обща информация'!A4:D4</f>
        <v>на "Водоснабдяване и канализаиця"ООД, гр. Перник</v>
      </c>
      <c r="B4" s="5606"/>
      <c r="C4" s="5606"/>
      <c r="D4" s="5606"/>
      <c r="E4" s="5606"/>
      <c r="F4" s="5606"/>
      <c r="G4" s="5606"/>
      <c r="H4" s="5606"/>
    </row>
    <row r="5" spans="1:8" s="1456" customFormat="1" ht="14.25" customHeight="1" thickBot="1">
      <c r="A5" s="5606" t="str">
        <f>'1. Обща информация'!A5:D5</f>
        <v>ЕИК по БУЛСТАТ: 823073638</v>
      </c>
      <c r="B5" s="5606"/>
      <c r="C5" s="5606"/>
      <c r="D5" s="5606"/>
      <c r="E5" s="5606"/>
      <c r="F5" s="5606"/>
      <c r="G5" s="5606"/>
      <c r="H5" s="5606"/>
    </row>
    <row r="6" spans="1:8" s="1507" customFormat="1" ht="16.5" thickBot="1">
      <c r="A6" s="1449"/>
      <c r="B6" s="1506" t="s">
        <v>1435</v>
      </c>
      <c r="C6" s="5607" t="s">
        <v>1439</v>
      </c>
      <c r="D6" s="5608"/>
      <c r="E6" s="5609"/>
      <c r="F6" s="3756"/>
      <c r="G6" s="3756"/>
      <c r="H6" s="2712"/>
    </row>
    <row r="7" spans="1:8" s="708" customFormat="1" ht="25.5" customHeight="1" thickBot="1">
      <c r="A7" s="1595" t="s">
        <v>1</v>
      </c>
      <c r="B7" s="307" t="s">
        <v>312</v>
      </c>
      <c r="C7" s="307" t="s">
        <v>170</v>
      </c>
      <c r="D7" s="1596" t="str">
        <f>'Приложение '!$C14</f>
        <v>2022 г.</v>
      </c>
      <c r="E7" s="1596" t="str">
        <f>'Приложение '!$C15</f>
        <v>2023 г.</v>
      </c>
      <c r="F7" s="1596" t="str">
        <f>'Приложение '!$C16</f>
        <v>2024 г.</v>
      </c>
      <c r="G7" s="1596" t="str">
        <f>'Приложение '!$C17</f>
        <v>2025 г.</v>
      </c>
      <c r="H7" s="1597" t="str">
        <f>'Приложение '!$C18</f>
        <v>2026 г.</v>
      </c>
    </row>
    <row r="8" spans="1:8" s="708" customFormat="1" ht="12">
      <c r="A8" s="1598" t="s">
        <v>210</v>
      </c>
      <c r="B8" s="1599" t="s">
        <v>314</v>
      </c>
      <c r="C8" s="1600" t="s">
        <v>315</v>
      </c>
      <c r="D8" s="1510">
        <f>SUMIF(B45:B48,C6,C45:C48)</f>
        <v>60</v>
      </c>
      <c r="E8" s="3757">
        <f>+D8</f>
        <v>60</v>
      </c>
      <c r="F8" s="3757">
        <f t="shared" ref="F8:H8" si="0">+E8</f>
        <v>60</v>
      </c>
      <c r="G8" s="3757">
        <f t="shared" si="0"/>
        <v>60</v>
      </c>
      <c r="H8" s="3758">
        <f t="shared" si="0"/>
        <v>60</v>
      </c>
    </row>
    <row r="9" spans="1:8" s="708" customFormat="1" ht="12">
      <c r="A9" s="1592" t="s">
        <v>211</v>
      </c>
      <c r="B9" s="1601" t="s">
        <v>317</v>
      </c>
      <c r="C9" s="1589" t="s">
        <v>318</v>
      </c>
      <c r="D9" s="1602">
        <f>IFERROR(365/D8,0)</f>
        <v>6.083333333333333</v>
      </c>
      <c r="E9" s="1602">
        <f t="shared" ref="E9:H9" si="1">IFERROR(365/E8,0)</f>
        <v>6.083333333333333</v>
      </c>
      <c r="F9" s="1602">
        <f t="shared" si="1"/>
        <v>6.083333333333333</v>
      </c>
      <c r="G9" s="1602">
        <f t="shared" si="1"/>
        <v>6.083333333333333</v>
      </c>
      <c r="H9" s="1603">
        <f t="shared" si="1"/>
        <v>6.083333333333333</v>
      </c>
    </row>
    <row r="10" spans="1:8" s="708" customFormat="1" ht="24">
      <c r="A10" s="1592" t="s">
        <v>224</v>
      </c>
      <c r="B10" s="1593" t="s">
        <v>320</v>
      </c>
      <c r="C10" s="1589" t="s">
        <v>300</v>
      </c>
      <c r="D10" s="1056">
        <f t="shared" ref="D10:G10" si="2">D11-D12</f>
        <v>10177.044335831633</v>
      </c>
      <c r="E10" s="1056">
        <f t="shared" si="2"/>
        <v>10165.803164137378</v>
      </c>
      <c r="F10" s="1056">
        <f t="shared" si="2"/>
        <v>10589.592438916792</v>
      </c>
      <c r="G10" s="1056">
        <f t="shared" si="2"/>
        <v>11284.201205022015</v>
      </c>
      <c r="H10" s="1057">
        <f t="shared" ref="H10" si="3">H11-H12</f>
        <v>11460.260941350278</v>
      </c>
    </row>
    <row r="11" spans="1:8" s="708" customFormat="1" ht="12">
      <c r="A11" s="1588" t="s">
        <v>268</v>
      </c>
      <c r="B11" s="110" t="s">
        <v>321</v>
      </c>
      <c r="C11" s="1589" t="s">
        <v>300</v>
      </c>
      <c r="D11" s="1590">
        <f>'12. Разходи'!D88</f>
        <v>10758.772272327446</v>
      </c>
      <c r="E11" s="1590">
        <f>'12. Разходи'!E88</f>
        <v>10774.357426347238</v>
      </c>
      <c r="F11" s="1590">
        <f>'12. Разходи'!F88</f>
        <v>11258.326140755124</v>
      </c>
      <c r="G11" s="1590">
        <f>'12. Разходи'!G88</f>
        <v>11986.882838469724</v>
      </c>
      <c r="H11" s="1591">
        <f>'12. Разходи'!H88</f>
        <v>12188.304267918858</v>
      </c>
    </row>
    <row r="12" spans="1:8" s="708" customFormat="1" ht="24">
      <c r="A12" s="1588" t="s">
        <v>269</v>
      </c>
      <c r="B12" s="110" t="s">
        <v>654</v>
      </c>
      <c r="C12" s="1589" t="s">
        <v>300</v>
      </c>
      <c r="D12" s="1590">
        <f>'12. Разходи'!D55</f>
        <v>581.72793649581229</v>
      </c>
      <c r="E12" s="1590">
        <f>'12. Разходи'!E55</f>
        <v>608.5542622098601</v>
      </c>
      <c r="F12" s="1590">
        <f>'12. Разходи'!F55</f>
        <v>668.73370183833208</v>
      </c>
      <c r="G12" s="1590">
        <f>'12. Разходи'!G55</f>
        <v>702.6816334477096</v>
      </c>
      <c r="H12" s="1591">
        <f>'12. Разходи'!H55</f>
        <v>728.04332656858128</v>
      </c>
    </row>
    <row r="13" spans="1:8" s="708" customFormat="1" ht="24" customHeight="1">
      <c r="A13" s="1592" t="s">
        <v>226</v>
      </c>
      <c r="B13" s="1593" t="s">
        <v>323</v>
      </c>
      <c r="C13" s="1589" t="s">
        <v>300</v>
      </c>
      <c r="D13" s="1056">
        <f t="shared" ref="D13:G13" si="4">D14-D15</f>
        <v>599.29999999999995</v>
      </c>
      <c r="E13" s="1056">
        <f t="shared" si="4"/>
        <v>649.92899999999997</v>
      </c>
      <c r="F13" s="1056">
        <f t="shared" si="4"/>
        <v>924.45574055800012</v>
      </c>
      <c r="G13" s="1056">
        <f t="shared" si="4"/>
        <v>974.58574055800011</v>
      </c>
      <c r="H13" s="1057">
        <f t="shared" ref="H13" si="5">H14-H15</f>
        <v>1013.2157405580001</v>
      </c>
    </row>
    <row r="14" spans="1:8" s="708" customFormat="1" ht="12">
      <c r="A14" s="1588" t="s">
        <v>572</v>
      </c>
      <c r="B14" s="110" t="s">
        <v>321</v>
      </c>
      <c r="C14" s="1589" t="s">
        <v>300</v>
      </c>
      <c r="D14" s="1590">
        <f>'12. Разходи'!L88</f>
        <v>696.80238381462857</v>
      </c>
      <c r="E14" s="1590">
        <f>'12. Разходи'!M88</f>
        <v>787.27424856464017</v>
      </c>
      <c r="F14" s="1590">
        <f>'12. Разходи'!N88</f>
        <v>1113.6251684045021</v>
      </c>
      <c r="G14" s="1590">
        <f>'12. Разходи'!O88</f>
        <v>1357.7829176987436</v>
      </c>
      <c r="H14" s="1591">
        <f>'12. Разходи'!P88</f>
        <v>1393.9853830056149</v>
      </c>
    </row>
    <row r="15" spans="1:8" s="708" customFormat="1" ht="24">
      <c r="A15" s="1588" t="s">
        <v>573</v>
      </c>
      <c r="B15" s="110" t="s">
        <v>654</v>
      </c>
      <c r="C15" s="1589" t="s">
        <v>300</v>
      </c>
      <c r="D15" s="1594">
        <f>'12. Разходи'!L55</f>
        <v>97.502383814628615</v>
      </c>
      <c r="E15" s="1594">
        <f>'12. Разходи'!M55</f>
        <v>137.3452485646402</v>
      </c>
      <c r="F15" s="1594">
        <f>'12. Разходи'!N55</f>
        <v>189.169427846502</v>
      </c>
      <c r="G15" s="1594">
        <f>'12. Разходи'!O55</f>
        <v>383.19717714074352</v>
      </c>
      <c r="H15" s="1591">
        <f>'12. Разходи'!P55</f>
        <v>380.7696424476149</v>
      </c>
    </row>
    <row r="16" spans="1:8" s="708" customFormat="1" ht="24">
      <c r="A16" s="1592" t="s">
        <v>313</v>
      </c>
      <c r="B16" s="1593" t="s">
        <v>324</v>
      </c>
      <c r="C16" s="1589" t="s">
        <v>300</v>
      </c>
      <c r="D16" s="1056">
        <f t="shared" ref="D16:G16" si="6">D17-D18</f>
        <v>1598.7602052608863</v>
      </c>
      <c r="E16" s="1056">
        <f t="shared" si="6"/>
        <v>1776.1227699217679</v>
      </c>
      <c r="F16" s="1056">
        <f t="shared" si="6"/>
        <v>2054.0666697167153</v>
      </c>
      <c r="G16" s="1056">
        <f t="shared" si="6"/>
        <v>2120.6561208916837</v>
      </c>
      <c r="H16" s="1057">
        <f t="shared" ref="H16" si="7">H17-H18</f>
        <v>2162.2271069507406</v>
      </c>
    </row>
    <row r="17" spans="1:14" s="708" customFormat="1" ht="12">
      <c r="A17" s="1588" t="s">
        <v>574</v>
      </c>
      <c r="B17" s="110" t="s">
        <v>321</v>
      </c>
      <c r="C17" s="1589" t="s">
        <v>300</v>
      </c>
      <c r="D17" s="1590">
        <f>'12. Разходи'!T88</f>
        <v>1643.3104249504454</v>
      </c>
      <c r="E17" s="1590">
        <f>'12. Разходи'!U88</f>
        <v>1871.0008091472678</v>
      </c>
      <c r="F17" s="1590">
        <f>'12. Разходи'!V88</f>
        <v>2173.2061900318813</v>
      </c>
      <c r="G17" s="1590">
        <f>'12. Разходи'!W88</f>
        <v>2323.5649603032307</v>
      </c>
      <c r="H17" s="1591">
        <f>'12. Разходи'!X88</f>
        <v>2365.5637879345445</v>
      </c>
    </row>
    <row r="18" spans="1:14" s="708" customFormat="1" ht="24.75" thickBot="1">
      <c r="A18" s="1604" t="s">
        <v>575</v>
      </c>
      <c r="B18" s="1605" t="s">
        <v>654</v>
      </c>
      <c r="C18" s="1606" t="s">
        <v>300</v>
      </c>
      <c r="D18" s="1607">
        <f>'12. Разходи'!T55</f>
        <v>44.550219689559114</v>
      </c>
      <c r="E18" s="1607">
        <f>'12. Разходи'!U55</f>
        <v>94.878039225499847</v>
      </c>
      <c r="F18" s="1607">
        <f>'12. Разходи'!V55</f>
        <v>119.13952031516604</v>
      </c>
      <c r="G18" s="1607">
        <f>'12. Разходи'!W55</f>
        <v>202.90883941154715</v>
      </c>
      <c r="H18" s="1608">
        <f>'12. Разходи'!X55</f>
        <v>203.33668098380389</v>
      </c>
      <c r="N18" s="1609"/>
    </row>
    <row r="19" spans="1:14" s="708" customFormat="1" ht="24">
      <c r="A19" s="1610" t="s">
        <v>316</v>
      </c>
      <c r="B19" s="1611" t="s">
        <v>1265</v>
      </c>
      <c r="C19" s="1612" t="s">
        <v>300</v>
      </c>
      <c r="D19" s="1613">
        <f t="shared" ref="D19:H19" si="8">D20-D21</f>
        <v>175.27175261600004</v>
      </c>
      <c r="E19" s="1613">
        <f t="shared" si="8"/>
        <v>243.76916233600002</v>
      </c>
      <c r="F19" s="1613">
        <f t="shared" si="8"/>
        <v>241.74354517800001</v>
      </c>
      <c r="G19" s="1613">
        <f t="shared" si="8"/>
        <v>239.29330779600002</v>
      </c>
      <c r="H19" s="1614">
        <f t="shared" si="8"/>
        <v>236.82592646600003</v>
      </c>
    </row>
    <row r="20" spans="1:14" s="708" customFormat="1" ht="12">
      <c r="A20" s="1615" t="s">
        <v>964</v>
      </c>
      <c r="B20" s="110" t="s">
        <v>321</v>
      </c>
      <c r="C20" s="1589" t="s">
        <v>300</v>
      </c>
      <c r="D20" s="1590">
        <f>'12. Разходи'!AB88</f>
        <v>176.14488261600005</v>
      </c>
      <c r="E20" s="1590">
        <f>'12. Разходи'!AC88</f>
        <v>244.74229233600002</v>
      </c>
      <c r="F20" s="1590">
        <f>'12. Разходи'!AD88</f>
        <v>241.966675178</v>
      </c>
      <c r="G20" s="1590">
        <f>'12. Разходи'!AE88</f>
        <v>239.51643779600002</v>
      </c>
      <c r="H20" s="1591">
        <f>'12. Разходи'!AF88</f>
        <v>237.04905646600002</v>
      </c>
    </row>
    <row r="21" spans="1:14" s="708" customFormat="1" ht="24">
      <c r="A21" s="1615" t="s">
        <v>965</v>
      </c>
      <c r="B21" s="110" t="s">
        <v>654</v>
      </c>
      <c r="C21" s="1589" t="s">
        <v>300</v>
      </c>
      <c r="D21" s="1590">
        <f>'12. Разходи'!AB55</f>
        <v>0.87313000000000018</v>
      </c>
      <c r="E21" s="1590">
        <f>'12. Разходи'!AC55</f>
        <v>0.97313000000000027</v>
      </c>
      <c r="F21" s="1590">
        <f>'12. Разходи'!AD55</f>
        <v>0.22313</v>
      </c>
      <c r="G21" s="1590">
        <f>'12. Разходи'!AE55</f>
        <v>0.22313</v>
      </c>
      <c r="H21" s="1591">
        <f>'12. Разходи'!AF55</f>
        <v>0.22313</v>
      </c>
    </row>
    <row r="22" spans="1:14" s="708" customFormat="1" ht="24">
      <c r="A22" s="1616" t="s">
        <v>319</v>
      </c>
      <c r="B22" s="1593" t="s">
        <v>1266</v>
      </c>
      <c r="C22" s="1589" t="s">
        <v>300</v>
      </c>
      <c r="D22" s="1056">
        <f t="shared" ref="D22:H22" si="9">D23-D24</f>
        <v>0</v>
      </c>
      <c r="E22" s="1056">
        <f t="shared" si="9"/>
        <v>0</v>
      </c>
      <c r="F22" s="1056">
        <f t="shared" si="9"/>
        <v>0</v>
      </c>
      <c r="G22" s="1056">
        <f t="shared" si="9"/>
        <v>0</v>
      </c>
      <c r="H22" s="1057">
        <f t="shared" si="9"/>
        <v>0</v>
      </c>
    </row>
    <row r="23" spans="1:14" s="708" customFormat="1" ht="12">
      <c r="A23" s="1615" t="s">
        <v>966</v>
      </c>
      <c r="B23" s="110" t="s">
        <v>321</v>
      </c>
      <c r="C23" s="1589" t="s">
        <v>300</v>
      </c>
      <c r="D23" s="1590">
        <f>'12. Разходи'!AJ88</f>
        <v>0</v>
      </c>
      <c r="E23" s="1590">
        <f>'12. Разходи'!AK88</f>
        <v>0</v>
      </c>
      <c r="F23" s="1590">
        <f>'12. Разходи'!AL88</f>
        <v>0</v>
      </c>
      <c r="G23" s="1590">
        <f>'12. Разходи'!AM88</f>
        <v>0</v>
      </c>
      <c r="H23" s="1591">
        <f>'12. Разходи'!AN88</f>
        <v>0</v>
      </c>
    </row>
    <row r="24" spans="1:14" s="708" customFormat="1" ht="24.75" thickBot="1">
      <c r="A24" s="1615" t="s">
        <v>967</v>
      </c>
      <c r="B24" s="110" t="s">
        <v>654</v>
      </c>
      <c r="C24" s="1589" t="s">
        <v>300</v>
      </c>
      <c r="D24" s="1590">
        <f>'12. Разходи'!AJ55</f>
        <v>0</v>
      </c>
      <c r="E24" s="1590">
        <f>'12. Разходи'!AK55</f>
        <v>0</v>
      </c>
      <c r="F24" s="1590">
        <f>'12. Разходи'!AL55</f>
        <v>0</v>
      </c>
      <c r="G24" s="1590">
        <f>'12. Разходи'!AM55</f>
        <v>0</v>
      </c>
      <c r="H24" s="1591">
        <f>'12. Разходи'!AN55</f>
        <v>0</v>
      </c>
    </row>
    <row r="25" spans="1:14" s="708" customFormat="1" thickBot="1">
      <c r="A25" s="1617" t="s">
        <v>322</v>
      </c>
      <c r="B25" s="1618" t="s">
        <v>325</v>
      </c>
      <c r="C25" s="1619" t="s">
        <v>300</v>
      </c>
      <c r="D25" s="1620">
        <f>IFERROR(D10/D9,0)</f>
        <v>1672.9387949312274</v>
      </c>
      <c r="E25" s="1620">
        <f t="shared" ref="E25:H25" si="10">IFERROR(E10/E9,0)</f>
        <v>1671.0909310910758</v>
      </c>
      <c r="F25" s="1620">
        <f t="shared" si="10"/>
        <v>1740.754921465774</v>
      </c>
      <c r="G25" s="1620">
        <f t="shared" si="10"/>
        <v>1854.9371843871807</v>
      </c>
      <c r="H25" s="1621">
        <f t="shared" si="10"/>
        <v>1883.8785109068951</v>
      </c>
    </row>
    <row r="26" spans="1:14" s="1622" customFormat="1" thickBot="1">
      <c r="A26" s="1617" t="s">
        <v>1261</v>
      </c>
      <c r="B26" s="1618" t="s">
        <v>326</v>
      </c>
      <c r="C26" s="1619" t="s">
        <v>300</v>
      </c>
      <c r="D26" s="1620">
        <f>IFERROR(D13/D9,0)</f>
        <v>98.515068493150679</v>
      </c>
      <c r="E26" s="1620">
        <f t="shared" ref="E26:H26" si="11">IFERROR(E13/E9,0)</f>
        <v>106.83764383561643</v>
      </c>
      <c r="F26" s="1620">
        <f t="shared" si="11"/>
        <v>151.96532721501373</v>
      </c>
      <c r="G26" s="1620">
        <f t="shared" si="11"/>
        <v>160.20587516021919</v>
      </c>
      <c r="H26" s="1621">
        <f t="shared" si="11"/>
        <v>166.55601214652057</v>
      </c>
    </row>
    <row r="27" spans="1:14" s="1622" customFormat="1" thickBot="1">
      <c r="A27" s="1617" t="s">
        <v>1263</v>
      </c>
      <c r="B27" s="1618" t="s">
        <v>327</v>
      </c>
      <c r="C27" s="1619" t="s">
        <v>300</v>
      </c>
      <c r="D27" s="1620">
        <f>IFERROR(D16/D9,0)</f>
        <v>262.8098967552142</v>
      </c>
      <c r="E27" s="1620">
        <f t="shared" ref="E27:H27" si="12">IFERROR(E16/E9,0)</f>
        <v>291.96538683645502</v>
      </c>
      <c r="F27" s="1620">
        <f t="shared" si="12"/>
        <v>337.65479502192579</v>
      </c>
      <c r="G27" s="1620">
        <f t="shared" si="12"/>
        <v>348.60100617397541</v>
      </c>
      <c r="H27" s="1621">
        <f t="shared" si="12"/>
        <v>355.43459292340941</v>
      </c>
    </row>
    <row r="28" spans="1:14" s="1622" customFormat="1" thickBot="1">
      <c r="A28" s="1617" t="s">
        <v>1267</v>
      </c>
      <c r="B28" s="1618" t="s">
        <v>1262</v>
      </c>
      <c r="C28" s="1619" t="s">
        <v>300</v>
      </c>
      <c r="D28" s="1620">
        <f>IFERROR(D19/D9,0)</f>
        <v>28.811794950575351</v>
      </c>
      <c r="E28" s="1620">
        <f t="shared" ref="E28:H28" si="13">IFERROR(E19/E9,0)</f>
        <v>40.071643123726034</v>
      </c>
      <c r="F28" s="1620">
        <f t="shared" si="13"/>
        <v>39.738664960767125</v>
      </c>
      <c r="G28" s="1620">
        <f t="shared" si="13"/>
        <v>39.3358862130411</v>
      </c>
      <c r="H28" s="1623">
        <f t="shared" si="13"/>
        <v>38.9302892820822</v>
      </c>
    </row>
    <row r="29" spans="1:14" s="708" customFormat="1" thickBot="1">
      <c r="A29" s="1617" t="s">
        <v>1268</v>
      </c>
      <c r="B29" s="1618" t="s">
        <v>1264</v>
      </c>
      <c r="C29" s="1619" t="s">
        <v>300</v>
      </c>
      <c r="D29" s="1620">
        <f>IFERROR(D22/D9,0)</f>
        <v>0</v>
      </c>
      <c r="E29" s="1620">
        <f t="shared" ref="E29:H29" si="14">IFERROR(E22/E9,0)</f>
        <v>0</v>
      </c>
      <c r="F29" s="1620">
        <f t="shared" si="14"/>
        <v>0</v>
      </c>
      <c r="G29" s="1620">
        <f t="shared" si="14"/>
        <v>0</v>
      </c>
      <c r="H29" s="1623">
        <f t="shared" si="14"/>
        <v>0</v>
      </c>
    </row>
    <row r="30" spans="1:14" s="75" customFormat="1" ht="14.25">
      <c r="A30" s="685"/>
      <c r="B30" s="686"/>
      <c r="C30" s="687"/>
      <c r="D30" s="688"/>
      <c r="E30" s="688"/>
      <c r="F30" s="688"/>
      <c r="G30" s="688"/>
      <c r="H30" s="688"/>
    </row>
    <row r="31" spans="1:14" s="75" customFormat="1" ht="14.25">
      <c r="A31" s="685"/>
      <c r="B31" s="686"/>
      <c r="C31" s="687"/>
      <c r="D31" s="688"/>
      <c r="E31" s="688"/>
      <c r="F31" s="688"/>
      <c r="G31" s="688"/>
      <c r="H31" s="688"/>
    </row>
    <row r="32" spans="1:14" s="75" customFormat="1" ht="14.25">
      <c r="A32" s="685"/>
      <c r="B32" s="4033" t="str">
        <f>'Приложение '!B81</f>
        <v>Дата: 24 юни 2021 година</v>
      </c>
      <c r="C32" s="687"/>
      <c r="D32" s="688"/>
      <c r="E32" s="688"/>
      <c r="F32" s="688"/>
      <c r="G32" s="688"/>
      <c r="H32" s="688"/>
    </row>
    <row r="33" spans="1:8">
      <c r="A33" s="1459"/>
      <c r="B33" s="4032"/>
      <c r="C33" s="1810"/>
      <c r="D33" s="3359"/>
      <c r="E33" s="3759" t="str">
        <f>'Приложение '!C81</f>
        <v xml:space="preserve">Гл. счетоводител/Фин.директор: </v>
      </c>
      <c r="F33" s="1895" t="str">
        <f>'Приложение '!D81</f>
        <v>..............................................</v>
      </c>
      <c r="G33" s="1810"/>
      <c r="H33" s="1810"/>
    </row>
    <row r="34" spans="1:8">
      <c r="A34" s="1810"/>
      <c r="B34" s="1810"/>
      <c r="C34" s="1810"/>
      <c r="D34" s="3362"/>
      <c r="E34" s="3518"/>
      <c r="F34" s="4524" t="str">
        <f>'Приложение '!D82</f>
        <v>(подпис)</v>
      </c>
      <c r="G34" s="1810"/>
      <c r="H34" s="1810"/>
    </row>
    <row r="35" spans="1:8">
      <c r="A35" s="1810"/>
      <c r="B35" s="1810"/>
      <c r="C35" s="1810"/>
      <c r="D35" s="3362"/>
      <c r="E35" s="1895"/>
      <c r="F35" s="3353"/>
      <c r="G35" s="1810"/>
      <c r="H35" s="1810"/>
    </row>
    <row r="36" spans="1:8">
      <c r="A36" s="1810"/>
      <c r="B36" s="1810"/>
      <c r="C36" s="1810"/>
      <c r="D36" s="3362"/>
      <c r="E36" s="1895"/>
      <c r="F36" s="3353"/>
      <c r="G36" s="1810"/>
      <c r="H36" s="1810"/>
    </row>
    <row r="37" spans="1:8">
      <c r="A37" s="1810"/>
      <c r="B37" s="1810"/>
      <c r="C37" s="1810"/>
      <c r="D37" s="3362"/>
      <c r="E37" s="1810"/>
      <c r="F37" s="3353"/>
      <c r="G37" s="1810"/>
      <c r="H37" s="1810"/>
    </row>
    <row r="38" spans="1:8">
      <c r="A38" s="1810"/>
      <c r="B38" s="1810"/>
      <c r="C38" s="1810"/>
      <c r="D38" s="1810"/>
      <c r="E38" s="1889" t="str">
        <f>'Приложение '!C85</f>
        <v xml:space="preserve">Управител/Изп.директор: </v>
      </c>
      <c r="F38" s="1895" t="str">
        <f>'Приложение '!D85</f>
        <v>.............................................</v>
      </c>
      <c r="G38" s="1810"/>
      <c r="H38" s="1810"/>
    </row>
    <row r="39" spans="1:8">
      <c r="A39" s="1810"/>
      <c r="B39" s="1810"/>
      <c r="C39" s="4519"/>
      <c r="D39" s="3519"/>
      <c r="E39" s="3518"/>
      <c r="F39" s="4524" t="str">
        <f>'Приложение '!D86</f>
        <v>(подпис и печат)</v>
      </c>
      <c r="G39" s="1810"/>
      <c r="H39" s="1810"/>
    </row>
    <row r="40" spans="1:8">
      <c r="A40" s="5550" t="s">
        <v>191</v>
      </c>
      <c r="B40" s="5550"/>
      <c r="C40" s="5550"/>
      <c r="D40" s="1913"/>
      <c r="E40" s="1913"/>
      <c r="F40" s="1913"/>
      <c r="G40" s="1913"/>
      <c r="H40" s="1913"/>
    </row>
    <row r="41" spans="1:8">
      <c r="A41" s="5551" t="s">
        <v>1933</v>
      </c>
      <c r="B41" s="5551"/>
      <c r="C41" s="5551"/>
      <c r="D41" s="5551"/>
      <c r="E41" s="5551"/>
      <c r="F41" s="5551"/>
      <c r="G41" s="5551"/>
      <c r="H41" s="5551"/>
    </row>
    <row r="42" spans="1:8">
      <c r="A42" s="5551" t="s">
        <v>1931</v>
      </c>
      <c r="B42" s="5551"/>
      <c r="C42" s="5551"/>
      <c r="D42" s="5551"/>
      <c r="E42" s="5551"/>
      <c r="F42" s="5551"/>
      <c r="G42" s="5551"/>
      <c r="H42" s="5551"/>
    </row>
    <row r="43" spans="1:8" ht="15.75" customHeight="1">
      <c r="A43" s="5610" t="s">
        <v>1</v>
      </c>
      <c r="B43" s="5602" t="s">
        <v>1437</v>
      </c>
      <c r="C43" s="3760" t="s">
        <v>1450</v>
      </c>
      <c r="D43" s="1941"/>
      <c r="E43" s="1941"/>
      <c r="F43" s="1941"/>
      <c r="G43" s="1941"/>
      <c r="H43" s="1941"/>
    </row>
    <row r="44" spans="1:8" ht="12.75" customHeight="1">
      <c r="A44" s="5611"/>
      <c r="B44" s="5603"/>
      <c r="C44" s="3761" t="s">
        <v>1449</v>
      </c>
      <c r="D44" s="1941"/>
      <c r="E44" s="1941"/>
      <c r="F44" s="1941"/>
      <c r="G44" s="1941"/>
      <c r="H44" s="1941"/>
    </row>
    <row r="45" spans="1:8">
      <c r="A45" s="3762">
        <v>1</v>
      </c>
      <c r="B45" s="1508" t="s">
        <v>1438</v>
      </c>
      <c r="C45" s="322"/>
      <c r="D45" s="1941"/>
      <c r="E45" s="1941"/>
      <c r="F45" s="1941"/>
      <c r="G45" s="1941"/>
      <c r="H45" s="1941"/>
    </row>
    <row r="46" spans="1:8">
      <c r="A46" s="3762">
        <v>2</v>
      </c>
      <c r="B46" s="1508" t="s">
        <v>1439</v>
      </c>
      <c r="C46" s="322">
        <v>60</v>
      </c>
      <c r="D46" s="1913"/>
      <c r="E46" s="1913"/>
      <c r="F46" s="1913"/>
      <c r="G46" s="1913"/>
      <c r="H46" s="1913"/>
    </row>
    <row r="47" spans="1:8">
      <c r="A47" s="1520">
        <v>3</v>
      </c>
      <c r="B47" s="1508" t="s">
        <v>1436</v>
      </c>
      <c r="C47" s="322"/>
      <c r="D47" s="1810"/>
      <c r="E47" s="1810"/>
      <c r="F47" s="1810"/>
      <c r="G47" s="1810"/>
      <c r="H47" s="1810"/>
    </row>
    <row r="48" spans="1:8" ht="13.5" thickBot="1">
      <c r="A48" s="1521">
        <v>4</v>
      </c>
      <c r="B48" s="1509" t="s">
        <v>1440</v>
      </c>
      <c r="C48" s="322"/>
      <c r="D48" s="1810"/>
      <c r="E48" s="1810"/>
      <c r="F48" s="1810"/>
      <c r="G48" s="1810"/>
      <c r="H48" s="1810"/>
    </row>
  </sheetData>
  <sheetProtection password="EB75" sheet="1" objects="1" scenarios="1" formatCells="0" formatColumns="0" formatRows="0"/>
  <mergeCells count="10">
    <mergeCell ref="A40:C40"/>
    <mergeCell ref="B43:B44"/>
    <mergeCell ref="A2:H2"/>
    <mergeCell ref="A3:H3"/>
    <mergeCell ref="A4:H4"/>
    <mergeCell ref="A5:H5"/>
    <mergeCell ref="C6:E6"/>
    <mergeCell ref="A43:A44"/>
    <mergeCell ref="A42:H42"/>
    <mergeCell ref="A41:H41"/>
  </mergeCells>
  <dataValidations count="1">
    <dataValidation type="list" allowBlank="1" showInputMessage="1" showErrorMessage="1" sqref="C6:E6">
      <formula1>$B$45:$B$49</formula1>
    </dataValidation>
  </dataValidations>
  <printOptions horizontalCentered="1" verticalCentered="1"/>
  <pageMargins left="0.59055118110236227" right="0.11811023622047245" top="0.39370078740157483" bottom="0.39370078740157483" header="0.51181102362204722" footer="0.51181102362204722"/>
  <pageSetup paperSize="9" scale="95" orientation="portrait"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I48"/>
  <sheetViews>
    <sheetView showGridLines="0" view="pageBreakPreview" topLeftCell="A16" zoomScale="115" zoomScaleNormal="110" zoomScaleSheetLayoutView="115" workbookViewId="0">
      <selection activeCell="C38" sqref="C38:E38"/>
    </sheetView>
  </sheetViews>
  <sheetFormatPr defaultColWidth="11.42578125" defaultRowHeight="12"/>
  <cols>
    <col min="1" max="1" width="4.5703125" style="10" customWidth="1"/>
    <col min="2" max="2" width="66.42578125" style="10" customWidth="1"/>
    <col min="3" max="3" width="8.7109375" style="10" customWidth="1"/>
    <col min="4" max="4" width="9.85546875" style="1437" customWidth="1"/>
    <col min="5" max="5" width="9.140625" style="1437" customWidth="1"/>
    <col min="6" max="6" width="8.7109375" style="1437" customWidth="1"/>
    <col min="7" max="8" width="8.7109375" style="10" customWidth="1"/>
    <col min="9" max="9" width="11.42578125" style="10"/>
    <col min="10" max="10" width="12" style="10" bestFit="1" customWidth="1"/>
    <col min="11" max="253" width="11.42578125" style="10"/>
    <col min="254" max="254" width="4.5703125" style="10" customWidth="1"/>
    <col min="255" max="255" width="70.7109375" style="10" customWidth="1"/>
    <col min="256" max="256" width="8.7109375" style="10" customWidth="1"/>
    <col min="257" max="258" width="10.7109375" style="10" customWidth="1"/>
    <col min="259" max="259" width="10.85546875" style="10" customWidth="1"/>
    <col min="260" max="261" width="10.42578125" style="10" customWidth="1"/>
    <col min="262" max="509" width="11.42578125" style="10"/>
    <col min="510" max="510" width="4.5703125" style="10" customWidth="1"/>
    <col min="511" max="511" width="70.7109375" style="10" customWidth="1"/>
    <col min="512" max="512" width="8.7109375" style="10" customWidth="1"/>
    <col min="513" max="514" width="10.7109375" style="10" customWidth="1"/>
    <col min="515" max="515" width="10.85546875" style="10" customWidth="1"/>
    <col min="516" max="517" width="10.42578125" style="10" customWidth="1"/>
    <col min="518" max="765" width="11.42578125" style="10"/>
    <col min="766" max="766" width="4.5703125" style="10" customWidth="1"/>
    <col min="767" max="767" width="70.7109375" style="10" customWidth="1"/>
    <col min="768" max="768" width="8.7109375" style="10" customWidth="1"/>
    <col min="769" max="770" width="10.7109375" style="10" customWidth="1"/>
    <col min="771" max="771" width="10.85546875" style="10" customWidth="1"/>
    <col min="772" max="773" width="10.42578125" style="10" customWidth="1"/>
    <col min="774" max="1021" width="11.42578125" style="10"/>
    <col min="1022" max="1022" width="4.5703125" style="10" customWidth="1"/>
    <col min="1023" max="1023" width="70.7109375" style="10" customWidth="1"/>
    <col min="1024" max="1024" width="8.7109375" style="10" customWidth="1"/>
    <col min="1025" max="1026" width="10.7109375" style="10" customWidth="1"/>
    <col min="1027" max="1027" width="10.85546875" style="10" customWidth="1"/>
    <col min="1028" max="1029" width="10.42578125" style="10" customWidth="1"/>
    <col min="1030" max="1277" width="11.42578125" style="10"/>
    <col min="1278" max="1278" width="4.5703125" style="10" customWidth="1"/>
    <col min="1279" max="1279" width="70.7109375" style="10" customWidth="1"/>
    <col min="1280" max="1280" width="8.7109375" style="10" customWidth="1"/>
    <col min="1281" max="1282" width="10.7109375" style="10" customWidth="1"/>
    <col min="1283" max="1283" width="10.85546875" style="10" customWidth="1"/>
    <col min="1284" max="1285" width="10.42578125" style="10" customWidth="1"/>
    <col min="1286" max="1533" width="11.42578125" style="10"/>
    <col min="1534" max="1534" width="4.5703125" style="10" customWidth="1"/>
    <col min="1535" max="1535" width="70.7109375" style="10" customWidth="1"/>
    <col min="1536" max="1536" width="8.7109375" style="10" customWidth="1"/>
    <col min="1537" max="1538" width="10.7109375" style="10" customWidth="1"/>
    <col min="1539" max="1539" width="10.85546875" style="10" customWidth="1"/>
    <col min="1540" max="1541" width="10.42578125" style="10" customWidth="1"/>
    <col min="1542" max="1789" width="11.42578125" style="10"/>
    <col min="1790" max="1790" width="4.5703125" style="10" customWidth="1"/>
    <col min="1791" max="1791" width="70.7109375" style="10" customWidth="1"/>
    <col min="1792" max="1792" width="8.7109375" style="10" customWidth="1"/>
    <col min="1793" max="1794" width="10.7109375" style="10" customWidth="1"/>
    <col min="1795" max="1795" width="10.85546875" style="10" customWidth="1"/>
    <col min="1796" max="1797" width="10.42578125" style="10" customWidth="1"/>
    <col min="1798" max="2045" width="11.42578125" style="10"/>
    <col min="2046" max="2046" width="4.5703125" style="10" customWidth="1"/>
    <col min="2047" max="2047" width="70.7109375" style="10" customWidth="1"/>
    <col min="2048" max="2048" width="8.7109375" style="10" customWidth="1"/>
    <col min="2049" max="2050" width="10.7109375" style="10" customWidth="1"/>
    <col min="2051" max="2051" width="10.85546875" style="10" customWidth="1"/>
    <col min="2052" max="2053" width="10.42578125" style="10" customWidth="1"/>
    <col min="2054" max="2301" width="11.42578125" style="10"/>
    <col min="2302" max="2302" width="4.5703125" style="10" customWidth="1"/>
    <col min="2303" max="2303" width="70.7109375" style="10" customWidth="1"/>
    <col min="2304" max="2304" width="8.7109375" style="10" customWidth="1"/>
    <col min="2305" max="2306" width="10.7109375" style="10" customWidth="1"/>
    <col min="2307" max="2307" width="10.85546875" style="10" customWidth="1"/>
    <col min="2308" max="2309" width="10.42578125" style="10" customWidth="1"/>
    <col min="2310" max="2557" width="11.42578125" style="10"/>
    <col min="2558" max="2558" width="4.5703125" style="10" customWidth="1"/>
    <col min="2559" max="2559" width="70.7109375" style="10" customWidth="1"/>
    <col min="2560" max="2560" width="8.7109375" style="10" customWidth="1"/>
    <col min="2561" max="2562" width="10.7109375" style="10" customWidth="1"/>
    <col min="2563" max="2563" width="10.85546875" style="10" customWidth="1"/>
    <col min="2564" max="2565" width="10.42578125" style="10" customWidth="1"/>
    <col min="2566" max="2813" width="11.42578125" style="10"/>
    <col min="2814" max="2814" width="4.5703125" style="10" customWidth="1"/>
    <col min="2815" max="2815" width="70.7109375" style="10" customWidth="1"/>
    <col min="2816" max="2816" width="8.7109375" style="10" customWidth="1"/>
    <col min="2817" max="2818" width="10.7109375" style="10" customWidth="1"/>
    <col min="2819" max="2819" width="10.85546875" style="10" customWidth="1"/>
    <col min="2820" max="2821" width="10.42578125" style="10" customWidth="1"/>
    <col min="2822" max="3069" width="11.42578125" style="10"/>
    <col min="3070" max="3070" width="4.5703125" style="10" customWidth="1"/>
    <col min="3071" max="3071" width="70.7109375" style="10" customWidth="1"/>
    <col min="3072" max="3072" width="8.7109375" style="10" customWidth="1"/>
    <col min="3073" max="3074" width="10.7109375" style="10" customWidth="1"/>
    <col min="3075" max="3075" width="10.85546875" style="10" customWidth="1"/>
    <col min="3076" max="3077" width="10.42578125" style="10" customWidth="1"/>
    <col min="3078" max="3325" width="11.42578125" style="10"/>
    <col min="3326" max="3326" width="4.5703125" style="10" customWidth="1"/>
    <col min="3327" max="3327" width="70.7109375" style="10" customWidth="1"/>
    <col min="3328" max="3328" width="8.7109375" style="10" customWidth="1"/>
    <col min="3329" max="3330" width="10.7109375" style="10" customWidth="1"/>
    <col min="3331" max="3331" width="10.85546875" style="10" customWidth="1"/>
    <col min="3332" max="3333" width="10.42578125" style="10" customWidth="1"/>
    <col min="3334" max="3581" width="11.42578125" style="10"/>
    <col min="3582" max="3582" width="4.5703125" style="10" customWidth="1"/>
    <col min="3583" max="3583" width="70.7109375" style="10" customWidth="1"/>
    <col min="3584" max="3584" width="8.7109375" style="10" customWidth="1"/>
    <col min="3585" max="3586" width="10.7109375" style="10" customWidth="1"/>
    <col min="3587" max="3587" width="10.85546875" style="10" customWidth="1"/>
    <col min="3588" max="3589" width="10.42578125" style="10" customWidth="1"/>
    <col min="3590" max="3837" width="11.42578125" style="10"/>
    <col min="3838" max="3838" width="4.5703125" style="10" customWidth="1"/>
    <col min="3839" max="3839" width="70.7109375" style="10" customWidth="1"/>
    <col min="3840" max="3840" width="8.7109375" style="10" customWidth="1"/>
    <col min="3841" max="3842" width="10.7109375" style="10" customWidth="1"/>
    <col min="3843" max="3843" width="10.85546875" style="10" customWidth="1"/>
    <col min="3844" max="3845" width="10.42578125" style="10" customWidth="1"/>
    <col min="3846" max="4093" width="11.42578125" style="10"/>
    <col min="4094" max="4094" width="4.5703125" style="10" customWidth="1"/>
    <col min="4095" max="4095" width="70.7109375" style="10" customWidth="1"/>
    <col min="4096" max="4096" width="8.7109375" style="10" customWidth="1"/>
    <col min="4097" max="4098" width="10.7109375" style="10" customWidth="1"/>
    <col min="4099" max="4099" width="10.85546875" style="10" customWidth="1"/>
    <col min="4100" max="4101" width="10.42578125" style="10" customWidth="1"/>
    <col min="4102" max="4349" width="11.42578125" style="10"/>
    <col min="4350" max="4350" width="4.5703125" style="10" customWidth="1"/>
    <col min="4351" max="4351" width="70.7109375" style="10" customWidth="1"/>
    <col min="4352" max="4352" width="8.7109375" style="10" customWidth="1"/>
    <col min="4353" max="4354" width="10.7109375" style="10" customWidth="1"/>
    <col min="4355" max="4355" width="10.85546875" style="10" customWidth="1"/>
    <col min="4356" max="4357" width="10.42578125" style="10" customWidth="1"/>
    <col min="4358" max="4605" width="11.42578125" style="10"/>
    <col min="4606" max="4606" width="4.5703125" style="10" customWidth="1"/>
    <col min="4607" max="4607" width="70.7109375" style="10" customWidth="1"/>
    <col min="4608" max="4608" width="8.7109375" style="10" customWidth="1"/>
    <col min="4609" max="4610" width="10.7109375" style="10" customWidth="1"/>
    <col min="4611" max="4611" width="10.85546875" style="10" customWidth="1"/>
    <col min="4612" max="4613" width="10.42578125" style="10" customWidth="1"/>
    <col min="4614" max="4861" width="11.42578125" style="10"/>
    <col min="4862" max="4862" width="4.5703125" style="10" customWidth="1"/>
    <col min="4863" max="4863" width="70.7109375" style="10" customWidth="1"/>
    <col min="4864" max="4864" width="8.7109375" style="10" customWidth="1"/>
    <col min="4865" max="4866" width="10.7109375" style="10" customWidth="1"/>
    <col min="4867" max="4867" width="10.85546875" style="10" customWidth="1"/>
    <col min="4868" max="4869" width="10.42578125" style="10" customWidth="1"/>
    <col min="4870" max="5117" width="11.42578125" style="10"/>
    <col min="5118" max="5118" width="4.5703125" style="10" customWidth="1"/>
    <col min="5119" max="5119" width="70.7109375" style="10" customWidth="1"/>
    <col min="5120" max="5120" width="8.7109375" style="10" customWidth="1"/>
    <col min="5121" max="5122" width="10.7109375" style="10" customWidth="1"/>
    <col min="5123" max="5123" width="10.85546875" style="10" customWidth="1"/>
    <col min="5124" max="5125" width="10.42578125" style="10" customWidth="1"/>
    <col min="5126" max="5373" width="11.42578125" style="10"/>
    <col min="5374" max="5374" width="4.5703125" style="10" customWidth="1"/>
    <col min="5375" max="5375" width="70.7109375" style="10" customWidth="1"/>
    <col min="5376" max="5376" width="8.7109375" style="10" customWidth="1"/>
    <col min="5377" max="5378" width="10.7109375" style="10" customWidth="1"/>
    <col min="5379" max="5379" width="10.85546875" style="10" customWidth="1"/>
    <col min="5380" max="5381" width="10.42578125" style="10" customWidth="1"/>
    <col min="5382" max="5629" width="11.42578125" style="10"/>
    <col min="5630" max="5630" width="4.5703125" style="10" customWidth="1"/>
    <col min="5631" max="5631" width="70.7109375" style="10" customWidth="1"/>
    <col min="5632" max="5632" width="8.7109375" style="10" customWidth="1"/>
    <col min="5633" max="5634" width="10.7109375" style="10" customWidth="1"/>
    <col min="5635" max="5635" width="10.85546875" style="10" customWidth="1"/>
    <col min="5636" max="5637" width="10.42578125" style="10" customWidth="1"/>
    <col min="5638" max="5885" width="11.42578125" style="10"/>
    <col min="5886" max="5886" width="4.5703125" style="10" customWidth="1"/>
    <col min="5887" max="5887" width="70.7109375" style="10" customWidth="1"/>
    <col min="5888" max="5888" width="8.7109375" style="10" customWidth="1"/>
    <col min="5889" max="5890" width="10.7109375" style="10" customWidth="1"/>
    <col min="5891" max="5891" width="10.85546875" style="10" customWidth="1"/>
    <col min="5892" max="5893" width="10.42578125" style="10" customWidth="1"/>
    <col min="5894" max="6141" width="11.42578125" style="10"/>
    <col min="6142" max="6142" width="4.5703125" style="10" customWidth="1"/>
    <col min="6143" max="6143" width="70.7109375" style="10" customWidth="1"/>
    <col min="6144" max="6144" width="8.7109375" style="10" customWidth="1"/>
    <col min="6145" max="6146" width="10.7109375" style="10" customWidth="1"/>
    <col min="6147" max="6147" width="10.85546875" style="10" customWidth="1"/>
    <col min="6148" max="6149" width="10.42578125" style="10" customWidth="1"/>
    <col min="6150" max="6397" width="11.42578125" style="10"/>
    <col min="6398" max="6398" width="4.5703125" style="10" customWidth="1"/>
    <col min="6399" max="6399" width="70.7109375" style="10" customWidth="1"/>
    <col min="6400" max="6400" width="8.7109375" style="10" customWidth="1"/>
    <col min="6401" max="6402" width="10.7109375" style="10" customWidth="1"/>
    <col min="6403" max="6403" width="10.85546875" style="10" customWidth="1"/>
    <col min="6404" max="6405" width="10.42578125" style="10" customWidth="1"/>
    <col min="6406" max="6653" width="11.42578125" style="10"/>
    <col min="6654" max="6654" width="4.5703125" style="10" customWidth="1"/>
    <col min="6655" max="6655" width="70.7109375" style="10" customWidth="1"/>
    <col min="6656" max="6656" width="8.7109375" style="10" customWidth="1"/>
    <col min="6657" max="6658" width="10.7109375" style="10" customWidth="1"/>
    <col min="6659" max="6659" width="10.85546875" style="10" customWidth="1"/>
    <col min="6660" max="6661" width="10.42578125" style="10" customWidth="1"/>
    <col min="6662" max="6909" width="11.42578125" style="10"/>
    <col min="6910" max="6910" width="4.5703125" style="10" customWidth="1"/>
    <col min="6911" max="6911" width="70.7109375" style="10" customWidth="1"/>
    <col min="6912" max="6912" width="8.7109375" style="10" customWidth="1"/>
    <col min="6913" max="6914" width="10.7109375" style="10" customWidth="1"/>
    <col min="6915" max="6915" width="10.85546875" style="10" customWidth="1"/>
    <col min="6916" max="6917" width="10.42578125" style="10" customWidth="1"/>
    <col min="6918" max="7165" width="11.42578125" style="10"/>
    <col min="7166" max="7166" width="4.5703125" style="10" customWidth="1"/>
    <col min="7167" max="7167" width="70.7109375" style="10" customWidth="1"/>
    <col min="7168" max="7168" width="8.7109375" style="10" customWidth="1"/>
    <col min="7169" max="7170" width="10.7109375" style="10" customWidth="1"/>
    <col min="7171" max="7171" width="10.85546875" style="10" customWidth="1"/>
    <col min="7172" max="7173" width="10.42578125" style="10" customWidth="1"/>
    <col min="7174" max="7421" width="11.42578125" style="10"/>
    <col min="7422" max="7422" width="4.5703125" style="10" customWidth="1"/>
    <col min="7423" max="7423" width="70.7109375" style="10" customWidth="1"/>
    <col min="7424" max="7424" width="8.7109375" style="10" customWidth="1"/>
    <col min="7425" max="7426" width="10.7109375" style="10" customWidth="1"/>
    <col min="7427" max="7427" width="10.85546875" style="10" customWidth="1"/>
    <col min="7428" max="7429" width="10.42578125" style="10" customWidth="1"/>
    <col min="7430" max="7677" width="11.42578125" style="10"/>
    <col min="7678" max="7678" width="4.5703125" style="10" customWidth="1"/>
    <col min="7679" max="7679" width="70.7109375" style="10" customWidth="1"/>
    <col min="7680" max="7680" width="8.7109375" style="10" customWidth="1"/>
    <col min="7681" max="7682" width="10.7109375" style="10" customWidth="1"/>
    <col min="7683" max="7683" width="10.85546875" style="10" customWidth="1"/>
    <col min="7684" max="7685" width="10.42578125" style="10" customWidth="1"/>
    <col min="7686" max="7933" width="11.42578125" style="10"/>
    <col min="7934" max="7934" width="4.5703125" style="10" customWidth="1"/>
    <col min="7935" max="7935" width="70.7109375" style="10" customWidth="1"/>
    <col min="7936" max="7936" width="8.7109375" style="10" customWidth="1"/>
    <col min="7937" max="7938" width="10.7109375" style="10" customWidth="1"/>
    <col min="7939" max="7939" width="10.85546875" style="10" customWidth="1"/>
    <col min="7940" max="7941" width="10.42578125" style="10" customWidth="1"/>
    <col min="7942" max="8189" width="11.42578125" style="10"/>
    <col min="8190" max="8190" width="4.5703125" style="10" customWidth="1"/>
    <col min="8191" max="8191" width="70.7109375" style="10" customWidth="1"/>
    <col min="8192" max="8192" width="8.7109375" style="10" customWidth="1"/>
    <col min="8193" max="8194" width="10.7109375" style="10" customWidth="1"/>
    <col min="8195" max="8195" width="10.85546875" style="10" customWidth="1"/>
    <col min="8196" max="8197" width="10.42578125" style="10" customWidth="1"/>
    <col min="8198" max="8445" width="11.42578125" style="10"/>
    <col min="8446" max="8446" width="4.5703125" style="10" customWidth="1"/>
    <col min="8447" max="8447" width="70.7109375" style="10" customWidth="1"/>
    <col min="8448" max="8448" width="8.7109375" style="10" customWidth="1"/>
    <col min="8449" max="8450" width="10.7109375" style="10" customWidth="1"/>
    <col min="8451" max="8451" width="10.85546875" style="10" customWidth="1"/>
    <col min="8452" max="8453" width="10.42578125" style="10" customWidth="1"/>
    <col min="8454" max="8701" width="11.42578125" style="10"/>
    <col min="8702" max="8702" width="4.5703125" style="10" customWidth="1"/>
    <col min="8703" max="8703" width="70.7109375" style="10" customWidth="1"/>
    <col min="8704" max="8704" width="8.7109375" style="10" customWidth="1"/>
    <col min="8705" max="8706" width="10.7109375" style="10" customWidth="1"/>
    <col min="8707" max="8707" width="10.85546875" style="10" customWidth="1"/>
    <col min="8708" max="8709" width="10.42578125" style="10" customWidth="1"/>
    <col min="8710" max="8957" width="11.42578125" style="10"/>
    <col min="8958" max="8958" width="4.5703125" style="10" customWidth="1"/>
    <col min="8959" max="8959" width="70.7109375" style="10" customWidth="1"/>
    <col min="8960" max="8960" width="8.7109375" style="10" customWidth="1"/>
    <col min="8961" max="8962" width="10.7109375" style="10" customWidth="1"/>
    <col min="8963" max="8963" width="10.85546875" style="10" customWidth="1"/>
    <col min="8964" max="8965" width="10.42578125" style="10" customWidth="1"/>
    <col min="8966" max="9213" width="11.42578125" style="10"/>
    <col min="9214" max="9214" width="4.5703125" style="10" customWidth="1"/>
    <col min="9215" max="9215" width="70.7109375" style="10" customWidth="1"/>
    <col min="9216" max="9216" width="8.7109375" style="10" customWidth="1"/>
    <col min="9217" max="9218" width="10.7109375" style="10" customWidth="1"/>
    <col min="9219" max="9219" width="10.85546875" style="10" customWidth="1"/>
    <col min="9220" max="9221" width="10.42578125" style="10" customWidth="1"/>
    <col min="9222" max="9469" width="11.42578125" style="10"/>
    <col min="9470" max="9470" width="4.5703125" style="10" customWidth="1"/>
    <col min="9471" max="9471" width="70.7109375" style="10" customWidth="1"/>
    <col min="9472" max="9472" width="8.7109375" style="10" customWidth="1"/>
    <col min="9473" max="9474" width="10.7109375" style="10" customWidth="1"/>
    <col min="9475" max="9475" width="10.85546875" style="10" customWidth="1"/>
    <col min="9476" max="9477" width="10.42578125" style="10" customWidth="1"/>
    <col min="9478" max="9725" width="11.42578125" style="10"/>
    <col min="9726" max="9726" width="4.5703125" style="10" customWidth="1"/>
    <col min="9727" max="9727" width="70.7109375" style="10" customWidth="1"/>
    <col min="9728" max="9728" width="8.7109375" style="10" customWidth="1"/>
    <col min="9729" max="9730" width="10.7109375" style="10" customWidth="1"/>
    <col min="9731" max="9731" width="10.85546875" style="10" customWidth="1"/>
    <col min="9732" max="9733" width="10.42578125" style="10" customWidth="1"/>
    <col min="9734" max="9981" width="11.42578125" style="10"/>
    <col min="9982" max="9982" width="4.5703125" style="10" customWidth="1"/>
    <col min="9983" max="9983" width="70.7109375" style="10" customWidth="1"/>
    <col min="9984" max="9984" width="8.7109375" style="10" customWidth="1"/>
    <col min="9985" max="9986" width="10.7109375" style="10" customWidth="1"/>
    <col min="9987" max="9987" width="10.85546875" style="10" customWidth="1"/>
    <col min="9988" max="9989" width="10.42578125" style="10" customWidth="1"/>
    <col min="9990" max="10237" width="11.42578125" style="10"/>
    <col min="10238" max="10238" width="4.5703125" style="10" customWidth="1"/>
    <col min="10239" max="10239" width="70.7109375" style="10" customWidth="1"/>
    <col min="10240" max="10240" width="8.7109375" style="10" customWidth="1"/>
    <col min="10241" max="10242" width="10.7109375" style="10" customWidth="1"/>
    <col min="10243" max="10243" width="10.85546875" style="10" customWidth="1"/>
    <col min="10244" max="10245" width="10.42578125" style="10" customWidth="1"/>
    <col min="10246" max="10493" width="11.42578125" style="10"/>
    <col min="10494" max="10494" width="4.5703125" style="10" customWidth="1"/>
    <col min="10495" max="10495" width="70.7109375" style="10" customWidth="1"/>
    <col min="10496" max="10496" width="8.7109375" style="10" customWidth="1"/>
    <col min="10497" max="10498" width="10.7109375" style="10" customWidth="1"/>
    <col min="10499" max="10499" width="10.85546875" style="10" customWidth="1"/>
    <col min="10500" max="10501" width="10.42578125" style="10" customWidth="1"/>
    <col min="10502" max="10749" width="11.42578125" style="10"/>
    <col min="10750" max="10750" width="4.5703125" style="10" customWidth="1"/>
    <col min="10751" max="10751" width="70.7109375" style="10" customWidth="1"/>
    <col min="10752" max="10752" width="8.7109375" style="10" customWidth="1"/>
    <col min="10753" max="10754" width="10.7109375" style="10" customWidth="1"/>
    <col min="10755" max="10755" width="10.85546875" style="10" customWidth="1"/>
    <col min="10756" max="10757" width="10.42578125" style="10" customWidth="1"/>
    <col min="10758" max="11005" width="11.42578125" style="10"/>
    <col min="11006" max="11006" width="4.5703125" style="10" customWidth="1"/>
    <col min="11007" max="11007" width="70.7109375" style="10" customWidth="1"/>
    <col min="11008" max="11008" width="8.7109375" style="10" customWidth="1"/>
    <col min="11009" max="11010" width="10.7109375" style="10" customWidth="1"/>
    <col min="11011" max="11011" width="10.85546875" style="10" customWidth="1"/>
    <col min="11012" max="11013" width="10.42578125" style="10" customWidth="1"/>
    <col min="11014" max="11261" width="11.42578125" style="10"/>
    <col min="11262" max="11262" width="4.5703125" style="10" customWidth="1"/>
    <col min="11263" max="11263" width="70.7109375" style="10" customWidth="1"/>
    <col min="11264" max="11264" width="8.7109375" style="10" customWidth="1"/>
    <col min="11265" max="11266" width="10.7109375" style="10" customWidth="1"/>
    <col min="11267" max="11267" width="10.85546875" style="10" customWidth="1"/>
    <col min="11268" max="11269" width="10.42578125" style="10" customWidth="1"/>
    <col min="11270" max="11517" width="11.42578125" style="10"/>
    <col min="11518" max="11518" width="4.5703125" style="10" customWidth="1"/>
    <col min="11519" max="11519" width="70.7109375" style="10" customWidth="1"/>
    <col min="11520" max="11520" width="8.7109375" style="10" customWidth="1"/>
    <col min="11521" max="11522" width="10.7109375" style="10" customWidth="1"/>
    <col min="11523" max="11523" width="10.85546875" style="10" customWidth="1"/>
    <col min="11524" max="11525" width="10.42578125" style="10" customWidth="1"/>
    <col min="11526" max="11773" width="11.42578125" style="10"/>
    <col min="11774" max="11774" width="4.5703125" style="10" customWidth="1"/>
    <col min="11775" max="11775" width="70.7109375" style="10" customWidth="1"/>
    <col min="11776" max="11776" width="8.7109375" style="10" customWidth="1"/>
    <col min="11777" max="11778" width="10.7109375" style="10" customWidth="1"/>
    <col min="11779" max="11779" width="10.85546875" style="10" customWidth="1"/>
    <col min="11780" max="11781" width="10.42578125" style="10" customWidth="1"/>
    <col min="11782" max="12029" width="11.42578125" style="10"/>
    <col min="12030" max="12030" width="4.5703125" style="10" customWidth="1"/>
    <col min="12031" max="12031" width="70.7109375" style="10" customWidth="1"/>
    <col min="12032" max="12032" width="8.7109375" style="10" customWidth="1"/>
    <col min="12033" max="12034" width="10.7109375" style="10" customWidth="1"/>
    <col min="12035" max="12035" width="10.85546875" style="10" customWidth="1"/>
    <col min="12036" max="12037" width="10.42578125" style="10" customWidth="1"/>
    <col min="12038" max="12285" width="11.42578125" style="10"/>
    <col min="12286" max="12286" width="4.5703125" style="10" customWidth="1"/>
    <col min="12287" max="12287" width="70.7109375" style="10" customWidth="1"/>
    <col min="12288" max="12288" width="8.7109375" style="10" customWidth="1"/>
    <col min="12289" max="12290" width="10.7109375" style="10" customWidth="1"/>
    <col min="12291" max="12291" width="10.85546875" style="10" customWidth="1"/>
    <col min="12292" max="12293" width="10.42578125" style="10" customWidth="1"/>
    <col min="12294" max="12541" width="11.42578125" style="10"/>
    <col min="12542" max="12542" width="4.5703125" style="10" customWidth="1"/>
    <col min="12543" max="12543" width="70.7109375" style="10" customWidth="1"/>
    <col min="12544" max="12544" width="8.7109375" style="10" customWidth="1"/>
    <col min="12545" max="12546" width="10.7109375" style="10" customWidth="1"/>
    <col min="12547" max="12547" width="10.85546875" style="10" customWidth="1"/>
    <col min="12548" max="12549" width="10.42578125" style="10" customWidth="1"/>
    <col min="12550" max="12797" width="11.42578125" style="10"/>
    <col min="12798" max="12798" width="4.5703125" style="10" customWidth="1"/>
    <col min="12799" max="12799" width="70.7109375" style="10" customWidth="1"/>
    <col min="12800" max="12800" width="8.7109375" style="10" customWidth="1"/>
    <col min="12801" max="12802" width="10.7109375" style="10" customWidth="1"/>
    <col min="12803" max="12803" width="10.85546875" style="10" customWidth="1"/>
    <col min="12804" max="12805" width="10.42578125" style="10" customWidth="1"/>
    <col min="12806" max="13053" width="11.42578125" style="10"/>
    <col min="13054" max="13054" width="4.5703125" style="10" customWidth="1"/>
    <col min="13055" max="13055" width="70.7109375" style="10" customWidth="1"/>
    <col min="13056" max="13056" width="8.7109375" style="10" customWidth="1"/>
    <col min="13057" max="13058" width="10.7109375" style="10" customWidth="1"/>
    <col min="13059" max="13059" width="10.85546875" style="10" customWidth="1"/>
    <col min="13060" max="13061" width="10.42578125" style="10" customWidth="1"/>
    <col min="13062" max="13309" width="11.42578125" style="10"/>
    <col min="13310" max="13310" width="4.5703125" style="10" customWidth="1"/>
    <col min="13311" max="13311" width="70.7109375" style="10" customWidth="1"/>
    <col min="13312" max="13312" width="8.7109375" style="10" customWidth="1"/>
    <col min="13313" max="13314" width="10.7109375" style="10" customWidth="1"/>
    <col min="13315" max="13315" width="10.85546875" style="10" customWidth="1"/>
    <col min="13316" max="13317" width="10.42578125" style="10" customWidth="1"/>
    <col min="13318" max="13565" width="11.42578125" style="10"/>
    <col min="13566" max="13566" width="4.5703125" style="10" customWidth="1"/>
    <col min="13567" max="13567" width="70.7109375" style="10" customWidth="1"/>
    <col min="13568" max="13568" width="8.7109375" style="10" customWidth="1"/>
    <col min="13569" max="13570" width="10.7109375" style="10" customWidth="1"/>
    <col min="13571" max="13571" width="10.85546875" style="10" customWidth="1"/>
    <col min="13572" max="13573" width="10.42578125" style="10" customWidth="1"/>
    <col min="13574" max="13821" width="11.42578125" style="10"/>
    <col min="13822" max="13822" width="4.5703125" style="10" customWidth="1"/>
    <col min="13823" max="13823" width="70.7109375" style="10" customWidth="1"/>
    <col min="13824" max="13824" width="8.7109375" style="10" customWidth="1"/>
    <col min="13825" max="13826" width="10.7109375" style="10" customWidth="1"/>
    <col min="13827" max="13827" width="10.85546875" style="10" customWidth="1"/>
    <col min="13828" max="13829" width="10.42578125" style="10" customWidth="1"/>
    <col min="13830" max="14077" width="11.42578125" style="10"/>
    <col min="14078" max="14078" width="4.5703125" style="10" customWidth="1"/>
    <col min="14079" max="14079" width="70.7109375" style="10" customWidth="1"/>
    <col min="14080" max="14080" width="8.7109375" style="10" customWidth="1"/>
    <col min="14081" max="14082" width="10.7109375" style="10" customWidth="1"/>
    <col min="14083" max="14083" width="10.85546875" style="10" customWidth="1"/>
    <col min="14084" max="14085" width="10.42578125" style="10" customWidth="1"/>
    <col min="14086" max="14333" width="11.42578125" style="10"/>
    <col min="14334" max="14334" width="4.5703125" style="10" customWidth="1"/>
    <col min="14335" max="14335" width="70.7109375" style="10" customWidth="1"/>
    <col min="14336" max="14336" width="8.7109375" style="10" customWidth="1"/>
    <col min="14337" max="14338" width="10.7109375" style="10" customWidth="1"/>
    <col min="14339" max="14339" width="10.85546875" style="10" customWidth="1"/>
    <col min="14340" max="14341" width="10.42578125" style="10" customWidth="1"/>
    <col min="14342" max="14589" width="11.42578125" style="10"/>
    <col min="14590" max="14590" width="4.5703125" style="10" customWidth="1"/>
    <col min="14591" max="14591" width="70.7109375" style="10" customWidth="1"/>
    <col min="14592" max="14592" width="8.7109375" style="10" customWidth="1"/>
    <col min="14593" max="14594" width="10.7109375" style="10" customWidth="1"/>
    <col min="14595" max="14595" width="10.85546875" style="10" customWidth="1"/>
    <col min="14596" max="14597" width="10.42578125" style="10" customWidth="1"/>
    <col min="14598" max="14845" width="11.42578125" style="10"/>
    <col min="14846" max="14846" width="4.5703125" style="10" customWidth="1"/>
    <col min="14847" max="14847" width="70.7109375" style="10" customWidth="1"/>
    <col min="14848" max="14848" width="8.7109375" style="10" customWidth="1"/>
    <col min="14849" max="14850" width="10.7109375" style="10" customWidth="1"/>
    <col min="14851" max="14851" width="10.85546875" style="10" customWidth="1"/>
    <col min="14852" max="14853" width="10.42578125" style="10" customWidth="1"/>
    <col min="14854" max="15101" width="11.42578125" style="10"/>
    <col min="15102" max="15102" width="4.5703125" style="10" customWidth="1"/>
    <col min="15103" max="15103" width="70.7109375" style="10" customWidth="1"/>
    <col min="15104" max="15104" width="8.7109375" style="10" customWidth="1"/>
    <col min="15105" max="15106" width="10.7109375" style="10" customWidth="1"/>
    <col min="15107" max="15107" width="10.85546875" style="10" customWidth="1"/>
    <col min="15108" max="15109" width="10.42578125" style="10" customWidth="1"/>
    <col min="15110" max="15357" width="11.42578125" style="10"/>
    <col min="15358" max="15358" width="4.5703125" style="10" customWidth="1"/>
    <col min="15359" max="15359" width="70.7109375" style="10" customWidth="1"/>
    <col min="15360" max="15360" width="8.7109375" style="10" customWidth="1"/>
    <col min="15361" max="15362" width="10.7109375" style="10" customWidth="1"/>
    <col min="15363" max="15363" width="10.85546875" style="10" customWidth="1"/>
    <col min="15364" max="15365" width="10.42578125" style="10" customWidth="1"/>
    <col min="15366" max="15613" width="11.42578125" style="10"/>
    <col min="15614" max="15614" width="4.5703125" style="10" customWidth="1"/>
    <col min="15615" max="15615" width="70.7109375" style="10" customWidth="1"/>
    <col min="15616" max="15616" width="8.7109375" style="10" customWidth="1"/>
    <col min="15617" max="15618" width="10.7109375" style="10" customWidth="1"/>
    <col min="15619" max="15619" width="10.85546875" style="10" customWidth="1"/>
    <col min="15620" max="15621" width="10.42578125" style="10" customWidth="1"/>
    <col min="15622" max="15869" width="11.42578125" style="10"/>
    <col min="15870" max="15870" width="4.5703125" style="10" customWidth="1"/>
    <col min="15871" max="15871" width="70.7109375" style="10" customWidth="1"/>
    <col min="15872" max="15872" width="8.7109375" style="10" customWidth="1"/>
    <col min="15873" max="15874" width="10.7109375" style="10" customWidth="1"/>
    <col min="15875" max="15875" width="10.85546875" style="10" customWidth="1"/>
    <col min="15876" max="15877" width="10.42578125" style="10" customWidth="1"/>
    <col min="15878" max="16125" width="11.42578125" style="10"/>
    <col min="16126" max="16126" width="4.5703125" style="10" customWidth="1"/>
    <col min="16127" max="16127" width="70.7109375" style="10" customWidth="1"/>
    <col min="16128" max="16128" width="8.7109375" style="10" customWidth="1"/>
    <col min="16129" max="16130" width="10.7109375" style="10" customWidth="1"/>
    <col min="16131" max="16131" width="10.85546875" style="10" customWidth="1"/>
    <col min="16132" max="16133" width="10.42578125" style="10" customWidth="1"/>
    <col min="16134" max="16384" width="11.42578125" style="10"/>
  </cols>
  <sheetData>
    <row r="1" spans="1:8" ht="13.5">
      <c r="D1" s="3763"/>
      <c r="E1" s="3763"/>
      <c r="F1" s="3763"/>
      <c r="G1" s="3655"/>
      <c r="H1" s="3553" t="str">
        <f>'18. OK'!H1</f>
        <v>Приложение № 6</v>
      </c>
    </row>
    <row r="2" spans="1:8" s="4" customFormat="1" ht="14.25" customHeight="1">
      <c r="A2" s="5614" t="s">
        <v>1567</v>
      </c>
      <c r="B2" s="5614"/>
      <c r="C2" s="5614"/>
      <c r="D2" s="5614"/>
      <c r="E2" s="5614"/>
      <c r="F2" s="5614"/>
      <c r="G2" s="5614"/>
      <c r="H2" s="5614"/>
    </row>
    <row r="3" spans="1:8" s="9" customFormat="1" ht="18.75">
      <c r="A3" s="5615" t="s">
        <v>1021</v>
      </c>
      <c r="B3" s="5615"/>
      <c r="C3" s="5615"/>
      <c r="D3" s="5615"/>
      <c r="E3" s="5615"/>
      <c r="F3" s="5615"/>
      <c r="G3" s="5615"/>
      <c r="H3" s="5615"/>
    </row>
    <row r="4" spans="1:8" ht="14.25" customHeight="1">
      <c r="A4" s="5606" t="str">
        <f>'1. Обща информация'!A4:D4</f>
        <v>на "Водоснабдяване и канализаиця"ООД, гр. Перник</v>
      </c>
      <c r="B4" s="5606"/>
      <c r="C4" s="5606"/>
      <c r="D4" s="5606"/>
      <c r="E4" s="5606"/>
      <c r="F4" s="5606"/>
      <c r="G4" s="5606"/>
      <c r="H4" s="5606"/>
    </row>
    <row r="5" spans="1:8" ht="19.5" customHeight="1">
      <c r="A5" s="5606" t="str">
        <f>'1. Обща информация'!A5:D5</f>
        <v>ЕИК по БУЛСТАТ: 823073638</v>
      </c>
      <c r="B5" s="5606"/>
      <c r="C5" s="5606"/>
      <c r="D5" s="5606"/>
      <c r="E5" s="5606"/>
      <c r="F5" s="5606"/>
      <c r="G5" s="5606"/>
      <c r="H5" s="5606"/>
    </row>
    <row r="6" spans="1:8" s="12" customFormat="1" ht="15.75" customHeight="1">
      <c r="A6" s="1450"/>
      <c r="B6" s="1450"/>
      <c r="C6" s="1450"/>
      <c r="D6" s="3764"/>
      <c r="E6" s="3764"/>
      <c r="F6" s="3764"/>
    </row>
    <row r="7" spans="1:8" s="12" customFormat="1" ht="15.75" customHeight="1" thickBot="1">
      <c r="A7" s="1450"/>
      <c r="B7" s="1450"/>
      <c r="C7" s="1450"/>
      <c r="D7" s="3764"/>
      <c r="E7" s="3764"/>
      <c r="F7" s="3764"/>
    </row>
    <row r="8" spans="1:8" s="12" customFormat="1" ht="15.75" customHeight="1" thickBot="1">
      <c r="A8" s="1511"/>
      <c r="B8" s="1506" t="s">
        <v>1435</v>
      </c>
      <c r="C8" s="5616" t="str">
        <f>+'18. OK'!C6:E6</f>
        <v>Среден ВиК оператор</v>
      </c>
      <c r="D8" s="5617"/>
      <c r="E8" s="5618"/>
      <c r="F8" s="3746"/>
    </row>
    <row r="9" spans="1:8" s="12" customFormat="1" ht="15.75" customHeight="1" thickBot="1">
      <c r="A9" s="1450"/>
      <c r="B9" s="1450"/>
      <c r="C9" s="1450"/>
      <c r="D9" s="3764"/>
      <c r="E9" s="3764"/>
      <c r="F9" s="3764"/>
    </row>
    <row r="10" spans="1:8" s="12" customFormat="1" ht="26.25" customHeight="1" thickBot="1">
      <c r="A10" s="280" t="s">
        <v>1</v>
      </c>
      <c r="B10" s="281" t="s">
        <v>90</v>
      </c>
      <c r="C10" s="282" t="s">
        <v>170</v>
      </c>
      <c r="D10" s="1451" t="str">
        <f>'Приложение '!$C14</f>
        <v>2022 г.</v>
      </c>
      <c r="E10" s="1451" t="str">
        <f>'Приложение '!$C15</f>
        <v>2023 г.</v>
      </c>
      <c r="F10" s="1451" t="str">
        <f>'Приложение '!$C16</f>
        <v>2024 г.</v>
      </c>
      <c r="G10" s="1451" t="str">
        <f>'Приложение '!$C17</f>
        <v>2025 г.</v>
      </c>
      <c r="H10" s="1452" t="str">
        <f>'Приложение '!$C18</f>
        <v>2026 г.</v>
      </c>
    </row>
    <row r="11" spans="1:8" s="12" customFormat="1" ht="16.5" customHeight="1">
      <c r="A11" s="134">
        <v>1</v>
      </c>
      <c r="B11" s="124" t="s">
        <v>329</v>
      </c>
      <c r="C11" s="125" t="s">
        <v>174</v>
      </c>
      <c r="D11" s="126">
        <v>0.1</v>
      </c>
      <c r="E11" s="126">
        <v>0.1</v>
      </c>
      <c r="F11" s="126">
        <v>0.1</v>
      </c>
      <c r="G11" s="126">
        <v>0.1</v>
      </c>
      <c r="H11" s="127">
        <v>0.1</v>
      </c>
    </row>
    <row r="12" spans="1:8" s="12" customFormat="1" ht="17.25" customHeight="1">
      <c r="A12" s="134">
        <v>2</v>
      </c>
      <c r="B12" s="124" t="s">
        <v>931</v>
      </c>
      <c r="C12" s="125" t="s">
        <v>174</v>
      </c>
      <c r="D12" s="1515">
        <f>SUMIF(B37:B40,C8,C37:C40)</f>
        <v>0.11550000000000001</v>
      </c>
      <c r="E12" s="3833">
        <f>+D12</f>
        <v>0.11550000000000001</v>
      </c>
      <c r="F12" s="3833">
        <f t="shared" ref="F12:H13" si="0">+E12</f>
        <v>0.11550000000000001</v>
      </c>
      <c r="G12" s="3833">
        <f t="shared" si="0"/>
        <v>0.11550000000000001</v>
      </c>
      <c r="H12" s="3834">
        <f t="shared" si="0"/>
        <v>0.11550000000000001</v>
      </c>
    </row>
    <row r="13" spans="1:8" s="12" customFormat="1" ht="12.75">
      <c r="A13" s="134">
        <v>3</v>
      </c>
      <c r="B13" s="124" t="s">
        <v>1441</v>
      </c>
      <c r="C13" s="125" t="s">
        <v>174</v>
      </c>
      <c r="D13" s="1515">
        <f>SUMIF(B37:B40,C8,D37:D40)</f>
        <v>4.2999999999999997E-2</v>
      </c>
      <c r="E13" s="3833">
        <f>+D13</f>
        <v>4.2999999999999997E-2</v>
      </c>
      <c r="F13" s="3833">
        <f t="shared" si="0"/>
        <v>4.2999999999999997E-2</v>
      </c>
      <c r="G13" s="3833">
        <f t="shared" si="0"/>
        <v>4.2999999999999997E-2</v>
      </c>
      <c r="H13" s="3834">
        <f t="shared" si="0"/>
        <v>4.2999999999999997E-2</v>
      </c>
    </row>
    <row r="14" spans="1:8" s="12" customFormat="1" ht="14.25" customHeight="1">
      <c r="A14" s="134">
        <v>4</v>
      </c>
      <c r="B14" s="124" t="s">
        <v>330</v>
      </c>
      <c r="C14" s="125" t="s">
        <v>174</v>
      </c>
      <c r="D14" s="126">
        <v>0.5</v>
      </c>
      <c r="E14" s="3833">
        <f t="shared" ref="E14:E15" si="1">+D14</f>
        <v>0.5</v>
      </c>
      <c r="F14" s="3833">
        <f t="shared" ref="F14:F15" si="2">+E14</f>
        <v>0.5</v>
      </c>
      <c r="G14" s="3833">
        <f t="shared" ref="G14:G15" si="3">+F14</f>
        <v>0.5</v>
      </c>
      <c r="H14" s="3834">
        <f t="shared" ref="H14:H15" si="4">+G14</f>
        <v>0.5</v>
      </c>
    </row>
    <row r="15" spans="1:8" s="12" customFormat="1" ht="14.25" customHeight="1">
      <c r="A15" s="134">
        <v>5</v>
      </c>
      <c r="B15" s="124" t="s">
        <v>331</v>
      </c>
      <c r="C15" s="125" t="s">
        <v>174</v>
      </c>
      <c r="D15" s="126">
        <v>0.5</v>
      </c>
      <c r="E15" s="3833">
        <f t="shared" si="1"/>
        <v>0.5</v>
      </c>
      <c r="F15" s="3833">
        <f t="shared" si="2"/>
        <v>0.5</v>
      </c>
      <c r="G15" s="3833">
        <f t="shared" si="3"/>
        <v>0.5</v>
      </c>
      <c r="H15" s="3834">
        <f t="shared" si="4"/>
        <v>0.5</v>
      </c>
    </row>
    <row r="16" spans="1:8" s="12" customFormat="1" ht="21" customHeight="1">
      <c r="A16" s="135">
        <v>6</v>
      </c>
      <c r="B16" s="128" t="s">
        <v>701</v>
      </c>
      <c r="C16" s="129" t="s">
        <v>174</v>
      </c>
      <c r="D16" s="1516">
        <f>D13*D15+D12*D14*(D11/(1-D11)+1)</f>
        <v>8.5666666666666669E-2</v>
      </c>
      <c r="E16" s="1516">
        <f t="shared" ref="E16:H16" si="5">E13*E15+E12*E14*(E11/(1-E11)+1)</f>
        <v>8.5666666666666669E-2</v>
      </c>
      <c r="F16" s="1516">
        <f t="shared" si="5"/>
        <v>8.5666666666666669E-2</v>
      </c>
      <c r="G16" s="1516">
        <f t="shared" si="5"/>
        <v>8.5666666666666669E-2</v>
      </c>
      <c r="H16" s="1517">
        <f t="shared" si="5"/>
        <v>8.5666666666666669E-2</v>
      </c>
    </row>
    <row r="17" spans="1:9" s="1359" customFormat="1" ht="13.5" customHeight="1">
      <c r="A17" s="1356" t="s">
        <v>273</v>
      </c>
      <c r="B17" s="1357" t="s">
        <v>1374</v>
      </c>
      <c r="C17" s="1358" t="s">
        <v>328</v>
      </c>
      <c r="D17" s="130">
        <f>'17. РБА'!C21*'19. HB'!D16</f>
        <v>604.38154770324206</v>
      </c>
      <c r="E17" s="130">
        <f>'17. РБА'!D21*'19. HB'!E16</f>
        <v>772.35979169668337</v>
      </c>
      <c r="F17" s="130">
        <f>'17. РБА'!E21*'19. HB'!F16</f>
        <v>796.47065174280442</v>
      </c>
      <c r="G17" s="130">
        <f>'17. РБА'!F21*'19. HB'!G16</f>
        <v>807.29879514225468</v>
      </c>
      <c r="H17" s="131">
        <f>'17. РБА'!G21*'19. HB'!H16</f>
        <v>812.17263107097847</v>
      </c>
    </row>
    <row r="18" spans="1:9" s="1360" customFormat="1" ht="13.5" customHeight="1">
      <c r="A18" s="1356" t="s">
        <v>275</v>
      </c>
      <c r="B18" s="1357" t="s">
        <v>1447</v>
      </c>
      <c r="C18" s="1358" t="s">
        <v>328</v>
      </c>
      <c r="D18" s="130">
        <f>'17. РБА'!C35*'19. HB'!D16</f>
        <v>116.53808551743269</v>
      </c>
      <c r="E18" s="130">
        <f>'17. РБА'!D35*'19. HB'!E16</f>
        <v>362.35674581387281</v>
      </c>
      <c r="F18" s="130">
        <f>'17. РБА'!E35*'19. HB'!F16</f>
        <v>366.95040106300382</v>
      </c>
      <c r="G18" s="130">
        <f>'17. РБА'!F35*'19. HB'!G16</f>
        <v>362.92330701812602</v>
      </c>
      <c r="H18" s="131">
        <f>'17. РБА'!G35*'19. HB'!H16</f>
        <v>359.87668280045102</v>
      </c>
    </row>
    <row r="19" spans="1:9" s="1360" customFormat="1" ht="13.5" customHeight="1">
      <c r="A19" s="1356" t="s">
        <v>277</v>
      </c>
      <c r="B19" s="1357" t="s">
        <v>1448</v>
      </c>
      <c r="C19" s="1358" t="s">
        <v>328</v>
      </c>
      <c r="D19" s="130">
        <f>'17. РБА'!C49*'19. HB'!D16</f>
        <v>131.00702226471051</v>
      </c>
      <c r="E19" s="130">
        <f>'17. РБА'!D49*'19. HB'!E16</f>
        <v>227.69415765048677</v>
      </c>
      <c r="F19" s="130">
        <f>'17. РБА'!E49*'19. HB'!F16</f>
        <v>231.38479492472422</v>
      </c>
      <c r="G19" s="130">
        <f>'17. РБА'!F49*'19. HB'!G16</f>
        <v>225.45723477308402</v>
      </c>
      <c r="H19" s="131">
        <f>'17. РБА'!G49*'19. HB'!H16</f>
        <v>219.26251368391851</v>
      </c>
    </row>
    <row r="20" spans="1:9" s="1360" customFormat="1" ht="13.5" customHeight="1">
      <c r="A20" s="1356" t="s">
        <v>279</v>
      </c>
      <c r="B20" s="1357" t="s">
        <v>1258</v>
      </c>
      <c r="C20" s="1358" t="s">
        <v>328</v>
      </c>
      <c r="D20" s="1361">
        <f>'17. РБА'!C63*'19. HB'!D16</f>
        <v>2.9245456307659548</v>
      </c>
      <c r="E20" s="1361">
        <f>'17. РБА'!D63*'19. HB'!E16</f>
        <v>3.90000782093253</v>
      </c>
      <c r="F20" s="1361">
        <f>'17. РБА'!E63*'19. HB'!F16</f>
        <v>3.7881178883057172</v>
      </c>
      <c r="G20" s="1361">
        <f>'17. РБА'!F63*'19. HB'!G16</f>
        <v>3.7344983722505205</v>
      </c>
      <c r="H20" s="4772">
        <f>'17. РБА'!G63*'19. HB'!H16</f>
        <v>3.6806374318317081</v>
      </c>
    </row>
    <row r="21" spans="1:9" s="1360" customFormat="1" ht="13.5" customHeight="1">
      <c r="A21" s="1356" t="s">
        <v>281</v>
      </c>
      <c r="B21" s="1357" t="s">
        <v>1259</v>
      </c>
      <c r="C21" s="1358" t="s">
        <v>328</v>
      </c>
      <c r="D21" s="1361">
        <f>'17. РБА'!C77*'19. HB'!D16</f>
        <v>0</v>
      </c>
      <c r="E21" s="1361">
        <f>'17. РБА'!D77*'19. HB'!E16</f>
        <v>0</v>
      </c>
      <c r="F21" s="1361">
        <f>'17. РБА'!E77*'19. HB'!F16</f>
        <v>0</v>
      </c>
      <c r="G21" s="1361">
        <f>'17. РБА'!F77*'19. HB'!G16</f>
        <v>0</v>
      </c>
      <c r="H21" s="4772">
        <f>'17. РБА'!G77*'19. HB'!H16</f>
        <v>0</v>
      </c>
    </row>
    <row r="22" spans="1:9" s="1360" customFormat="1" ht="13.5" customHeight="1" thickBot="1">
      <c r="A22" s="1362">
        <v>7</v>
      </c>
      <c r="B22" s="1363" t="s">
        <v>332</v>
      </c>
      <c r="C22" s="1364" t="s">
        <v>328</v>
      </c>
      <c r="D22" s="1365">
        <f>SUM(D17:D21)</f>
        <v>854.85120111615117</v>
      </c>
      <c r="E22" s="1365">
        <f t="shared" ref="E22:H22" si="6">SUM(E17:E21)</f>
        <v>1366.3107029819755</v>
      </c>
      <c r="F22" s="1365">
        <f t="shared" si="6"/>
        <v>1398.5939656188384</v>
      </c>
      <c r="G22" s="1365">
        <f t="shared" si="6"/>
        <v>1399.4138353057153</v>
      </c>
      <c r="H22" s="4773">
        <f t="shared" si="6"/>
        <v>1394.9924649871798</v>
      </c>
    </row>
    <row r="23" spans="1:9" ht="12.75">
      <c r="B23" s="13"/>
      <c r="C23" s="14"/>
      <c r="D23" s="3763"/>
      <c r="E23" s="3763"/>
      <c r="F23" s="3763"/>
    </row>
    <row r="24" spans="1:9" s="1436" customFormat="1" ht="15">
      <c r="A24" s="5"/>
      <c r="B24" s="10"/>
      <c r="C24" s="3732"/>
      <c r="D24" s="7"/>
      <c r="E24" s="7"/>
      <c r="F24" s="7"/>
      <c r="G24" s="7"/>
      <c r="H24" s="7"/>
      <c r="I24" s="7"/>
    </row>
    <row r="25" spans="1:9" s="1436" customFormat="1" ht="12.75">
      <c r="A25" s="4031" t="str">
        <f>'Приложение '!B81</f>
        <v>Дата: 24 юни 2021 година</v>
      </c>
      <c r="B25" s="3551"/>
      <c r="C25" s="3551"/>
      <c r="D25" s="3763"/>
      <c r="E25" s="3359" t="str">
        <f>'Приложение '!C81</f>
        <v xml:space="preserve">Гл. счетоводител/Фин.директор: </v>
      </c>
      <c r="F25" s="3765" t="str">
        <f>'Приложение '!D81</f>
        <v>..............................................</v>
      </c>
      <c r="G25" s="3353"/>
      <c r="H25" s="3353"/>
    </row>
    <row r="26" spans="1:9" s="1436" customFormat="1" ht="12.75">
      <c r="A26" s="3551"/>
      <c r="B26" s="3551"/>
      <c r="C26" s="3551"/>
      <c r="D26" s="3763"/>
      <c r="E26" s="3359"/>
      <c r="F26" s="3585" t="str">
        <f>'Приложение '!D82</f>
        <v>(подпис)</v>
      </c>
      <c r="G26" s="2951"/>
      <c r="H26" s="3353"/>
    </row>
    <row r="27" spans="1:9" s="1436" customFormat="1" ht="12.75">
      <c r="A27" s="3551"/>
      <c r="B27" s="3551"/>
      <c r="C27" s="3551"/>
      <c r="D27" s="3763"/>
      <c r="E27" s="3359"/>
      <c r="F27" s="3765"/>
      <c r="G27" s="3353"/>
      <c r="H27" s="3353"/>
    </row>
    <row r="28" spans="1:9" s="1436" customFormat="1" ht="12.75">
      <c r="A28" s="3551"/>
      <c r="B28" s="3551"/>
      <c r="C28" s="3551"/>
      <c r="D28" s="3763"/>
      <c r="E28" s="3359"/>
      <c r="F28" s="3765"/>
      <c r="G28" s="3353"/>
      <c r="H28" s="3353"/>
    </row>
    <row r="29" spans="1:9" s="1436" customFormat="1" ht="12.75">
      <c r="A29" s="3551"/>
      <c r="B29" s="3551"/>
      <c r="C29" s="3551"/>
      <c r="D29" s="3763"/>
      <c r="E29" s="3359" t="str">
        <f>'Приложение '!C85</f>
        <v xml:space="preserve">Управител/Изп.директор: </v>
      </c>
      <c r="F29" s="3765" t="str">
        <f>'Приложение '!D85</f>
        <v>.............................................</v>
      </c>
      <c r="G29" s="3354"/>
      <c r="H29" s="3353"/>
    </row>
    <row r="30" spans="1:9" s="1436" customFormat="1" ht="12.75">
      <c r="A30" s="3551"/>
      <c r="B30" s="3551"/>
      <c r="C30" s="3551"/>
      <c r="D30" s="3353"/>
      <c r="E30" s="3519"/>
      <c r="F30" s="3585" t="str">
        <f>'Приложение '!D86</f>
        <v>(подпис и печат)</v>
      </c>
      <c r="G30" s="2951"/>
      <c r="H30" s="3353"/>
    </row>
    <row r="31" spans="1:9" s="1436" customFormat="1" ht="12.75" customHeight="1">
      <c r="A31" s="5584" t="s">
        <v>191</v>
      </c>
      <c r="B31" s="5584"/>
      <c r="C31" s="5584"/>
      <c r="D31" s="5584"/>
      <c r="E31" s="5584"/>
      <c r="F31" s="5584"/>
      <c r="G31" s="3353"/>
      <c r="H31" s="3353"/>
    </row>
    <row r="32" spans="1:9" s="1436" customFormat="1" ht="13.5" customHeight="1">
      <c r="A32" s="5407" t="s">
        <v>1932</v>
      </c>
      <c r="B32" s="5407"/>
      <c r="C32" s="5407"/>
      <c r="D32" s="5407"/>
      <c r="E32" s="5407"/>
      <c r="F32" s="5407"/>
      <c r="G32" s="3353"/>
      <c r="H32" s="3353"/>
    </row>
    <row r="33" spans="1:8" s="1436" customFormat="1" ht="13.5" hidden="1" thickBot="1">
      <c r="A33" s="5309"/>
      <c r="B33" s="5309"/>
      <c r="C33" s="5309"/>
      <c r="D33" s="3353"/>
      <c r="E33" s="3362"/>
      <c r="F33" s="3518"/>
      <c r="G33" s="10"/>
      <c r="H33" s="3353"/>
    </row>
    <row r="34" spans="1:8" s="1436" customFormat="1" ht="13.5" hidden="1" thickBot="1">
      <c r="A34" s="5613"/>
      <c r="B34" s="5613"/>
      <c r="C34" s="5613"/>
      <c r="D34" s="3353"/>
      <c r="E34" s="3362"/>
      <c r="F34" s="3518"/>
      <c r="G34" s="2951"/>
      <c r="H34" s="3353"/>
    </row>
    <row r="35" spans="1:8" s="1436" customFormat="1" ht="13.5" thickBot="1">
      <c r="A35" s="4706"/>
      <c r="B35" s="4706"/>
      <c r="C35" s="4706"/>
      <c r="D35" s="3353"/>
      <c r="E35" s="3362"/>
      <c r="F35" s="3518"/>
      <c r="G35" s="2951"/>
      <c r="H35" s="3353"/>
    </row>
    <row r="36" spans="1:8" s="1436" customFormat="1" ht="12.75">
      <c r="A36" s="3766" t="s">
        <v>1</v>
      </c>
      <c r="B36" s="1512" t="s">
        <v>1442</v>
      </c>
      <c r="C36" s="1513" t="s">
        <v>1443</v>
      </c>
      <c r="D36" s="1513" t="s">
        <v>1444</v>
      </c>
      <c r="E36" s="1514" t="s">
        <v>1445</v>
      </c>
      <c r="F36" s="3518"/>
      <c r="G36" s="2951"/>
      <c r="H36" s="3353"/>
    </row>
    <row r="37" spans="1:8" s="1436" customFormat="1" ht="12.75">
      <c r="A37" s="3767">
        <v>1</v>
      </c>
      <c r="B37" s="1508" t="s">
        <v>1438</v>
      </c>
      <c r="C37" s="4731"/>
      <c r="D37" s="4731"/>
      <c r="E37" s="4732"/>
      <c r="F37" s="3763"/>
      <c r="G37" s="10"/>
      <c r="H37" s="10"/>
    </row>
    <row r="38" spans="1:8" s="1436" customFormat="1" ht="12.75">
      <c r="A38" s="3767">
        <v>2</v>
      </c>
      <c r="B38" s="1508" t="s">
        <v>1439</v>
      </c>
      <c r="C38" s="4731">
        <v>0.11550000000000001</v>
      </c>
      <c r="D38" s="4731">
        <v>4.2999999999999997E-2</v>
      </c>
      <c r="E38" s="4732">
        <v>8.5699999999999998E-2</v>
      </c>
      <c r="F38" s="3763"/>
      <c r="G38" s="10"/>
      <c r="H38" s="10"/>
    </row>
    <row r="39" spans="1:8">
      <c r="A39" s="1520">
        <v>3</v>
      </c>
      <c r="B39" s="1508" t="s">
        <v>1436</v>
      </c>
      <c r="C39" s="4731"/>
      <c r="D39" s="4731"/>
      <c r="E39" s="4732"/>
      <c r="F39" s="3763"/>
    </row>
    <row r="40" spans="1:8" ht="12.75" thickBot="1">
      <c r="A40" s="1521">
        <v>4</v>
      </c>
      <c r="B40" s="1509" t="s">
        <v>1440</v>
      </c>
      <c r="C40" s="4733"/>
      <c r="D40" s="4733"/>
      <c r="E40" s="4734"/>
      <c r="F40" s="3763"/>
    </row>
    <row r="41" spans="1:8" ht="12.75" customHeight="1">
      <c r="B41" s="308"/>
    </row>
    <row r="42" spans="1:8" ht="12.75" customHeight="1">
      <c r="B42" s="308"/>
    </row>
    <row r="43" spans="1:8">
      <c r="B43" s="308"/>
    </row>
    <row r="44" spans="1:8" ht="54" customHeight="1">
      <c r="A44" s="5612"/>
      <c r="B44" s="5612"/>
      <c r="C44" s="5612"/>
    </row>
    <row r="45" spans="1:8">
      <c r="B45" s="308"/>
    </row>
    <row r="46" spans="1:8">
      <c r="B46" s="308"/>
    </row>
    <row r="47" spans="1:8">
      <c r="B47" s="308"/>
    </row>
    <row r="48" spans="1:8">
      <c r="B48" s="308"/>
    </row>
  </sheetData>
  <sheetProtection password="EB75" sheet="1" objects="1" scenarios="1" formatCells="0" formatColumns="0" formatRows="0"/>
  <mergeCells count="10">
    <mergeCell ref="A44:C44"/>
    <mergeCell ref="A33:C33"/>
    <mergeCell ref="A34:C34"/>
    <mergeCell ref="A2:H2"/>
    <mergeCell ref="A3:H3"/>
    <mergeCell ref="A4:H4"/>
    <mergeCell ref="A5:H5"/>
    <mergeCell ref="C8:E8"/>
    <mergeCell ref="A31:F31"/>
    <mergeCell ref="A32:F32"/>
  </mergeCells>
  <printOptions horizontalCentered="1" verticalCentered="1"/>
  <pageMargins left="0" right="0" top="0.59055118110236227" bottom="0.19685039370078741" header="0.51181102362204722" footer="0.11811023622047245"/>
  <pageSetup paperSize="9" orientation="landscape"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70C0"/>
  </sheetPr>
  <dimension ref="A1:K29"/>
  <sheetViews>
    <sheetView showGridLines="0" view="pageBreakPreview" topLeftCell="A3" zoomScale="90" zoomScaleNormal="90" zoomScaleSheetLayoutView="90" workbookViewId="0">
      <selection activeCell="A7" sqref="A7:H19"/>
    </sheetView>
  </sheetViews>
  <sheetFormatPr defaultRowHeight="12.75"/>
  <cols>
    <col min="1" max="1" width="5.5703125" style="1" customWidth="1"/>
    <col min="2" max="2" width="38.140625" style="1" customWidth="1"/>
    <col min="3" max="3" width="9.85546875" style="1" customWidth="1"/>
    <col min="4" max="8" width="7.7109375" style="1" customWidth="1"/>
    <col min="9" max="9" width="8.28515625" style="1" customWidth="1"/>
    <col min="10" max="10" width="11" style="1" customWidth="1"/>
    <col min="11" max="258" width="8.7109375" style="1"/>
    <col min="259" max="259" width="6.42578125" style="1" customWidth="1"/>
    <col min="260" max="260" width="51.85546875" style="1" customWidth="1"/>
    <col min="261" max="261" width="9.7109375" style="1" customWidth="1"/>
    <col min="262" max="264" width="13.7109375" style="1" customWidth="1"/>
    <col min="265" max="265" width="8.28515625" style="1" customWidth="1"/>
    <col min="266" max="266" width="11" style="1" customWidth="1"/>
    <col min="267" max="514" width="8.7109375" style="1"/>
    <col min="515" max="515" width="6.42578125" style="1" customWidth="1"/>
    <col min="516" max="516" width="51.85546875" style="1" customWidth="1"/>
    <col min="517" max="517" width="9.7109375" style="1" customWidth="1"/>
    <col min="518" max="520" width="13.7109375" style="1" customWidth="1"/>
    <col min="521" max="521" width="8.28515625" style="1" customWidth="1"/>
    <col min="522" max="522" width="11" style="1" customWidth="1"/>
    <col min="523" max="770" width="8.7109375" style="1"/>
    <col min="771" max="771" width="6.42578125" style="1" customWidth="1"/>
    <col min="772" max="772" width="51.85546875" style="1" customWidth="1"/>
    <col min="773" max="773" width="9.7109375" style="1" customWidth="1"/>
    <col min="774" max="776" width="13.7109375" style="1" customWidth="1"/>
    <col min="777" max="777" width="8.28515625" style="1" customWidth="1"/>
    <col min="778" max="778" width="11" style="1" customWidth="1"/>
    <col min="779" max="1026" width="8.7109375" style="1"/>
    <col min="1027" max="1027" width="6.42578125" style="1" customWidth="1"/>
    <col min="1028" max="1028" width="51.85546875" style="1" customWidth="1"/>
    <col min="1029" max="1029" width="9.7109375" style="1" customWidth="1"/>
    <col min="1030" max="1032" width="13.7109375" style="1" customWidth="1"/>
    <col min="1033" max="1033" width="8.28515625" style="1" customWidth="1"/>
    <col min="1034" max="1034" width="11" style="1" customWidth="1"/>
    <col min="1035" max="1282" width="8.7109375" style="1"/>
    <col min="1283" max="1283" width="6.42578125" style="1" customWidth="1"/>
    <col min="1284" max="1284" width="51.85546875" style="1" customWidth="1"/>
    <col min="1285" max="1285" width="9.7109375" style="1" customWidth="1"/>
    <col min="1286" max="1288" width="13.7109375" style="1" customWidth="1"/>
    <col min="1289" max="1289" width="8.28515625" style="1" customWidth="1"/>
    <col min="1290" max="1290" width="11" style="1" customWidth="1"/>
    <col min="1291" max="1538" width="8.7109375" style="1"/>
    <col min="1539" max="1539" width="6.42578125" style="1" customWidth="1"/>
    <col min="1540" max="1540" width="51.85546875" style="1" customWidth="1"/>
    <col min="1541" max="1541" width="9.7109375" style="1" customWidth="1"/>
    <col min="1542" max="1544" width="13.7109375" style="1" customWidth="1"/>
    <col min="1545" max="1545" width="8.28515625" style="1" customWidth="1"/>
    <col min="1546" max="1546" width="11" style="1" customWidth="1"/>
    <col min="1547" max="1794" width="8.7109375" style="1"/>
    <col min="1795" max="1795" width="6.42578125" style="1" customWidth="1"/>
    <col min="1796" max="1796" width="51.85546875" style="1" customWidth="1"/>
    <col min="1797" max="1797" width="9.7109375" style="1" customWidth="1"/>
    <col min="1798" max="1800" width="13.7109375" style="1" customWidth="1"/>
    <col min="1801" max="1801" width="8.28515625" style="1" customWidth="1"/>
    <col min="1802" max="1802" width="11" style="1" customWidth="1"/>
    <col min="1803" max="2050" width="8.7109375" style="1"/>
    <col min="2051" max="2051" width="6.42578125" style="1" customWidth="1"/>
    <col min="2052" max="2052" width="51.85546875" style="1" customWidth="1"/>
    <col min="2053" max="2053" width="9.7109375" style="1" customWidth="1"/>
    <col min="2054" max="2056" width="13.7109375" style="1" customWidth="1"/>
    <col min="2057" max="2057" width="8.28515625" style="1" customWidth="1"/>
    <col min="2058" max="2058" width="11" style="1" customWidth="1"/>
    <col min="2059" max="2306" width="8.7109375" style="1"/>
    <col min="2307" max="2307" width="6.42578125" style="1" customWidth="1"/>
    <col min="2308" max="2308" width="51.85546875" style="1" customWidth="1"/>
    <col min="2309" max="2309" width="9.7109375" style="1" customWidth="1"/>
    <col min="2310" max="2312" width="13.7109375" style="1" customWidth="1"/>
    <col min="2313" max="2313" width="8.28515625" style="1" customWidth="1"/>
    <col min="2314" max="2314" width="11" style="1" customWidth="1"/>
    <col min="2315" max="2562" width="8.7109375" style="1"/>
    <col min="2563" max="2563" width="6.42578125" style="1" customWidth="1"/>
    <col min="2564" max="2564" width="51.85546875" style="1" customWidth="1"/>
    <col min="2565" max="2565" width="9.7109375" style="1" customWidth="1"/>
    <col min="2566" max="2568" width="13.7109375" style="1" customWidth="1"/>
    <col min="2569" max="2569" width="8.28515625" style="1" customWidth="1"/>
    <col min="2570" max="2570" width="11" style="1" customWidth="1"/>
    <col min="2571" max="2818" width="8.7109375" style="1"/>
    <col min="2819" max="2819" width="6.42578125" style="1" customWidth="1"/>
    <col min="2820" max="2820" width="51.85546875" style="1" customWidth="1"/>
    <col min="2821" max="2821" width="9.7109375" style="1" customWidth="1"/>
    <col min="2822" max="2824" width="13.7109375" style="1" customWidth="1"/>
    <col min="2825" max="2825" width="8.28515625" style="1" customWidth="1"/>
    <col min="2826" max="2826" width="11" style="1" customWidth="1"/>
    <col min="2827" max="3074" width="8.7109375" style="1"/>
    <col min="3075" max="3075" width="6.42578125" style="1" customWidth="1"/>
    <col min="3076" max="3076" width="51.85546875" style="1" customWidth="1"/>
    <col min="3077" max="3077" width="9.7109375" style="1" customWidth="1"/>
    <col min="3078" max="3080" width="13.7109375" style="1" customWidth="1"/>
    <col min="3081" max="3081" width="8.28515625" style="1" customWidth="1"/>
    <col min="3082" max="3082" width="11" style="1" customWidth="1"/>
    <col min="3083" max="3330" width="8.7109375" style="1"/>
    <col min="3331" max="3331" width="6.42578125" style="1" customWidth="1"/>
    <col min="3332" max="3332" width="51.85546875" style="1" customWidth="1"/>
    <col min="3333" max="3333" width="9.7109375" style="1" customWidth="1"/>
    <col min="3334" max="3336" width="13.7109375" style="1" customWidth="1"/>
    <col min="3337" max="3337" width="8.28515625" style="1" customWidth="1"/>
    <col min="3338" max="3338" width="11" style="1" customWidth="1"/>
    <col min="3339" max="3586" width="8.7109375" style="1"/>
    <col min="3587" max="3587" width="6.42578125" style="1" customWidth="1"/>
    <col min="3588" max="3588" width="51.85546875" style="1" customWidth="1"/>
    <col min="3589" max="3589" width="9.7109375" style="1" customWidth="1"/>
    <col min="3590" max="3592" width="13.7109375" style="1" customWidth="1"/>
    <col min="3593" max="3593" width="8.28515625" style="1" customWidth="1"/>
    <col min="3594" max="3594" width="11" style="1" customWidth="1"/>
    <col min="3595" max="3842" width="8.7109375" style="1"/>
    <col min="3843" max="3843" width="6.42578125" style="1" customWidth="1"/>
    <col min="3844" max="3844" width="51.85546875" style="1" customWidth="1"/>
    <col min="3845" max="3845" width="9.7109375" style="1" customWidth="1"/>
    <col min="3846" max="3848" width="13.7109375" style="1" customWidth="1"/>
    <col min="3849" max="3849" width="8.28515625" style="1" customWidth="1"/>
    <col min="3850" max="3850" width="11" style="1" customWidth="1"/>
    <col min="3851" max="4098" width="8.7109375" style="1"/>
    <col min="4099" max="4099" width="6.42578125" style="1" customWidth="1"/>
    <col min="4100" max="4100" width="51.85546875" style="1" customWidth="1"/>
    <col min="4101" max="4101" width="9.7109375" style="1" customWidth="1"/>
    <col min="4102" max="4104" width="13.7109375" style="1" customWidth="1"/>
    <col min="4105" max="4105" width="8.28515625" style="1" customWidth="1"/>
    <col min="4106" max="4106" width="11" style="1" customWidth="1"/>
    <col min="4107" max="4354" width="8.7109375" style="1"/>
    <col min="4355" max="4355" width="6.42578125" style="1" customWidth="1"/>
    <col min="4356" max="4356" width="51.85546875" style="1" customWidth="1"/>
    <col min="4357" max="4357" width="9.7109375" style="1" customWidth="1"/>
    <col min="4358" max="4360" width="13.7109375" style="1" customWidth="1"/>
    <col min="4361" max="4361" width="8.28515625" style="1" customWidth="1"/>
    <col min="4362" max="4362" width="11" style="1" customWidth="1"/>
    <col min="4363" max="4610" width="8.7109375" style="1"/>
    <col min="4611" max="4611" width="6.42578125" style="1" customWidth="1"/>
    <col min="4612" max="4612" width="51.85546875" style="1" customWidth="1"/>
    <col min="4613" max="4613" width="9.7109375" style="1" customWidth="1"/>
    <col min="4614" max="4616" width="13.7109375" style="1" customWidth="1"/>
    <col min="4617" max="4617" width="8.28515625" style="1" customWidth="1"/>
    <col min="4618" max="4618" width="11" style="1" customWidth="1"/>
    <col min="4619" max="4866" width="8.7109375" style="1"/>
    <col min="4867" max="4867" width="6.42578125" style="1" customWidth="1"/>
    <col min="4868" max="4868" width="51.85546875" style="1" customWidth="1"/>
    <col min="4869" max="4869" width="9.7109375" style="1" customWidth="1"/>
    <col min="4870" max="4872" width="13.7109375" style="1" customWidth="1"/>
    <col min="4873" max="4873" width="8.28515625" style="1" customWidth="1"/>
    <col min="4874" max="4874" width="11" style="1" customWidth="1"/>
    <col min="4875" max="5122" width="8.7109375" style="1"/>
    <col min="5123" max="5123" width="6.42578125" style="1" customWidth="1"/>
    <col min="5124" max="5124" width="51.85546875" style="1" customWidth="1"/>
    <col min="5125" max="5125" width="9.7109375" style="1" customWidth="1"/>
    <col min="5126" max="5128" width="13.7109375" style="1" customWidth="1"/>
    <col min="5129" max="5129" width="8.28515625" style="1" customWidth="1"/>
    <col min="5130" max="5130" width="11" style="1" customWidth="1"/>
    <col min="5131" max="5378" width="8.7109375" style="1"/>
    <col min="5379" max="5379" width="6.42578125" style="1" customWidth="1"/>
    <col min="5380" max="5380" width="51.85546875" style="1" customWidth="1"/>
    <col min="5381" max="5381" width="9.7109375" style="1" customWidth="1"/>
    <col min="5382" max="5384" width="13.7109375" style="1" customWidth="1"/>
    <col min="5385" max="5385" width="8.28515625" style="1" customWidth="1"/>
    <col min="5386" max="5386" width="11" style="1" customWidth="1"/>
    <col min="5387" max="5634" width="8.7109375" style="1"/>
    <col min="5635" max="5635" width="6.42578125" style="1" customWidth="1"/>
    <col min="5636" max="5636" width="51.85546875" style="1" customWidth="1"/>
    <col min="5637" max="5637" width="9.7109375" style="1" customWidth="1"/>
    <col min="5638" max="5640" width="13.7109375" style="1" customWidth="1"/>
    <col min="5641" max="5641" width="8.28515625" style="1" customWidth="1"/>
    <col min="5642" max="5642" width="11" style="1" customWidth="1"/>
    <col min="5643" max="5890" width="8.7109375" style="1"/>
    <col min="5891" max="5891" width="6.42578125" style="1" customWidth="1"/>
    <col min="5892" max="5892" width="51.85546875" style="1" customWidth="1"/>
    <col min="5893" max="5893" width="9.7109375" style="1" customWidth="1"/>
    <col min="5894" max="5896" width="13.7109375" style="1" customWidth="1"/>
    <col min="5897" max="5897" width="8.28515625" style="1" customWidth="1"/>
    <col min="5898" max="5898" width="11" style="1" customWidth="1"/>
    <col min="5899" max="6146" width="8.7109375" style="1"/>
    <col min="6147" max="6147" width="6.42578125" style="1" customWidth="1"/>
    <col min="6148" max="6148" width="51.85546875" style="1" customWidth="1"/>
    <col min="6149" max="6149" width="9.7109375" style="1" customWidth="1"/>
    <col min="6150" max="6152" width="13.7109375" style="1" customWidth="1"/>
    <col min="6153" max="6153" width="8.28515625" style="1" customWidth="1"/>
    <col min="6154" max="6154" width="11" style="1" customWidth="1"/>
    <col min="6155" max="6402" width="8.7109375" style="1"/>
    <col min="6403" max="6403" width="6.42578125" style="1" customWidth="1"/>
    <col min="6404" max="6404" width="51.85546875" style="1" customWidth="1"/>
    <col min="6405" max="6405" width="9.7109375" style="1" customWidth="1"/>
    <col min="6406" max="6408" width="13.7109375" style="1" customWidth="1"/>
    <col min="6409" max="6409" width="8.28515625" style="1" customWidth="1"/>
    <col min="6410" max="6410" width="11" style="1" customWidth="1"/>
    <col min="6411" max="6658" width="8.7109375" style="1"/>
    <col min="6659" max="6659" width="6.42578125" style="1" customWidth="1"/>
    <col min="6660" max="6660" width="51.85546875" style="1" customWidth="1"/>
    <col min="6661" max="6661" width="9.7109375" style="1" customWidth="1"/>
    <col min="6662" max="6664" width="13.7109375" style="1" customWidth="1"/>
    <col min="6665" max="6665" width="8.28515625" style="1" customWidth="1"/>
    <col min="6666" max="6666" width="11" style="1" customWidth="1"/>
    <col min="6667" max="6914" width="8.7109375" style="1"/>
    <col min="6915" max="6915" width="6.42578125" style="1" customWidth="1"/>
    <col min="6916" max="6916" width="51.85546875" style="1" customWidth="1"/>
    <col min="6917" max="6917" width="9.7109375" style="1" customWidth="1"/>
    <col min="6918" max="6920" width="13.7109375" style="1" customWidth="1"/>
    <col min="6921" max="6921" width="8.28515625" style="1" customWidth="1"/>
    <col min="6922" max="6922" width="11" style="1" customWidth="1"/>
    <col min="6923" max="7170" width="8.7109375" style="1"/>
    <col min="7171" max="7171" width="6.42578125" style="1" customWidth="1"/>
    <col min="7172" max="7172" width="51.85546875" style="1" customWidth="1"/>
    <col min="7173" max="7173" width="9.7109375" style="1" customWidth="1"/>
    <col min="7174" max="7176" width="13.7109375" style="1" customWidth="1"/>
    <col min="7177" max="7177" width="8.28515625" style="1" customWidth="1"/>
    <col min="7178" max="7178" width="11" style="1" customWidth="1"/>
    <col min="7179" max="7426" width="8.7109375" style="1"/>
    <col min="7427" max="7427" width="6.42578125" style="1" customWidth="1"/>
    <col min="7428" max="7428" width="51.85546875" style="1" customWidth="1"/>
    <col min="7429" max="7429" width="9.7109375" style="1" customWidth="1"/>
    <col min="7430" max="7432" width="13.7109375" style="1" customWidth="1"/>
    <col min="7433" max="7433" width="8.28515625" style="1" customWidth="1"/>
    <col min="7434" max="7434" width="11" style="1" customWidth="1"/>
    <col min="7435" max="7682" width="8.7109375" style="1"/>
    <col min="7683" max="7683" width="6.42578125" style="1" customWidth="1"/>
    <col min="7684" max="7684" width="51.85546875" style="1" customWidth="1"/>
    <col min="7685" max="7685" width="9.7109375" style="1" customWidth="1"/>
    <col min="7686" max="7688" width="13.7109375" style="1" customWidth="1"/>
    <col min="7689" max="7689" width="8.28515625" style="1" customWidth="1"/>
    <col min="7690" max="7690" width="11" style="1" customWidth="1"/>
    <col min="7691" max="7938" width="8.7109375" style="1"/>
    <col min="7939" max="7939" width="6.42578125" style="1" customWidth="1"/>
    <col min="7940" max="7940" width="51.85546875" style="1" customWidth="1"/>
    <col min="7941" max="7941" width="9.7109375" style="1" customWidth="1"/>
    <col min="7942" max="7944" width="13.7109375" style="1" customWidth="1"/>
    <col min="7945" max="7945" width="8.28515625" style="1" customWidth="1"/>
    <col min="7946" max="7946" width="11" style="1" customWidth="1"/>
    <col min="7947" max="8194" width="8.7109375" style="1"/>
    <col min="8195" max="8195" width="6.42578125" style="1" customWidth="1"/>
    <col min="8196" max="8196" width="51.85546875" style="1" customWidth="1"/>
    <col min="8197" max="8197" width="9.7109375" style="1" customWidth="1"/>
    <col min="8198" max="8200" width="13.7109375" style="1" customWidth="1"/>
    <col min="8201" max="8201" width="8.28515625" style="1" customWidth="1"/>
    <col min="8202" max="8202" width="11" style="1" customWidth="1"/>
    <col min="8203" max="8450" width="8.7109375" style="1"/>
    <col min="8451" max="8451" width="6.42578125" style="1" customWidth="1"/>
    <col min="8452" max="8452" width="51.85546875" style="1" customWidth="1"/>
    <col min="8453" max="8453" width="9.7109375" style="1" customWidth="1"/>
    <col min="8454" max="8456" width="13.7109375" style="1" customWidth="1"/>
    <col min="8457" max="8457" width="8.28515625" style="1" customWidth="1"/>
    <col min="8458" max="8458" width="11" style="1" customWidth="1"/>
    <col min="8459" max="8706" width="8.7109375" style="1"/>
    <col min="8707" max="8707" width="6.42578125" style="1" customWidth="1"/>
    <col min="8708" max="8708" width="51.85546875" style="1" customWidth="1"/>
    <col min="8709" max="8709" width="9.7109375" style="1" customWidth="1"/>
    <col min="8710" max="8712" width="13.7109375" style="1" customWidth="1"/>
    <col min="8713" max="8713" width="8.28515625" style="1" customWidth="1"/>
    <col min="8714" max="8714" width="11" style="1" customWidth="1"/>
    <col min="8715" max="8962" width="8.7109375" style="1"/>
    <col min="8963" max="8963" width="6.42578125" style="1" customWidth="1"/>
    <col min="8964" max="8964" width="51.85546875" style="1" customWidth="1"/>
    <col min="8965" max="8965" width="9.7109375" style="1" customWidth="1"/>
    <col min="8966" max="8968" width="13.7109375" style="1" customWidth="1"/>
    <col min="8969" max="8969" width="8.28515625" style="1" customWidth="1"/>
    <col min="8970" max="8970" width="11" style="1" customWidth="1"/>
    <col min="8971" max="9218" width="8.7109375" style="1"/>
    <col min="9219" max="9219" width="6.42578125" style="1" customWidth="1"/>
    <col min="9220" max="9220" width="51.85546875" style="1" customWidth="1"/>
    <col min="9221" max="9221" width="9.7109375" style="1" customWidth="1"/>
    <col min="9222" max="9224" width="13.7109375" style="1" customWidth="1"/>
    <col min="9225" max="9225" width="8.28515625" style="1" customWidth="1"/>
    <col min="9226" max="9226" width="11" style="1" customWidth="1"/>
    <col min="9227" max="9474" width="8.7109375" style="1"/>
    <col min="9475" max="9475" width="6.42578125" style="1" customWidth="1"/>
    <col min="9476" max="9476" width="51.85546875" style="1" customWidth="1"/>
    <col min="9477" max="9477" width="9.7109375" style="1" customWidth="1"/>
    <col min="9478" max="9480" width="13.7109375" style="1" customWidth="1"/>
    <col min="9481" max="9481" width="8.28515625" style="1" customWidth="1"/>
    <col min="9482" max="9482" width="11" style="1" customWidth="1"/>
    <col min="9483" max="9730" width="8.7109375" style="1"/>
    <col min="9731" max="9731" width="6.42578125" style="1" customWidth="1"/>
    <col min="9732" max="9732" width="51.85546875" style="1" customWidth="1"/>
    <col min="9733" max="9733" width="9.7109375" style="1" customWidth="1"/>
    <col min="9734" max="9736" width="13.7109375" style="1" customWidth="1"/>
    <col min="9737" max="9737" width="8.28515625" style="1" customWidth="1"/>
    <col min="9738" max="9738" width="11" style="1" customWidth="1"/>
    <col min="9739" max="9986" width="8.7109375" style="1"/>
    <col min="9987" max="9987" width="6.42578125" style="1" customWidth="1"/>
    <col min="9988" max="9988" width="51.85546875" style="1" customWidth="1"/>
    <col min="9989" max="9989" width="9.7109375" style="1" customWidth="1"/>
    <col min="9990" max="9992" width="13.7109375" style="1" customWidth="1"/>
    <col min="9993" max="9993" width="8.28515625" style="1" customWidth="1"/>
    <col min="9994" max="9994" width="11" style="1" customWidth="1"/>
    <col min="9995" max="10242" width="8.7109375" style="1"/>
    <col min="10243" max="10243" width="6.42578125" style="1" customWidth="1"/>
    <col min="10244" max="10244" width="51.85546875" style="1" customWidth="1"/>
    <col min="10245" max="10245" width="9.7109375" style="1" customWidth="1"/>
    <col min="10246" max="10248" width="13.7109375" style="1" customWidth="1"/>
    <col min="10249" max="10249" width="8.28515625" style="1" customWidth="1"/>
    <col min="10250" max="10250" width="11" style="1" customWidth="1"/>
    <col min="10251" max="10498" width="8.7109375" style="1"/>
    <col min="10499" max="10499" width="6.42578125" style="1" customWidth="1"/>
    <col min="10500" max="10500" width="51.85546875" style="1" customWidth="1"/>
    <col min="10501" max="10501" width="9.7109375" style="1" customWidth="1"/>
    <col min="10502" max="10504" width="13.7109375" style="1" customWidth="1"/>
    <col min="10505" max="10505" width="8.28515625" style="1" customWidth="1"/>
    <col min="10506" max="10506" width="11" style="1" customWidth="1"/>
    <col min="10507" max="10754" width="8.7109375" style="1"/>
    <col min="10755" max="10755" width="6.42578125" style="1" customWidth="1"/>
    <col min="10756" max="10756" width="51.85546875" style="1" customWidth="1"/>
    <col min="10757" max="10757" width="9.7109375" style="1" customWidth="1"/>
    <col min="10758" max="10760" width="13.7109375" style="1" customWidth="1"/>
    <col min="10761" max="10761" width="8.28515625" style="1" customWidth="1"/>
    <col min="10762" max="10762" width="11" style="1" customWidth="1"/>
    <col min="10763" max="11010" width="8.7109375" style="1"/>
    <col min="11011" max="11011" width="6.42578125" style="1" customWidth="1"/>
    <col min="11012" max="11012" width="51.85546875" style="1" customWidth="1"/>
    <col min="11013" max="11013" width="9.7109375" style="1" customWidth="1"/>
    <col min="11014" max="11016" width="13.7109375" style="1" customWidth="1"/>
    <col min="11017" max="11017" width="8.28515625" style="1" customWidth="1"/>
    <col min="11018" max="11018" width="11" style="1" customWidth="1"/>
    <col min="11019" max="11266" width="8.7109375" style="1"/>
    <col min="11267" max="11267" width="6.42578125" style="1" customWidth="1"/>
    <col min="11268" max="11268" width="51.85546875" style="1" customWidth="1"/>
    <col min="11269" max="11269" width="9.7109375" style="1" customWidth="1"/>
    <col min="11270" max="11272" width="13.7109375" style="1" customWidth="1"/>
    <col min="11273" max="11273" width="8.28515625" style="1" customWidth="1"/>
    <col min="11274" max="11274" width="11" style="1" customWidth="1"/>
    <col min="11275" max="11522" width="8.7109375" style="1"/>
    <col min="11523" max="11523" width="6.42578125" style="1" customWidth="1"/>
    <col min="11524" max="11524" width="51.85546875" style="1" customWidth="1"/>
    <col min="11525" max="11525" width="9.7109375" style="1" customWidth="1"/>
    <col min="11526" max="11528" width="13.7109375" style="1" customWidth="1"/>
    <col min="11529" max="11529" width="8.28515625" style="1" customWidth="1"/>
    <col min="11530" max="11530" width="11" style="1" customWidth="1"/>
    <col min="11531" max="11778" width="8.7109375" style="1"/>
    <col min="11779" max="11779" width="6.42578125" style="1" customWidth="1"/>
    <col min="11780" max="11780" width="51.85546875" style="1" customWidth="1"/>
    <col min="11781" max="11781" width="9.7109375" style="1" customWidth="1"/>
    <col min="11782" max="11784" width="13.7109375" style="1" customWidth="1"/>
    <col min="11785" max="11785" width="8.28515625" style="1" customWidth="1"/>
    <col min="11786" max="11786" width="11" style="1" customWidth="1"/>
    <col min="11787" max="12034" width="8.7109375" style="1"/>
    <col min="12035" max="12035" width="6.42578125" style="1" customWidth="1"/>
    <col min="12036" max="12036" width="51.85546875" style="1" customWidth="1"/>
    <col min="12037" max="12037" width="9.7109375" style="1" customWidth="1"/>
    <col min="12038" max="12040" width="13.7109375" style="1" customWidth="1"/>
    <col min="12041" max="12041" width="8.28515625" style="1" customWidth="1"/>
    <col min="12042" max="12042" width="11" style="1" customWidth="1"/>
    <col min="12043" max="12290" width="8.7109375" style="1"/>
    <col min="12291" max="12291" width="6.42578125" style="1" customWidth="1"/>
    <col min="12292" max="12292" width="51.85546875" style="1" customWidth="1"/>
    <col min="12293" max="12293" width="9.7109375" style="1" customWidth="1"/>
    <col min="12294" max="12296" width="13.7109375" style="1" customWidth="1"/>
    <col min="12297" max="12297" width="8.28515625" style="1" customWidth="1"/>
    <col min="12298" max="12298" width="11" style="1" customWidth="1"/>
    <col min="12299" max="12546" width="8.7109375" style="1"/>
    <col min="12547" max="12547" width="6.42578125" style="1" customWidth="1"/>
    <col min="12548" max="12548" width="51.85546875" style="1" customWidth="1"/>
    <col min="12549" max="12549" width="9.7109375" style="1" customWidth="1"/>
    <col min="12550" max="12552" width="13.7109375" style="1" customWidth="1"/>
    <col min="12553" max="12553" width="8.28515625" style="1" customWidth="1"/>
    <col min="12554" max="12554" width="11" style="1" customWidth="1"/>
    <col min="12555" max="12802" width="8.7109375" style="1"/>
    <col min="12803" max="12803" width="6.42578125" style="1" customWidth="1"/>
    <col min="12804" max="12804" width="51.85546875" style="1" customWidth="1"/>
    <col min="12805" max="12805" width="9.7109375" style="1" customWidth="1"/>
    <col min="12806" max="12808" width="13.7109375" style="1" customWidth="1"/>
    <col min="12809" max="12809" width="8.28515625" style="1" customWidth="1"/>
    <col min="12810" max="12810" width="11" style="1" customWidth="1"/>
    <col min="12811" max="13058" width="8.7109375" style="1"/>
    <col min="13059" max="13059" width="6.42578125" style="1" customWidth="1"/>
    <col min="13060" max="13060" width="51.85546875" style="1" customWidth="1"/>
    <col min="13061" max="13061" width="9.7109375" style="1" customWidth="1"/>
    <col min="13062" max="13064" width="13.7109375" style="1" customWidth="1"/>
    <col min="13065" max="13065" width="8.28515625" style="1" customWidth="1"/>
    <col min="13066" max="13066" width="11" style="1" customWidth="1"/>
    <col min="13067" max="13314" width="8.7109375" style="1"/>
    <col min="13315" max="13315" width="6.42578125" style="1" customWidth="1"/>
    <col min="13316" max="13316" width="51.85546875" style="1" customWidth="1"/>
    <col min="13317" max="13317" width="9.7109375" style="1" customWidth="1"/>
    <col min="13318" max="13320" width="13.7109375" style="1" customWidth="1"/>
    <col min="13321" max="13321" width="8.28515625" style="1" customWidth="1"/>
    <col min="13322" max="13322" width="11" style="1" customWidth="1"/>
    <col min="13323" max="13570" width="8.7109375" style="1"/>
    <col min="13571" max="13571" width="6.42578125" style="1" customWidth="1"/>
    <col min="13572" max="13572" width="51.85546875" style="1" customWidth="1"/>
    <col min="13573" max="13573" width="9.7109375" style="1" customWidth="1"/>
    <col min="13574" max="13576" width="13.7109375" style="1" customWidth="1"/>
    <col min="13577" max="13577" width="8.28515625" style="1" customWidth="1"/>
    <col min="13578" max="13578" width="11" style="1" customWidth="1"/>
    <col min="13579" max="13826" width="8.7109375" style="1"/>
    <col min="13827" max="13827" width="6.42578125" style="1" customWidth="1"/>
    <col min="13828" max="13828" width="51.85546875" style="1" customWidth="1"/>
    <col min="13829" max="13829" width="9.7109375" style="1" customWidth="1"/>
    <col min="13830" max="13832" width="13.7109375" style="1" customWidth="1"/>
    <col min="13833" max="13833" width="8.28515625" style="1" customWidth="1"/>
    <col min="13834" max="13834" width="11" style="1" customWidth="1"/>
    <col min="13835" max="14082" width="8.7109375" style="1"/>
    <col min="14083" max="14083" width="6.42578125" style="1" customWidth="1"/>
    <col min="14084" max="14084" width="51.85546875" style="1" customWidth="1"/>
    <col min="14085" max="14085" width="9.7109375" style="1" customWidth="1"/>
    <col min="14086" max="14088" width="13.7109375" style="1" customWidth="1"/>
    <col min="14089" max="14089" width="8.28515625" style="1" customWidth="1"/>
    <col min="14090" max="14090" width="11" style="1" customWidth="1"/>
    <col min="14091" max="14338" width="8.7109375" style="1"/>
    <col min="14339" max="14339" width="6.42578125" style="1" customWidth="1"/>
    <col min="14340" max="14340" width="51.85546875" style="1" customWidth="1"/>
    <col min="14341" max="14341" width="9.7109375" style="1" customWidth="1"/>
    <col min="14342" max="14344" width="13.7109375" style="1" customWidth="1"/>
    <col min="14345" max="14345" width="8.28515625" style="1" customWidth="1"/>
    <col min="14346" max="14346" width="11" style="1" customWidth="1"/>
    <col min="14347" max="14594" width="8.7109375" style="1"/>
    <col min="14595" max="14595" width="6.42578125" style="1" customWidth="1"/>
    <col min="14596" max="14596" width="51.85546875" style="1" customWidth="1"/>
    <col min="14597" max="14597" width="9.7109375" style="1" customWidth="1"/>
    <col min="14598" max="14600" width="13.7109375" style="1" customWidth="1"/>
    <col min="14601" max="14601" width="8.28515625" style="1" customWidth="1"/>
    <col min="14602" max="14602" width="11" style="1" customWidth="1"/>
    <col min="14603" max="14850" width="8.7109375" style="1"/>
    <col min="14851" max="14851" width="6.42578125" style="1" customWidth="1"/>
    <col min="14852" max="14852" width="51.85546875" style="1" customWidth="1"/>
    <col min="14853" max="14853" width="9.7109375" style="1" customWidth="1"/>
    <col min="14854" max="14856" width="13.7109375" style="1" customWidth="1"/>
    <col min="14857" max="14857" width="8.28515625" style="1" customWidth="1"/>
    <col min="14858" max="14858" width="11" style="1" customWidth="1"/>
    <col min="14859" max="15106" width="8.7109375" style="1"/>
    <col min="15107" max="15107" width="6.42578125" style="1" customWidth="1"/>
    <col min="15108" max="15108" width="51.85546875" style="1" customWidth="1"/>
    <col min="15109" max="15109" width="9.7109375" style="1" customWidth="1"/>
    <col min="15110" max="15112" width="13.7109375" style="1" customWidth="1"/>
    <col min="15113" max="15113" width="8.28515625" style="1" customWidth="1"/>
    <col min="15114" max="15114" width="11" style="1" customWidth="1"/>
    <col min="15115" max="15362" width="8.7109375" style="1"/>
    <col min="15363" max="15363" width="6.42578125" style="1" customWidth="1"/>
    <col min="15364" max="15364" width="51.85546875" style="1" customWidth="1"/>
    <col min="15365" max="15365" width="9.7109375" style="1" customWidth="1"/>
    <col min="15366" max="15368" width="13.7109375" style="1" customWidth="1"/>
    <col min="15369" max="15369" width="8.28515625" style="1" customWidth="1"/>
    <col min="15370" max="15370" width="11" style="1" customWidth="1"/>
    <col min="15371" max="15618" width="8.7109375" style="1"/>
    <col min="15619" max="15619" width="6.42578125" style="1" customWidth="1"/>
    <col min="15620" max="15620" width="51.85546875" style="1" customWidth="1"/>
    <col min="15621" max="15621" width="9.7109375" style="1" customWidth="1"/>
    <col min="15622" max="15624" width="13.7109375" style="1" customWidth="1"/>
    <col min="15625" max="15625" width="8.28515625" style="1" customWidth="1"/>
    <col min="15626" max="15626" width="11" style="1" customWidth="1"/>
    <col min="15627" max="15874" width="8.7109375" style="1"/>
    <col min="15875" max="15875" width="6.42578125" style="1" customWidth="1"/>
    <col min="15876" max="15876" width="51.85546875" style="1" customWidth="1"/>
    <col min="15877" max="15877" width="9.7109375" style="1" customWidth="1"/>
    <col min="15878" max="15880" width="13.7109375" style="1" customWidth="1"/>
    <col min="15881" max="15881" width="8.28515625" style="1" customWidth="1"/>
    <col min="15882" max="15882" width="11" style="1" customWidth="1"/>
    <col min="15883" max="16130" width="8.7109375" style="1"/>
    <col min="16131" max="16131" width="6.42578125" style="1" customWidth="1"/>
    <col min="16132" max="16132" width="51.85546875" style="1" customWidth="1"/>
    <col min="16133" max="16133" width="9.7109375" style="1" customWidth="1"/>
    <col min="16134" max="16136" width="13.7109375" style="1" customWidth="1"/>
    <col min="16137" max="16137" width="8.28515625" style="1" customWidth="1"/>
    <col min="16138" max="16138" width="11" style="1" customWidth="1"/>
    <col min="16139" max="16384" width="8.7109375" style="1"/>
  </cols>
  <sheetData>
    <row r="1" spans="1:11" ht="13.5">
      <c r="A1" s="1810"/>
      <c r="B1" s="1810"/>
      <c r="C1" s="1810"/>
      <c r="D1" s="1810"/>
      <c r="E1" s="1810"/>
      <c r="F1" s="1810"/>
      <c r="G1" s="1810"/>
      <c r="H1" s="3553" t="str">
        <f>'19. HB'!H1</f>
        <v>Приложение № 6</v>
      </c>
    </row>
    <row r="2" spans="1:11" ht="18.75">
      <c r="A2" s="5619" t="s">
        <v>1568</v>
      </c>
      <c r="B2" s="5619"/>
      <c r="C2" s="5619"/>
      <c r="D2" s="5619"/>
      <c r="E2" s="5619"/>
      <c r="F2" s="5619"/>
      <c r="G2" s="5619"/>
      <c r="H2" s="5619"/>
      <c r="I2" s="16"/>
      <c r="J2" s="15"/>
    </row>
    <row r="3" spans="1:11" ht="18.75">
      <c r="A3" s="5604" t="s">
        <v>1523</v>
      </c>
      <c r="B3" s="5604"/>
      <c r="C3" s="5604"/>
      <c r="D3" s="5604"/>
      <c r="E3" s="5604"/>
      <c r="F3" s="5604"/>
      <c r="G3" s="5604"/>
      <c r="H3" s="5604"/>
      <c r="I3" s="15"/>
      <c r="J3" s="15"/>
    </row>
    <row r="4" spans="1:11" ht="14.25">
      <c r="A4" s="5620" t="str">
        <f>'1. Обща информация'!A4:D4</f>
        <v>на "Водоснабдяване и канализаиця"ООД, гр. Перник</v>
      </c>
      <c r="B4" s="5620"/>
      <c r="C4" s="5620"/>
      <c r="D4" s="5620"/>
      <c r="E4" s="5620"/>
      <c r="F4" s="5620"/>
      <c r="G4" s="5620"/>
      <c r="H4" s="5620"/>
      <c r="I4" s="15"/>
      <c r="J4" s="15"/>
    </row>
    <row r="5" spans="1:11" ht="14.25">
      <c r="A5" s="5620" t="str">
        <f>'1. Обща информация'!A5:D5</f>
        <v>ЕИК по БУЛСТАТ: 823073638</v>
      </c>
      <c r="B5" s="5620"/>
      <c r="C5" s="5620"/>
      <c r="D5" s="5620"/>
      <c r="E5" s="5620"/>
      <c r="F5" s="5620"/>
      <c r="G5" s="5620"/>
      <c r="H5" s="5620"/>
      <c r="I5" s="15"/>
      <c r="J5" s="15"/>
    </row>
    <row r="6" spans="1:11" ht="15" thickBot="1">
      <c r="A6" s="3768"/>
      <c r="B6" s="3768"/>
      <c r="C6" s="3768"/>
      <c r="D6" s="3768"/>
      <c r="E6" s="3768"/>
      <c r="F6" s="3768"/>
      <c r="G6" s="3768"/>
      <c r="H6" s="3768"/>
      <c r="I6" s="15"/>
      <c r="J6" s="15"/>
    </row>
    <row r="7" spans="1:11" s="1456" customFormat="1" ht="24" customHeight="1" thickBot="1">
      <c r="A7" s="3560" t="s">
        <v>1</v>
      </c>
      <c r="B7" s="3560" t="s">
        <v>1570</v>
      </c>
      <c r="C7" s="3560" t="s">
        <v>170</v>
      </c>
      <c r="D7" s="1579" t="str">
        <f>'Приложение '!$C14</f>
        <v>2022 г.</v>
      </c>
      <c r="E7" s="1580" t="str">
        <f>'Приложение '!$C15</f>
        <v>2023 г.</v>
      </c>
      <c r="F7" s="1580" t="str">
        <f>'Приложение '!$C16</f>
        <v>2024 г.</v>
      </c>
      <c r="G7" s="1580" t="str">
        <f>'Приложение '!$C17</f>
        <v>2025 г.</v>
      </c>
      <c r="H7" s="1581" t="str">
        <f>'Приложение '!$C18</f>
        <v>2026 г.</v>
      </c>
      <c r="I7" s="1453"/>
      <c r="J7" s="1454"/>
      <c r="K7" s="1455"/>
    </row>
    <row r="8" spans="1:11" s="1456" customFormat="1" ht="15">
      <c r="A8" s="3769" t="s">
        <v>210</v>
      </c>
      <c r="B8" s="3770" t="s">
        <v>212</v>
      </c>
      <c r="C8" s="3771"/>
      <c r="D8" s="3771"/>
      <c r="E8" s="3771"/>
      <c r="F8" s="3771"/>
      <c r="G8" s="3771"/>
      <c r="H8" s="3772"/>
      <c r="I8" s="1453"/>
      <c r="J8" s="1454"/>
      <c r="K8" s="1455"/>
    </row>
    <row r="9" spans="1:11" s="1456" customFormat="1" ht="29.25" customHeight="1" thickBot="1">
      <c r="A9" s="3773" t="s">
        <v>469</v>
      </c>
      <c r="B9" s="3774" t="s">
        <v>614</v>
      </c>
      <c r="C9" s="3775" t="s">
        <v>333</v>
      </c>
      <c r="D9" s="3776">
        <f>IFERROR(ROUND(('16. Необходими приходи'!D11/'16. Необходими приходи'!D12),3),0)</f>
        <v>2.0209999999999999</v>
      </c>
      <c r="E9" s="3777">
        <f>IFERROR(ROUND(('16. Необходими приходи'!E11/'16. Необходими приходи'!E12),3),0)</f>
        <v>2.0619999999999998</v>
      </c>
      <c r="F9" s="3777">
        <f>IFERROR(ROUND(('16. Необходими приходи'!F11/'16. Необходими приходи'!F12),3),0)</f>
        <v>2.177</v>
      </c>
      <c r="G9" s="3777">
        <f>IFERROR(ROUND(('16. Необходими приходи'!G11/'16. Необходими приходи'!G12),3),0)</f>
        <v>2.3340000000000001</v>
      </c>
      <c r="H9" s="3778">
        <f>IFERROR(ROUND(('16. Необходими приходи'!H11/'16. Необходими приходи'!H12),3),0)</f>
        <v>2.3879999999999999</v>
      </c>
      <c r="I9" s="1457"/>
      <c r="J9" s="1455"/>
      <c r="K9" s="1455"/>
    </row>
    <row r="10" spans="1:11" ht="15" customHeight="1">
      <c r="A10" s="3769" t="s">
        <v>211</v>
      </c>
      <c r="B10" s="3770" t="s">
        <v>178</v>
      </c>
      <c r="C10" s="3771"/>
      <c r="D10" s="3771"/>
      <c r="E10" s="3771"/>
      <c r="F10" s="3771"/>
      <c r="G10" s="3771"/>
      <c r="H10" s="3772"/>
      <c r="I10" s="1458"/>
      <c r="J10" s="15"/>
      <c r="K10" s="15"/>
    </row>
    <row r="11" spans="1:11" ht="29.25" customHeight="1" thickBot="1">
      <c r="A11" s="3779" t="s">
        <v>483</v>
      </c>
      <c r="B11" s="3780" t="s">
        <v>614</v>
      </c>
      <c r="C11" s="3781" t="s">
        <v>333</v>
      </c>
      <c r="D11" s="3782">
        <f>IFERROR(ROUND(('16. Необходими приходи'!D17/'16. Необходими приходи'!D18),3),0)</f>
        <v>0.20899999999999999</v>
      </c>
      <c r="E11" s="3783">
        <f>IFERROR(ROUND(('16. Необходими приходи'!E17/'16. Необходими приходи'!E18),3),0)</f>
        <v>0.29699999999999999</v>
      </c>
      <c r="F11" s="3783">
        <f>IFERROR(ROUND(('16. Необходими приходи'!F17/'16. Необходими приходи'!F18),3),0)</f>
        <v>0.36299999999999999</v>
      </c>
      <c r="G11" s="3783">
        <f>IFERROR(ROUND(('16. Необходими приходи'!G17/'16. Необходими приходи'!G18),3),0)</f>
        <v>0.42499999999999999</v>
      </c>
      <c r="H11" s="3784">
        <f>IFERROR(ROUND(('16. Необходими приходи'!H17/'16. Необходими приходи'!H18),3),0)</f>
        <v>0.437</v>
      </c>
      <c r="I11" s="1458"/>
      <c r="J11" s="15"/>
      <c r="K11" s="15"/>
    </row>
    <row r="12" spans="1:11" ht="15" customHeight="1">
      <c r="A12" s="3785" t="s">
        <v>224</v>
      </c>
      <c r="B12" s="3786" t="s">
        <v>188</v>
      </c>
      <c r="C12" s="3787"/>
      <c r="D12" s="3787"/>
      <c r="E12" s="3787"/>
      <c r="F12" s="3787"/>
      <c r="G12" s="3787"/>
      <c r="H12" s="3788"/>
      <c r="I12" s="1458"/>
      <c r="J12" s="15"/>
      <c r="K12" s="15"/>
    </row>
    <row r="13" spans="1:11" ht="29.25" customHeight="1">
      <c r="A13" s="3789" t="s">
        <v>268</v>
      </c>
      <c r="B13" s="3790" t="s">
        <v>1569</v>
      </c>
      <c r="C13" s="3791" t="s">
        <v>333</v>
      </c>
      <c r="D13" s="3792">
        <f>IFERROR(ROUND(('16. Необходими приходи'!D25/('16.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приходи'!D51)),3),0)</f>
        <v>0.56699999999999995</v>
      </c>
      <c r="E13" s="3793">
        <f>IFERROR(ROUND(('16. Необходими приходи'!E25/('16.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приходи'!E51)),3),0)</f>
        <v>0.67100000000000004</v>
      </c>
      <c r="F13" s="3793">
        <f>IFERROR(ROUND(('16. Необходими приходи'!F25/('16.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приходи'!F51)),3),0)</f>
        <v>0.61299999999999999</v>
      </c>
      <c r="G13" s="3793">
        <f>IFERROR(ROUND(('16. Необходими приходи'!G25/('16.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приходи'!G51)),3),0)</f>
        <v>0.65600000000000003</v>
      </c>
      <c r="H13" s="3794">
        <f>IFERROR(ROUND(('16. Необходими приходи'!H25/('16.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приходи'!H51)),3),0)</f>
        <v>0.67200000000000004</v>
      </c>
      <c r="I13" s="1458"/>
      <c r="J13" s="15"/>
      <c r="K13" s="15"/>
    </row>
    <row r="14" spans="1:11" ht="24" customHeight="1">
      <c r="A14" s="3789" t="s">
        <v>269</v>
      </c>
      <c r="B14" s="3790" t="s">
        <v>183</v>
      </c>
      <c r="C14" s="3795"/>
      <c r="D14" s="3796"/>
      <c r="E14" s="3797"/>
      <c r="F14" s="3797"/>
      <c r="G14" s="3797"/>
      <c r="H14" s="3798"/>
      <c r="I14" s="1458"/>
      <c r="J14" s="15"/>
      <c r="K14" s="15"/>
    </row>
    <row r="15" spans="1:11" ht="15">
      <c r="A15" s="3799" t="s">
        <v>1571</v>
      </c>
      <c r="B15" s="3800" t="s">
        <v>184</v>
      </c>
      <c r="C15" s="3801" t="s">
        <v>333</v>
      </c>
      <c r="D15" s="3802">
        <f>IFERROR(ROUND((D13*'16. Необходими приходи'!D49),3),0)</f>
        <v>0.63100000000000001</v>
      </c>
      <c r="E15" s="3803">
        <f>IFERROR(ROUND((E13*'16. Необходими приходи'!E49),3),0)</f>
        <v>0.746</v>
      </c>
      <c r="F15" s="3803">
        <f>IFERROR(ROUND((F13*'16. Необходими приходи'!F49),3),0)</f>
        <v>0.67900000000000005</v>
      </c>
      <c r="G15" s="3803">
        <f>IFERROR(ROUND((G13*'16. Необходими приходи'!G49),3),0)</f>
        <v>0.72699999999999998</v>
      </c>
      <c r="H15" s="3804">
        <f>IFERROR(ROUND((H13*'16. Необходими приходи'!H49),3),0)</f>
        <v>0.745</v>
      </c>
      <c r="I15" s="1458"/>
      <c r="J15" s="15"/>
      <c r="K15" s="15"/>
    </row>
    <row r="16" spans="1:11" ht="15">
      <c r="A16" s="3805" t="s">
        <v>1572</v>
      </c>
      <c r="B16" s="3806" t="s">
        <v>185</v>
      </c>
      <c r="C16" s="3791" t="s">
        <v>333</v>
      </c>
      <c r="D16" s="3807">
        <f>IFERROR(ROUND((D13*'16. Необходими приходи'!D50),3),0)</f>
        <v>1.1279999999999999</v>
      </c>
      <c r="E16" s="3808">
        <f>IFERROR(ROUND((E13*'16. Необходими приходи'!E50),3),0)</f>
        <v>1.335</v>
      </c>
      <c r="F16" s="3808">
        <f>IFERROR(ROUND((F13*'16. Необходими приходи'!F50),3),0)</f>
        <v>1.222</v>
      </c>
      <c r="G16" s="3808">
        <f>IFERROR(ROUND((G13*'16. Необходими приходи'!G50),3),0)</f>
        <v>1.3080000000000001</v>
      </c>
      <c r="H16" s="3809">
        <f>IFERROR(ROUND((H13*'16. Необходими приходи'!H50),3),0)</f>
        <v>1.34</v>
      </c>
      <c r="I16" s="1458"/>
      <c r="J16" s="15"/>
      <c r="K16" s="15"/>
    </row>
    <row r="17" spans="1:11" ht="15.75" thickBot="1">
      <c r="A17" s="3779" t="s">
        <v>1573</v>
      </c>
      <c r="B17" s="3810" t="s">
        <v>186</v>
      </c>
      <c r="C17" s="3781" t="s">
        <v>333</v>
      </c>
      <c r="D17" s="3811">
        <f>IFERROR(ROUND((D13*'16. Необходими приходи'!D51),3),0)</f>
        <v>0</v>
      </c>
      <c r="E17" s="3812">
        <f>IFERROR(ROUND((E13*'16. Необходими приходи'!E51),3),0)</f>
        <v>0</v>
      </c>
      <c r="F17" s="3812">
        <f>IFERROR(ROUND((F13*'16. Необходими приходи'!F51),3),0)</f>
        <v>0</v>
      </c>
      <c r="G17" s="3812">
        <f>IFERROR(ROUND((G13*'16. Необходими приходи'!G51),3),0)</f>
        <v>0</v>
      </c>
      <c r="H17" s="3813">
        <f>IFERROR(ROUND((H13*'16. Необходими приходи'!H51),3),0)</f>
        <v>0</v>
      </c>
      <c r="I17" s="1458"/>
      <c r="J17" s="15"/>
      <c r="K17" s="15"/>
    </row>
    <row r="18" spans="1:11" ht="30" customHeight="1" thickBot="1">
      <c r="A18" s="3814" t="s">
        <v>226</v>
      </c>
      <c r="B18" s="3815" t="s">
        <v>1037</v>
      </c>
      <c r="C18" s="3816" t="s">
        <v>333</v>
      </c>
      <c r="D18" s="3817">
        <f>IFERROR(ROUND(('16. Необходими приходи'!D36/'16. Необходими приходи'!D37),3),0)</f>
        <v>0.13100000000000001</v>
      </c>
      <c r="E18" s="3818">
        <f>IFERROR(ROUND(('16. Необходими приходи'!E36/'16. Необходими приходи'!E37),3),0)</f>
        <v>0.185</v>
      </c>
      <c r="F18" s="3818">
        <f>IFERROR(ROUND(('16. Необходими приходи'!F36/'16. Необходими приходи'!F37),3),0)</f>
        <v>0.185</v>
      </c>
      <c r="G18" s="3818">
        <f>IFERROR(ROUND(('16. Необходими приходи'!G36/'16. Необходими приходи'!G37),3),0)</f>
        <v>0.185</v>
      </c>
      <c r="H18" s="3819">
        <f>IFERROR(ROUND(('16. Необходими приходи'!H36/'16. Необходими приходи'!H37),3),0)</f>
        <v>0.185</v>
      </c>
      <c r="I18" s="1458"/>
    </row>
    <row r="19" spans="1:11" ht="28.5" customHeight="1" thickBot="1">
      <c r="A19" s="3820" t="s">
        <v>313</v>
      </c>
      <c r="B19" s="3821" t="s">
        <v>1102</v>
      </c>
      <c r="C19" s="3822" t="s">
        <v>333</v>
      </c>
      <c r="D19" s="3817">
        <f>IFERROR(ROUND(('16. Необходими приходи'!D42/'16. Необходими приходи'!D43),3),0)</f>
        <v>0</v>
      </c>
      <c r="E19" s="3818">
        <f>IFERROR(ROUND(('16. Необходими приходи'!E42/'16. Необходими приходи'!E43),3),0)</f>
        <v>0</v>
      </c>
      <c r="F19" s="3818">
        <f>IFERROR(ROUND(('16. Необходими приходи'!F42/'16. Необходими приходи'!F43),3),0)</f>
        <v>0</v>
      </c>
      <c r="G19" s="3818">
        <f>IFERROR(ROUND(('16. Необходими приходи'!G42/'16. Необходими приходи'!G43),3),0)</f>
        <v>0</v>
      </c>
      <c r="H19" s="3819">
        <f>IFERROR(ROUND(('16. Необходими приходи'!H42/'16. Необходими приходи'!H43),3),0)</f>
        <v>0</v>
      </c>
      <c r="I19" s="1458"/>
    </row>
    <row r="20" spans="1:11">
      <c r="A20" s="1622"/>
      <c r="B20" s="1622"/>
      <c r="C20" s="1622"/>
      <c r="D20" s="1622"/>
      <c r="E20" s="1622"/>
      <c r="F20" s="1622"/>
      <c r="G20" s="1622"/>
      <c r="H20" s="1622"/>
      <c r="J20" s="15"/>
      <c r="K20" s="15"/>
    </row>
    <row r="21" spans="1:11">
      <c r="A21" s="1459"/>
      <c r="B21" s="1810"/>
      <c r="C21" s="3823"/>
      <c r="D21" s="1810"/>
      <c r="E21" s="1810"/>
      <c r="F21" s="1810"/>
      <c r="G21" s="1810"/>
      <c r="H21" s="1810"/>
    </row>
    <row r="22" spans="1:11">
      <c r="A22" s="1810"/>
      <c r="B22" s="3824" t="str">
        <f>'Приложение '!B81</f>
        <v>Дата: 24 юни 2021 година</v>
      </c>
      <c r="C22" s="1622"/>
      <c r="D22" s="1622"/>
      <c r="E22" s="1622"/>
      <c r="F22" s="1622"/>
      <c r="G22" s="1622"/>
      <c r="H22" s="1622"/>
    </row>
    <row r="23" spans="1:11">
      <c r="A23" s="1810"/>
      <c r="B23" s="1622"/>
      <c r="C23" s="3825"/>
      <c r="D23" s="3826" t="str">
        <f>'Приложение '!C81</f>
        <v xml:space="preserve">Гл. счетоводител/Фин.директор: </v>
      </c>
      <c r="E23" s="3827" t="str">
        <f>'Приложение '!D81</f>
        <v>..............................................</v>
      </c>
      <c r="F23" s="1622"/>
      <c r="G23" s="1622"/>
      <c r="H23" s="2229"/>
    </row>
    <row r="24" spans="1:11">
      <c r="A24" s="1810"/>
      <c r="B24" s="1622"/>
      <c r="C24" s="1622"/>
      <c r="D24" s="3826"/>
      <c r="E24" s="3828" t="str">
        <f>'Приложение '!D82</f>
        <v>(подпис)</v>
      </c>
      <c r="F24" s="1622"/>
      <c r="G24" s="1622"/>
      <c r="H24" s="2229"/>
    </row>
    <row r="25" spans="1:11">
      <c r="A25" s="1810"/>
      <c r="B25" s="1622"/>
      <c r="C25" s="1622"/>
      <c r="D25" s="3826"/>
      <c r="E25" s="3827"/>
      <c r="F25" s="1622"/>
      <c r="G25" s="1622"/>
      <c r="H25" s="2229"/>
    </row>
    <row r="26" spans="1:11">
      <c r="A26" s="1810"/>
      <c r="B26" s="1622"/>
      <c r="C26" s="1622"/>
      <c r="D26" s="3826"/>
      <c r="E26" s="3827"/>
      <c r="F26" s="1622"/>
      <c r="G26" s="1622"/>
      <c r="H26" s="2229"/>
    </row>
    <row r="27" spans="1:11">
      <c r="A27" s="1893"/>
      <c r="B27" s="2234"/>
      <c r="C27" s="1622"/>
      <c r="D27" s="3826" t="str">
        <f>'Приложение '!C85</f>
        <v xml:space="preserve">Управител/Изп.директор: </v>
      </c>
      <c r="E27" s="3827" t="str">
        <f>'Приложение '!D85</f>
        <v>.............................................</v>
      </c>
      <c r="F27" s="1622"/>
      <c r="G27" s="1622"/>
      <c r="H27" s="2229"/>
    </row>
    <row r="28" spans="1:11">
      <c r="A28" s="1894"/>
      <c r="B28" s="2310"/>
      <c r="C28" s="1622"/>
      <c r="D28" s="3829"/>
      <c r="E28" s="3828" t="str">
        <f>'Приложение '!D86</f>
        <v>(подпис и печат)</v>
      </c>
      <c r="F28" s="1622"/>
      <c r="G28" s="1622"/>
      <c r="H28" s="2229"/>
    </row>
    <row r="29" spans="1:11">
      <c r="A29" s="1810"/>
      <c r="B29" s="1810"/>
      <c r="C29" s="1810"/>
      <c r="D29" s="3353"/>
      <c r="E29" s="3519"/>
      <c r="F29" s="3518"/>
      <c r="G29" s="2951"/>
      <c r="H29" s="3353"/>
    </row>
  </sheetData>
  <sheetProtection password="EB75" sheet="1" objects="1" scenarios="1" formatCells="0" formatColumns="0" formatRows="0"/>
  <mergeCells count="4">
    <mergeCell ref="A2:H2"/>
    <mergeCell ref="A3:H3"/>
    <mergeCell ref="A4:H4"/>
    <mergeCell ref="A5:H5"/>
  </mergeCell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57"/>
  <sheetViews>
    <sheetView zoomScale="115" zoomScaleNormal="115" workbookViewId="0">
      <selection activeCell="V34" sqref="V34"/>
    </sheetView>
  </sheetViews>
  <sheetFormatPr defaultRowHeight="12.75"/>
  <cols>
    <col min="1" max="1" width="38.85546875" customWidth="1"/>
    <col min="2" max="2" width="5.42578125" customWidth="1"/>
    <col min="3" max="8" width="7.5703125" customWidth="1"/>
    <col min="9" max="9" width="4.85546875" customWidth="1"/>
    <col min="10" max="10" width="24.42578125" customWidth="1"/>
    <col min="11" max="23" width="5" customWidth="1"/>
    <col min="24" max="24" width="4.7109375" customWidth="1"/>
    <col min="25" max="25" width="5.28515625" customWidth="1"/>
    <col min="26" max="26" width="28.85546875" customWidth="1"/>
    <col min="27" max="27" width="4.5703125" customWidth="1"/>
    <col min="34" max="35" width="5.85546875" customWidth="1"/>
  </cols>
  <sheetData>
    <row r="1" spans="1:36" ht="15.75">
      <c r="A1" s="4034" t="s">
        <v>1596</v>
      </c>
      <c r="B1" s="3685"/>
      <c r="C1" s="3685"/>
      <c r="D1" s="3685"/>
      <c r="E1" s="3685"/>
      <c r="F1" s="3685"/>
      <c r="G1" s="3685"/>
      <c r="H1" s="3685"/>
      <c r="I1" s="3685"/>
      <c r="J1" s="4034" t="s">
        <v>1626</v>
      </c>
      <c r="K1" s="3685"/>
      <c r="L1" s="3685"/>
      <c r="M1" s="3685"/>
      <c r="N1" s="3685"/>
      <c r="O1" s="3685"/>
      <c r="P1" s="3685"/>
      <c r="Q1" s="3685"/>
      <c r="R1" s="3685"/>
      <c r="S1" s="3685"/>
      <c r="T1" s="3685"/>
      <c r="U1" s="3685"/>
      <c r="V1" s="3685"/>
      <c r="W1" s="3685"/>
      <c r="X1" s="3685"/>
      <c r="Y1" s="4034" t="s">
        <v>1679</v>
      </c>
      <c r="Z1" s="3685"/>
      <c r="AA1" s="3685"/>
      <c r="AB1" s="3685"/>
      <c r="AC1" s="3685"/>
      <c r="AD1" s="3685"/>
      <c r="AE1" s="3685"/>
      <c r="AF1" s="3685"/>
      <c r="AG1" s="3685"/>
      <c r="AH1" s="3685"/>
      <c r="AI1" s="3685"/>
      <c r="AJ1" s="3685"/>
    </row>
    <row r="2" spans="1:36" ht="15.95" customHeight="1">
      <c r="A2" s="5646" t="s">
        <v>2</v>
      </c>
      <c r="B2" s="5647" t="s">
        <v>754</v>
      </c>
      <c r="C2" s="5634" t="s">
        <v>930</v>
      </c>
      <c r="D2" s="5634"/>
      <c r="E2" s="5634"/>
      <c r="F2" s="5634"/>
      <c r="G2" s="5634"/>
      <c r="H2" s="5634"/>
      <c r="I2" s="3685"/>
      <c r="J2" s="5625" t="s">
        <v>352</v>
      </c>
      <c r="K2" s="5628" t="s">
        <v>354</v>
      </c>
      <c r="L2" s="5629"/>
      <c r="M2" s="5629"/>
      <c r="N2" s="5629"/>
      <c r="O2" s="5629"/>
      <c r="P2" s="5629"/>
      <c r="Q2" s="5629"/>
      <c r="R2" s="5629"/>
      <c r="S2" s="5629"/>
      <c r="T2" s="5629"/>
      <c r="U2" s="5629"/>
      <c r="V2" s="5629"/>
      <c r="W2" s="5630"/>
      <c r="X2" s="3685"/>
      <c r="Y2" s="5621" t="s">
        <v>1684</v>
      </c>
      <c r="Z2" s="5622"/>
      <c r="AA2" s="5622"/>
      <c r="AB2" s="5622"/>
      <c r="AC2" s="5622"/>
      <c r="AD2" s="5622"/>
      <c r="AE2" s="5622"/>
      <c r="AF2" s="5622"/>
      <c r="AG2" s="5622"/>
      <c r="AH2" s="5622"/>
      <c r="AI2" s="5623"/>
      <c r="AJ2" s="3685"/>
    </row>
    <row r="3" spans="1:36" ht="15.95" customHeight="1">
      <c r="A3" s="5646"/>
      <c r="B3" s="5648"/>
      <c r="C3" s="3917" t="s">
        <v>119</v>
      </c>
      <c r="D3" s="3917" t="s">
        <v>1072</v>
      </c>
      <c r="E3" s="3917" t="s">
        <v>1073</v>
      </c>
      <c r="F3" s="3917" t="s">
        <v>1074</v>
      </c>
      <c r="G3" s="3917" t="s">
        <v>1075</v>
      </c>
      <c r="H3" s="3917" t="s">
        <v>1076</v>
      </c>
      <c r="I3" s="3685"/>
      <c r="J3" s="5625"/>
      <c r="K3" s="5625" t="s">
        <v>1615</v>
      </c>
      <c r="L3" s="5626" t="s">
        <v>1634</v>
      </c>
      <c r="M3" s="5626"/>
      <c r="N3" s="5626"/>
      <c r="O3" s="5626"/>
      <c r="P3" s="5626"/>
      <c r="Q3" s="5627"/>
      <c r="R3" s="5625" t="s">
        <v>1628</v>
      </c>
      <c r="S3" s="5625"/>
      <c r="T3" s="5625"/>
      <c r="U3" s="5625"/>
      <c r="V3" s="5625"/>
      <c r="W3" s="5625"/>
      <c r="X3" s="3685"/>
      <c r="Y3" s="4035" t="s">
        <v>781</v>
      </c>
      <c r="Z3" s="4035" t="s">
        <v>1683</v>
      </c>
      <c r="AA3" s="4036" t="s">
        <v>754</v>
      </c>
      <c r="AB3" s="4037" t="s">
        <v>119</v>
      </c>
      <c r="AC3" s="3917" t="s">
        <v>1072</v>
      </c>
      <c r="AD3" s="3917" t="s">
        <v>1073</v>
      </c>
      <c r="AE3" s="3917" t="s">
        <v>1074</v>
      </c>
      <c r="AF3" s="3917" t="s">
        <v>1075</v>
      </c>
      <c r="AG3" s="3917" t="s">
        <v>1076</v>
      </c>
      <c r="AH3" s="4037" t="s">
        <v>1319</v>
      </c>
      <c r="AI3" s="4037" t="s">
        <v>788</v>
      </c>
      <c r="AJ3" s="3685"/>
    </row>
    <row r="4" spans="1:36" ht="15.95" customHeight="1">
      <c r="A4" s="4038" t="s">
        <v>1600</v>
      </c>
      <c r="B4" s="3918" t="s">
        <v>792</v>
      </c>
      <c r="C4" s="4039">
        <f>'2. Променливи'!E10</f>
        <v>117330</v>
      </c>
      <c r="D4" s="4039">
        <f>'2. Променливи'!F10</f>
        <v>114692.11487708034</v>
      </c>
      <c r="E4" s="4039">
        <f>'2. Променливи'!G10</f>
        <v>113410.6723156205</v>
      </c>
      <c r="F4" s="4039">
        <f>'2. Променливи'!H10</f>
        <v>112141.22975416067</v>
      </c>
      <c r="G4" s="4039">
        <f>'2. Променливи'!I10</f>
        <v>111024.78719270084</v>
      </c>
      <c r="H4" s="4039">
        <f>'2. Променливи'!J10</f>
        <v>110083.80756948549</v>
      </c>
      <c r="I4" s="3685"/>
      <c r="J4" s="5625"/>
      <c r="K4" s="5625"/>
      <c r="L4" s="3924" t="s">
        <v>1629</v>
      </c>
      <c r="M4" s="3924" t="s">
        <v>1637</v>
      </c>
      <c r="N4" s="3924" t="s">
        <v>1638</v>
      </c>
      <c r="O4" s="3924" t="s">
        <v>1639</v>
      </c>
      <c r="P4" s="3924" t="s">
        <v>1640</v>
      </c>
      <c r="Q4" s="3924" t="s">
        <v>1641</v>
      </c>
      <c r="R4" s="3924" t="s">
        <v>1629</v>
      </c>
      <c r="S4" s="3924" t="s">
        <v>1637</v>
      </c>
      <c r="T4" s="3924" t="s">
        <v>1638</v>
      </c>
      <c r="U4" s="3924" t="s">
        <v>1639</v>
      </c>
      <c r="V4" s="3924" t="s">
        <v>1640</v>
      </c>
      <c r="W4" s="3924" t="s">
        <v>1641</v>
      </c>
      <c r="X4" s="3685"/>
      <c r="Y4" s="4040" t="s">
        <v>120</v>
      </c>
      <c r="Z4" s="4041" t="s">
        <v>759</v>
      </c>
      <c r="AA4" s="4042" t="s">
        <v>174</v>
      </c>
      <c r="AB4" s="4043">
        <f>'3. Показатели за качество'!E9</f>
        <v>0.98440000000000005</v>
      </c>
      <c r="AC4" s="4043">
        <f>'3. Показатели за качество'!F9</f>
        <v>0.99129999999999996</v>
      </c>
      <c r="AD4" s="4043">
        <f>'3. Показатели за качество'!G9</f>
        <v>0.99170000000000003</v>
      </c>
      <c r="AE4" s="4043">
        <f>'3. Показатели за качество'!H9</f>
        <v>0.99219999999999997</v>
      </c>
      <c r="AF4" s="4043">
        <f>'3. Показатели за качество'!I9</f>
        <v>0.99409999999999998</v>
      </c>
      <c r="AG4" s="4043">
        <f>'3. Показатели за качество'!J9</f>
        <v>0.99750000000000005</v>
      </c>
      <c r="AH4" s="4044">
        <f>'3. Показатели за качество'!M9</f>
        <v>0.99</v>
      </c>
      <c r="AI4" s="4045">
        <v>0.99</v>
      </c>
      <c r="AJ4" s="3685"/>
    </row>
    <row r="5" spans="1:36" ht="15.95" customHeight="1">
      <c r="A5" s="4038" t="s">
        <v>1601</v>
      </c>
      <c r="B5" s="3919" t="s">
        <v>792</v>
      </c>
      <c r="C5" s="4039">
        <f>'2. Променливи'!E11</f>
        <v>87431</v>
      </c>
      <c r="D5" s="4039">
        <f>'2. Променливи'!F11</f>
        <v>88409</v>
      </c>
      <c r="E5" s="4039">
        <f>'2. Променливи'!G11</f>
        <v>88932.737353710356</v>
      </c>
      <c r="F5" s="4039">
        <f>'2. Променливи'!H11</f>
        <v>94415.305250292367</v>
      </c>
      <c r="G5" s="4039">
        <f>'2. Променливи'!I11</f>
        <v>93602.873146874379</v>
      </c>
      <c r="H5" s="4039">
        <f>'2. Променливи'!J11</f>
        <v>92962.359994893632</v>
      </c>
      <c r="I5" s="3685"/>
      <c r="J5" s="4046" t="s">
        <v>215</v>
      </c>
      <c r="K5" s="4047" t="s">
        <v>1627</v>
      </c>
      <c r="L5" s="4047">
        <f>'6. Ел.Енергия'!C14/1000</f>
        <v>7782.2269999999999</v>
      </c>
      <c r="M5" s="4047">
        <f>'6. Ел.Енергия'!D14/1000</f>
        <v>6550.0749999999998</v>
      </c>
      <c r="N5" s="4047">
        <f>'6. Ел.Енергия'!E14/1000</f>
        <v>4600.1229999999996</v>
      </c>
      <c r="O5" s="4047">
        <f>'6. Ел.Енергия'!F14/1000</f>
        <v>3800.0120000000002</v>
      </c>
      <c r="P5" s="4047">
        <f>'6. Ел.Енергия'!G14/1000</f>
        <v>3321.02</v>
      </c>
      <c r="Q5" s="4047">
        <f>'6. Ел.Енергия'!H14/1000</f>
        <v>3010.1320000000001</v>
      </c>
      <c r="R5" s="4047">
        <f>'6. Ел.Енергия'!I14</f>
        <v>2908.6379999999999</v>
      </c>
      <c r="S5" s="4047">
        <f>'6. Ел.Енергия'!J14</f>
        <v>2448.1163358316326</v>
      </c>
      <c r="T5" s="4047">
        <f>'6. Ел.Енергия'!K14</f>
        <v>1719.3140938286688</v>
      </c>
      <c r="U5" s="4047">
        <f>'6. Ел.Енергия'!L14</f>
        <v>1420.2694554728357</v>
      </c>
      <c r="V5" s="4047">
        <f>'6. Ел.Енергия'!M14</f>
        <v>1241.2443084428146</v>
      </c>
      <c r="W5" s="4047">
        <f>'6. Ел.Енергия'!N14</f>
        <v>1125.0486936729037</v>
      </c>
      <c r="X5" s="3685"/>
      <c r="Y5" s="4040" t="s">
        <v>121</v>
      </c>
      <c r="Z5" s="4041" t="s">
        <v>760</v>
      </c>
      <c r="AA5" s="4042" t="s">
        <v>174</v>
      </c>
      <c r="AB5" s="4043">
        <f>'3. Показатели за качество'!E10</f>
        <v>1</v>
      </c>
      <c r="AC5" s="4043">
        <f>'3. Показатели за качество'!F10</f>
        <v>1</v>
      </c>
      <c r="AD5" s="4043">
        <f>'3. Показатели за качество'!G10</f>
        <v>1</v>
      </c>
      <c r="AE5" s="4043">
        <f>'3. Показатели за качество'!H10</f>
        <v>1</v>
      </c>
      <c r="AF5" s="4043">
        <f>'3. Показатели за качество'!I10</f>
        <v>1</v>
      </c>
      <c r="AG5" s="4043">
        <f>'3. Показатели за качество'!J10</f>
        <v>1</v>
      </c>
      <c r="AH5" s="4044">
        <f>'3. Показатели за качество'!M10</f>
        <v>0.99</v>
      </c>
      <c r="AI5" s="4045">
        <v>0.99</v>
      </c>
      <c r="AJ5" s="3685"/>
    </row>
    <row r="6" spans="1:36" ht="15.95" customHeight="1">
      <c r="A6" s="4038" t="s">
        <v>1602</v>
      </c>
      <c r="B6" s="3919" t="s">
        <v>792</v>
      </c>
      <c r="C6" s="4039">
        <f>'2. Променливи'!E12</f>
        <v>81261</v>
      </c>
      <c r="D6" s="4039">
        <f>'2. Променливи'!F12</f>
        <v>76414.561738457167</v>
      </c>
      <c r="E6" s="4039">
        <f>'2. Променливи'!G12</f>
        <v>77076.862368628761</v>
      </c>
      <c r="F6" s="4039">
        <f>'2. Променливи'!H12</f>
        <v>94239.993541672011</v>
      </c>
      <c r="G6" s="4039">
        <f>'2. Променливи'!I12</f>
        <v>93356.124714715261</v>
      </c>
      <c r="H6" s="4039">
        <f>'2. Променливи'!J12</f>
        <v>92482.72149179253</v>
      </c>
      <c r="I6" s="3685"/>
      <c r="J6" s="4048" t="s">
        <v>355</v>
      </c>
      <c r="K6" s="4049" t="s">
        <v>1627</v>
      </c>
      <c r="L6" s="4359"/>
      <c r="M6" s="4051">
        <f>'6. Ел.Енергия'!D15/1000</f>
        <v>-1232.152</v>
      </c>
      <c r="N6" s="4051">
        <f>'6. Ел.Енергия'!E15/1000</f>
        <v>-1949.952</v>
      </c>
      <c r="O6" s="4051">
        <f>'6. Ел.Енергия'!F15/1000</f>
        <v>-800.11099999999999</v>
      </c>
      <c r="P6" s="4051">
        <f>'6. Ел.Енергия'!G15/1000</f>
        <v>-478.99200000000002</v>
      </c>
      <c r="Q6" s="4051">
        <f>'6. Ел.Енергия'!H15/1000</f>
        <v>-310.88799999999998</v>
      </c>
      <c r="R6" s="4359"/>
      <c r="S6" s="4051">
        <f>'6. Ел.Енергия'!J15</f>
        <v>-460.52166416836735</v>
      </c>
      <c r="T6" s="4051">
        <f>'6. Ел.Енергия'!K15</f>
        <v>-728.80224200296379</v>
      </c>
      <c r="U6" s="4051">
        <f>'6. Ел.Енергия'!L15</f>
        <v>-299.04463835583306</v>
      </c>
      <c r="V6" s="4051">
        <f>'6. Ел.Енергия'!M15</f>
        <v>-179.02514703002112</v>
      </c>
      <c r="W6" s="4051">
        <f>'6. Ел.Енергия'!N15</f>
        <v>-116.19561476991089</v>
      </c>
      <c r="X6" s="3685"/>
      <c r="Y6" s="4040" t="s">
        <v>122</v>
      </c>
      <c r="Z6" s="4041" t="s">
        <v>761</v>
      </c>
      <c r="AA6" s="4042" t="s">
        <v>174</v>
      </c>
      <c r="AB6" s="4043">
        <f>'3. Показатели за качество'!E11</f>
        <v>0.99829999999999997</v>
      </c>
      <c r="AC6" s="4043">
        <f>'3. Показатели за качество'!F11</f>
        <v>0.99829999999999997</v>
      </c>
      <c r="AD6" s="4043">
        <f>'3. Показатели за качество'!G11</f>
        <v>0.99839999999999995</v>
      </c>
      <c r="AE6" s="4043">
        <f>'3. Показатели за качество'!H11</f>
        <v>0.99850000000000005</v>
      </c>
      <c r="AF6" s="4043">
        <f>'3. Показатели за качество'!I11</f>
        <v>0.99870000000000003</v>
      </c>
      <c r="AG6" s="4043">
        <f>'3. Показатели за качество'!J11</f>
        <v>0.99870000000000003</v>
      </c>
      <c r="AH6" s="4044">
        <f>'3. Показатели за качество'!M11</f>
        <v>0.98</v>
      </c>
      <c r="AI6" s="4045">
        <v>0.98</v>
      </c>
      <c r="AJ6" s="3685"/>
    </row>
    <row r="7" spans="1:36" ht="15.95" customHeight="1">
      <c r="A7" s="4052" t="s">
        <v>1604</v>
      </c>
      <c r="B7" s="3920" t="s">
        <v>792</v>
      </c>
      <c r="C7" s="4053">
        <f>'2. Променливи'!E13</f>
        <v>119190</v>
      </c>
      <c r="D7" s="4053">
        <f>'2. Променливи'!F13</f>
        <v>115693.6</v>
      </c>
      <c r="E7" s="4053">
        <f>'2. Променливи'!G13</f>
        <v>114355.40000000001</v>
      </c>
      <c r="F7" s="4053">
        <f>'2. Променливи'!H13</f>
        <v>113017.20000000001</v>
      </c>
      <c r="G7" s="4053">
        <f>'2. Променливи'!I13</f>
        <v>111679</v>
      </c>
      <c r="H7" s="4053">
        <f>'2. Променливи'!J13</f>
        <v>110356.4</v>
      </c>
      <c r="I7" s="3685"/>
      <c r="J7" s="4054" t="s">
        <v>1636</v>
      </c>
      <c r="K7" s="4055" t="s">
        <v>1630</v>
      </c>
      <c r="L7" s="4056">
        <f>'6. Ел.Енергия'!C16</f>
        <v>0.28993947944374487</v>
      </c>
      <c r="M7" s="4056">
        <f>'6. Ел.Енергия'!D16</f>
        <v>0.29015681998636794</v>
      </c>
      <c r="N7" s="4056">
        <f>'6. Ел.Енергия'!E16</f>
        <v>0.28589144461261679</v>
      </c>
      <c r="O7" s="4056">
        <f>'6. Ел.Енергия'!F16</f>
        <v>0.28470589119626205</v>
      </c>
      <c r="P7" s="4056">
        <f>'6. Ел.Енергия'!G16</f>
        <v>0.28351237774547555</v>
      </c>
      <c r="Q7" s="4056">
        <f>'6. Ел.Енергия'!H16</f>
        <v>0.28379768120668308</v>
      </c>
      <c r="R7" s="4050"/>
      <c r="S7" s="4050"/>
      <c r="T7" s="4050"/>
      <c r="U7" s="4050"/>
      <c r="V7" s="4050"/>
      <c r="W7" s="4050"/>
      <c r="X7" s="3685"/>
      <c r="Y7" s="4040" t="s">
        <v>123</v>
      </c>
      <c r="Z7" s="4041" t="s">
        <v>762</v>
      </c>
      <c r="AA7" s="4042" t="s">
        <v>174</v>
      </c>
      <c r="AB7" s="4043">
        <f>'3. Показатели за качество'!E12</f>
        <v>1</v>
      </c>
      <c r="AC7" s="4043">
        <f>'3. Показатели за качество'!F12</f>
        <v>1</v>
      </c>
      <c r="AD7" s="4043">
        <f>'3. Показатели за качество'!G12</f>
        <v>1</v>
      </c>
      <c r="AE7" s="4043">
        <f>'3. Показатели за качество'!H12</f>
        <v>1</v>
      </c>
      <c r="AF7" s="4043">
        <f>'3. Показатели за качество'!I12</f>
        <v>1</v>
      </c>
      <c r="AG7" s="4043">
        <f>'3. Показатели за качество'!J12</f>
        <v>1</v>
      </c>
      <c r="AH7" s="4044">
        <f>'3. Показатели за качество'!M12</f>
        <v>1</v>
      </c>
      <c r="AI7" s="4045">
        <v>1</v>
      </c>
      <c r="AJ7" s="3685"/>
    </row>
    <row r="8" spans="1:36" ht="15.95" customHeight="1">
      <c r="A8" s="4038" t="s">
        <v>1597</v>
      </c>
      <c r="B8" s="3918" t="s">
        <v>792</v>
      </c>
      <c r="C8" s="4039">
        <f>'2. Променливи'!E17</f>
        <v>125</v>
      </c>
      <c r="D8" s="4039">
        <f>'2. Променливи'!F17</f>
        <v>125</v>
      </c>
      <c r="E8" s="4039">
        <f>'2. Променливи'!G17</f>
        <v>125</v>
      </c>
      <c r="F8" s="4039">
        <f>'2. Променливи'!H17</f>
        <v>125</v>
      </c>
      <c r="G8" s="4039">
        <f>'2. Променливи'!I17</f>
        <v>125</v>
      </c>
      <c r="H8" s="4039">
        <f>'2. Променливи'!J17</f>
        <v>125</v>
      </c>
      <c r="I8" s="3685"/>
      <c r="J8" s="4046" t="s">
        <v>178</v>
      </c>
      <c r="K8" s="4047" t="s">
        <v>1627</v>
      </c>
      <c r="L8" s="4047">
        <f>'6. Ел.Енергия'!C26/1000</f>
        <v>0</v>
      </c>
      <c r="M8" s="4047">
        <f>'6. Ел.Енергия'!D26/1000</f>
        <v>0</v>
      </c>
      <c r="N8" s="4047">
        <f>'6. Ел.Енергия'!E26/1000</f>
        <v>0</v>
      </c>
      <c r="O8" s="4047">
        <f>'6. Ел.Енергия'!F26/1000</f>
        <v>650.16099999999994</v>
      </c>
      <c r="P8" s="4047">
        <f>'6. Ел.Енергия'!G26/1000</f>
        <v>650.16099999999994</v>
      </c>
      <c r="Q8" s="4047">
        <f>'6. Ел.Енергия'!H26/1000</f>
        <v>650.16099999999994</v>
      </c>
      <c r="R8" s="4047">
        <f>'6. Ел.Енергия'!I26</f>
        <v>0</v>
      </c>
      <c r="S8" s="4047">
        <f>'6. Ел.Енергия'!J26</f>
        <v>0</v>
      </c>
      <c r="T8" s="4047">
        <f>'6. Ел.Енергия'!K26</f>
        <v>0</v>
      </c>
      <c r="U8" s="4047">
        <f>'6. Ел.Енергия'!L26</f>
        <v>226.306740558</v>
      </c>
      <c r="V8" s="4047">
        <f>'6. Ел.Енергия'!M26</f>
        <v>226.306740558</v>
      </c>
      <c r="W8" s="4047">
        <f>'6. Ел.Енергия'!N26</f>
        <v>226.306740558</v>
      </c>
      <c r="X8" s="3685"/>
      <c r="Y8" s="4040" t="s">
        <v>124</v>
      </c>
      <c r="Z8" s="4041" t="s">
        <v>763</v>
      </c>
      <c r="AA8" s="4042" t="s">
        <v>1041</v>
      </c>
      <c r="AB8" s="4058">
        <f>'3. Показатели за качество'!E13</f>
        <v>3.8730000000000002</v>
      </c>
      <c r="AC8" s="4058">
        <f>'3. Показатели за качество'!F13</f>
        <v>20.187000000000001</v>
      </c>
      <c r="AD8" s="4058">
        <f>'3. Показатели за качество'!G13</f>
        <v>16.091000000000001</v>
      </c>
      <c r="AE8" s="4058">
        <f>'3. Показатели за качество'!H13</f>
        <v>12.462999999999999</v>
      </c>
      <c r="AF8" s="4058">
        <f>'3. Показатели за качество'!I13</f>
        <v>9.2850000000000001</v>
      </c>
      <c r="AG8" s="4058">
        <f>'3. Показатели за качество'!J13</f>
        <v>7.923</v>
      </c>
      <c r="AH8" s="4059">
        <f>'3. Показатели за качество'!M13</f>
        <v>8</v>
      </c>
      <c r="AI8" s="4060">
        <v>8</v>
      </c>
      <c r="AJ8" s="3685"/>
    </row>
    <row r="9" spans="1:36" ht="15.95" customHeight="1">
      <c r="A9" s="4038" t="s">
        <v>1598</v>
      </c>
      <c r="B9" s="3918" t="s">
        <v>792</v>
      </c>
      <c r="C9" s="4039">
        <f>'2. Променливи'!E18</f>
        <v>6</v>
      </c>
      <c r="D9" s="4039">
        <f>'2. Променливи'!F18</f>
        <v>7</v>
      </c>
      <c r="E9" s="4039">
        <f>'2. Променливи'!G18</f>
        <v>7</v>
      </c>
      <c r="F9" s="4039">
        <f>'2. Променливи'!H18</f>
        <v>7</v>
      </c>
      <c r="G9" s="4039">
        <f>'2. Променливи'!I18</f>
        <v>7</v>
      </c>
      <c r="H9" s="4039">
        <f>'2. Променливи'!J18</f>
        <v>7</v>
      </c>
      <c r="I9" s="3685"/>
      <c r="J9" s="4048" t="s">
        <v>355</v>
      </c>
      <c r="K9" s="4049" t="s">
        <v>1627</v>
      </c>
      <c r="L9" s="4359"/>
      <c r="M9" s="4051">
        <f>'6. Ел.Енергия'!D27/1000</f>
        <v>0</v>
      </c>
      <c r="N9" s="4051">
        <f>'6. Ел.Енергия'!E27/1000</f>
        <v>0</v>
      </c>
      <c r="O9" s="4051">
        <f>'6. Ел.Енергия'!F27/1000</f>
        <v>650.16099999999994</v>
      </c>
      <c r="P9" s="4051">
        <f>'6. Ел.Енергия'!G27/1000</f>
        <v>0</v>
      </c>
      <c r="Q9" s="4051">
        <f>'6. Ел.Енергия'!H27/1000</f>
        <v>0</v>
      </c>
      <c r="R9" s="4359"/>
      <c r="S9" s="4051">
        <f>'6. Ел.Енергия'!J27</f>
        <v>0</v>
      </c>
      <c r="T9" s="4051">
        <f>'6. Ел.Енергия'!K27</f>
        <v>0</v>
      </c>
      <c r="U9" s="4051">
        <f>'6. Ел.Енергия'!L27</f>
        <v>226.306740558</v>
      </c>
      <c r="V9" s="4051">
        <f>'6. Ел.Енергия'!M27</f>
        <v>0</v>
      </c>
      <c r="W9" s="4051">
        <f>'6. Ел.Енергия'!N27</f>
        <v>0</v>
      </c>
      <c r="X9" s="3685"/>
      <c r="Y9" s="4040" t="s">
        <v>752</v>
      </c>
      <c r="Z9" s="4041" t="s">
        <v>764</v>
      </c>
      <c r="AA9" s="4042" t="s">
        <v>1680</v>
      </c>
      <c r="AB9" s="4061">
        <f>'3. Показатели за качество'!E14</f>
        <v>40.01</v>
      </c>
      <c r="AC9" s="4061">
        <f>'3. Показатели за качество'!F14</f>
        <v>31.31</v>
      </c>
      <c r="AD9" s="4061">
        <f>'3. Показатели за качество'!G14</f>
        <v>19.36</v>
      </c>
      <c r="AE9" s="4061">
        <f>'3. Показатели за качество'!H14</f>
        <v>14.41</v>
      </c>
      <c r="AF9" s="4061">
        <f>'3. Показатели за качество'!I14</f>
        <v>11.5</v>
      </c>
      <c r="AG9" s="4061">
        <f>'3. Показатели за качество'!J14</f>
        <v>9.5299999999999994</v>
      </c>
      <c r="AH9" s="4062">
        <f>'3. Показатели за качество'!M14</f>
        <v>14.25</v>
      </c>
      <c r="AI9" s="4060">
        <v>15</v>
      </c>
      <c r="AJ9" s="3685"/>
    </row>
    <row r="10" spans="1:36" ht="15.95" customHeight="1">
      <c r="A10" s="4038" t="s">
        <v>1599</v>
      </c>
      <c r="B10" s="3918" t="s">
        <v>792</v>
      </c>
      <c r="C10" s="4039">
        <f>'2. Променливи'!E19</f>
        <v>3</v>
      </c>
      <c r="D10" s="4039">
        <f>'2. Променливи'!F19</f>
        <v>4</v>
      </c>
      <c r="E10" s="4039">
        <f>'2. Променливи'!G19</f>
        <v>4</v>
      </c>
      <c r="F10" s="4039">
        <f>'2. Променливи'!H19</f>
        <v>5</v>
      </c>
      <c r="G10" s="4039">
        <f>'2. Променливи'!I19</f>
        <v>5</v>
      </c>
      <c r="H10" s="4039">
        <f>'2. Променливи'!J19</f>
        <v>5</v>
      </c>
      <c r="I10" s="3685"/>
      <c r="J10" s="4046" t="s">
        <v>188</v>
      </c>
      <c r="K10" s="4047" t="s">
        <v>1627</v>
      </c>
      <c r="L10" s="4047">
        <f>'6. Ел.Енергия'!C37/1000</f>
        <v>1123.7650000000001</v>
      </c>
      <c r="M10" s="4047">
        <f>'6. Ел.Енергия'!D37/1000</f>
        <v>1020.393</v>
      </c>
      <c r="N10" s="4047">
        <f>'6. Ел.Енергия'!E37/1000</f>
        <v>978.20699999999999</v>
      </c>
      <c r="O10" s="4047">
        <f>'6. Ел.Енергия'!F37/1000</f>
        <v>2474.7530000000002</v>
      </c>
      <c r="P10" s="4047">
        <f>'6. Ел.Енергия'!G37/1000</f>
        <v>2288.2130000000002</v>
      </c>
      <c r="Q10" s="4047">
        <f>'6. Ел.Енергия'!H37/1000</f>
        <v>2205.846</v>
      </c>
      <c r="R10" s="4047">
        <f>'6. Ел.Енергия'!I37</f>
        <v>391.15</v>
      </c>
      <c r="S10" s="4047">
        <f>'6. Ел.Енергия'!J37</f>
        <v>355.16920526088637</v>
      </c>
      <c r="T10" s="4047">
        <f>'6. Ел.Енергия'!K37</f>
        <v>343.00376992176808</v>
      </c>
      <c r="U10" s="4047">
        <f>'6. Ел.Енергия'!L37</f>
        <v>863.90066971671513</v>
      </c>
      <c r="V10" s="4047">
        <f>'6. Ел.Енергия'!M37</f>
        <v>798.96512089168391</v>
      </c>
      <c r="W10" s="4047">
        <f>'6. Ел.Енергия'!N37</f>
        <v>770.29010695074089</v>
      </c>
      <c r="X10" s="3685"/>
      <c r="Y10" s="4040" t="s">
        <v>753</v>
      </c>
      <c r="Z10" s="4041" t="s">
        <v>764</v>
      </c>
      <c r="AA10" s="4042" t="s">
        <v>174</v>
      </c>
      <c r="AB10" s="4043">
        <f>'3. Показатели за качество'!E15</f>
        <v>0.80610000000000004</v>
      </c>
      <c r="AC10" s="4043">
        <f>'3. Показатели за качество'!F15</f>
        <v>0.75090000000000001</v>
      </c>
      <c r="AD10" s="4043">
        <f>'3. Показатели за качество'!G15</f>
        <v>0.65200000000000002</v>
      </c>
      <c r="AE10" s="4043">
        <f>'3. Показатели за качество'!H15</f>
        <v>0.58520000000000005</v>
      </c>
      <c r="AF10" s="4043">
        <f>'3. Показатели за качество'!I15</f>
        <v>0.53210000000000002</v>
      </c>
      <c r="AG10" s="4043">
        <f>'3. Показатели за качество'!J15</f>
        <v>0.48680000000000001</v>
      </c>
      <c r="AH10" s="4044">
        <f>'3. Показатели за качество'!M15</f>
        <v>0.49</v>
      </c>
      <c r="AI10" s="4045">
        <v>0.49</v>
      </c>
      <c r="AJ10" s="3685"/>
    </row>
    <row r="11" spans="1:36" ht="15.95" customHeight="1">
      <c r="A11" s="4052" t="s">
        <v>1603</v>
      </c>
      <c r="B11" s="3921" t="s">
        <v>792</v>
      </c>
      <c r="C11" s="4053">
        <f>'2. Променливи'!E20</f>
        <v>171</v>
      </c>
      <c r="D11" s="4053">
        <f>'2. Променливи'!F20</f>
        <v>171</v>
      </c>
      <c r="E11" s="4053">
        <f>'2. Променливи'!G20</f>
        <v>171</v>
      </c>
      <c r="F11" s="4053">
        <f>'2. Променливи'!H20</f>
        <v>171</v>
      </c>
      <c r="G11" s="4053">
        <f>'2. Променливи'!I20</f>
        <v>171</v>
      </c>
      <c r="H11" s="4053">
        <f>'2. Променливи'!J20</f>
        <v>171</v>
      </c>
      <c r="I11" s="3685"/>
      <c r="J11" s="4048" t="s">
        <v>355</v>
      </c>
      <c r="K11" s="4049" t="s">
        <v>1627</v>
      </c>
      <c r="L11" s="4359"/>
      <c r="M11" s="4051">
        <f>'6. Ел.Енергия'!D38/1000</f>
        <v>-103.372</v>
      </c>
      <c r="N11" s="4051">
        <f>'6. Ел.Енергия'!E38/1000</f>
        <v>-42.186</v>
      </c>
      <c r="O11" s="4051">
        <f>'6. Ел.Енергия'!F38/1000</f>
        <v>1496.546</v>
      </c>
      <c r="P11" s="4051">
        <f>'6. Ел.Енергия'!G38/1000</f>
        <v>-186.54</v>
      </c>
      <c r="Q11" s="4051">
        <f>'6. Ел.Енергия'!H38/1000</f>
        <v>-82.367000000000004</v>
      </c>
      <c r="R11" s="4359"/>
      <c r="S11" s="4063">
        <f>'6. Ел.Енергия'!J38</f>
        <v>-35.980794739113605</v>
      </c>
      <c r="T11" s="4063">
        <f>'6. Ел.Енергия'!K38</f>
        <v>-12.165435339118289</v>
      </c>
      <c r="U11" s="4063">
        <f>'6. Ел.Енергия'!L38</f>
        <v>520.8968997949471</v>
      </c>
      <c r="V11" s="4063">
        <f>'6. Ел.Енергия'!M38</f>
        <v>-64.935548825031219</v>
      </c>
      <c r="W11" s="4063">
        <f>'6. Ел.Енергия'!N38</f>
        <v>-28.675013940943018</v>
      </c>
      <c r="X11" s="3685"/>
      <c r="Y11" s="4040" t="s">
        <v>125</v>
      </c>
      <c r="Z11" s="4041" t="s">
        <v>765</v>
      </c>
      <c r="AA11" s="4042" t="s">
        <v>757</v>
      </c>
      <c r="AB11" s="4061">
        <f>'3. Показатели за качество'!E16</f>
        <v>191.47</v>
      </c>
      <c r="AC11" s="4061">
        <f>'3. Показатели за качество'!F16</f>
        <v>172.79</v>
      </c>
      <c r="AD11" s="4061">
        <f>'3. Показатели за качество'!G16</f>
        <v>154.16</v>
      </c>
      <c r="AE11" s="4061">
        <f>'3. Показатели за качество'!H16</f>
        <v>135.57</v>
      </c>
      <c r="AF11" s="4061">
        <f>'3. Показатели за качество'!I16</f>
        <v>117.25</v>
      </c>
      <c r="AG11" s="4061">
        <f>'3. Показатели за качество'!J16</f>
        <v>99</v>
      </c>
      <c r="AH11" s="4062">
        <f>'3. Показатели за качество'!M16</f>
        <v>99.06</v>
      </c>
      <c r="AI11" s="4060">
        <v>60</v>
      </c>
      <c r="AJ11" s="3685"/>
    </row>
    <row r="12" spans="1:36" ht="15.95" customHeight="1">
      <c r="A12" s="3685"/>
      <c r="B12" s="3685"/>
      <c r="C12" s="3685"/>
      <c r="D12" s="3685"/>
      <c r="E12" s="3685"/>
      <c r="F12" s="3685"/>
      <c r="G12" s="3685"/>
      <c r="H12" s="3685"/>
      <c r="I12" s="3685"/>
      <c r="J12" s="4054" t="s">
        <v>1635</v>
      </c>
      <c r="K12" s="4055" t="s">
        <v>1630</v>
      </c>
      <c r="L12" s="4064">
        <f>'6. Ел.Енергия'!C39</f>
        <v>0.12425828881564274</v>
      </c>
      <c r="M12" s="4064">
        <f>'6. Ел.Енергия'!D39</f>
        <v>9.7654196881552038E-2</v>
      </c>
      <c r="N12" s="4064">
        <f>'6. Ел.Енергия'!E39</f>
        <v>9.4261335417821793E-2</v>
      </c>
      <c r="O12" s="4064">
        <f>'6. Ел.Енергия'!F39</f>
        <v>0.24129416392051375</v>
      </c>
      <c r="P12" s="4064">
        <f>'6. Ел.Енергия'!G39</f>
        <v>0.22577944132091571</v>
      </c>
      <c r="Q12" s="4064">
        <f>'6. Ел.Енергия'!H39</f>
        <v>0.22026077261210569</v>
      </c>
      <c r="R12" s="4050"/>
      <c r="S12" s="4050"/>
      <c r="T12" s="4050"/>
      <c r="U12" s="4050"/>
      <c r="V12" s="4050"/>
      <c r="W12" s="4050"/>
      <c r="X12" s="3685"/>
      <c r="Y12" s="4040" t="s">
        <v>1269</v>
      </c>
      <c r="Z12" s="4041" t="s">
        <v>766</v>
      </c>
      <c r="AA12" s="4042" t="s">
        <v>174</v>
      </c>
      <c r="AB12" s="4043">
        <f>'3. Показатели за качество'!E17</f>
        <v>0.54679999999999995</v>
      </c>
      <c r="AC12" s="4043">
        <f>'3. Показатели за качество'!F17</f>
        <v>0.56830000000000003</v>
      </c>
      <c r="AD12" s="4043">
        <f>'3. Показатели за качество'!G17</f>
        <v>0.61150000000000004</v>
      </c>
      <c r="AE12" s="4043">
        <f>'3. Показатели за качество'!H17</f>
        <v>0.6835</v>
      </c>
      <c r="AF12" s="4043">
        <f>'3. Показатели за качество'!I17</f>
        <v>0.79139999999999999</v>
      </c>
      <c r="AG12" s="4043">
        <f>'3. Показатели за качество'!J17</f>
        <v>0.92090000000000005</v>
      </c>
      <c r="AH12" s="4044">
        <f>'3. Показатели за качество'!M17</f>
        <v>0.92090000000000005</v>
      </c>
      <c r="AI12" s="4045">
        <v>1</v>
      </c>
      <c r="AJ12" s="3685"/>
    </row>
    <row r="13" spans="1:36" ht="15.95" customHeight="1">
      <c r="A13" s="5646" t="s">
        <v>2</v>
      </c>
      <c r="B13" s="5646" t="s">
        <v>754</v>
      </c>
      <c r="C13" s="5634" t="s">
        <v>930</v>
      </c>
      <c r="D13" s="5634"/>
      <c r="E13" s="5634"/>
      <c r="F13" s="5634"/>
      <c r="G13" s="5634"/>
      <c r="H13" s="5634"/>
      <c r="I13" s="3685"/>
      <c r="J13" s="4065" t="s">
        <v>1256</v>
      </c>
      <c r="K13" s="4047" t="s">
        <v>1627</v>
      </c>
      <c r="L13" s="4047">
        <f>'6. Ел.Енергия'!C49/1000</f>
        <v>0</v>
      </c>
      <c r="M13" s="4047">
        <f>'6. Ел.Енергия'!D49/1000</f>
        <v>314.404</v>
      </c>
      <c r="N13" s="4047">
        <f>'6. Ел.Енергия'!E49/1000</f>
        <v>285.584</v>
      </c>
      <c r="O13" s="4047">
        <f>'6. Ел.Енергия'!F49/1000</f>
        <v>247.857</v>
      </c>
      <c r="P13" s="4047">
        <f>'6. Ел.Енергия'!G49/1000</f>
        <v>225.07400000000001</v>
      </c>
      <c r="Q13" s="4047">
        <f>'6. Ел.Енергия'!H49/1000</f>
        <v>209.429</v>
      </c>
      <c r="R13" s="4047">
        <f>'6. Ел.Енергия'!I49</f>
        <v>0</v>
      </c>
      <c r="S13" s="4047">
        <f>'6. Ел.Енергия'!J49</f>
        <v>117.50975261600001</v>
      </c>
      <c r="T13" s="4047">
        <f>'6. Ел.Енергия'!K49</f>
        <v>106.73816233600002</v>
      </c>
      <c r="U13" s="4047">
        <f>'6. Ел.Енергия'!L49</f>
        <v>92.637545177999996</v>
      </c>
      <c r="V13" s="4047">
        <f>'6. Ел.Енергия'!M49</f>
        <v>84.122307796000001</v>
      </c>
      <c r="W13" s="4047">
        <f>'6. Ел.Енергия'!N49</f>
        <v>78.274926466000011</v>
      </c>
      <c r="X13" s="3685"/>
      <c r="Y13" s="4040" t="s">
        <v>126</v>
      </c>
      <c r="Z13" s="4041" t="s">
        <v>767</v>
      </c>
      <c r="AA13" s="4042" t="s">
        <v>174</v>
      </c>
      <c r="AB13" s="4043">
        <f>'3. Показатели за качество'!E18</f>
        <v>0.73350000000000004</v>
      </c>
      <c r="AC13" s="4043">
        <f>'3. Показатели за качество'!F18</f>
        <v>0.76419999999999999</v>
      </c>
      <c r="AD13" s="4043">
        <f>'3. Показатели за качество'!G18</f>
        <v>0.77769999999999995</v>
      </c>
      <c r="AE13" s="4043">
        <f>'3. Показатели за качество'!H18</f>
        <v>0.83540000000000003</v>
      </c>
      <c r="AF13" s="4043">
        <f>'3. Показатели за качество'!I18</f>
        <v>0.83809999999999996</v>
      </c>
      <c r="AG13" s="4043">
        <f>'3. Показатели за качество'!J18</f>
        <v>0.84240000000000004</v>
      </c>
      <c r="AH13" s="4044">
        <f>'3. Показатели за качество'!M18</f>
        <v>0.75</v>
      </c>
      <c r="AI13" s="4045">
        <v>0.75</v>
      </c>
      <c r="AJ13" s="3685"/>
    </row>
    <row r="14" spans="1:36" ht="15.95" customHeight="1">
      <c r="A14" s="5646"/>
      <c r="B14" s="5646"/>
      <c r="C14" s="3917" t="s">
        <v>119</v>
      </c>
      <c r="D14" s="3917" t="s">
        <v>1072</v>
      </c>
      <c r="E14" s="3917" t="s">
        <v>1073</v>
      </c>
      <c r="F14" s="3917" t="s">
        <v>1074</v>
      </c>
      <c r="G14" s="3917" t="s">
        <v>1075</v>
      </c>
      <c r="H14" s="3917" t="s">
        <v>1076</v>
      </c>
      <c r="I14" s="3685"/>
      <c r="J14" s="4048" t="s">
        <v>355</v>
      </c>
      <c r="K14" s="4049" t="s">
        <v>1627</v>
      </c>
      <c r="L14" s="4359"/>
      <c r="M14" s="4051">
        <f>'6. Ел.Енергия'!D50/1000</f>
        <v>314.404</v>
      </c>
      <c r="N14" s="4051">
        <f>'6. Ел.Енергия'!E50/1000</f>
        <v>-28.82</v>
      </c>
      <c r="O14" s="4051">
        <f>'6. Ел.Енергия'!F50/1000</f>
        <v>-37.726999999999997</v>
      </c>
      <c r="P14" s="4051">
        <f>'6. Ел.Енергия'!G50/1000</f>
        <v>-22.783000000000001</v>
      </c>
      <c r="Q14" s="4051">
        <f>'6. Ел.Енергия'!H50/1000</f>
        <v>-15.645</v>
      </c>
      <c r="R14" s="4359"/>
      <c r="S14" s="4051">
        <f>'6. Ел.Енергия'!J50</f>
        <v>117.50975261600001</v>
      </c>
      <c r="T14" s="4051">
        <f>'6. Ел.Енергия'!K50</f>
        <v>-10.771590279999998</v>
      </c>
      <c r="U14" s="4051">
        <f>'6. Ел.Енергия'!L50</f>
        <v>-14.10061715800002</v>
      </c>
      <c r="V14" s="4051">
        <f>'6. Ел.Енергия'!M50</f>
        <v>-8.5152373819999951</v>
      </c>
      <c r="W14" s="4051">
        <f>'6. Ел.Енергия'!N50</f>
        <v>-5.8473813299999904</v>
      </c>
      <c r="X14" s="3685"/>
      <c r="Y14" s="4040" t="s">
        <v>127</v>
      </c>
      <c r="Z14" s="4041" t="s">
        <v>768</v>
      </c>
      <c r="AA14" s="4042" t="s">
        <v>174</v>
      </c>
      <c r="AB14" s="4043">
        <f>'3. Показатели за качество'!E19</f>
        <v>0.68179999999999996</v>
      </c>
      <c r="AC14" s="4043">
        <f>'3. Показатели за качество'!F19</f>
        <v>0.66049999999999998</v>
      </c>
      <c r="AD14" s="4043">
        <f>'3. Показатели за качество'!G19</f>
        <v>0.67400000000000004</v>
      </c>
      <c r="AE14" s="4043">
        <f>'3. Показатели за качество'!H19</f>
        <v>0.83389999999999997</v>
      </c>
      <c r="AF14" s="4043">
        <f>'3. Показатели за качество'!I19</f>
        <v>0.83589999999999998</v>
      </c>
      <c r="AG14" s="4043">
        <f>'3. Показатели за качество'!J19</f>
        <v>0.83799999999999997</v>
      </c>
      <c r="AH14" s="4044">
        <f>'3. Показатели за качество'!M19</f>
        <v>0.75</v>
      </c>
      <c r="AI14" s="4045">
        <v>0.75</v>
      </c>
      <c r="AJ14" s="3685"/>
    </row>
    <row r="15" spans="1:36" ht="15.95" customHeight="1">
      <c r="A15" s="4066" t="s">
        <v>1014</v>
      </c>
      <c r="B15" s="3922" t="s">
        <v>792</v>
      </c>
      <c r="C15" s="4039">
        <f>'2. Променливи'!E21</f>
        <v>145</v>
      </c>
      <c r="D15" s="4039">
        <f>'2. Променливи'!F21</f>
        <v>145</v>
      </c>
      <c r="E15" s="4039">
        <f>'2. Променливи'!G21</f>
        <v>145</v>
      </c>
      <c r="F15" s="4039">
        <f>'2. Променливи'!H21</f>
        <v>145</v>
      </c>
      <c r="G15" s="4039">
        <f>'2. Променливи'!I21</f>
        <v>145</v>
      </c>
      <c r="H15" s="4039">
        <f>'2. Променливи'!J21</f>
        <v>145</v>
      </c>
      <c r="I15" s="3685"/>
      <c r="J15" s="4065" t="s">
        <v>1257</v>
      </c>
      <c r="K15" s="4047" t="s">
        <v>1627</v>
      </c>
      <c r="L15" s="4047">
        <f>'6. Ел.Енергия'!C61/1000</f>
        <v>0</v>
      </c>
      <c r="M15" s="4047">
        <f>'6. Ел.Енергия'!D61/1000</f>
        <v>0</v>
      </c>
      <c r="N15" s="4047">
        <f>'6. Ел.Енергия'!E61/1000</f>
        <v>0</v>
      </c>
      <c r="O15" s="4047">
        <f>'6. Ел.Енергия'!F61/1000</f>
        <v>0</v>
      </c>
      <c r="P15" s="4047">
        <f>'6. Ел.Енергия'!G61/1000</f>
        <v>0</v>
      </c>
      <c r="Q15" s="4047">
        <f>'6. Ел.Енергия'!H61/1000</f>
        <v>0</v>
      </c>
      <c r="R15" s="4047">
        <f>'6. Ел.Енергия'!I61</f>
        <v>0</v>
      </c>
      <c r="S15" s="4047">
        <f>'6. Ел.Енергия'!J61</f>
        <v>0</v>
      </c>
      <c r="T15" s="4047">
        <f>'6. Ел.Енергия'!K61</f>
        <v>0</v>
      </c>
      <c r="U15" s="4047">
        <f>'6. Ел.Енергия'!L61</f>
        <v>0</v>
      </c>
      <c r="V15" s="4047">
        <f>'6. Ел.Енергия'!M61</f>
        <v>0</v>
      </c>
      <c r="W15" s="4047">
        <f>'6. Ел.Енергия'!N61</f>
        <v>0</v>
      </c>
      <c r="X15" s="3685"/>
      <c r="Y15" s="4040" t="s">
        <v>128</v>
      </c>
      <c r="Z15" s="4041" t="s">
        <v>769</v>
      </c>
      <c r="AA15" s="4042" t="s">
        <v>174</v>
      </c>
      <c r="AB15" s="4043">
        <f>'3. Показатели за качество'!E20</f>
        <v>1</v>
      </c>
      <c r="AC15" s="4043">
        <f>'3. Показатели за качество'!F20</f>
        <v>1</v>
      </c>
      <c r="AD15" s="4043">
        <f>'3. Показатели за качество'!G20</f>
        <v>1</v>
      </c>
      <c r="AE15" s="4043">
        <f>'3. Показатели за качество'!H20</f>
        <v>1</v>
      </c>
      <c r="AF15" s="4043">
        <f>'3. Показатели за качество'!I20</f>
        <v>1</v>
      </c>
      <c r="AG15" s="4043">
        <f>'3. Показатели за качество'!J20</f>
        <v>1</v>
      </c>
      <c r="AH15" s="4044">
        <f>'3. Показатели за качество'!M20</f>
        <v>0.93</v>
      </c>
      <c r="AI15" s="4045">
        <v>0.93</v>
      </c>
      <c r="AJ15" s="3685"/>
    </row>
    <row r="16" spans="1:36" ht="15.95" customHeight="1">
      <c r="A16" s="4066" t="s">
        <v>869</v>
      </c>
      <c r="B16" s="3922" t="s">
        <v>792</v>
      </c>
      <c r="C16" s="4039">
        <f>'2. Променливи'!E22</f>
        <v>2</v>
      </c>
      <c r="D16" s="4039">
        <f>'2. Променливи'!F22</f>
        <v>2</v>
      </c>
      <c r="E16" s="4039">
        <f>'2. Променливи'!G22</f>
        <v>2</v>
      </c>
      <c r="F16" s="4039">
        <f>'2. Променливи'!H22</f>
        <v>2</v>
      </c>
      <c r="G16" s="4039">
        <f>'2. Променливи'!I22</f>
        <v>2</v>
      </c>
      <c r="H16" s="4039">
        <f>'2. Променливи'!J22</f>
        <v>2</v>
      </c>
      <c r="I16" s="3685"/>
      <c r="J16" s="4048" t="s">
        <v>355</v>
      </c>
      <c r="K16" s="4049" t="s">
        <v>1627</v>
      </c>
      <c r="L16" s="4359"/>
      <c r="M16" s="4051">
        <f>'6. Ел.Енергия'!D62/1000</f>
        <v>0</v>
      </c>
      <c r="N16" s="4051">
        <f>'6. Ел.Енергия'!E62/1000</f>
        <v>0</v>
      </c>
      <c r="O16" s="4051">
        <f>'6. Ел.Енергия'!F62/1000</f>
        <v>0</v>
      </c>
      <c r="P16" s="4051">
        <f>'6. Ел.Енергия'!G62/1000</f>
        <v>0</v>
      </c>
      <c r="Q16" s="4051">
        <f>'6. Ел.Енергия'!H62/1000</f>
        <v>0</v>
      </c>
      <c r="R16" s="4359"/>
      <c r="S16" s="4051">
        <f>'6. Ел.Енергия'!J62</f>
        <v>0</v>
      </c>
      <c r="T16" s="4051">
        <f>'6. Ел.Енергия'!K62</f>
        <v>0</v>
      </c>
      <c r="U16" s="4051">
        <f>'6. Ел.Енергия'!L62</f>
        <v>0</v>
      </c>
      <c r="V16" s="4051">
        <f>'6. Ел.Енергия'!M62</f>
        <v>0</v>
      </c>
      <c r="W16" s="4051">
        <f>'6. Ел.Енергия'!N62</f>
        <v>0</v>
      </c>
      <c r="X16" s="3685"/>
      <c r="Y16" s="4040" t="s">
        <v>129</v>
      </c>
      <c r="Z16" s="4041" t="s">
        <v>770</v>
      </c>
      <c r="AA16" s="4042" t="s">
        <v>757</v>
      </c>
      <c r="AB16" s="4061">
        <f>'3. Показатели за качество'!E21</f>
        <v>276.75</v>
      </c>
      <c r="AC16" s="4061">
        <f>'3. Показатели за качество'!F21</f>
        <v>259.54000000000002</v>
      </c>
      <c r="AD16" s="4061">
        <f>'3. Показатели за качество'!G21</f>
        <v>243.55</v>
      </c>
      <c r="AE16" s="4061">
        <f>'3. Показатели за качество'!H21</f>
        <v>242.96</v>
      </c>
      <c r="AF16" s="4061">
        <f>'3. Показатели за качество'!I21</f>
        <v>237.11</v>
      </c>
      <c r="AG16" s="4061">
        <f>'3. Показатели за качество'!J21</f>
        <v>225.11</v>
      </c>
      <c r="AH16" s="4062">
        <f>'3. Показатели за качество'!M21</f>
        <v>145.97</v>
      </c>
      <c r="AI16" s="4060">
        <v>120</v>
      </c>
      <c r="AJ16" s="3685"/>
    </row>
    <row r="17" spans="1:36" ht="15.95" customHeight="1">
      <c r="A17" s="4066" t="s">
        <v>870</v>
      </c>
      <c r="B17" s="3923" t="s">
        <v>792</v>
      </c>
      <c r="C17" s="4039">
        <f>'2. Променливи'!E23</f>
        <v>148</v>
      </c>
      <c r="D17" s="4039">
        <f>'2. Променливи'!F23</f>
        <v>148</v>
      </c>
      <c r="E17" s="4039">
        <f>'2. Променливи'!G23</f>
        <v>148</v>
      </c>
      <c r="F17" s="4039">
        <f>'2. Променливи'!H23</f>
        <v>151</v>
      </c>
      <c r="G17" s="4039">
        <f>'2. Променливи'!I23</f>
        <v>151</v>
      </c>
      <c r="H17" s="4039">
        <f>'2. Променливи'!J23</f>
        <v>151</v>
      </c>
      <c r="I17" s="3685"/>
      <c r="J17" s="4068" t="s">
        <v>1826</v>
      </c>
      <c r="K17" s="4049" t="s">
        <v>1627</v>
      </c>
      <c r="L17" s="4049">
        <f>'6. Ел.Енергия'!C74/1000</f>
        <v>192.5</v>
      </c>
      <c r="M17" s="4049">
        <f>'6. Ел.Енергия'!D74/1000</f>
        <v>192.5</v>
      </c>
      <c r="N17" s="4049">
        <f>'6. Ел.Енергия'!E74/1000</f>
        <v>192.5</v>
      </c>
      <c r="O17" s="4049">
        <f>'6. Ел.Енергия'!F74/1000</f>
        <v>192.5</v>
      </c>
      <c r="P17" s="4049">
        <f>'6. Ел.Енергия'!G74/1000</f>
        <v>192.5</v>
      </c>
      <c r="Q17" s="4049">
        <f>'6. Ел.Енергия'!H74/1000</f>
        <v>192.5</v>
      </c>
      <c r="R17" s="4049">
        <f>'6. Ел.Енергия'!I74</f>
        <v>72.943640000000002</v>
      </c>
      <c r="S17" s="4049">
        <f>'6. Ел.Енергия'!J74</f>
        <v>72.943640000000002</v>
      </c>
      <c r="T17" s="4049">
        <f>'6. Ел.Енергия'!K74</f>
        <v>72.943640000000002</v>
      </c>
      <c r="U17" s="4049">
        <f>'6. Ел.Енергия'!L74</f>
        <v>72.943640000000002</v>
      </c>
      <c r="V17" s="4049">
        <f>'6. Ел.Енергия'!M74</f>
        <v>72.943640000000002</v>
      </c>
      <c r="W17" s="4049">
        <f>'6. Ел.Енергия'!N74</f>
        <v>72.943640000000002</v>
      </c>
      <c r="X17" s="3685"/>
      <c r="Y17" s="4040" t="s">
        <v>130</v>
      </c>
      <c r="Z17" s="4041" t="s">
        <v>771</v>
      </c>
      <c r="AA17" s="4042" t="s">
        <v>758</v>
      </c>
      <c r="AB17" s="4058">
        <f>'3. Показатели за качество'!E22</f>
        <v>0.11700000000000001</v>
      </c>
      <c r="AC17" s="4058">
        <f>'3. Показатели за качество'!F22</f>
        <v>0</v>
      </c>
      <c r="AD17" s="4058">
        <f>'3. Показатели за качество'!G22</f>
        <v>0</v>
      </c>
      <c r="AE17" s="4058">
        <f>'3. Показатели за качество'!H22</f>
        <v>0</v>
      </c>
      <c r="AF17" s="4058">
        <f>'3. Показатели за качество'!I22</f>
        <v>0</v>
      </c>
      <c r="AG17" s="4058">
        <f>'3. Показатели за качество'!J22</f>
        <v>0</v>
      </c>
      <c r="AH17" s="4059">
        <f>'3. Показатели за качество'!M22</f>
        <v>0.5</v>
      </c>
      <c r="AI17" s="4060">
        <v>0.5</v>
      </c>
      <c r="AJ17" s="3685"/>
    </row>
    <row r="18" spans="1:36" ht="15.95" customHeight="1">
      <c r="A18" s="4066" t="s">
        <v>871</v>
      </c>
      <c r="B18" s="3922" t="s">
        <v>792</v>
      </c>
      <c r="C18" s="4039">
        <f>'2. Променливи'!E24</f>
        <v>58</v>
      </c>
      <c r="D18" s="4039">
        <f>'2. Променливи'!F24</f>
        <v>58</v>
      </c>
      <c r="E18" s="4039">
        <f>'2. Променливи'!G24</f>
        <v>58</v>
      </c>
      <c r="F18" s="4039">
        <f>'2. Променливи'!H24</f>
        <v>58</v>
      </c>
      <c r="G18" s="4039">
        <f>'2. Променливи'!I24</f>
        <v>58</v>
      </c>
      <c r="H18" s="4039">
        <f>'2. Променливи'!J24</f>
        <v>58</v>
      </c>
      <c r="I18" s="3685"/>
      <c r="J18" s="4057" t="s">
        <v>1633</v>
      </c>
      <c r="K18" s="4047" t="s">
        <v>1627</v>
      </c>
      <c r="L18" s="4047">
        <f>SUM(L5,L8,L10,L13,L15,L17)</f>
        <v>9098.4920000000002</v>
      </c>
      <c r="M18" s="4047">
        <f t="shared" ref="M18:W18" si="0">SUM(M5,M8,M10,M13,M15,M17)</f>
        <v>8077.3719999999994</v>
      </c>
      <c r="N18" s="4047">
        <f t="shared" si="0"/>
        <v>6056.4139999999998</v>
      </c>
      <c r="O18" s="4047">
        <f t="shared" si="0"/>
        <v>7365.2829999999994</v>
      </c>
      <c r="P18" s="4047">
        <f t="shared" si="0"/>
        <v>6676.9679999999998</v>
      </c>
      <c r="Q18" s="4047">
        <f t="shared" si="0"/>
        <v>6268.0680000000002</v>
      </c>
      <c r="R18" s="4047">
        <f t="shared" si="0"/>
        <v>3372.73164</v>
      </c>
      <c r="S18" s="4047">
        <f t="shared" si="0"/>
        <v>2993.7389337085192</v>
      </c>
      <c r="T18" s="4047">
        <f t="shared" si="0"/>
        <v>2241.9996660864372</v>
      </c>
      <c r="U18" s="4047">
        <f t="shared" si="0"/>
        <v>2676.0580509255506</v>
      </c>
      <c r="V18" s="4047">
        <f t="shared" si="0"/>
        <v>2423.5821176884983</v>
      </c>
      <c r="W18" s="4047">
        <f t="shared" si="0"/>
        <v>2272.8641076476447</v>
      </c>
      <c r="X18" s="3685"/>
      <c r="Y18" s="4040" t="s">
        <v>131</v>
      </c>
      <c r="Z18" s="4041" t="s">
        <v>1681</v>
      </c>
      <c r="AA18" s="4042" t="s">
        <v>1682</v>
      </c>
      <c r="AB18" s="4058">
        <f>'3. Показатели за качество'!E23</f>
        <v>0.28999999999999998</v>
      </c>
      <c r="AC18" s="4058">
        <f>'3. Показатели за качество'!F23</f>
        <v>0.28999999999999998</v>
      </c>
      <c r="AD18" s="4058">
        <f>'3. Показатели за качество'!G23</f>
        <v>0.28599999999999998</v>
      </c>
      <c r="AE18" s="4058">
        <f>'3. Показатели за качество'!H23</f>
        <v>0.28499999999999998</v>
      </c>
      <c r="AF18" s="4058">
        <f>'3. Показатели за качество'!I23</f>
        <v>0.28399999999999997</v>
      </c>
      <c r="AG18" s="4058">
        <f>'3. Показатели за качество'!J23</f>
        <v>0.28399999999999997</v>
      </c>
      <c r="AH18" s="4059">
        <f>'3. Показатели за качество'!M23</f>
        <v>0.32</v>
      </c>
      <c r="AI18" s="4060">
        <v>0.45</v>
      </c>
      <c r="AJ18" s="3685"/>
    </row>
    <row r="19" spans="1:36" ht="15.95" customHeight="1">
      <c r="A19" s="4069" t="s">
        <v>1606</v>
      </c>
      <c r="B19" s="3923" t="s">
        <v>820</v>
      </c>
      <c r="C19" s="4039">
        <f>'2. Променливи'!E25</f>
        <v>1481.721</v>
      </c>
      <c r="D19" s="4039">
        <f>'2. Променливи'!F25</f>
        <v>1483.261</v>
      </c>
      <c r="E19" s="4039">
        <f>'2. Променливи'!G25</f>
        <v>1484.8009999999999</v>
      </c>
      <c r="F19" s="4039">
        <f>'2. Променливи'!H25</f>
        <v>1484.8009999999999</v>
      </c>
      <c r="G19" s="4039">
        <f>'2. Променливи'!I25</f>
        <v>1484.8009999999999</v>
      </c>
      <c r="H19" s="4039">
        <f>'2. Променливи'!J25</f>
        <v>1484.8009999999999</v>
      </c>
      <c r="I19" s="3685"/>
      <c r="J19" s="4072" t="s">
        <v>1632</v>
      </c>
      <c r="K19" s="4047" t="s">
        <v>174</v>
      </c>
      <c r="L19" s="4050"/>
      <c r="M19" s="4073">
        <f>IFERROR((M18-L18)/L18,0)</f>
        <v>-0.11222958705684423</v>
      </c>
      <c r="N19" s="4073">
        <f t="shared" ref="N19:Q19" si="1">IFERROR((N18-M18)/M18,0)</f>
        <v>-0.25019994126802625</v>
      </c>
      <c r="O19" s="4073">
        <f t="shared" si="1"/>
        <v>0.21611286810974278</v>
      </c>
      <c r="P19" s="4073">
        <f t="shared" si="1"/>
        <v>-9.3453978618336819E-2</v>
      </c>
      <c r="Q19" s="4073">
        <f t="shared" si="1"/>
        <v>-6.1240371378146433E-2</v>
      </c>
      <c r="R19" s="4074"/>
      <c r="S19" s="4073">
        <f t="shared" ref="S19:W19" si="2">IFERROR((S18-R18)/R18,0)</f>
        <v>-0.11236965959482052</v>
      </c>
      <c r="T19" s="4073">
        <f t="shared" si="2"/>
        <v>-0.25110381508479057</v>
      </c>
      <c r="U19" s="4073">
        <f t="shared" si="2"/>
        <v>0.1936032334905704</v>
      </c>
      <c r="V19" s="4073">
        <f t="shared" si="2"/>
        <v>-9.4346209399205683E-2</v>
      </c>
      <c r="W19" s="4073">
        <f t="shared" si="2"/>
        <v>-6.2188117720806416E-2</v>
      </c>
      <c r="X19" s="3685"/>
      <c r="Y19" s="4040" t="s">
        <v>132</v>
      </c>
      <c r="Z19" s="4041" t="s">
        <v>772</v>
      </c>
      <c r="AA19" s="4042" t="s">
        <v>1682</v>
      </c>
      <c r="AB19" s="4058">
        <f>'3. Показатели за качество'!E24</f>
        <v>0.124</v>
      </c>
      <c r="AC19" s="4058">
        <f>'3. Показатели за качество'!F24</f>
        <v>9.8000000000000004E-2</v>
      </c>
      <c r="AD19" s="4058">
        <f>'3. Показатели за качество'!G24</f>
        <v>9.4E-2</v>
      </c>
      <c r="AE19" s="4058">
        <f>'3. Показатели за качество'!H24</f>
        <v>0.24099999999999999</v>
      </c>
      <c r="AF19" s="4058">
        <f>'3. Показатели за качество'!I24</f>
        <v>0.22600000000000001</v>
      </c>
      <c r="AG19" s="4058">
        <f>'3. Показатели за качество'!J24</f>
        <v>0.22</v>
      </c>
      <c r="AH19" s="4059">
        <f>'3. Показатели за качество'!M24</f>
        <v>0.20599999999999999</v>
      </c>
      <c r="AI19" s="4060">
        <v>0.25</v>
      </c>
      <c r="AJ19" s="3685"/>
    </row>
    <row r="20" spans="1:36" ht="15.95" customHeight="1">
      <c r="A20" s="4070" t="s">
        <v>1605</v>
      </c>
      <c r="B20" s="3923" t="s">
        <v>792</v>
      </c>
      <c r="C20" s="4071">
        <f>'2. Променливи'!E27</f>
        <v>139</v>
      </c>
      <c r="D20" s="4071">
        <f>'2. Променливи'!F27</f>
        <v>139</v>
      </c>
      <c r="E20" s="4071">
        <f>'2. Променливи'!G27</f>
        <v>139</v>
      </c>
      <c r="F20" s="4071">
        <f>'2. Променливи'!H27</f>
        <v>139</v>
      </c>
      <c r="G20" s="4071">
        <f>'2. Променливи'!I27</f>
        <v>139</v>
      </c>
      <c r="H20" s="4071">
        <f>'2. Променливи'!J27</f>
        <v>139</v>
      </c>
      <c r="I20" s="3685"/>
      <c r="J20" s="4072" t="s">
        <v>1631</v>
      </c>
      <c r="K20" s="4047" t="s">
        <v>174</v>
      </c>
      <c r="L20" s="4050"/>
      <c r="M20" s="4075">
        <f>IFERROR((M18-$L$18)/$L$18,0)</f>
        <v>-0.11222958705684423</v>
      </c>
      <c r="N20" s="4075">
        <f t="shared" ref="N20:Q20" si="3">IFERROR((N18-$L$18)/$L$18,0)</f>
        <v>-0.33434969223471322</v>
      </c>
      <c r="O20" s="4075">
        <f t="shared" si="3"/>
        <v>-0.19049409506542411</v>
      </c>
      <c r="P20" s="4075">
        <f t="shared" si="3"/>
        <v>-0.26614564259659734</v>
      </c>
      <c r="Q20" s="4075">
        <f t="shared" si="3"/>
        <v>-0.31108715598145276</v>
      </c>
      <c r="R20" s="4076"/>
      <c r="S20" s="4075">
        <f>IFERROR((S18-$R$18)/$R$18,0)</f>
        <v>-0.11236965959482052</v>
      </c>
      <c r="T20" s="4075">
        <f t="shared" ref="T20:W20" si="4">IFERROR((T18-$R$18)/$R$18,0)</f>
        <v>-0.33525702445557237</v>
      </c>
      <c r="U20" s="4075">
        <f t="shared" si="4"/>
        <v>-0.20656063495002805</v>
      </c>
      <c r="V20" s="4075">
        <f t="shared" si="4"/>
        <v>-0.28141863143060553</v>
      </c>
      <c r="W20" s="4075">
        <f t="shared" si="4"/>
        <v>-0.32610585417117721</v>
      </c>
      <c r="X20" s="3685"/>
      <c r="Y20" s="4040" t="s">
        <v>133</v>
      </c>
      <c r="Z20" s="4041" t="s">
        <v>773</v>
      </c>
      <c r="AA20" s="4042" t="s">
        <v>174</v>
      </c>
      <c r="AB20" s="4043">
        <f>'3. Показатели за качество'!E25</f>
        <v>0</v>
      </c>
      <c r="AC20" s="4043">
        <f>'3. Показатели за качество'!F25</f>
        <v>0</v>
      </c>
      <c r="AD20" s="4043">
        <f>'3. Показатели за качество'!G25</f>
        <v>0.41799999999999998</v>
      </c>
      <c r="AE20" s="4043">
        <f>'3. Показатели за качество'!H25</f>
        <v>1</v>
      </c>
      <c r="AF20" s="4043">
        <f>'3. Показатели за качество'!I25</f>
        <v>0.9375</v>
      </c>
      <c r="AG20" s="4043">
        <f>'3. Показатели за качество'!J25</f>
        <v>1</v>
      </c>
      <c r="AH20" s="4044">
        <f>'3. Показатели за качество'!M25</f>
        <v>1</v>
      </c>
      <c r="AI20" s="4045">
        <v>1</v>
      </c>
      <c r="AJ20" s="3685"/>
    </row>
    <row r="21" spans="1:36" ht="18.75" customHeight="1">
      <c r="A21" s="4069" t="s">
        <v>1607</v>
      </c>
      <c r="B21" s="3923" t="s">
        <v>792</v>
      </c>
      <c r="C21" s="4071">
        <f>'2. Променливи'!E28</f>
        <v>60260</v>
      </c>
      <c r="D21" s="4071">
        <f>'2. Променливи'!F28</f>
        <v>60267</v>
      </c>
      <c r="E21" s="4071">
        <f>'2. Променливи'!G28</f>
        <v>60272</v>
      </c>
      <c r="F21" s="4071">
        <f>'2. Променливи'!H28</f>
        <v>60279</v>
      </c>
      <c r="G21" s="4071">
        <f>'2. Променливи'!I28</f>
        <v>60290</v>
      </c>
      <c r="H21" s="4071">
        <f>'2. Променливи'!J28</f>
        <v>60304</v>
      </c>
      <c r="I21" s="3685"/>
      <c r="J21" s="4078" t="s">
        <v>612</v>
      </c>
      <c r="K21" s="4049" t="s">
        <v>1627</v>
      </c>
      <c r="L21" s="4049">
        <f>'6. Ел.Енергия'!C75/1000</f>
        <v>27</v>
      </c>
      <c r="M21" s="4049">
        <f>'6. Ел.Енергия'!D75/1000</f>
        <v>27</v>
      </c>
      <c r="N21" s="4049">
        <f>'6. Ел.Енергия'!E75/1000</f>
        <v>27</v>
      </c>
      <c r="O21" s="4049">
        <f>'6. Ел.Енергия'!F75/1000</f>
        <v>27</v>
      </c>
      <c r="P21" s="4049">
        <f>'6. Ел.Енергия'!G75/1000</f>
        <v>27</v>
      </c>
      <c r="Q21" s="4049">
        <f>'6. Ел.Енергия'!H75/1000</f>
        <v>27</v>
      </c>
      <c r="R21" s="4049">
        <f>'6. Ел.Енергия'!I75</f>
        <v>10.091358</v>
      </c>
      <c r="S21" s="4049">
        <f>'6. Ел.Енергия'!J75</f>
        <v>10.091358</v>
      </c>
      <c r="T21" s="4049">
        <f>'6. Ел.Енергия'!K75</f>
        <v>10.091358</v>
      </c>
      <c r="U21" s="4049">
        <f>'6. Ел.Енергия'!L75</f>
        <v>10.091358</v>
      </c>
      <c r="V21" s="4049">
        <f>'6. Ел.Енергия'!M75</f>
        <v>10.091358</v>
      </c>
      <c r="W21" s="4049">
        <f>'6. Ел.Енергия'!N75</f>
        <v>10.091358</v>
      </c>
      <c r="X21" s="3685"/>
      <c r="Y21" s="4040" t="s">
        <v>134</v>
      </c>
      <c r="Z21" s="4041" t="s">
        <v>774</v>
      </c>
      <c r="AA21" s="4042" t="s">
        <v>174</v>
      </c>
      <c r="AB21" s="4043">
        <f>'3. Показатели за качество'!E26</f>
        <v>4.3E-3</v>
      </c>
      <c r="AC21" s="4043">
        <f>'3. Показатели за качество'!F26</f>
        <v>9.1999999999999998E-3</v>
      </c>
      <c r="AD21" s="4043">
        <f>'3. Показатели за качество'!G26</f>
        <v>9.2999999999999992E-3</v>
      </c>
      <c r="AE21" s="4043">
        <f>'3. Показатели за качество'!H26</f>
        <v>9.5999999999999992E-3</v>
      </c>
      <c r="AF21" s="4043">
        <f>'3. Показатели за качество'!I26</f>
        <v>1.01E-2</v>
      </c>
      <c r="AG21" s="4043">
        <f>'3. Показатели за качество'!J26</f>
        <v>1.12E-2</v>
      </c>
      <c r="AH21" s="4044">
        <f>'3. Показатели за качество'!M26</f>
        <v>1.12E-2</v>
      </c>
      <c r="AI21" s="4077">
        <v>1.2500000000000001E-2</v>
      </c>
      <c r="AJ21" s="3685"/>
    </row>
    <row r="22" spans="1:36" ht="15.75" customHeight="1">
      <c r="A22" s="4069" t="s">
        <v>1609</v>
      </c>
      <c r="B22" s="3923" t="s">
        <v>792</v>
      </c>
      <c r="C22" s="4071">
        <f>'2. Променливи'!E29</f>
        <v>60260</v>
      </c>
      <c r="D22" s="4071">
        <f>'2. Променливи'!F29</f>
        <v>60267</v>
      </c>
      <c r="E22" s="4071">
        <f>'2. Променливи'!G29</f>
        <v>60272</v>
      </c>
      <c r="F22" s="4071">
        <f>'2. Променливи'!H29</f>
        <v>60279</v>
      </c>
      <c r="G22" s="4071">
        <f>'2. Променливи'!I29</f>
        <v>60290</v>
      </c>
      <c r="H22" s="4071">
        <f>'2. Променливи'!J29</f>
        <v>60304</v>
      </c>
      <c r="I22" s="3685"/>
      <c r="J22" s="3685"/>
      <c r="K22" s="3685"/>
      <c r="L22" s="3685"/>
      <c r="M22" s="3685"/>
      <c r="N22" s="3685"/>
      <c r="O22" s="3685"/>
      <c r="P22" s="3685"/>
      <c r="Q22" s="3685"/>
      <c r="R22" s="3685"/>
      <c r="S22" s="3685"/>
      <c r="T22" s="3685"/>
      <c r="U22" s="3685"/>
      <c r="V22" s="3685"/>
      <c r="W22" s="3685"/>
      <c r="X22" s="3685"/>
      <c r="Y22" s="4040" t="s">
        <v>782</v>
      </c>
      <c r="Z22" s="4041" t="s">
        <v>783</v>
      </c>
      <c r="AA22" s="4042" t="s">
        <v>174</v>
      </c>
      <c r="AB22" s="4043">
        <f>'3. Показатели за качество'!E27</f>
        <v>2.9999999999999997E-4</v>
      </c>
      <c r="AC22" s="4043">
        <f>'3. Показатели за качество'!F27</f>
        <v>1.2999999999999999E-3</v>
      </c>
      <c r="AD22" s="4043">
        <f>'3. Показатели за качество'!G27</f>
        <v>3.3999999999999998E-3</v>
      </c>
      <c r="AE22" s="4043">
        <f>'3. Показатели за качество'!H27</f>
        <v>5.7000000000000002E-3</v>
      </c>
      <c r="AF22" s="4043">
        <f>'3. Показатели за качество'!I27</f>
        <v>8.0999999999999996E-3</v>
      </c>
      <c r="AG22" s="4043">
        <f>'3. Показатели за качество'!J27</f>
        <v>1.2500000000000001E-2</v>
      </c>
      <c r="AH22" s="4044">
        <f>'3. Показатели за качество'!M27</f>
        <v>1.2500000000000001E-2</v>
      </c>
      <c r="AI22" s="4077">
        <v>1.2500000000000001E-2</v>
      </c>
      <c r="AJ22" s="3685"/>
    </row>
    <row r="23" spans="1:36" ht="15.95" customHeight="1">
      <c r="A23" s="4069" t="s">
        <v>1608</v>
      </c>
      <c r="B23" s="3923" t="s">
        <v>792</v>
      </c>
      <c r="C23" s="4071">
        <f>'2. Променливи'!E30</f>
        <v>15051</v>
      </c>
      <c r="D23" s="4071">
        <f>'2. Променливи'!F30</f>
        <v>16167</v>
      </c>
      <c r="E23" s="4071">
        <f>'2. Променливи'!G30</f>
        <v>17284</v>
      </c>
      <c r="F23" s="4071">
        <f>'2. Променливи'!H30</f>
        <v>17289</v>
      </c>
      <c r="G23" s="4071">
        <f>'2. Променливи'!I30</f>
        <v>17296</v>
      </c>
      <c r="H23" s="4071">
        <f>'2. Променливи'!J30</f>
        <v>17306</v>
      </c>
      <c r="I23" s="3685"/>
      <c r="J23" s="3685"/>
      <c r="K23" s="3685"/>
      <c r="L23" s="3685"/>
      <c r="M23" s="3685"/>
      <c r="N23" s="3685"/>
      <c r="O23" s="3685"/>
      <c r="P23" s="3685"/>
      <c r="Q23" s="3685"/>
      <c r="R23" s="3685"/>
      <c r="S23" s="3685"/>
      <c r="T23" s="3685"/>
      <c r="U23" s="3685"/>
      <c r="V23" s="3685"/>
      <c r="W23" s="3685"/>
      <c r="X23" s="3685"/>
      <c r="Y23" s="4040" t="s">
        <v>135</v>
      </c>
      <c r="Z23" s="4041" t="s">
        <v>50</v>
      </c>
      <c r="AA23" s="4042" t="s">
        <v>1041</v>
      </c>
      <c r="AB23" s="4061">
        <f>'3. Показатели за качество'!E28</f>
        <v>0.62</v>
      </c>
      <c r="AC23" s="4061">
        <f>'3. Показатели за качество'!F28</f>
        <v>1.06</v>
      </c>
      <c r="AD23" s="4061">
        <f>'3. Показатели за качество'!G28</f>
        <v>1.07</v>
      </c>
      <c r="AE23" s="4061">
        <f>'3. Показатели за качество'!H28</f>
        <v>1.07</v>
      </c>
      <c r="AF23" s="4061">
        <f>'3. Показатели за качество'!I28</f>
        <v>1.07</v>
      </c>
      <c r="AG23" s="4061">
        <f>'3. Показатели за качество'!J28</f>
        <v>1.07</v>
      </c>
      <c r="AH23" s="4062">
        <f>'3. Показатели за качество'!M28</f>
        <v>1.1000000000000001</v>
      </c>
      <c r="AI23" s="4060">
        <v>1.1000000000000001</v>
      </c>
      <c r="AJ23" s="3685"/>
    </row>
    <row r="24" spans="1:36" ht="15.95" customHeight="1">
      <c r="A24" s="4069" t="s">
        <v>831</v>
      </c>
      <c r="B24" s="3923" t="s">
        <v>830</v>
      </c>
      <c r="C24" s="4071">
        <f>'2. Променливи'!E31</f>
        <v>305.69</v>
      </c>
      <c r="D24" s="4071">
        <f>'2. Променливи'!F31</f>
        <v>323.65350000000001</v>
      </c>
      <c r="E24" s="4071">
        <f>'2. Променливи'!G31</f>
        <v>341.61700000000002</v>
      </c>
      <c r="F24" s="4071">
        <f>'2. Променливи'!H31</f>
        <v>341.61700000000002</v>
      </c>
      <c r="G24" s="4071">
        <f>'2. Променливи'!I31</f>
        <v>341.61700000000002</v>
      </c>
      <c r="H24" s="4071">
        <f>'2. Променливи'!J31</f>
        <v>341.61700000000002</v>
      </c>
      <c r="I24" s="3685"/>
      <c r="J24" s="3685"/>
      <c r="K24" s="3685"/>
      <c r="L24" s="3685"/>
      <c r="M24" s="3685"/>
      <c r="N24" s="3685"/>
      <c r="O24" s="3685"/>
      <c r="P24" s="3685"/>
      <c r="Q24" s="3685"/>
      <c r="R24" s="3685"/>
      <c r="S24" s="3685"/>
      <c r="T24" s="3685"/>
      <c r="U24" s="3685"/>
      <c r="V24" s="3685"/>
      <c r="W24" s="3685"/>
      <c r="X24" s="3685"/>
      <c r="Y24" s="4040" t="s">
        <v>136</v>
      </c>
      <c r="Z24" s="4041" t="s">
        <v>53</v>
      </c>
      <c r="AA24" s="4042" t="s">
        <v>1041</v>
      </c>
      <c r="AB24" s="4061">
        <f>'3. Показатели за качество'!E29</f>
        <v>1.48</v>
      </c>
      <c r="AC24" s="4061">
        <f>'3. Показатели за качество'!F29</f>
        <v>1.17</v>
      </c>
      <c r="AD24" s="4061">
        <f>'3. Показатели за качество'!G29</f>
        <v>1.46</v>
      </c>
      <c r="AE24" s="4061">
        <f>'3. Показатели за качество'!H29</f>
        <v>1.33</v>
      </c>
      <c r="AF24" s="4061">
        <f>'3. Показатели за качество'!I29</f>
        <v>1.27</v>
      </c>
      <c r="AG24" s="4061">
        <f>'3. Показатели за качество'!J29</f>
        <v>1.26</v>
      </c>
      <c r="AH24" s="4062">
        <f>'3. Показатели за качество'!M29</f>
        <v>1.1000000000000001</v>
      </c>
      <c r="AI24" s="4060">
        <v>1.1000000000000001</v>
      </c>
      <c r="AJ24" s="3685"/>
    </row>
    <row r="25" spans="1:36" ht="15.95" customHeight="1">
      <c r="A25" s="4066" t="s">
        <v>872</v>
      </c>
      <c r="B25" s="3922" t="s">
        <v>792</v>
      </c>
      <c r="C25" s="4071">
        <f>'2. Променливи'!E32</f>
        <v>0</v>
      </c>
      <c r="D25" s="4071">
        <f>'2. Променливи'!F32</f>
        <v>0</v>
      </c>
      <c r="E25" s="4071">
        <f>'2. Променливи'!G32</f>
        <v>0</v>
      </c>
      <c r="F25" s="4071">
        <f>'2. Променливи'!H32</f>
        <v>2</v>
      </c>
      <c r="G25" s="4071">
        <f>'2. Променливи'!I32</f>
        <v>2</v>
      </c>
      <c r="H25" s="4071">
        <f>'2. Променливи'!J32</f>
        <v>2</v>
      </c>
      <c r="I25" s="3685"/>
      <c r="J25" s="3685"/>
      <c r="K25" s="3685"/>
      <c r="L25" s="3685"/>
      <c r="M25" s="3685"/>
      <c r="N25" s="3685"/>
      <c r="O25" s="3685"/>
      <c r="P25" s="3685"/>
      <c r="Q25" s="3685"/>
      <c r="R25" s="3685"/>
      <c r="S25" s="3685"/>
      <c r="T25" s="3685"/>
      <c r="U25" s="3685"/>
      <c r="V25" s="3685"/>
      <c r="W25" s="3685"/>
      <c r="X25" s="3685"/>
      <c r="Y25" s="4040" t="s">
        <v>137</v>
      </c>
      <c r="Z25" s="4041" t="s">
        <v>56</v>
      </c>
      <c r="AA25" s="4042" t="s">
        <v>1041</v>
      </c>
      <c r="AB25" s="4061">
        <f>'3. Показатели за качество'!E30</f>
        <v>0.76</v>
      </c>
      <c r="AC25" s="4061">
        <f>'3. Показатели за качество'!F30</f>
        <v>1.08</v>
      </c>
      <c r="AD25" s="4061">
        <f>'3. Показатели за качество'!G30</f>
        <v>1.1200000000000001</v>
      </c>
      <c r="AE25" s="4061">
        <f>'3. Показатели за качество'!H30</f>
        <v>1.1100000000000001</v>
      </c>
      <c r="AF25" s="4061">
        <f>'3. Показатели за качество'!I30</f>
        <v>1.1000000000000001</v>
      </c>
      <c r="AG25" s="4061">
        <f>'3. Показатели за качество'!J30</f>
        <v>1.0900000000000001</v>
      </c>
      <c r="AH25" s="4062">
        <f>'3. Показатели за качество'!M30</f>
        <v>1.1000000000000001</v>
      </c>
      <c r="AI25" s="4060">
        <v>1.1000000000000001</v>
      </c>
      <c r="AJ25" s="3685"/>
    </row>
    <row r="26" spans="1:36" ht="15.95" customHeight="1">
      <c r="A26" s="4066" t="s">
        <v>873</v>
      </c>
      <c r="B26" s="3922" t="s">
        <v>792</v>
      </c>
      <c r="C26" s="4071">
        <f>'2. Променливи'!E33</f>
        <v>2</v>
      </c>
      <c r="D26" s="4071">
        <f>'2. Променливи'!F33</f>
        <v>3</v>
      </c>
      <c r="E26" s="4071">
        <f>'2. Променливи'!G33</f>
        <v>3</v>
      </c>
      <c r="F26" s="4071">
        <f>'2. Променливи'!H33</f>
        <v>3</v>
      </c>
      <c r="G26" s="4071">
        <f>'2. Променливи'!I33</f>
        <v>3</v>
      </c>
      <c r="H26" s="4071">
        <f>'2. Променливи'!J33</f>
        <v>3</v>
      </c>
      <c r="I26" s="3685"/>
      <c r="J26" s="3685"/>
      <c r="K26" s="3685"/>
      <c r="L26" s="3685"/>
      <c r="M26" s="3685"/>
      <c r="N26" s="3685"/>
      <c r="O26" s="3685"/>
      <c r="P26" s="3685"/>
      <c r="Q26" s="3685"/>
      <c r="R26" s="3685"/>
      <c r="S26" s="3685"/>
      <c r="T26" s="3685"/>
      <c r="U26" s="3685"/>
      <c r="V26" s="3685"/>
      <c r="W26" s="3685"/>
      <c r="X26" s="3685"/>
      <c r="Y26" s="4040" t="s">
        <v>138</v>
      </c>
      <c r="Z26" s="4041" t="s">
        <v>775</v>
      </c>
      <c r="AA26" s="4042" t="s">
        <v>174</v>
      </c>
      <c r="AB26" s="4043">
        <f>'3. Показатели за качество'!E31</f>
        <v>0.74590000000000001</v>
      </c>
      <c r="AC26" s="4043">
        <f>'3. Показатели за качество'!F31</f>
        <v>0.78790000000000004</v>
      </c>
      <c r="AD26" s="4043">
        <f>'3. Показатели за качество'!G31</f>
        <v>0.82569999999999999</v>
      </c>
      <c r="AE26" s="4043">
        <f>'3. Показатели за качество'!H31</f>
        <v>0.84909999999999997</v>
      </c>
      <c r="AF26" s="4043">
        <f>'3. Показатели за качество'!I31</f>
        <v>0.87319999999999998</v>
      </c>
      <c r="AG26" s="4043">
        <f>'3. Показатели за качество'!J31</f>
        <v>0.9002</v>
      </c>
      <c r="AH26" s="4044">
        <f>'3. Показатели за качество'!M31</f>
        <v>0.9</v>
      </c>
      <c r="AI26" s="4045">
        <v>0.95</v>
      </c>
      <c r="AJ26" s="3685"/>
    </row>
    <row r="27" spans="1:36" ht="15.95" customHeight="1">
      <c r="A27" s="3685"/>
      <c r="B27" s="3685"/>
      <c r="C27" s="3685"/>
      <c r="D27" s="3685"/>
      <c r="E27" s="3685"/>
      <c r="F27" s="3685"/>
      <c r="G27" s="3685"/>
      <c r="H27" s="3685"/>
      <c r="I27" s="3685"/>
      <c r="J27" s="4034"/>
      <c r="K27" s="3685"/>
      <c r="L27" s="3685"/>
      <c r="M27" s="3685"/>
      <c r="N27" s="3685"/>
      <c r="O27" s="3685"/>
      <c r="P27" s="3685"/>
      <c r="Q27" s="3685"/>
      <c r="R27" s="3685"/>
      <c r="S27" s="3685"/>
      <c r="T27" s="3685"/>
      <c r="U27" s="3685"/>
      <c r="V27" s="3685"/>
      <c r="W27" s="3685"/>
      <c r="X27" s="3685"/>
      <c r="Y27" s="4040" t="s">
        <v>784</v>
      </c>
      <c r="Z27" s="4041" t="s">
        <v>786</v>
      </c>
      <c r="AA27" s="4042" t="s">
        <v>174</v>
      </c>
      <c r="AB27" s="4043">
        <f>'3. Показатели за качество'!E32</f>
        <v>7.3300000000000004E-2</v>
      </c>
      <c r="AC27" s="4043">
        <f>'3. Показатели за качество'!F32</f>
        <v>7.5499999999999998E-2</v>
      </c>
      <c r="AD27" s="4043">
        <f>'3. Показатели за качество'!G32</f>
        <v>9.5899999999999999E-2</v>
      </c>
      <c r="AE27" s="4043">
        <f>'3. Показатели за качество'!H32</f>
        <v>0.11650000000000001</v>
      </c>
      <c r="AF27" s="4043">
        <f>'3. Показатели за качество'!I32</f>
        <v>0.14130000000000001</v>
      </c>
      <c r="AG27" s="4043">
        <f>'3. Показатели за качество'!J32</f>
        <v>0.1714</v>
      </c>
      <c r="AH27" s="4044">
        <f>'3. Показатели за качество'!M32</f>
        <v>0.1714</v>
      </c>
      <c r="AI27" s="4045">
        <v>0.2</v>
      </c>
      <c r="AJ27" s="3685"/>
    </row>
    <row r="28" spans="1:36" ht="15.95" customHeight="1">
      <c r="A28" s="4034" t="s">
        <v>879</v>
      </c>
      <c r="B28" s="3685"/>
      <c r="C28" s="3685"/>
      <c r="D28" s="3685"/>
      <c r="E28" s="3685"/>
      <c r="F28" s="3685"/>
      <c r="G28" s="3685"/>
      <c r="H28" s="3685"/>
      <c r="I28" s="3685"/>
      <c r="J28" s="3685"/>
      <c r="K28" s="3685"/>
      <c r="L28" s="3685"/>
      <c r="M28" s="3685"/>
      <c r="N28" s="3685"/>
      <c r="O28" s="3685"/>
      <c r="P28" s="3685"/>
      <c r="Q28" s="3685"/>
      <c r="R28" s="3685"/>
      <c r="S28" s="3685"/>
      <c r="T28" s="3685"/>
      <c r="U28" s="3685"/>
      <c r="V28" s="3685"/>
      <c r="W28" s="3685"/>
      <c r="X28" s="3685"/>
      <c r="Y28" s="4040" t="s">
        <v>785</v>
      </c>
      <c r="Z28" s="4041" t="s">
        <v>787</v>
      </c>
      <c r="AA28" s="4042" t="s">
        <v>174</v>
      </c>
      <c r="AB28" s="4043">
        <f>'3. Показатели за качество'!E33</f>
        <v>1</v>
      </c>
      <c r="AC28" s="4043">
        <f>'3. Показатели за качество'!F33</f>
        <v>1</v>
      </c>
      <c r="AD28" s="4043">
        <f>'3. Показатели за качество'!G33</f>
        <v>1</v>
      </c>
      <c r="AE28" s="4043">
        <f>'3. Показатели за качество'!H33</f>
        <v>1</v>
      </c>
      <c r="AF28" s="4043">
        <f>'3. Показатели за качество'!I33</f>
        <v>1</v>
      </c>
      <c r="AG28" s="4043">
        <f>'3. Показатели за качество'!J33</f>
        <v>1</v>
      </c>
      <c r="AH28" s="4044">
        <f>'3. Показатели за качество'!M33</f>
        <v>1</v>
      </c>
      <c r="AI28" s="4045">
        <v>0.9</v>
      </c>
      <c r="AJ28" s="3685"/>
    </row>
    <row r="29" spans="1:36" ht="15.95" customHeight="1">
      <c r="A29" s="5631" t="s">
        <v>2</v>
      </c>
      <c r="B29" s="5633" t="s">
        <v>1612</v>
      </c>
      <c r="C29" s="5634" t="s">
        <v>930</v>
      </c>
      <c r="D29" s="5634"/>
      <c r="E29" s="5634"/>
      <c r="F29" s="5634"/>
      <c r="G29" s="5634"/>
      <c r="H29" s="5634"/>
      <c r="I29" s="3685"/>
      <c r="J29" s="3685"/>
      <c r="K29" s="3685"/>
      <c r="L29" s="3685"/>
      <c r="M29" s="3685"/>
      <c r="N29" s="3685"/>
      <c r="O29" s="3685"/>
      <c r="P29" s="3685"/>
      <c r="Q29" s="3685"/>
      <c r="R29" s="3685"/>
      <c r="S29" s="3685"/>
      <c r="T29" s="3685"/>
      <c r="U29" s="3685"/>
      <c r="V29" s="3685"/>
      <c r="W29" s="3685"/>
      <c r="X29" s="3685"/>
      <c r="Y29" s="4040" t="s">
        <v>139</v>
      </c>
      <c r="Z29" s="4041" t="s">
        <v>776</v>
      </c>
      <c r="AA29" s="4042" t="s">
        <v>174</v>
      </c>
      <c r="AB29" s="4043">
        <f>'3. Показатели за качество'!E34</f>
        <v>0.57069999999999999</v>
      </c>
      <c r="AC29" s="4043">
        <f>'3. Показатели за качество'!F34</f>
        <v>0.60119999999999996</v>
      </c>
      <c r="AD29" s="4043">
        <f>'3. Показатели за качество'!G34</f>
        <v>0.63639999999999997</v>
      </c>
      <c r="AE29" s="4043">
        <f>'3. Показатели за качество'!H34</f>
        <v>0.69030000000000002</v>
      </c>
      <c r="AF29" s="4043">
        <f>'3. Показатели за качество'!I34</f>
        <v>0.79520000000000002</v>
      </c>
      <c r="AG29" s="4043">
        <f>'3. Показатели за качество'!J34</f>
        <v>1</v>
      </c>
      <c r="AH29" s="4044">
        <f>'3. Показатели за качество'!M34</f>
        <v>1</v>
      </c>
      <c r="AI29" s="4045">
        <v>1</v>
      </c>
      <c r="AJ29" s="3685"/>
    </row>
    <row r="30" spans="1:36" ht="15.95" customHeight="1">
      <c r="A30" s="5632"/>
      <c r="B30" s="5632"/>
      <c r="C30" s="3924" t="s">
        <v>119</v>
      </c>
      <c r="D30" s="3924" t="s">
        <v>1072</v>
      </c>
      <c r="E30" s="3924" t="s">
        <v>1073</v>
      </c>
      <c r="F30" s="3924" t="s">
        <v>1074</v>
      </c>
      <c r="G30" s="3924" t="s">
        <v>1075</v>
      </c>
      <c r="H30" s="3924" t="s">
        <v>1076</v>
      </c>
      <c r="I30" s="3685"/>
      <c r="J30" s="3685"/>
      <c r="K30" s="3685"/>
      <c r="L30" s="3685"/>
      <c r="M30" s="3685"/>
      <c r="N30" s="3685"/>
      <c r="O30" s="3685"/>
      <c r="P30" s="3685"/>
      <c r="Q30" s="3685"/>
      <c r="R30" s="3685"/>
      <c r="S30" s="3685"/>
      <c r="T30" s="3685"/>
      <c r="U30" s="3685"/>
      <c r="V30" s="3685"/>
      <c r="W30" s="3685"/>
      <c r="X30" s="3685"/>
      <c r="Y30" s="4040" t="s">
        <v>140</v>
      </c>
      <c r="Z30" s="4041" t="s">
        <v>777</v>
      </c>
      <c r="AA30" s="4042" t="s">
        <v>174</v>
      </c>
      <c r="AB30" s="4043">
        <f>'3. Показатели за качество'!E35</f>
        <v>0</v>
      </c>
      <c r="AC30" s="4043">
        <f>'3. Показатели за качество'!F35</f>
        <v>1</v>
      </c>
      <c r="AD30" s="4043">
        <f>'3. Показатели за качество'!G35</f>
        <v>1</v>
      </c>
      <c r="AE30" s="4043">
        <f>'3. Показатели за качество'!H35</f>
        <v>1</v>
      </c>
      <c r="AF30" s="4043">
        <f>'3. Показатели за качество'!I35</f>
        <v>1</v>
      </c>
      <c r="AG30" s="4043">
        <f>'3. Показатели за качество'!J35</f>
        <v>1</v>
      </c>
      <c r="AH30" s="4044">
        <f>'3. Показатели за качество'!M35</f>
        <v>1</v>
      </c>
      <c r="AI30" s="4045">
        <v>1</v>
      </c>
      <c r="AJ30" s="3685"/>
    </row>
    <row r="31" spans="1:36" ht="15.95" customHeight="1">
      <c r="A31" s="5635" t="s">
        <v>172</v>
      </c>
      <c r="B31" s="5636"/>
      <c r="C31" s="5636"/>
      <c r="D31" s="5636"/>
      <c r="E31" s="5636"/>
      <c r="F31" s="5636"/>
      <c r="G31" s="5636"/>
      <c r="H31" s="5637"/>
      <c r="I31" s="3685"/>
      <c r="J31" s="3685"/>
      <c r="K31" s="3685"/>
      <c r="L31" s="3685"/>
      <c r="M31" s="3685"/>
      <c r="N31" s="3685"/>
      <c r="O31" s="3685"/>
      <c r="P31" s="3685"/>
      <c r="Q31" s="3685"/>
      <c r="R31" s="3685"/>
      <c r="S31" s="3685"/>
      <c r="T31" s="3685"/>
      <c r="U31" s="3685"/>
      <c r="V31" s="3685"/>
      <c r="W31" s="3685"/>
      <c r="X31" s="3685"/>
      <c r="Y31" s="4040" t="s">
        <v>141</v>
      </c>
      <c r="Z31" s="4041" t="s">
        <v>778</v>
      </c>
      <c r="AA31" s="4042" t="s">
        <v>174</v>
      </c>
      <c r="AB31" s="4043" t="str">
        <f>'3. Показатели за качество'!E36</f>
        <v>-</v>
      </c>
      <c r="AC31" s="4043">
        <f>'3. Показатели за качество'!F36</f>
        <v>1</v>
      </c>
      <c r="AD31" s="4043">
        <f>'3. Показатели за качество'!G36</f>
        <v>1</v>
      </c>
      <c r="AE31" s="4043">
        <f>'3. Показатели за качество'!H36</f>
        <v>1</v>
      </c>
      <c r="AF31" s="4043">
        <f>'3. Показатели за качество'!I36</f>
        <v>1</v>
      </c>
      <c r="AG31" s="4043">
        <f>'3. Показатели за качество'!J36</f>
        <v>1</v>
      </c>
      <c r="AH31" s="4044">
        <f>'3. Показатели за качество'!M36</f>
        <v>1</v>
      </c>
      <c r="AI31" s="4045">
        <v>1</v>
      </c>
      <c r="AJ31" s="3685"/>
    </row>
    <row r="32" spans="1:36" ht="15.95" customHeight="1">
      <c r="A32" s="4019" t="s">
        <v>576</v>
      </c>
      <c r="B32" s="4020" t="s">
        <v>1610</v>
      </c>
      <c r="C32" s="4021">
        <f>'4. Отчет и прогн. потребление'!D9</f>
        <v>26840866.98</v>
      </c>
      <c r="D32" s="4021">
        <f>'4. Отчет и прогн. потребление'!E9</f>
        <v>22574258.29352463</v>
      </c>
      <c r="E32" s="4021">
        <f>'4. Отчет и прогн. потребление'!F9</f>
        <v>16090453.515435454</v>
      </c>
      <c r="F32" s="4021">
        <f>'4. Отчет и прогн. потребление'!G9</f>
        <v>13347149.172197709</v>
      </c>
      <c r="G32" s="4021">
        <f>'4. Отчет и прогн. потребление'!H9</f>
        <v>11713844.828960024</v>
      </c>
      <c r="H32" s="4021">
        <f>'4. Отчет и прогн. потребление'!I9</f>
        <v>10606612.383868609</v>
      </c>
      <c r="I32" s="3685"/>
      <c r="J32" s="3685"/>
      <c r="K32" s="3685"/>
      <c r="L32" s="3685"/>
      <c r="M32" s="3685"/>
      <c r="N32" s="3685"/>
      <c r="O32" s="3685"/>
      <c r="P32" s="3685"/>
      <c r="Q32" s="3685"/>
      <c r="R32" s="3685"/>
      <c r="S32" s="3685"/>
      <c r="T32" s="3685"/>
      <c r="U32" s="3685"/>
      <c r="V32" s="3685"/>
      <c r="W32" s="3685"/>
      <c r="X32" s="3685"/>
      <c r="Y32" s="4040" t="s">
        <v>142</v>
      </c>
      <c r="Z32" s="4041" t="s">
        <v>779</v>
      </c>
      <c r="AA32" s="4042" t="s">
        <v>755</v>
      </c>
      <c r="AB32" s="4061">
        <f>'3. Показатели за качество'!E37</f>
        <v>4.45</v>
      </c>
      <c r="AC32" s="4061">
        <f>'3. Показатели за качество'!F37</f>
        <v>4.4000000000000004</v>
      </c>
      <c r="AD32" s="4061">
        <f>'3. Показатели за качество'!G37</f>
        <v>4.4000000000000004</v>
      </c>
      <c r="AE32" s="4061">
        <f>'3. Показатели за качество'!H37</f>
        <v>4.4000000000000004</v>
      </c>
      <c r="AF32" s="4061">
        <f>'3. Показатели за качество'!I37</f>
        <v>4.4000000000000004</v>
      </c>
      <c r="AG32" s="4061">
        <f>'3. Показатели за качество'!J37</f>
        <v>3.83</v>
      </c>
      <c r="AH32" s="4062">
        <f>'3. Показатели за качество'!M37</f>
        <v>3.99</v>
      </c>
      <c r="AI32" s="4060">
        <v>4</v>
      </c>
      <c r="AJ32" s="3685"/>
    </row>
    <row r="33" spans="1:36" ht="15.95" customHeight="1">
      <c r="A33" s="5649" t="s">
        <v>577</v>
      </c>
      <c r="B33" s="4020" t="s">
        <v>1610</v>
      </c>
      <c r="C33" s="4022">
        <f>'4. Отчет и прогн. потребление'!D18</f>
        <v>6381134.7682503499</v>
      </c>
      <c r="D33" s="4022">
        <f>'4. Отчет и прогн. потребление'!E18</f>
        <v>6269902.415472405</v>
      </c>
      <c r="E33" s="4022">
        <f>'4. Отчет и прогн. потребление'!F18</f>
        <v>5977935.7868444212</v>
      </c>
      <c r="F33" s="4022">
        <f>'4. Отчет и прогн. потребление'!G18</f>
        <v>5862737.7760031158</v>
      </c>
      <c r="G33" s="4022">
        <f>'4. Отчет и прогн. потребление'!H18</f>
        <v>5754241.1651618108</v>
      </c>
      <c r="H33" s="4022">
        <f>'4. Отчет и прогн. потребление'!I18</f>
        <v>5664510.6211072607</v>
      </c>
      <c r="I33" s="3685"/>
      <c r="J33" s="3685"/>
      <c r="K33" s="3685"/>
      <c r="L33" s="3685"/>
      <c r="M33" s="3685"/>
      <c r="N33" s="3685"/>
      <c r="O33" s="3685"/>
      <c r="P33" s="3685"/>
      <c r="Q33" s="3685"/>
      <c r="R33" s="3685"/>
      <c r="S33" s="3685"/>
      <c r="T33" s="3685"/>
      <c r="U33" s="3685"/>
      <c r="V33" s="3685"/>
      <c r="W33" s="3685"/>
      <c r="X33" s="3685"/>
      <c r="Y33" s="4040" t="s">
        <v>143</v>
      </c>
      <c r="Z33" s="4041" t="s">
        <v>780</v>
      </c>
      <c r="AA33" s="4042" t="s">
        <v>756</v>
      </c>
      <c r="AB33" s="4061">
        <f>'3. Показатели за качество'!E38</f>
        <v>3.32</v>
      </c>
      <c r="AC33" s="4061">
        <f>'3. Показатели за качество'!F38</f>
        <v>3.09</v>
      </c>
      <c r="AD33" s="4061">
        <f>'3. Показатели за качество'!G38</f>
        <v>2.89</v>
      </c>
      <c r="AE33" s="4061">
        <f>'3. Показатели за качество'!H38</f>
        <v>2.89</v>
      </c>
      <c r="AF33" s="4061">
        <f>'3. Показатели за качество'!I38</f>
        <v>2.89</v>
      </c>
      <c r="AG33" s="4061">
        <f>'3. Показатели за качество'!J38</f>
        <v>3.06</v>
      </c>
      <c r="AH33" s="4062">
        <f>'3. Показатели за качество'!M38</f>
        <v>2.95</v>
      </c>
      <c r="AI33" s="4060">
        <v>3</v>
      </c>
      <c r="AJ33" s="3685"/>
    </row>
    <row r="34" spans="1:36" ht="15.95" customHeight="1">
      <c r="A34" s="5649"/>
      <c r="B34" s="4020" t="s">
        <v>174</v>
      </c>
      <c r="C34" s="4023">
        <f>'4. Отчет и прогн. потребление'!D19</f>
        <v>0.23773951761711498</v>
      </c>
      <c r="D34" s="4023">
        <f>'4. Отчет и прогн. потребление'!E19</f>
        <v>0.27774566649974547</v>
      </c>
      <c r="E34" s="4023">
        <f>'4. Отчет и прогн. потребление'!F19</f>
        <v>0.37152065236134157</v>
      </c>
      <c r="F34" s="4023">
        <f>'4. Отчет и прогн. потребление'!G19</f>
        <v>0.43925018746439709</v>
      </c>
      <c r="G34" s="4023">
        <f>'4. Отчет и прогн. потребление'!H19</f>
        <v>0.49123419758264653</v>
      </c>
      <c r="H34" s="4023">
        <f>'4. Отчет и прогн. потребление'!I19</f>
        <v>0.53405464592279295</v>
      </c>
      <c r="I34" s="3685"/>
      <c r="J34" s="3685"/>
      <c r="K34" s="3685"/>
      <c r="L34" s="3685"/>
      <c r="M34" s="3685"/>
      <c r="N34" s="3685"/>
      <c r="O34" s="3685"/>
      <c r="P34" s="3685"/>
      <c r="Q34" s="3685"/>
      <c r="R34" s="3685"/>
      <c r="S34" s="3685"/>
      <c r="T34" s="3685"/>
      <c r="U34" s="3685"/>
      <c r="V34" s="3685"/>
      <c r="W34" s="3685"/>
      <c r="X34" s="3685"/>
      <c r="Y34" s="4079"/>
      <c r="Z34" s="4080"/>
      <c r="AA34" s="4081"/>
      <c r="AB34" s="4082"/>
      <c r="AC34" s="4082"/>
      <c r="AD34" s="4082"/>
      <c r="AE34" s="4082"/>
      <c r="AF34" s="4082"/>
      <c r="AG34" s="4082"/>
      <c r="AH34" s="4083"/>
      <c r="AI34" s="4084"/>
      <c r="AJ34" s="3685"/>
    </row>
    <row r="35" spans="1:36" ht="15.95" customHeight="1">
      <c r="A35" s="5638" t="s">
        <v>578</v>
      </c>
      <c r="B35" s="3925" t="s">
        <v>1610</v>
      </c>
      <c r="C35" s="3926">
        <f>'4. Отчет и прогн. потребление'!D20</f>
        <v>5203167</v>
      </c>
      <c r="D35" s="3926">
        <f>'4. Отчет и прогн. потребление'!E20</f>
        <v>5622674.666666667</v>
      </c>
      <c r="E35" s="3926">
        <f>'4. Отчет и прогн. потребление'!F20</f>
        <v>5599116.7078386834</v>
      </c>
      <c r="F35" s="3926">
        <f>'4. Отчет и прогн. потребление'!G20</f>
        <v>5536584.7838621326</v>
      </c>
      <c r="G35" s="3926">
        <f>'4. Отчет и прогн. потребление'!H20</f>
        <v>5480754.2598855821</v>
      </c>
      <c r="H35" s="3926">
        <f>'4. Отчет и прогн. потребление'!I20</f>
        <v>5443689.8026957856</v>
      </c>
      <c r="I35" s="3685"/>
      <c r="J35" s="3685"/>
      <c r="K35" s="3685"/>
      <c r="L35" s="3685"/>
      <c r="M35" s="3685"/>
      <c r="N35" s="3685"/>
      <c r="O35" s="3685"/>
      <c r="P35" s="3685"/>
      <c r="Q35" s="3685"/>
      <c r="R35" s="3685"/>
      <c r="S35" s="3685"/>
      <c r="T35" s="3685"/>
      <c r="U35" s="3685"/>
      <c r="V35" s="3685"/>
      <c r="W35" s="3685"/>
      <c r="X35" s="3685"/>
      <c r="Y35" s="5621" t="s">
        <v>1685</v>
      </c>
      <c r="Z35" s="5622"/>
      <c r="AA35" s="5622"/>
      <c r="AB35" s="5622"/>
      <c r="AC35" s="5622"/>
      <c r="AD35" s="5622"/>
      <c r="AE35" s="5622"/>
      <c r="AF35" s="5622"/>
      <c r="AG35" s="5622"/>
      <c r="AH35" s="5622"/>
      <c r="AI35" s="5623"/>
      <c r="AJ35" s="3685"/>
    </row>
    <row r="36" spans="1:36" ht="15.95" customHeight="1">
      <c r="A36" s="5639"/>
      <c r="B36" s="3925" t="s">
        <v>174</v>
      </c>
      <c r="C36" s="3927">
        <f>'4. Отчет и прогн. потребление'!D21</f>
        <v>0.19385241929320124</v>
      </c>
      <c r="D36" s="3927">
        <f>'4. Отчет и прогн. потребление'!E21</f>
        <v>0.24907461381708018</v>
      </c>
      <c r="E36" s="3927">
        <f>'4. Отчет и прогн. потребление'!F21</f>
        <v>0.34797755715632828</v>
      </c>
      <c r="F36" s="3927">
        <f>'4. Отчет и прогн. потребление'!G21</f>
        <v>0.41481403350124485</v>
      </c>
      <c r="G36" s="3927">
        <f>'4. Отчет и прогн. потребление'!H21</f>
        <v>0.4678868757366127</v>
      </c>
      <c r="H36" s="3927">
        <f>'4. Отчет и прогн. потребление'!I21</f>
        <v>0.5132354804418976</v>
      </c>
      <c r="I36" s="3685"/>
      <c r="J36" s="3685"/>
      <c r="K36" s="3685"/>
      <c r="L36" s="3685"/>
      <c r="M36" s="3685"/>
      <c r="N36" s="3685"/>
      <c r="O36" s="3685"/>
      <c r="P36" s="3685"/>
      <c r="Q36" s="3685"/>
      <c r="R36" s="3685"/>
      <c r="S36" s="3685"/>
      <c r="T36" s="3685"/>
      <c r="U36" s="3685"/>
      <c r="V36" s="3685"/>
      <c r="W36" s="3685"/>
      <c r="X36" s="3685"/>
      <c r="Y36" s="4085" t="s">
        <v>781</v>
      </c>
      <c r="Z36" s="4085" t="s">
        <v>1683</v>
      </c>
      <c r="AA36" s="4085" t="s">
        <v>754</v>
      </c>
      <c r="AB36" s="4085" t="s">
        <v>119</v>
      </c>
      <c r="AC36" s="4085" t="s">
        <v>1072</v>
      </c>
      <c r="AD36" s="4085" t="s">
        <v>1073</v>
      </c>
      <c r="AE36" s="4085" t="s">
        <v>1074</v>
      </c>
      <c r="AF36" s="4085" t="s">
        <v>1075</v>
      </c>
      <c r="AG36" s="4085" t="s">
        <v>1076</v>
      </c>
      <c r="AH36" s="4086" t="s">
        <v>1319</v>
      </c>
      <c r="AI36" s="4086" t="s">
        <v>788</v>
      </c>
      <c r="AJ36" s="3685"/>
    </row>
    <row r="37" spans="1:36" ht="15.95" customHeight="1">
      <c r="A37" s="5650" t="s">
        <v>694</v>
      </c>
      <c r="B37" s="3925" t="s">
        <v>1610</v>
      </c>
      <c r="C37" s="3929">
        <f>'4. Отчет и прогн. потребление'!D26</f>
        <v>1177967.7682503499</v>
      </c>
      <c r="D37" s="3929">
        <f>'4. Отчет и прогн. потребление'!E26</f>
        <v>647227.7488057384</v>
      </c>
      <c r="E37" s="3929">
        <f>'4. Отчет и прогн. потребление'!F26</f>
        <v>378819.07900573791</v>
      </c>
      <c r="F37" s="3929">
        <f>'4. Отчет и прогн. потребление'!G26</f>
        <v>326152.99214098352</v>
      </c>
      <c r="G37" s="3929">
        <f>'4. Отчет и прогн. потребление'!H26</f>
        <v>273486.90527622914</v>
      </c>
      <c r="H37" s="3929">
        <f>'4. Отчет и прогн. потребление'!I26</f>
        <v>220820.81841147479</v>
      </c>
      <c r="I37" s="3685"/>
      <c r="J37" s="3685"/>
      <c r="K37" s="3685"/>
      <c r="L37" s="3685"/>
      <c r="M37" s="3685"/>
      <c r="N37" s="3685"/>
      <c r="O37" s="3685"/>
      <c r="P37" s="3685"/>
      <c r="Q37" s="3685"/>
      <c r="R37" s="3685"/>
      <c r="S37" s="3685"/>
      <c r="T37" s="3685"/>
      <c r="U37" s="3685"/>
      <c r="V37" s="3685"/>
      <c r="W37" s="3685"/>
      <c r="X37" s="3685"/>
      <c r="Y37" s="4040" t="s">
        <v>752</v>
      </c>
      <c r="Z37" s="4041" t="s">
        <v>764</v>
      </c>
      <c r="AA37" s="4042" t="s">
        <v>1680</v>
      </c>
      <c r="AB37" s="4061">
        <f>'3. Показатели за качество'!E40</f>
        <v>0</v>
      </c>
      <c r="AC37" s="4061">
        <f>'3. Показатели за качество'!F40</f>
        <v>0</v>
      </c>
      <c r="AD37" s="4061">
        <f>'3. Показатели за качество'!G40</f>
        <v>0</v>
      </c>
      <c r="AE37" s="4061">
        <f>'3. Показатели за качество'!H40</f>
        <v>0</v>
      </c>
      <c r="AF37" s="4061">
        <f>'3. Показатели за качество'!I40</f>
        <v>0</v>
      </c>
      <c r="AG37" s="4061">
        <f>'3. Показатели за качество'!J40</f>
        <v>0</v>
      </c>
      <c r="AH37" s="4074"/>
      <c r="AI37" s="4074"/>
      <c r="AJ37" s="3685"/>
    </row>
    <row r="38" spans="1:36" ht="15.95" customHeight="1">
      <c r="A38" s="5650"/>
      <c r="B38" s="3925" t="s">
        <v>174</v>
      </c>
      <c r="C38" s="3933">
        <f>'4. Отчет и прогн. потребление'!D27</f>
        <v>4.3887098323913749E-2</v>
      </c>
      <c r="D38" s="3933">
        <f>'4. Отчет и прогн. потребление'!E27</f>
        <v>2.8671052682665284E-2</v>
      </c>
      <c r="E38" s="3933">
        <f>'4. Отчет и прогн. потребление'!F27</f>
        <v>2.3543095205013305E-2</v>
      </c>
      <c r="F38" s="3933">
        <f>'4. Отчет и прогн. потребление'!G27</f>
        <v>2.4436153963152265E-2</v>
      </c>
      <c r="G38" s="3933">
        <f>'4. Отчет и прогн. потребление'!H27</f>
        <v>2.3347321846033862E-2</v>
      </c>
      <c r="H38" s="3933">
        <f>'4. Отчет и прогн. потребление'!I27</f>
        <v>2.081916548089538E-2</v>
      </c>
      <c r="I38" s="3685"/>
      <c r="J38" s="3685"/>
      <c r="K38" s="3685"/>
      <c r="L38" s="3685"/>
      <c r="M38" s="3685"/>
      <c r="N38" s="3685"/>
      <c r="O38" s="3685"/>
      <c r="P38" s="3685"/>
      <c r="Q38" s="3685"/>
      <c r="R38" s="3685"/>
      <c r="S38" s="3685"/>
      <c r="T38" s="3685"/>
      <c r="U38" s="3685"/>
      <c r="V38" s="3685"/>
      <c r="W38" s="3685"/>
      <c r="X38" s="3685"/>
      <c r="Y38" s="4040" t="s">
        <v>753</v>
      </c>
      <c r="Z38" s="4041" t="s">
        <v>764</v>
      </c>
      <c r="AA38" s="4042" t="s">
        <v>174</v>
      </c>
      <c r="AB38" s="4087">
        <f>'3. Показатели за качество'!E41</f>
        <v>0</v>
      </c>
      <c r="AC38" s="4087">
        <f>'3. Показатели за качество'!F41</f>
        <v>0</v>
      </c>
      <c r="AD38" s="4087">
        <f>'3. Показатели за качество'!G41</f>
        <v>0</v>
      </c>
      <c r="AE38" s="4087">
        <f>'3. Показатели за качество'!H41</f>
        <v>0</v>
      </c>
      <c r="AF38" s="4087">
        <f>'3. Показатели за качество'!I41</f>
        <v>0</v>
      </c>
      <c r="AG38" s="4087">
        <f>'3. Показатели за качество'!J41</f>
        <v>0</v>
      </c>
      <c r="AH38" s="4074"/>
      <c r="AI38" s="4074"/>
      <c r="AJ38" s="3685"/>
    </row>
    <row r="39" spans="1:36" ht="15.95" customHeight="1">
      <c r="A39" s="5649" t="s">
        <v>695</v>
      </c>
      <c r="B39" s="4020" t="s">
        <v>1610</v>
      </c>
      <c r="C39" s="4022">
        <f>'4. Отчет и прогн. потребление'!D30</f>
        <v>20459732.211749654</v>
      </c>
      <c r="D39" s="4022">
        <f>'4. Отчет и прогн. потребление'!E30</f>
        <v>16304355.878052223</v>
      </c>
      <c r="E39" s="4022">
        <f>'4. Отчет и прогн. потребление'!F30</f>
        <v>10112517.72859103</v>
      </c>
      <c r="F39" s="4022">
        <f>'4. Отчет и прогн. потребление'!G30</f>
        <v>7484411.396194593</v>
      </c>
      <c r="G39" s="4022">
        <f>'4. Отчет и прогн. потребление'!H30</f>
        <v>5959603.6637982111</v>
      </c>
      <c r="H39" s="4022">
        <f>'4. Отчет и прогн. потребление'!I30</f>
        <v>4942101.7627613479</v>
      </c>
      <c r="I39" s="3685"/>
      <c r="J39" s="3685"/>
      <c r="K39" s="3685"/>
      <c r="L39" s="3685"/>
      <c r="M39" s="3685"/>
      <c r="N39" s="3685"/>
      <c r="O39" s="3685"/>
      <c r="P39" s="3685"/>
      <c r="Q39" s="3685"/>
      <c r="R39" s="3685"/>
      <c r="S39" s="3685"/>
      <c r="T39" s="3685"/>
      <c r="U39" s="3685"/>
      <c r="V39" s="3685"/>
      <c r="W39" s="3685"/>
      <c r="X39" s="3685"/>
      <c r="Y39" s="4040" t="s">
        <v>125</v>
      </c>
      <c r="Z39" s="4041" t="s">
        <v>765</v>
      </c>
      <c r="AA39" s="4042" t="s">
        <v>757</v>
      </c>
      <c r="AB39" s="4061">
        <f>'3. Показатели за качество'!E42</f>
        <v>0</v>
      </c>
      <c r="AC39" s="4061">
        <f>'3. Показатели за качество'!F42</f>
        <v>0</v>
      </c>
      <c r="AD39" s="4061">
        <f>'3. Показатели за качество'!G42</f>
        <v>0</v>
      </c>
      <c r="AE39" s="4061">
        <f>'3. Показатели за качество'!H42</f>
        <v>0</v>
      </c>
      <c r="AF39" s="4061">
        <f>'3. Показатели за качество'!I42</f>
        <v>0</v>
      </c>
      <c r="AG39" s="4061">
        <f>'3. Показатели за качество'!J42</f>
        <v>0</v>
      </c>
      <c r="AH39" s="4074"/>
      <c r="AI39" s="4074"/>
      <c r="AJ39" s="3685"/>
    </row>
    <row r="40" spans="1:36" ht="15.95" customHeight="1">
      <c r="A40" s="5649"/>
      <c r="B40" s="4020" t="s">
        <v>174</v>
      </c>
      <c r="C40" s="4024">
        <f>'4. Отчет и прогн. потребление'!D31</f>
        <v>0.76226048238288513</v>
      </c>
      <c r="D40" s="4024">
        <f>'4. Отчет и прогн. потребление'!E31</f>
        <v>0.72225433350025448</v>
      </c>
      <c r="E40" s="4024">
        <f>'4. Отчет и прогн. потребление'!F31</f>
        <v>0.62847934763865831</v>
      </c>
      <c r="F40" s="4024">
        <f>'4. Отчет и прогн. потребление'!G31</f>
        <v>0.56074981253560297</v>
      </c>
      <c r="G40" s="4024">
        <f>'4. Отчет и прогн. потребление'!H31</f>
        <v>0.50876580241735325</v>
      </c>
      <c r="H40" s="4024">
        <f>'4. Отчет и прогн. потребление'!I31</f>
        <v>0.46594535407720705</v>
      </c>
      <c r="I40" s="3685"/>
      <c r="J40" s="3685"/>
      <c r="K40" s="3685"/>
      <c r="L40" s="3685"/>
      <c r="M40" s="3685"/>
      <c r="N40" s="3685"/>
      <c r="O40" s="3685"/>
      <c r="P40" s="3685"/>
      <c r="Q40" s="3685"/>
      <c r="R40" s="3685"/>
      <c r="S40" s="3685"/>
      <c r="T40" s="3685"/>
      <c r="U40" s="3685"/>
      <c r="V40" s="3685"/>
      <c r="W40" s="3685"/>
      <c r="X40" s="3685"/>
      <c r="Y40" s="4040" t="s">
        <v>134</v>
      </c>
      <c r="Z40" s="4041" t="s">
        <v>774</v>
      </c>
      <c r="AA40" s="4042" t="s">
        <v>174</v>
      </c>
      <c r="AB40" s="4087">
        <f>'3. Показатели за качество'!E43</f>
        <v>0</v>
      </c>
      <c r="AC40" s="4087">
        <f>'3. Показатели за качество'!F43</f>
        <v>0</v>
      </c>
      <c r="AD40" s="4087">
        <f>'3. Показатели за качество'!G43</f>
        <v>0</v>
      </c>
      <c r="AE40" s="4087">
        <f>'3. Показатели за качество'!H43</f>
        <v>0</v>
      </c>
      <c r="AF40" s="4087">
        <f>'3. Показатели за качество'!I43</f>
        <v>0</v>
      </c>
      <c r="AG40" s="4087">
        <f>'3. Показатели за качество'!J43</f>
        <v>0</v>
      </c>
      <c r="AH40" s="4074"/>
      <c r="AI40" s="4074"/>
      <c r="AJ40" s="3685"/>
    </row>
    <row r="41" spans="1:36" ht="15.95" customHeight="1">
      <c r="A41" s="5649"/>
      <c r="B41" s="4020" t="s">
        <v>1611</v>
      </c>
      <c r="C41" s="4025">
        <f>'4. Отчет и прогн. потребление'!D32</f>
        <v>37.830374850669351</v>
      </c>
      <c r="D41" s="4025">
        <f>'4. Отчет и прогн. потребление'!E32</f>
        <v>30.115716761276129</v>
      </c>
      <c r="E41" s="4025">
        <f>'4. Отчет и прогн. потребление'!F32</f>
        <v>18.659421716133725</v>
      </c>
      <c r="F41" s="4025">
        <f>'4. Отчет и прогн. потребление'!G32</f>
        <v>13.810090848472621</v>
      </c>
      <c r="G41" s="4025">
        <f>'4. Отчет и прогн. потребление'!H32</f>
        <v>10.996545173851601</v>
      </c>
      <c r="H41" s="4025">
        <f>'4. Отчет и прогн. потребление'!I32</f>
        <v>9.1190703868620417</v>
      </c>
      <c r="I41" s="3685"/>
      <c r="J41" s="3685"/>
      <c r="K41" s="3685"/>
      <c r="L41" s="3685"/>
      <c r="M41" s="3685"/>
      <c r="N41" s="3685"/>
      <c r="O41" s="3685"/>
      <c r="P41" s="3685"/>
      <c r="Q41" s="3685"/>
      <c r="R41" s="3685"/>
      <c r="S41" s="3685"/>
      <c r="T41" s="3685"/>
      <c r="U41" s="3685"/>
      <c r="V41" s="3685"/>
      <c r="W41" s="3685"/>
      <c r="X41" s="3685"/>
      <c r="Y41" s="4040" t="s">
        <v>135</v>
      </c>
      <c r="Z41" s="4041" t="s">
        <v>50</v>
      </c>
      <c r="AA41" s="4042" t="s">
        <v>1041</v>
      </c>
      <c r="AB41" s="4061">
        <f>'3. Показатели за качество'!E44</f>
        <v>1.0900000000000001</v>
      </c>
      <c r="AC41" s="4061">
        <f>'3. Показатели за качество'!F44</f>
        <v>1.02</v>
      </c>
      <c r="AD41" s="4061">
        <f>'3. Показатели за качество'!G44</f>
        <v>1.02</v>
      </c>
      <c r="AE41" s="4061">
        <f>'3. Показатели за качество'!H44</f>
        <v>1.02</v>
      </c>
      <c r="AF41" s="4061">
        <f>'3. Показатели за качество'!I44</f>
        <v>1.02</v>
      </c>
      <c r="AG41" s="4061">
        <f>'3. Показатели за качество'!J44</f>
        <v>1.02</v>
      </c>
      <c r="AH41" s="4074"/>
      <c r="AI41" s="4074"/>
      <c r="AJ41" s="3685"/>
    </row>
    <row r="42" spans="1:36" ht="15.95" customHeight="1">
      <c r="A42" s="5645" t="s">
        <v>586</v>
      </c>
      <c r="B42" s="3925" t="s">
        <v>1610</v>
      </c>
      <c r="C42" s="3931">
        <f>'4. Отчет и прогн. потребление'!D33</f>
        <v>882117</v>
      </c>
      <c r="D42" s="3931">
        <f>'4. Отчет и прогн. потребление'!E33</f>
        <v>323613.87440286926</v>
      </c>
      <c r="E42" s="3931">
        <f>'4. Отчет и прогн. потребление'!F33</f>
        <v>284114.30925430346</v>
      </c>
      <c r="F42" s="3931">
        <f>'4. Отчет и прогн. потребление'!G33</f>
        <v>244614.74410573766</v>
      </c>
      <c r="G42" s="3931">
        <f>'4. Отчет и прогн. потребление'!H33</f>
        <v>205115.17895717185</v>
      </c>
      <c r="H42" s="3931">
        <f>'4. Отчет и прогн. потребление'!I33</f>
        <v>154615.61380860608</v>
      </c>
      <c r="I42" s="3685"/>
      <c r="J42" s="3685"/>
      <c r="K42" s="3685"/>
      <c r="L42" s="3685"/>
      <c r="M42" s="3685"/>
      <c r="N42" s="3685"/>
      <c r="O42" s="3685"/>
      <c r="P42" s="3685"/>
      <c r="Q42" s="3685"/>
      <c r="R42" s="3685"/>
      <c r="S42" s="3685"/>
      <c r="T42" s="3685"/>
      <c r="U42" s="3685"/>
      <c r="V42" s="3685"/>
      <c r="W42" s="3685"/>
      <c r="X42" s="3685"/>
      <c r="Y42" s="3685"/>
      <c r="Z42" s="3685"/>
      <c r="AA42" s="3685"/>
      <c r="AB42" s="3685"/>
      <c r="AC42" s="3685"/>
      <c r="AD42" s="3685"/>
      <c r="AE42" s="3685"/>
      <c r="AF42" s="3685"/>
      <c r="AG42" s="3685"/>
      <c r="AH42" s="3685"/>
      <c r="AI42" s="3685"/>
      <c r="AJ42" s="3685"/>
    </row>
    <row r="43" spans="1:36" ht="15.95" customHeight="1">
      <c r="A43" s="5645"/>
      <c r="B43" s="3925" t="s">
        <v>174</v>
      </c>
      <c r="C43" s="3931">
        <f>'4. Отчет и прогн. потребление'!D34</f>
        <v>3.286469847107748E-2</v>
      </c>
      <c r="D43" s="3931">
        <f>'4. Отчет и прогн. потребление'!E34</f>
        <v>1.4335526341332646E-2</v>
      </c>
      <c r="E43" s="3931">
        <f>'4. Отчет и прогн. потребление'!F34</f>
        <v>1.765732140375998E-2</v>
      </c>
      <c r="F43" s="3931">
        <f>'4. Отчет и прогн. потребление'!G34</f>
        <v>1.8327115472364201E-2</v>
      </c>
      <c r="G43" s="3931">
        <f>'4. Отчет и прогн. потребление'!H34</f>
        <v>1.7510491384525397E-2</v>
      </c>
      <c r="H43" s="3931">
        <f>'4. Отчет и прогн. потребление'!I34</f>
        <v>1.4577285207834877E-2</v>
      </c>
      <c r="I43" s="3685"/>
      <c r="J43" s="3685"/>
      <c r="K43" s="3685"/>
      <c r="L43" s="3685"/>
      <c r="M43" s="3685"/>
      <c r="N43" s="3685"/>
      <c r="O43" s="3685"/>
      <c r="P43" s="3685"/>
      <c r="Q43" s="3685"/>
      <c r="R43" s="3685"/>
      <c r="S43" s="3685"/>
      <c r="T43" s="3685"/>
      <c r="U43" s="3685"/>
      <c r="V43" s="3685"/>
      <c r="W43" s="3685"/>
      <c r="X43" s="3685"/>
      <c r="Y43" s="3685"/>
      <c r="Z43" s="3685"/>
      <c r="AA43" s="3685"/>
      <c r="AB43" s="3685"/>
      <c r="AC43" s="3685"/>
      <c r="AD43" s="3685"/>
      <c r="AE43" s="3685"/>
      <c r="AF43" s="3685"/>
      <c r="AG43" s="3685"/>
      <c r="AH43" s="3685"/>
      <c r="AI43" s="3685"/>
      <c r="AJ43" s="3685"/>
    </row>
    <row r="44" spans="1:36" ht="15.95" customHeight="1">
      <c r="A44" s="5643" t="s">
        <v>591</v>
      </c>
      <c r="B44" s="3925" t="s">
        <v>1610</v>
      </c>
      <c r="C44" s="3931">
        <f>'4. Отчет и прогн. потребление'!D37</f>
        <v>19577615.211749654</v>
      </c>
      <c r="D44" s="3931">
        <f>'4. Отчет и прогн. потребление'!E37</f>
        <v>15980742.003649354</v>
      </c>
      <c r="E44" s="3931">
        <f>'4. Отчет и прогн. потребление'!F37</f>
        <v>9828403.4193367269</v>
      </c>
      <c r="F44" s="3931">
        <f>'4. Отчет и прогн. потребление'!G37</f>
        <v>7239796.6520888554</v>
      </c>
      <c r="G44" s="3931">
        <f>'4. Отчет и прогн. потребление'!H37</f>
        <v>5754488.4848410394</v>
      </c>
      <c r="H44" s="3931">
        <f>'4. Отчет и прогн. потребление'!I37</f>
        <v>4787486.1489527421</v>
      </c>
      <c r="I44" s="3685"/>
      <c r="J44" s="3685"/>
      <c r="K44" s="3685"/>
      <c r="L44" s="3685"/>
      <c r="M44" s="3685"/>
      <c r="N44" s="3685"/>
      <c r="O44" s="3685"/>
      <c r="P44" s="3685"/>
      <c r="Q44" s="3685"/>
      <c r="R44" s="3685"/>
      <c r="S44" s="3685"/>
      <c r="T44" s="3685"/>
      <c r="U44" s="3685"/>
      <c r="V44" s="3685"/>
      <c r="W44" s="3685"/>
      <c r="X44" s="3685"/>
      <c r="Y44" s="3685"/>
      <c r="Z44" s="3685"/>
      <c r="AA44" s="3685"/>
      <c r="AB44" s="3685"/>
      <c r="AC44" s="3685"/>
      <c r="AD44" s="3685"/>
      <c r="AE44" s="3685"/>
      <c r="AF44" s="3685"/>
      <c r="AG44" s="3685"/>
      <c r="AH44" s="3685"/>
      <c r="AI44" s="3685"/>
      <c r="AJ44" s="3685"/>
    </row>
    <row r="45" spans="1:36" ht="15.95" customHeight="1">
      <c r="A45" s="5643"/>
      <c r="B45" s="3925" t="s">
        <v>174</v>
      </c>
      <c r="C45" s="3932">
        <f>'4. Отчет и прогн. потребление'!D38</f>
        <v>0.7293957839118077</v>
      </c>
      <c r="D45" s="3932">
        <f>'4. Отчет и прогн. потребление'!E38</f>
        <v>0.70791880715892175</v>
      </c>
      <c r="E45" s="3932">
        <f>'4. Отчет и прогн. потребление'!F38</f>
        <v>0.61082202623489834</v>
      </c>
      <c r="F45" s="3932">
        <f>'4. Отчет и прогн. потребление'!G38</f>
        <v>0.54242269706323876</v>
      </c>
      <c r="G45" s="3932">
        <f>'4. Отчет и прогн. потребление'!H38</f>
        <v>0.49125531103282793</v>
      </c>
      <c r="H45" s="3932">
        <f>'4. Отчет и прогн. потребление'!I38</f>
        <v>0.4513680688693722</v>
      </c>
      <c r="I45" s="3685"/>
      <c r="J45" s="3685"/>
      <c r="K45" s="3685"/>
      <c r="L45" s="3685"/>
      <c r="M45" s="3685"/>
      <c r="N45" s="3685"/>
      <c r="O45" s="3685"/>
      <c r="P45" s="3685"/>
      <c r="Q45" s="3685"/>
      <c r="R45" s="3685"/>
      <c r="S45" s="3685"/>
      <c r="T45" s="3685"/>
      <c r="U45" s="3685"/>
      <c r="V45" s="3685"/>
      <c r="W45" s="3685"/>
      <c r="X45" s="3685"/>
      <c r="Y45" s="3685"/>
      <c r="Z45" s="3685"/>
      <c r="AA45" s="3685"/>
      <c r="AB45" s="3685"/>
      <c r="AC45" s="3685"/>
      <c r="AD45" s="3685"/>
      <c r="AE45" s="3685"/>
      <c r="AF45" s="3685"/>
      <c r="AG45" s="3685"/>
      <c r="AH45" s="3685"/>
      <c r="AI45" s="3685"/>
      <c r="AJ45" s="3685"/>
    </row>
    <row r="46" spans="1:36" ht="15.95" customHeight="1">
      <c r="A46" s="5640" t="s">
        <v>600</v>
      </c>
      <c r="B46" s="4020" t="s">
        <v>1610</v>
      </c>
      <c r="C46" s="4021">
        <f>'4. Отчет и прогн. потребление'!D43</f>
        <v>21637699.980000004</v>
      </c>
      <c r="D46" s="4021">
        <f>'4. Отчет и прогн. потребление'!E43</f>
        <v>16951583.626857962</v>
      </c>
      <c r="E46" s="4021">
        <f>'4. Отчет и прогн. потребление'!F43</f>
        <v>10491336.807596769</v>
      </c>
      <c r="F46" s="4021">
        <f>'4. Отчет и прогн. потребление'!G43</f>
        <v>7810564.3883355763</v>
      </c>
      <c r="G46" s="4021">
        <f>'4. Отчет и прогн. потребление'!H43</f>
        <v>6233090.5690744407</v>
      </c>
      <c r="H46" s="4021">
        <f>'4. Отчет и прогн. потребление'!I43</f>
        <v>5162922.581172823</v>
      </c>
      <c r="I46" s="3685"/>
      <c r="J46" s="3685"/>
      <c r="K46" s="3685"/>
      <c r="L46" s="3685"/>
      <c r="M46" s="3685"/>
      <c r="N46" s="3685"/>
      <c r="O46" s="3685"/>
      <c r="P46" s="3685"/>
      <c r="Q46" s="3685"/>
      <c r="R46" s="3685"/>
      <c r="S46" s="3685"/>
      <c r="T46" s="3685"/>
      <c r="U46" s="3685"/>
      <c r="V46" s="3685"/>
      <c r="W46" s="3685"/>
      <c r="X46" s="3685"/>
      <c r="Y46" s="3685"/>
      <c r="Z46" s="3685"/>
      <c r="AA46" s="3685"/>
      <c r="AB46" s="3685"/>
      <c r="AC46" s="3685"/>
      <c r="AD46" s="3685"/>
      <c r="AE46" s="3685"/>
      <c r="AF46" s="3685"/>
      <c r="AG46" s="3685"/>
      <c r="AH46" s="3685"/>
      <c r="AI46" s="3685"/>
      <c r="AJ46" s="3685"/>
    </row>
    <row r="47" spans="1:36" ht="15.95" customHeight="1">
      <c r="A47" s="5641"/>
      <c r="B47" s="4020" t="s">
        <v>174</v>
      </c>
      <c r="C47" s="4026">
        <f>'4. Отчет и прогн. потребление'!D44</f>
        <v>0.80614758070679893</v>
      </c>
      <c r="D47" s="4026">
        <f>'4. Отчет и прогн. потребление'!E44</f>
        <v>0.75092538618291982</v>
      </c>
      <c r="E47" s="4026">
        <f>'4. Отчет и прогн. потребление'!F44</f>
        <v>0.65202244284367172</v>
      </c>
      <c r="F47" s="4026">
        <f>'4. Отчет и прогн. потребление'!G44</f>
        <v>0.58518596649875521</v>
      </c>
      <c r="G47" s="4026">
        <f>'4. Отчет и прогн. потребление'!H44</f>
        <v>0.53211312426338719</v>
      </c>
      <c r="H47" s="4026">
        <f>'4. Отчет и прогн. потребление'!I44</f>
        <v>0.48676451955810246</v>
      </c>
      <c r="I47" s="3685"/>
      <c r="J47" s="3685"/>
      <c r="K47" s="3685"/>
      <c r="L47" s="3685"/>
      <c r="M47" s="3685"/>
      <c r="N47" s="3685"/>
      <c r="O47" s="3685"/>
      <c r="P47" s="3685"/>
      <c r="Q47" s="3685"/>
      <c r="R47" s="3685"/>
      <c r="S47" s="3685"/>
      <c r="T47" s="3685"/>
      <c r="U47" s="3685"/>
      <c r="V47" s="3685"/>
      <c r="W47" s="3685"/>
      <c r="X47" s="3685"/>
      <c r="Y47" s="3685"/>
      <c r="Z47" s="3685"/>
      <c r="AA47" s="3685"/>
      <c r="AB47" s="3685"/>
      <c r="AC47" s="3685"/>
      <c r="AD47" s="3685"/>
      <c r="AE47" s="3685"/>
      <c r="AF47" s="3685"/>
      <c r="AG47" s="3685"/>
      <c r="AH47" s="3685"/>
      <c r="AI47" s="3685"/>
      <c r="AJ47" s="3685"/>
    </row>
    <row r="48" spans="1:36" ht="15.95" customHeight="1">
      <c r="A48" s="5642"/>
      <c r="B48" s="4020" t="s">
        <v>1611</v>
      </c>
      <c r="C48" s="4027">
        <f>'4. Отчет и прогн. потребление'!D45</f>
        <v>40.008456253383187</v>
      </c>
      <c r="D48" s="4027">
        <f>'4. Отчет и прогн. потребление'!E45</f>
        <v>31.311208794746175</v>
      </c>
      <c r="E48" s="4027">
        <f>'4. Отчет и прогн. потребление'!F45</f>
        <v>19.358411338599417</v>
      </c>
      <c r="F48" s="4027">
        <f>'4. Отчет и прогн. потребление'!G45</f>
        <v>14.411902028207916</v>
      </c>
      <c r="G48" s="4027">
        <f>'4. Отчет и прогн. потребление'!H45</f>
        <v>11.501177910856503</v>
      </c>
      <c r="H48" s="4027">
        <f>'4. Отчет и прогн. потребление'!I45</f>
        <v>9.5265246811365483</v>
      </c>
      <c r="I48" s="3685"/>
      <c r="J48" s="3685"/>
      <c r="K48" s="3685"/>
      <c r="L48" s="3685"/>
      <c r="M48" s="3685"/>
      <c r="N48" s="3685"/>
      <c r="O48" s="3685"/>
      <c r="P48" s="3685"/>
      <c r="Q48" s="3685"/>
      <c r="R48" s="3685"/>
      <c r="S48" s="3685"/>
      <c r="T48" s="3685"/>
      <c r="U48" s="3685"/>
      <c r="V48" s="3685"/>
      <c r="W48" s="3685"/>
      <c r="X48" s="3685"/>
      <c r="Y48" s="3685"/>
      <c r="Z48" s="3685"/>
      <c r="AA48" s="3685"/>
      <c r="AB48" s="3685"/>
      <c r="AC48" s="3685"/>
      <c r="AD48" s="3685"/>
      <c r="AE48" s="3685"/>
      <c r="AF48" s="3685"/>
      <c r="AG48" s="3685"/>
      <c r="AH48" s="3685"/>
      <c r="AI48" s="3685"/>
      <c r="AJ48" s="3685"/>
    </row>
    <row r="49" spans="1:36" ht="15.95" customHeight="1">
      <c r="A49" s="5635" t="s">
        <v>178</v>
      </c>
      <c r="B49" s="5636"/>
      <c r="C49" s="5636"/>
      <c r="D49" s="5636"/>
      <c r="E49" s="5636"/>
      <c r="F49" s="5636"/>
      <c r="G49" s="5636"/>
      <c r="H49" s="5637"/>
      <c r="I49" s="3685"/>
      <c r="J49" s="3685"/>
      <c r="K49" s="3685"/>
      <c r="L49" s="3685"/>
      <c r="M49" s="3685"/>
      <c r="N49" s="3685"/>
      <c r="O49" s="3685"/>
      <c r="P49" s="3685"/>
      <c r="Q49" s="3685"/>
      <c r="R49" s="3685"/>
      <c r="S49" s="3685"/>
      <c r="T49" s="3685"/>
      <c r="U49" s="3685"/>
      <c r="V49" s="3685"/>
      <c r="W49" s="3685"/>
      <c r="X49" s="3685"/>
      <c r="Y49" s="3685"/>
      <c r="Z49" s="3685"/>
      <c r="AA49" s="3685"/>
      <c r="AB49" s="3685"/>
      <c r="AC49" s="3685"/>
      <c r="AD49" s="3685"/>
      <c r="AE49" s="3685"/>
      <c r="AF49" s="3685"/>
      <c r="AG49" s="3685"/>
      <c r="AH49" s="3685"/>
      <c r="AI49" s="3685"/>
      <c r="AJ49" s="3685"/>
    </row>
    <row r="50" spans="1:36" ht="15.95" customHeight="1">
      <c r="A50" s="5644" t="s">
        <v>179</v>
      </c>
      <c r="B50" s="4020" t="s">
        <v>1610</v>
      </c>
      <c r="C50" s="4029">
        <f>'4. Отчет и прогн. потребление'!D48</f>
        <v>3525852</v>
      </c>
      <c r="D50" s="4029">
        <f>'4. Отчет и прогн. потребление'!E48</f>
        <v>3883130.9666666663</v>
      </c>
      <c r="E50" s="4029">
        <f>'4. Отчет и прогн. потребление'!F48</f>
        <v>3871190.3909444464</v>
      </c>
      <c r="F50" s="4029">
        <f>'4. Отчет и прогн. потребление'!G48</f>
        <v>4082709.0899444488</v>
      </c>
      <c r="G50" s="4029">
        <f>'4. Отчет и прогн. потребление'!H48</f>
        <v>4046078.8889444517</v>
      </c>
      <c r="H50" s="4029">
        <f>'4. Отчет и прогн. потребление'!I48</f>
        <v>4016279.4053974506</v>
      </c>
      <c r="I50" s="3685"/>
      <c r="J50" s="3685"/>
      <c r="K50" s="3685"/>
      <c r="L50" s="3685"/>
      <c r="M50" s="3685"/>
      <c r="N50" s="3685"/>
      <c r="O50" s="3685"/>
      <c r="P50" s="3685"/>
      <c r="Q50" s="3685"/>
      <c r="R50" s="3685"/>
      <c r="S50" s="3685"/>
      <c r="T50" s="3685"/>
      <c r="U50" s="3685"/>
      <c r="V50" s="3685"/>
      <c r="W50" s="3685"/>
      <c r="X50" s="3685"/>
      <c r="Y50" s="3685"/>
      <c r="Z50" s="3685"/>
      <c r="AA50" s="3685"/>
      <c r="AB50" s="3685"/>
      <c r="AC50" s="3685"/>
      <c r="AD50" s="3685"/>
      <c r="AE50" s="3685"/>
      <c r="AF50" s="3685"/>
      <c r="AG50" s="3685"/>
      <c r="AH50" s="3685"/>
      <c r="AI50" s="3685"/>
      <c r="AJ50" s="3685"/>
    </row>
    <row r="51" spans="1:36" ht="15.95" customHeight="1">
      <c r="A51" s="5644"/>
      <c r="B51" s="4020" t="s">
        <v>174</v>
      </c>
      <c r="C51" s="4030">
        <f>'4. Отчет и прогн. потребление'!D49</f>
        <v>0.67763575530056985</v>
      </c>
      <c r="D51" s="4030">
        <f>'4. Отчет и прогн. потребление'!E49</f>
        <v>0.69061989122140199</v>
      </c>
      <c r="E51" s="4030">
        <f>'4. Отчет и прогн. потребление'!F49</f>
        <v>0.69139305232284853</v>
      </c>
      <c r="F51" s="4030">
        <f>'4. Отчет и прогн. потребление'!G49</f>
        <v>0.73740568406802043</v>
      </c>
      <c r="G51" s="4030">
        <f>'4. Отчет и прогн. потребление'!H49</f>
        <v>0.73823395413990311</v>
      </c>
      <c r="H51" s="4030">
        <f>'4. Отчет и прогн. потребление'!I49</f>
        <v>0.73778623524957965</v>
      </c>
      <c r="I51" s="3685"/>
      <c r="J51" s="3685"/>
      <c r="K51" s="3685"/>
      <c r="L51" s="3685"/>
      <c r="M51" s="3685"/>
      <c r="N51" s="3685"/>
      <c r="O51" s="3685"/>
      <c r="P51" s="3685"/>
      <c r="Q51" s="3685"/>
      <c r="R51" s="3685"/>
      <c r="S51" s="3685"/>
      <c r="T51" s="3685"/>
      <c r="U51" s="3685"/>
      <c r="V51" s="3685"/>
      <c r="W51" s="3685"/>
      <c r="X51" s="3685"/>
      <c r="Y51" s="3685"/>
      <c r="Z51" s="3685"/>
      <c r="AA51" s="3685"/>
      <c r="AB51" s="3685"/>
      <c r="AC51" s="3685"/>
      <c r="AD51" s="3685"/>
      <c r="AE51" s="3685"/>
      <c r="AF51" s="3685"/>
      <c r="AG51" s="3685"/>
      <c r="AH51" s="3685"/>
      <c r="AI51" s="3685"/>
      <c r="AJ51" s="3685"/>
    </row>
    <row r="52" spans="1:36" ht="15.95" customHeight="1">
      <c r="A52" s="3928" t="s">
        <v>181</v>
      </c>
      <c r="B52" s="3925" t="s">
        <v>1610</v>
      </c>
      <c r="C52" s="3929">
        <f>'4. Отчет и прогн. потребление'!D50</f>
        <v>3451357</v>
      </c>
      <c r="D52" s="3929">
        <f>'4. Отчет и прогн. потребление'!E50</f>
        <v>3795231.3</v>
      </c>
      <c r="E52" s="3929">
        <f>'4. Отчет и прогн. потребление'!F50</f>
        <v>3784307.4385466184</v>
      </c>
      <c r="F52" s="3929">
        <f>'4. Отчет и прогн. потребление'!G50</f>
        <v>3996842.8518154598</v>
      </c>
      <c r="G52" s="3929">
        <f>'4. Отчет и прогн. потребление'!H50</f>
        <v>3961229.3650843017</v>
      </c>
      <c r="H52" s="3929">
        <f>'4. Отчет и прогн. потребление'!I50</f>
        <v>3932434.7435100744</v>
      </c>
      <c r="I52" s="3685"/>
      <c r="J52" s="3685"/>
      <c r="K52" s="3685"/>
      <c r="L52" s="3685"/>
      <c r="M52" s="3685"/>
      <c r="N52" s="3685"/>
      <c r="O52" s="3685"/>
      <c r="P52" s="3685"/>
      <c r="Q52" s="3685"/>
      <c r="R52" s="3685"/>
      <c r="S52" s="3685"/>
      <c r="T52" s="3685"/>
      <c r="U52" s="3685"/>
      <c r="V52" s="3685"/>
      <c r="W52" s="3685"/>
      <c r="X52" s="3685"/>
      <c r="Y52" s="3685"/>
      <c r="Z52" s="3685"/>
      <c r="AA52" s="3685"/>
      <c r="AB52" s="3685"/>
      <c r="AC52" s="3685"/>
      <c r="AD52" s="3685"/>
      <c r="AE52" s="3685"/>
      <c r="AF52" s="3685"/>
      <c r="AG52" s="3685"/>
      <c r="AH52" s="3685"/>
      <c r="AI52" s="3685"/>
      <c r="AJ52" s="3685"/>
    </row>
    <row r="53" spans="1:36" ht="15.95" customHeight="1">
      <c r="A53" s="3928" t="s">
        <v>183</v>
      </c>
      <c r="B53" s="3925" t="s">
        <v>1610</v>
      </c>
      <c r="C53" s="3929">
        <f>'4. Отчет и прогн. потребление'!D51</f>
        <v>74495</v>
      </c>
      <c r="D53" s="3929">
        <f>'4. Отчет и прогн. потребление'!E51</f>
        <v>87899.666666666672</v>
      </c>
      <c r="E53" s="3929">
        <f>'4. Отчет и прогн. потребление'!F51</f>
        <v>86882.95239782783</v>
      </c>
      <c r="F53" s="3929">
        <f>'4. Отчет и прогн. потребление'!G51</f>
        <v>85866.238128989004</v>
      </c>
      <c r="G53" s="3929">
        <f>'4. Отчет и прогн. потребление'!H51</f>
        <v>84849.523860150162</v>
      </c>
      <c r="H53" s="3929">
        <f>'4. Отчет и прогн. потребление'!I51</f>
        <v>83844.661887376089</v>
      </c>
      <c r="I53" s="3685"/>
      <c r="J53" s="3685"/>
      <c r="K53" s="3685"/>
      <c r="L53" s="3685"/>
      <c r="M53" s="3685"/>
      <c r="N53" s="3685"/>
      <c r="O53" s="3685"/>
      <c r="P53" s="3685"/>
      <c r="Q53" s="3685"/>
      <c r="R53" s="3685"/>
      <c r="S53" s="3685"/>
      <c r="T53" s="3685"/>
      <c r="U53" s="3685"/>
      <c r="V53" s="3685"/>
      <c r="W53" s="3685"/>
      <c r="X53" s="3685"/>
      <c r="Y53" s="3685"/>
      <c r="Z53" s="3685"/>
      <c r="AA53" s="3685"/>
      <c r="AB53" s="3685"/>
      <c r="AC53" s="3685"/>
      <c r="AD53" s="3685"/>
      <c r="AE53" s="3685"/>
      <c r="AF53" s="3685"/>
      <c r="AG53" s="3685"/>
      <c r="AH53" s="3685"/>
      <c r="AI53" s="3685"/>
      <c r="AJ53" s="3685"/>
    </row>
    <row r="54" spans="1:36" ht="15.95" customHeight="1">
      <c r="A54" s="5635" t="s">
        <v>188</v>
      </c>
      <c r="B54" s="5636"/>
      <c r="C54" s="5636"/>
      <c r="D54" s="5636"/>
      <c r="E54" s="5636"/>
      <c r="F54" s="5636"/>
      <c r="G54" s="5636"/>
      <c r="H54" s="5637"/>
      <c r="I54" s="3685"/>
      <c r="J54" s="3685"/>
      <c r="K54" s="3685"/>
      <c r="L54" s="3685"/>
      <c r="M54" s="3685"/>
      <c r="N54" s="3685"/>
      <c r="O54" s="3685"/>
      <c r="P54" s="3685"/>
      <c r="Q54" s="3685"/>
      <c r="R54" s="3685"/>
      <c r="S54" s="3685"/>
      <c r="T54" s="3685"/>
      <c r="U54" s="3685"/>
      <c r="V54" s="3685"/>
      <c r="W54" s="3685"/>
      <c r="X54" s="3685"/>
      <c r="Y54" s="3685"/>
      <c r="Z54" s="3685"/>
      <c r="AA54" s="3685"/>
      <c r="AB54" s="3685"/>
      <c r="AC54" s="3685"/>
      <c r="AD54" s="3685"/>
      <c r="AE54" s="3685"/>
      <c r="AF54" s="3685"/>
      <c r="AG54" s="3685"/>
      <c r="AH54" s="3685"/>
      <c r="AI54" s="3685"/>
      <c r="AJ54" s="3685"/>
    </row>
    <row r="55" spans="1:36" ht="15.95" customHeight="1">
      <c r="A55" s="5644" t="s">
        <v>189</v>
      </c>
      <c r="B55" s="4020" t="s">
        <v>1610</v>
      </c>
      <c r="C55" s="4029">
        <f>'4. Отчет и прогн. потребление'!D53</f>
        <v>2746016</v>
      </c>
      <c r="D55" s="4029">
        <f>'4. Отчет и прогн. потребление'!E53</f>
        <v>3093106</v>
      </c>
      <c r="E55" s="4029">
        <f>'4. Отчет и прогн. потребление'!F53</f>
        <v>3090296.6133213681</v>
      </c>
      <c r="F55" s="4029">
        <f>'4. Отчет и прогн. потребление'!G53</f>
        <v>3855178.7126394287</v>
      </c>
      <c r="G55" s="4029">
        <f>'4. Отчет и прогн. потребление'!H53</f>
        <v>3818919.5006830194</v>
      </c>
      <c r="H55" s="4029">
        <f>'4. Отчет и прогн. потребление'!I53</f>
        <v>3783088.2184252776</v>
      </c>
      <c r="I55" s="3685"/>
      <c r="J55" s="3685"/>
      <c r="K55" s="3685"/>
      <c r="L55" s="3685"/>
      <c r="M55" s="3685"/>
      <c r="N55" s="3685"/>
      <c r="O55" s="3685"/>
      <c r="P55" s="3685"/>
      <c r="Q55" s="3685"/>
      <c r="R55" s="3685"/>
      <c r="S55" s="3685"/>
      <c r="T55" s="3685"/>
      <c r="U55" s="3685"/>
      <c r="V55" s="3685"/>
      <c r="W55" s="3685"/>
      <c r="X55" s="3685"/>
      <c r="Y55" s="3685"/>
      <c r="Z55" s="3685"/>
      <c r="AA55" s="3685"/>
      <c r="AB55" s="3685"/>
      <c r="AC55" s="3685"/>
      <c r="AD55" s="3685"/>
      <c r="AE55" s="3685"/>
      <c r="AF55" s="3685"/>
      <c r="AG55" s="3685"/>
      <c r="AH55" s="3685"/>
      <c r="AI55" s="3685"/>
      <c r="AJ55" s="3685"/>
    </row>
    <row r="56" spans="1:36" ht="15.95" customHeight="1">
      <c r="A56" s="5644"/>
      <c r="B56" s="4020" t="s">
        <v>174</v>
      </c>
      <c r="C56" s="4030">
        <f>'4. Отчет и прогн. потребление'!D54</f>
        <v>0.52775857472958299</v>
      </c>
      <c r="D56" s="4030">
        <f>'4. Отчет и прогн. потребление'!E54</f>
        <v>0.55011292371886589</v>
      </c>
      <c r="E56" s="4030">
        <f>'4. Отчет и прогн. потребление'!F54</f>
        <v>0.55192573660681099</v>
      </c>
      <c r="F56" s="4030">
        <f>'4. Отчет и прогн. потребление'!G54</f>
        <v>0.69630988472828692</v>
      </c>
      <c r="G56" s="4030">
        <f>'4. Отчет и прогн. потребление'!H54</f>
        <v>0.69678721570026103</v>
      </c>
      <c r="H56" s="4030">
        <f>'4. Отчет и прогн. потребление'!I54</f>
        <v>0.69494926337497098</v>
      </c>
      <c r="I56" s="3685"/>
      <c r="J56" s="3685"/>
      <c r="K56" s="3685"/>
      <c r="L56" s="3685"/>
      <c r="M56" s="3685"/>
      <c r="N56" s="3685"/>
      <c r="O56" s="3685"/>
      <c r="P56" s="3685"/>
      <c r="Q56" s="3685"/>
      <c r="R56" s="3685"/>
      <c r="S56" s="3685"/>
      <c r="T56" s="3685"/>
      <c r="U56" s="3685"/>
      <c r="V56" s="3685"/>
      <c r="W56" s="3685"/>
      <c r="X56" s="3685"/>
      <c r="Y56" s="3685"/>
      <c r="Z56" s="3685"/>
      <c r="AA56" s="3685"/>
      <c r="AB56" s="3685"/>
      <c r="AC56" s="3685"/>
      <c r="AD56" s="3685"/>
      <c r="AE56" s="3685"/>
      <c r="AF56" s="3685"/>
      <c r="AG56" s="3685"/>
      <c r="AH56" s="3685"/>
      <c r="AI56" s="3685"/>
      <c r="AJ56" s="3685"/>
    </row>
    <row r="57" spans="1:36" ht="15.95" customHeight="1">
      <c r="A57" s="3928" t="s">
        <v>181</v>
      </c>
      <c r="B57" s="3925" t="s">
        <v>1610</v>
      </c>
      <c r="C57" s="3926">
        <f>'4. Отчет и прогн. потребление'!D55</f>
        <v>2704248</v>
      </c>
      <c r="D57" s="3926">
        <f>'4. Отчет и прогн. потребление'!E55</f>
        <v>3046893</v>
      </c>
      <c r="E57" s="3926">
        <f>'4. Отчет и прогн. потребление'!F55</f>
        <v>3044618.1479594121</v>
      </c>
      <c r="F57" s="3926">
        <f>'4. Отчет и прогн. потребление'!G55</f>
        <v>3772534.7819155166</v>
      </c>
      <c r="G57" s="3926">
        <f>'4. Отчет и прогн. потребление'!H55</f>
        <v>3737292.1045971513</v>
      </c>
      <c r="H57" s="3926">
        <f>'4. Отчет и прогн. потребление'!I55</f>
        <v>3702465.4174026097</v>
      </c>
      <c r="I57" s="3685"/>
      <c r="J57" s="3685"/>
      <c r="K57" s="3685"/>
      <c r="L57" s="3685"/>
      <c r="M57" s="3685"/>
      <c r="N57" s="3685"/>
      <c r="O57" s="3685"/>
      <c r="P57" s="3685"/>
      <c r="Q57" s="3685"/>
      <c r="R57" s="3685"/>
      <c r="S57" s="3685"/>
      <c r="T57" s="3685"/>
      <c r="U57" s="3685"/>
      <c r="V57" s="3685"/>
      <c r="W57" s="3685"/>
      <c r="X57" s="3685"/>
      <c r="Y57" s="3685"/>
      <c r="Z57" s="3685"/>
      <c r="AA57" s="3685"/>
      <c r="AB57" s="3685"/>
      <c r="AC57" s="3685"/>
      <c r="AD57" s="3685"/>
      <c r="AE57" s="3685"/>
      <c r="AF57" s="3685"/>
      <c r="AG57" s="3685"/>
      <c r="AH57" s="3685"/>
      <c r="AI57" s="3685"/>
      <c r="AJ57" s="3685"/>
    </row>
    <row r="58" spans="1:36" ht="15.95" customHeight="1">
      <c r="A58" s="3928" t="s">
        <v>183</v>
      </c>
      <c r="B58" s="3925" t="s">
        <v>1610</v>
      </c>
      <c r="C58" s="3926">
        <f>'4. Отчет и прогн. потребление'!D56</f>
        <v>41768</v>
      </c>
      <c r="D58" s="3926">
        <f>'4. Отчет и прогн. потребление'!E56</f>
        <v>46213</v>
      </c>
      <c r="E58" s="3926">
        <f>'4. Отчет и прогн. потребление'!F56</f>
        <v>45678.465361956063</v>
      </c>
      <c r="F58" s="3926">
        <f>'4. Отчет и прогн. потребление'!G56</f>
        <v>82643.930723912126</v>
      </c>
      <c r="G58" s="3926">
        <f>'4. Отчет и прогн. потребление'!H56</f>
        <v>81627.396085868182</v>
      </c>
      <c r="H58" s="3926">
        <f>'4. Отчет и прогн. потребление'!I56</f>
        <v>80622.801022667671</v>
      </c>
      <c r="I58" s="3685"/>
      <c r="J58" s="3685"/>
      <c r="K58" s="3685"/>
      <c r="L58" s="3685"/>
      <c r="M58" s="3685"/>
      <c r="N58" s="3685"/>
      <c r="O58" s="3685"/>
      <c r="P58" s="3685"/>
      <c r="Q58" s="3685"/>
      <c r="R58" s="3685"/>
      <c r="S58" s="3685"/>
      <c r="T58" s="3685"/>
      <c r="U58" s="3685"/>
      <c r="V58" s="3685"/>
      <c r="W58" s="3685"/>
      <c r="X58" s="3685"/>
      <c r="Y58" s="3685"/>
      <c r="Z58" s="3685"/>
      <c r="AA58" s="3685"/>
      <c r="AB58" s="3685"/>
      <c r="AC58" s="3685"/>
      <c r="AD58" s="3685"/>
      <c r="AE58" s="3685"/>
      <c r="AF58" s="3685"/>
      <c r="AG58" s="3685"/>
      <c r="AH58" s="3685"/>
      <c r="AI58" s="3685"/>
      <c r="AJ58" s="3685"/>
    </row>
    <row r="59" spans="1:36" ht="15.95" customHeight="1">
      <c r="A59" s="3930" t="s">
        <v>1005</v>
      </c>
      <c r="B59" s="3925" t="s">
        <v>1610</v>
      </c>
      <c r="C59" s="3931">
        <f>'4. Отчет и прогн. потребление'!D58</f>
        <v>9039</v>
      </c>
      <c r="D59" s="3931">
        <f>'4. Отчет и прогн. потребление'!E58</f>
        <v>10000.941079295153</v>
      </c>
      <c r="E59" s="3931">
        <f>'4. Отчет и прогн. потребление'!F58</f>
        <v>9885.2626031105319</v>
      </c>
      <c r="F59" s="3931">
        <f>'4. Отчет и прогн. потребление'!G58</f>
        <v>18582.286114918868</v>
      </c>
      <c r="G59" s="3931">
        <f>'4. Отчет и прогн. потребление'!H58</f>
        <v>18362.298167368615</v>
      </c>
      <c r="H59" s="3931">
        <f>'4. Отчет и прогн. потребление'!I58</f>
        <v>18144.894059528422</v>
      </c>
      <c r="I59" s="3685"/>
      <c r="J59" s="3685"/>
      <c r="K59" s="3685"/>
      <c r="L59" s="3685"/>
      <c r="M59" s="3685"/>
      <c r="N59" s="3685"/>
      <c r="O59" s="3685"/>
      <c r="P59" s="3685"/>
      <c r="Q59" s="3685"/>
      <c r="R59" s="3685"/>
      <c r="S59" s="3685"/>
      <c r="T59" s="3685"/>
      <c r="U59" s="3685"/>
      <c r="V59" s="3685"/>
      <c r="W59" s="3685"/>
      <c r="X59" s="3685"/>
      <c r="Y59" s="3685"/>
      <c r="Z59" s="3685"/>
      <c r="AA59" s="3685"/>
      <c r="AB59" s="3685"/>
      <c r="AC59" s="3685"/>
      <c r="AD59" s="3685"/>
      <c r="AE59" s="3685"/>
      <c r="AF59" s="3685"/>
      <c r="AG59" s="3685"/>
      <c r="AH59" s="3685"/>
      <c r="AI59" s="3685"/>
      <c r="AJ59" s="3685"/>
    </row>
    <row r="60" spans="1:36" ht="15.95" customHeight="1">
      <c r="A60" s="3930" t="s">
        <v>1006</v>
      </c>
      <c r="B60" s="3925" t="s">
        <v>1610</v>
      </c>
      <c r="C60" s="3931">
        <f>'4. Отчет и прогн. потребление'!D59</f>
        <v>32729</v>
      </c>
      <c r="D60" s="3931">
        <f>'4. Отчет и прогн. потребление'!E59</f>
        <v>36212.058920704847</v>
      </c>
      <c r="E60" s="3931">
        <f>'4. Отчет и прогн. потребление'!F59</f>
        <v>35793.202758845531</v>
      </c>
      <c r="F60" s="3931">
        <f>'4. Отчет и прогн. потребление'!G59</f>
        <v>64061.644608993258</v>
      </c>
      <c r="G60" s="3931">
        <f>'4. Отчет и прогн. потребление'!H59</f>
        <v>63265.097918499567</v>
      </c>
      <c r="H60" s="3931">
        <f>'4. Отчет и прогн. потребление'!I59</f>
        <v>62477.906963139249</v>
      </c>
      <c r="I60" s="3685"/>
      <c r="J60" s="3685"/>
      <c r="K60" s="3685"/>
      <c r="L60" s="3685"/>
      <c r="M60" s="3685"/>
      <c r="N60" s="3685"/>
      <c r="O60" s="3685"/>
      <c r="P60" s="3685"/>
      <c r="Q60" s="3685"/>
      <c r="R60" s="3685"/>
      <c r="S60" s="3685"/>
      <c r="T60" s="3685"/>
      <c r="U60" s="3685"/>
      <c r="V60" s="3685"/>
      <c r="W60" s="3685"/>
      <c r="X60" s="3685"/>
      <c r="Y60" s="3685"/>
      <c r="Z60" s="3685"/>
      <c r="AA60" s="3685"/>
      <c r="AB60" s="3685"/>
      <c r="AC60" s="3685"/>
      <c r="AD60" s="3685"/>
      <c r="AE60" s="3685"/>
      <c r="AF60" s="3685"/>
      <c r="AG60" s="3685"/>
      <c r="AH60" s="3685"/>
      <c r="AI60" s="3685"/>
      <c r="AJ60" s="3685"/>
    </row>
    <row r="61" spans="1:36" ht="15.95" customHeight="1">
      <c r="A61" s="3930" t="s">
        <v>1007</v>
      </c>
      <c r="B61" s="3925" t="s">
        <v>1610</v>
      </c>
      <c r="C61" s="3931">
        <f>'4. Отчет и прогн. потребление'!D60</f>
        <v>0</v>
      </c>
      <c r="D61" s="3931">
        <f>'4. Отчет и прогн. потребление'!E60</f>
        <v>0</v>
      </c>
      <c r="E61" s="3931">
        <f>'4. Отчет и прогн. потребление'!F60</f>
        <v>0</v>
      </c>
      <c r="F61" s="3931">
        <f>'4. Отчет и прогн. потребление'!G60</f>
        <v>0</v>
      </c>
      <c r="G61" s="3931">
        <f>'4. Отчет и прогн. потребление'!H60</f>
        <v>0</v>
      </c>
      <c r="H61" s="3931">
        <f>'4. Отчет и прогн. потребление'!I60</f>
        <v>0</v>
      </c>
      <c r="I61" s="3685"/>
      <c r="J61" s="3685"/>
      <c r="K61" s="3685"/>
      <c r="L61" s="3685"/>
      <c r="M61" s="3685"/>
      <c r="N61" s="3685"/>
      <c r="O61" s="3685"/>
      <c r="P61" s="3685"/>
      <c r="Q61" s="3685"/>
      <c r="R61" s="3685"/>
      <c r="S61" s="3685"/>
      <c r="T61" s="3685"/>
      <c r="U61" s="3685"/>
      <c r="V61" s="3685"/>
      <c r="W61" s="3685"/>
      <c r="X61" s="3685"/>
      <c r="Y61" s="3685"/>
      <c r="Z61" s="3685"/>
      <c r="AA61" s="3685"/>
      <c r="AB61" s="3685"/>
      <c r="AC61" s="3685"/>
      <c r="AD61" s="3685"/>
      <c r="AE61" s="3685"/>
      <c r="AF61" s="3685"/>
      <c r="AG61" s="3685"/>
      <c r="AH61" s="3685"/>
      <c r="AI61" s="3685"/>
      <c r="AJ61" s="3685"/>
    </row>
    <row r="62" spans="1:36" ht="15.95" customHeight="1">
      <c r="A62" s="5635" t="s">
        <v>1256</v>
      </c>
      <c r="B62" s="5636"/>
      <c r="C62" s="5636"/>
      <c r="D62" s="5636"/>
      <c r="E62" s="5636"/>
      <c r="F62" s="5636"/>
      <c r="G62" s="5636"/>
      <c r="H62" s="5637"/>
      <c r="I62" s="3685"/>
      <c r="J62" s="3685"/>
      <c r="K62" s="3685"/>
      <c r="L62" s="3685"/>
      <c r="M62" s="3685"/>
      <c r="N62" s="3685"/>
      <c r="O62" s="3685"/>
      <c r="P62" s="3685"/>
      <c r="Q62" s="3685"/>
      <c r="R62" s="3685"/>
      <c r="S62" s="3685"/>
      <c r="T62" s="3685"/>
      <c r="U62" s="3685"/>
      <c r="V62" s="3685"/>
      <c r="W62" s="3685"/>
      <c r="X62" s="3685"/>
      <c r="Y62" s="3685"/>
      <c r="Z62" s="3685"/>
      <c r="AA62" s="3685"/>
      <c r="AB62" s="3685"/>
      <c r="AC62" s="3685"/>
      <c r="AD62" s="3685"/>
      <c r="AE62" s="3685"/>
      <c r="AF62" s="3685"/>
      <c r="AG62" s="3685"/>
      <c r="AH62" s="3685"/>
      <c r="AI62" s="3685"/>
      <c r="AJ62" s="3685"/>
    </row>
    <row r="63" spans="1:36" ht="15.95" customHeight="1">
      <c r="A63" s="4019" t="s">
        <v>576</v>
      </c>
      <c r="B63" s="4020" t="s">
        <v>1610</v>
      </c>
      <c r="C63" s="4021">
        <f>'4. Отчет и прогн. потребление'!D62</f>
        <v>236289</v>
      </c>
      <c r="D63" s="4021">
        <f>'4. Отчет и прогн. потребление'!E62</f>
        <v>1363303.8333333333</v>
      </c>
      <c r="E63" s="4021">
        <f>'4. Отчет и прогн. потребление'!F62</f>
        <v>1347534.8263202687</v>
      </c>
      <c r="F63" s="4021">
        <f>'4. Отчет и прогн. потребление'!G62</f>
        <v>1331765.8193072043</v>
      </c>
      <c r="G63" s="4021">
        <f>'4. Отчет и прогн. потребление'!H62</f>
        <v>1315996.81229414</v>
      </c>
      <c r="H63" s="4021">
        <f>'4. Отчет и прогн. потребление'!I62</f>
        <v>1300411.6316967113</v>
      </c>
      <c r="I63" s="3685"/>
      <c r="J63" s="3685"/>
      <c r="K63" s="3685"/>
      <c r="L63" s="3685"/>
      <c r="M63" s="3685"/>
      <c r="N63" s="3685"/>
      <c r="O63" s="3685"/>
      <c r="P63" s="3685"/>
      <c r="Q63" s="3685"/>
      <c r="R63" s="3685"/>
      <c r="S63" s="3685"/>
      <c r="T63" s="3685"/>
      <c r="U63" s="3685"/>
      <c r="V63" s="3685"/>
      <c r="W63" s="3685"/>
      <c r="X63" s="3685"/>
      <c r="Y63" s="3685"/>
      <c r="Z63" s="3685"/>
      <c r="AA63" s="3685"/>
      <c r="AB63" s="3685"/>
      <c r="AC63" s="3685"/>
      <c r="AD63" s="3685"/>
      <c r="AE63" s="3685"/>
      <c r="AF63" s="3685"/>
      <c r="AG63" s="3685"/>
      <c r="AH63" s="3685"/>
      <c r="AI63" s="3685"/>
      <c r="AJ63" s="3685"/>
    </row>
    <row r="64" spans="1:36" ht="15.95" customHeight="1">
      <c r="A64" s="5638" t="s">
        <v>578</v>
      </c>
      <c r="B64" s="3925" t="s">
        <v>1610</v>
      </c>
      <c r="C64" s="3926">
        <f>'4. Отчет и прогн. потребление'!D69</f>
        <v>236289</v>
      </c>
      <c r="D64" s="3926">
        <f>'4. Отчет и прогн. потребление'!E69</f>
        <v>1363303.8333333333</v>
      </c>
      <c r="E64" s="3926">
        <f>'4. Отчет и прогн. потребление'!F69</f>
        <v>1347534.8263202687</v>
      </c>
      <c r="F64" s="3926">
        <f>'4. Отчет и прогн. потребление'!G69</f>
        <v>1331765.8193072043</v>
      </c>
      <c r="G64" s="3926">
        <f>'4. Отчет и прогн. потребление'!H69</f>
        <v>1315996.81229414</v>
      </c>
      <c r="H64" s="3926">
        <f>'4. Отчет и прогн. потребление'!I69</f>
        <v>1300411.6316967113</v>
      </c>
      <c r="I64" s="3685"/>
      <c r="J64" s="3685"/>
      <c r="K64" s="3685"/>
      <c r="L64" s="3685"/>
      <c r="M64" s="3685"/>
      <c r="N64" s="3685"/>
      <c r="O64" s="3685"/>
      <c r="P64" s="3685"/>
      <c r="Q64" s="3685"/>
      <c r="R64" s="3685"/>
      <c r="S64" s="3685"/>
      <c r="T64" s="3685"/>
      <c r="U64" s="3685"/>
      <c r="V64" s="3685"/>
      <c r="W64" s="3685"/>
      <c r="X64" s="3685"/>
      <c r="Y64" s="3685"/>
      <c r="Z64" s="3685"/>
      <c r="AA64" s="3685"/>
      <c r="AB64" s="3685"/>
      <c r="AC64" s="3685"/>
      <c r="AD64" s="3685"/>
      <c r="AE64" s="3685"/>
      <c r="AF64" s="3685"/>
      <c r="AG64" s="3685"/>
      <c r="AH64" s="3685"/>
      <c r="AI64" s="3685"/>
      <c r="AJ64" s="3685"/>
    </row>
    <row r="65" spans="1:36" ht="15.95" customHeight="1">
      <c r="A65" s="5639"/>
      <c r="B65" s="3925" t="s">
        <v>174</v>
      </c>
      <c r="C65" s="3927">
        <f>'4. Отчет и прогн. потребление'!D70</f>
        <v>1</v>
      </c>
      <c r="D65" s="3927">
        <f>'4. Отчет и прогн. потребление'!E70</f>
        <v>1</v>
      </c>
      <c r="E65" s="3927">
        <f>'4. Отчет и прогн. потребление'!F70</f>
        <v>1</v>
      </c>
      <c r="F65" s="3927">
        <f>'4. Отчет и прогн. потребление'!G70</f>
        <v>1</v>
      </c>
      <c r="G65" s="3927">
        <f>'4. Отчет и прогн. потребление'!H70</f>
        <v>1</v>
      </c>
      <c r="H65" s="3927">
        <f>'4. Отчет и прогн. потребление'!I70</f>
        <v>1</v>
      </c>
      <c r="I65" s="3685"/>
      <c r="J65" s="3685"/>
      <c r="K65" s="3685"/>
      <c r="L65" s="3685"/>
      <c r="M65" s="3685"/>
      <c r="N65" s="3685"/>
      <c r="O65" s="3685"/>
      <c r="P65" s="3685"/>
      <c r="Q65" s="3685"/>
      <c r="R65" s="3685"/>
      <c r="S65" s="3685"/>
      <c r="T65" s="3685"/>
      <c r="U65" s="3685"/>
      <c r="V65" s="3685"/>
      <c r="W65" s="3685"/>
      <c r="X65" s="3685"/>
      <c r="Y65" s="3685"/>
      <c r="Z65" s="3685"/>
      <c r="AA65" s="3685"/>
      <c r="AB65" s="3685"/>
      <c r="AC65" s="3685"/>
      <c r="AD65" s="3685"/>
      <c r="AE65" s="3685"/>
      <c r="AF65" s="3685"/>
      <c r="AG65" s="3685"/>
      <c r="AH65" s="3685"/>
      <c r="AI65" s="3685"/>
      <c r="AJ65" s="3685"/>
    </row>
    <row r="66" spans="1:36" ht="15.95" customHeight="1">
      <c r="A66" s="5640" t="s">
        <v>600</v>
      </c>
      <c r="B66" s="4020" t="s">
        <v>1610</v>
      </c>
      <c r="C66" s="4021">
        <f>'4. Отчет и прогн. потребление'!D88</f>
        <v>0</v>
      </c>
      <c r="D66" s="4021">
        <f>'4. Отчет и прогн. потребление'!E88</f>
        <v>0</v>
      </c>
      <c r="E66" s="4021">
        <f>'4. Отчет и прогн. потребление'!F88</f>
        <v>0</v>
      </c>
      <c r="F66" s="4021">
        <f>'4. Отчет и прогн. потребление'!G88</f>
        <v>0</v>
      </c>
      <c r="G66" s="4021">
        <f>'4. Отчет и прогн. потребление'!H88</f>
        <v>0</v>
      </c>
      <c r="H66" s="4021">
        <f>'4. Отчет и прогн. потребление'!I88</f>
        <v>0</v>
      </c>
      <c r="I66" s="3685"/>
      <c r="J66" s="3685"/>
      <c r="K66" s="3685"/>
      <c r="L66" s="3685"/>
      <c r="M66" s="3685"/>
      <c r="N66" s="3685"/>
      <c r="O66" s="3685"/>
      <c r="P66" s="3685"/>
      <c r="Q66" s="3685"/>
      <c r="R66" s="3685"/>
      <c r="S66" s="3685"/>
      <c r="T66" s="3685"/>
      <c r="U66" s="3685"/>
      <c r="V66" s="3685"/>
      <c r="W66" s="3685"/>
      <c r="X66" s="3685"/>
      <c r="Y66" s="3685"/>
      <c r="Z66" s="3685"/>
      <c r="AA66" s="3685"/>
      <c r="AB66" s="3685"/>
      <c r="AC66" s="3685"/>
      <c r="AD66" s="3685"/>
      <c r="AE66" s="3685"/>
      <c r="AF66" s="3685"/>
      <c r="AG66" s="3685"/>
      <c r="AH66" s="3685"/>
      <c r="AI66" s="3685"/>
      <c r="AJ66" s="3685"/>
    </row>
    <row r="67" spans="1:36" ht="15.95" customHeight="1">
      <c r="A67" s="5641"/>
      <c r="B67" s="4020" t="s">
        <v>174</v>
      </c>
      <c r="C67" s="4028">
        <f>'4. Отчет и прогн. потребление'!D89</f>
        <v>0</v>
      </c>
      <c r="D67" s="4028">
        <f>'4. Отчет и прогн. потребление'!E89</f>
        <v>0</v>
      </c>
      <c r="E67" s="4028">
        <f>'4. Отчет и прогн. потребление'!F89</f>
        <v>0</v>
      </c>
      <c r="F67" s="4028">
        <f>'4. Отчет и прогн. потребление'!G89</f>
        <v>0</v>
      </c>
      <c r="G67" s="4028">
        <f>'4. Отчет и прогн. потребление'!H89</f>
        <v>0</v>
      </c>
      <c r="H67" s="4028">
        <f>'4. Отчет и прогн. потребление'!I89</f>
        <v>0</v>
      </c>
      <c r="I67" s="3685"/>
      <c r="J67" s="3685"/>
      <c r="K67" s="3685"/>
      <c r="L67" s="3685"/>
      <c r="M67" s="3685"/>
      <c r="N67" s="3685"/>
      <c r="O67" s="3685"/>
      <c r="P67" s="3685"/>
      <c r="Q67" s="3685"/>
      <c r="R67" s="3685"/>
      <c r="S67" s="3685"/>
      <c r="T67" s="3685"/>
      <c r="U67" s="3685"/>
      <c r="V67" s="3685"/>
      <c r="W67" s="3685"/>
      <c r="X67" s="3685"/>
      <c r="Y67" s="3685"/>
      <c r="Z67" s="3685"/>
      <c r="AA67" s="3685"/>
      <c r="AB67" s="3685"/>
      <c r="AC67" s="3685"/>
      <c r="AD67" s="3685"/>
      <c r="AE67" s="3685"/>
      <c r="AF67" s="3685"/>
      <c r="AG67" s="3685"/>
      <c r="AH67" s="3685"/>
      <c r="AI67" s="3685"/>
      <c r="AJ67" s="3685"/>
    </row>
    <row r="68" spans="1:36" ht="15.95" customHeight="1">
      <c r="A68" s="5642"/>
      <c r="B68" s="4020" t="s">
        <v>1611</v>
      </c>
      <c r="C68" s="4027">
        <f>'4. Отчет и прогн. потребление'!D90</f>
        <v>0</v>
      </c>
      <c r="D68" s="4027">
        <f>'4. Отчет и прогн. потребление'!E90</f>
        <v>0</v>
      </c>
      <c r="E68" s="4027">
        <f>'4. Отчет и прогн. потребление'!F90</f>
        <v>0</v>
      </c>
      <c r="F68" s="4027">
        <f>'4. Отчет и прогн. потребление'!G90</f>
        <v>0</v>
      </c>
      <c r="G68" s="4027">
        <f>'4. Отчет и прогн. потребление'!H90</f>
        <v>0</v>
      </c>
      <c r="H68" s="4027">
        <f>'4. Отчет и прогн. потребление'!I90</f>
        <v>0</v>
      </c>
      <c r="I68" s="3685"/>
      <c r="J68" s="3685"/>
      <c r="K68" s="3685"/>
      <c r="L68" s="3685"/>
      <c r="M68" s="3685"/>
      <c r="N68" s="3685"/>
      <c r="O68" s="3685"/>
      <c r="P68" s="3685"/>
      <c r="Q68" s="3685"/>
      <c r="R68" s="3685"/>
      <c r="S68" s="3685"/>
      <c r="T68" s="3685"/>
      <c r="U68" s="3685"/>
      <c r="V68" s="3685"/>
      <c r="W68" s="3685"/>
      <c r="X68" s="3685"/>
      <c r="Y68" s="3685"/>
      <c r="Z68" s="3685"/>
      <c r="AA68" s="3685"/>
      <c r="AB68" s="3685"/>
      <c r="AC68" s="3685"/>
      <c r="AD68" s="3685"/>
      <c r="AE68" s="3685"/>
      <c r="AF68" s="3685"/>
      <c r="AG68" s="3685"/>
      <c r="AH68" s="3685"/>
      <c r="AI68" s="3685"/>
      <c r="AJ68" s="3685"/>
    </row>
    <row r="69" spans="1:36" ht="15.95" customHeight="1">
      <c r="A69" s="5635" t="s">
        <v>1102</v>
      </c>
      <c r="B69" s="5636"/>
      <c r="C69" s="5636"/>
      <c r="D69" s="5636"/>
      <c r="E69" s="5636"/>
      <c r="F69" s="5636"/>
      <c r="G69" s="5636"/>
      <c r="H69" s="5637"/>
      <c r="I69" s="3685"/>
      <c r="J69" s="3685"/>
      <c r="K69" s="3685"/>
      <c r="L69" s="3685"/>
      <c r="M69" s="3685"/>
      <c r="N69" s="3685"/>
      <c r="O69" s="3685"/>
      <c r="P69" s="3685"/>
      <c r="Q69" s="3685"/>
      <c r="R69" s="3685"/>
      <c r="S69" s="3685"/>
      <c r="T69" s="3685"/>
      <c r="U69" s="3685"/>
      <c r="V69" s="3685"/>
      <c r="W69" s="3685"/>
      <c r="X69" s="3685"/>
      <c r="Y69" s="3685"/>
      <c r="Z69" s="3685"/>
      <c r="AA69" s="3685"/>
      <c r="AB69" s="3685"/>
      <c r="AC69" s="3685"/>
      <c r="AD69" s="3685"/>
      <c r="AE69" s="3685"/>
      <c r="AF69" s="3685"/>
      <c r="AG69" s="3685"/>
      <c r="AH69" s="3685"/>
      <c r="AI69" s="3685"/>
      <c r="AJ69" s="3685"/>
    </row>
    <row r="70" spans="1:36" ht="15.95" customHeight="1">
      <c r="A70" s="4019" t="s">
        <v>576</v>
      </c>
      <c r="B70" s="4020" t="s">
        <v>1610</v>
      </c>
      <c r="C70" s="4021">
        <f>'4. Отчет и прогн. потребление'!D93</f>
        <v>0</v>
      </c>
      <c r="D70" s="4021">
        <f>'4. Отчет и прогн. потребление'!E93</f>
        <v>0</v>
      </c>
      <c r="E70" s="4021">
        <f>'4. Отчет и прогн. потребление'!F93</f>
        <v>0</v>
      </c>
      <c r="F70" s="4021">
        <f>'4. Отчет и прогн. потребление'!G93</f>
        <v>0</v>
      </c>
      <c r="G70" s="4021">
        <f>'4. Отчет и прогн. потребление'!H93</f>
        <v>0</v>
      </c>
      <c r="H70" s="4021">
        <f>'4. Отчет и прогн. потребление'!I93</f>
        <v>0</v>
      </c>
      <c r="I70" s="3685"/>
      <c r="J70" s="3685"/>
      <c r="K70" s="3685"/>
      <c r="L70" s="3685"/>
      <c r="M70" s="3685"/>
      <c r="N70" s="3685"/>
      <c r="O70" s="3685"/>
      <c r="P70" s="3685"/>
      <c r="Q70" s="3685"/>
      <c r="R70" s="3685"/>
      <c r="S70" s="3685"/>
      <c r="T70" s="3685"/>
      <c r="U70" s="3685"/>
      <c r="V70" s="3685"/>
      <c r="W70" s="3685"/>
      <c r="X70" s="3685"/>
      <c r="Y70" s="3685"/>
      <c r="Z70" s="3685"/>
      <c r="AA70" s="3685"/>
      <c r="AB70" s="3685"/>
      <c r="AC70" s="3685"/>
      <c r="AD70" s="3685"/>
      <c r="AE70" s="3685"/>
      <c r="AF70" s="3685"/>
      <c r="AG70" s="3685"/>
      <c r="AH70" s="3685"/>
      <c r="AI70" s="3685"/>
      <c r="AJ70" s="3685"/>
    </row>
    <row r="71" spans="1:36" ht="15.95" customHeight="1">
      <c r="A71" s="5638" t="s">
        <v>578</v>
      </c>
      <c r="B71" s="3925" t="s">
        <v>1610</v>
      </c>
      <c r="C71" s="3926">
        <f>'4. Отчет и прогн. потребление'!D100</f>
        <v>0</v>
      </c>
      <c r="D71" s="3926">
        <f>'4. Отчет и прогн. потребление'!E100</f>
        <v>0</v>
      </c>
      <c r="E71" s="3926">
        <f>'4. Отчет и прогн. потребление'!F100</f>
        <v>0</v>
      </c>
      <c r="F71" s="3926">
        <f>'4. Отчет и прогн. потребление'!G100</f>
        <v>0</v>
      </c>
      <c r="G71" s="3926">
        <f>'4. Отчет и прогн. потребление'!H100</f>
        <v>0</v>
      </c>
      <c r="H71" s="3926">
        <f>'4. Отчет и прогн. потребление'!I100</f>
        <v>0</v>
      </c>
      <c r="I71" s="3685"/>
      <c r="J71" s="3685"/>
      <c r="K71" s="3685"/>
      <c r="L71" s="3685"/>
      <c r="M71" s="3685"/>
      <c r="N71" s="3685"/>
      <c r="O71" s="3685"/>
      <c r="P71" s="3685"/>
      <c r="Q71" s="3685"/>
      <c r="R71" s="3685"/>
      <c r="S71" s="3685"/>
      <c r="T71" s="3685"/>
      <c r="U71" s="3685"/>
      <c r="V71" s="3685"/>
      <c r="W71" s="3685"/>
      <c r="X71" s="3685"/>
      <c r="Y71" s="3685"/>
      <c r="Z71" s="3685"/>
      <c r="AA71" s="3685"/>
      <c r="AB71" s="3685"/>
      <c r="AC71" s="3685"/>
      <c r="AD71" s="3685"/>
      <c r="AE71" s="3685"/>
      <c r="AF71" s="3685"/>
      <c r="AG71" s="3685"/>
      <c r="AH71" s="3685"/>
      <c r="AI71" s="3685"/>
      <c r="AJ71" s="3685"/>
    </row>
    <row r="72" spans="1:36" ht="15.95" customHeight="1">
      <c r="A72" s="5639"/>
      <c r="B72" s="3925" t="s">
        <v>174</v>
      </c>
      <c r="C72" s="3927">
        <f>'4. Отчет и прогн. потребление'!D101</f>
        <v>0</v>
      </c>
      <c r="D72" s="3927">
        <f>'4. Отчет и прогн. потребление'!E101</f>
        <v>0</v>
      </c>
      <c r="E72" s="3927">
        <f>'4. Отчет и прогн. потребление'!F101</f>
        <v>0</v>
      </c>
      <c r="F72" s="3927">
        <f>'4. Отчет и прогн. потребление'!G101</f>
        <v>0</v>
      </c>
      <c r="G72" s="3927">
        <f>'4. Отчет и прогн. потребление'!H101</f>
        <v>0</v>
      </c>
      <c r="H72" s="3927">
        <f>'4. Отчет и прогн. потребление'!I101</f>
        <v>0</v>
      </c>
      <c r="I72" s="3685"/>
      <c r="J72" s="3685"/>
      <c r="K72" s="3685"/>
      <c r="L72" s="3685"/>
      <c r="M72" s="3685"/>
      <c r="N72" s="3685"/>
      <c r="O72" s="3685"/>
      <c r="P72" s="3685"/>
      <c r="Q72" s="3685"/>
      <c r="R72" s="3685"/>
      <c r="S72" s="3685"/>
      <c r="T72" s="3685"/>
      <c r="U72" s="3685"/>
      <c r="V72" s="3685"/>
      <c r="W72" s="3685"/>
      <c r="X72" s="3685"/>
      <c r="Y72" s="3685"/>
      <c r="Z72" s="3685"/>
      <c r="AA72" s="3685"/>
      <c r="AB72" s="3685"/>
      <c r="AC72" s="3685"/>
      <c r="AD72" s="3685"/>
      <c r="AE72" s="3685"/>
      <c r="AF72" s="3685"/>
      <c r="AG72" s="3685"/>
      <c r="AH72" s="3685"/>
      <c r="AI72" s="3685"/>
      <c r="AJ72" s="3685"/>
    </row>
    <row r="73" spans="1:36" ht="15.95" customHeight="1">
      <c r="A73" s="5640" t="s">
        <v>600</v>
      </c>
      <c r="B73" s="4020" t="s">
        <v>1610</v>
      </c>
      <c r="C73" s="4021">
        <f>'4. Отчет и прогн. потребление'!D110</f>
        <v>0</v>
      </c>
      <c r="D73" s="4021">
        <f>'4. Отчет и прогн. потребление'!E110</f>
        <v>0</v>
      </c>
      <c r="E73" s="4021">
        <f>'4. Отчет и прогн. потребление'!F110</f>
        <v>0</v>
      </c>
      <c r="F73" s="4021">
        <f>'4. Отчет и прогн. потребление'!G110</f>
        <v>0</v>
      </c>
      <c r="G73" s="4021">
        <f>'4. Отчет и прогн. потребление'!H110</f>
        <v>0</v>
      </c>
      <c r="H73" s="4021">
        <f>'4. Отчет и прогн. потребление'!I110</f>
        <v>0</v>
      </c>
      <c r="I73" s="3685"/>
      <c r="J73" s="3685"/>
      <c r="K73" s="3685"/>
      <c r="L73" s="3685"/>
      <c r="M73" s="3685"/>
      <c r="N73" s="3685"/>
      <c r="O73" s="3685"/>
      <c r="P73" s="3685"/>
      <c r="Q73" s="3685"/>
      <c r="R73" s="3685"/>
      <c r="S73" s="3685"/>
      <c r="T73" s="3685"/>
      <c r="U73" s="3685"/>
      <c r="V73" s="3685"/>
      <c r="W73" s="3685"/>
      <c r="X73" s="3685"/>
      <c r="Y73" s="3685"/>
      <c r="Z73" s="3685"/>
      <c r="AA73" s="3685"/>
      <c r="AB73" s="3685"/>
      <c r="AC73" s="3685"/>
      <c r="AD73" s="3685"/>
      <c r="AE73" s="3685"/>
      <c r="AF73" s="3685"/>
      <c r="AG73" s="3685"/>
      <c r="AH73" s="3685"/>
      <c r="AI73" s="3685"/>
      <c r="AJ73" s="3685"/>
    </row>
    <row r="74" spans="1:36" ht="15.95" customHeight="1">
      <c r="A74" s="5642"/>
      <c r="B74" s="4020" t="s">
        <v>174</v>
      </c>
      <c r="C74" s="4028">
        <f>'4. Отчет и прогн. потребление'!D111</f>
        <v>0</v>
      </c>
      <c r="D74" s="4028">
        <f>'4. Отчет и прогн. потребление'!E111</f>
        <v>0</v>
      </c>
      <c r="E74" s="4028">
        <f>'4. Отчет и прогн. потребление'!F111</f>
        <v>0</v>
      </c>
      <c r="F74" s="4028">
        <f>'4. Отчет и прогн. потребление'!G111</f>
        <v>0</v>
      </c>
      <c r="G74" s="4028">
        <f>'4. Отчет и прогн. потребление'!H111</f>
        <v>0</v>
      </c>
      <c r="H74" s="4028">
        <f>'4. Отчет и прогн. потребление'!I111</f>
        <v>0</v>
      </c>
      <c r="I74" s="3685"/>
      <c r="J74" s="3685"/>
      <c r="K74" s="3685"/>
      <c r="L74" s="3685"/>
      <c r="M74" s="3685"/>
      <c r="N74" s="3685"/>
      <c r="O74" s="3685"/>
      <c r="P74" s="3685"/>
      <c r="Q74" s="3685"/>
      <c r="R74" s="3685"/>
      <c r="S74" s="3685"/>
      <c r="T74" s="3685"/>
      <c r="U74" s="3685"/>
      <c r="V74" s="3685"/>
      <c r="W74" s="3685"/>
      <c r="X74" s="3685"/>
      <c r="Y74" s="3685"/>
      <c r="Z74" s="3685"/>
      <c r="AA74" s="3685"/>
      <c r="AB74" s="3685"/>
      <c r="AC74" s="3685"/>
      <c r="AD74" s="3685"/>
      <c r="AE74" s="3685"/>
      <c r="AF74" s="3685"/>
      <c r="AG74" s="3685"/>
      <c r="AH74" s="3685"/>
      <c r="AI74" s="3685"/>
      <c r="AJ74" s="3685"/>
    </row>
    <row r="75" spans="1:36">
      <c r="A75" s="3685"/>
      <c r="B75" s="3685"/>
      <c r="C75" s="3685"/>
      <c r="D75" s="3685"/>
      <c r="E75" s="3685"/>
      <c r="F75" s="3685"/>
      <c r="G75" s="3685"/>
      <c r="H75" s="3685"/>
      <c r="I75" s="3685"/>
      <c r="J75" s="3685"/>
      <c r="K75" s="3685"/>
      <c r="L75" s="3685"/>
      <c r="M75" s="3685"/>
      <c r="N75" s="3685"/>
      <c r="O75" s="3685"/>
      <c r="P75" s="3685"/>
      <c r="Q75" s="3685"/>
      <c r="R75" s="3685"/>
      <c r="S75" s="3685"/>
      <c r="T75" s="3685"/>
      <c r="U75" s="3685"/>
      <c r="V75" s="3685"/>
      <c r="W75" s="3685"/>
      <c r="X75" s="3685"/>
      <c r="Y75" s="3685"/>
      <c r="Z75" s="3685"/>
      <c r="AA75" s="3685"/>
      <c r="AB75" s="3685"/>
      <c r="AC75" s="3685"/>
      <c r="AD75" s="3685"/>
      <c r="AE75" s="3685"/>
      <c r="AF75" s="3685"/>
      <c r="AG75" s="3685"/>
      <c r="AH75" s="3685"/>
      <c r="AI75" s="3685"/>
      <c r="AJ75" s="3685"/>
    </row>
    <row r="76" spans="1:36" ht="15.75">
      <c r="A76" s="4034" t="s">
        <v>880</v>
      </c>
      <c r="B76" s="3685"/>
      <c r="C76" s="3685"/>
      <c r="D76" s="3685"/>
      <c r="E76" s="3685"/>
      <c r="F76" s="3685"/>
      <c r="G76" s="3685"/>
      <c r="H76" s="3685"/>
      <c r="I76" s="3685"/>
      <c r="J76" s="3685"/>
      <c r="K76" s="3685"/>
      <c r="L76" s="3685"/>
      <c r="M76" s="3685"/>
      <c r="N76" s="3685"/>
      <c r="O76" s="3685"/>
      <c r="P76" s="3685"/>
      <c r="Q76" s="3685"/>
      <c r="R76" s="3685"/>
      <c r="S76" s="3685"/>
      <c r="T76" s="3685"/>
      <c r="U76" s="3685"/>
      <c r="V76" s="3685"/>
      <c r="W76" s="3685"/>
      <c r="X76" s="3685"/>
      <c r="Y76" s="3685"/>
      <c r="Z76" s="3685"/>
      <c r="AA76" s="3685"/>
      <c r="AB76" s="3685"/>
      <c r="AC76" s="3685"/>
      <c r="AD76" s="3685"/>
      <c r="AE76" s="3685"/>
      <c r="AF76" s="3685"/>
      <c r="AG76" s="3685"/>
      <c r="AH76" s="3685"/>
      <c r="AI76" s="3685"/>
      <c r="AJ76" s="3685"/>
    </row>
    <row r="77" spans="1:36" ht="18" customHeight="1">
      <c r="A77" s="3955" t="s">
        <v>2</v>
      </c>
      <c r="B77" s="3956" t="s">
        <v>1612</v>
      </c>
      <c r="C77" s="3917" t="s">
        <v>119</v>
      </c>
      <c r="D77" s="3917" t="s">
        <v>1072</v>
      </c>
      <c r="E77" s="3917" t="s">
        <v>1073</v>
      </c>
      <c r="F77" s="3917" t="s">
        <v>1074</v>
      </c>
      <c r="G77" s="3917" t="s">
        <v>1075</v>
      </c>
      <c r="H77" s="3917" t="s">
        <v>1076</v>
      </c>
      <c r="I77" s="3685"/>
      <c r="J77" s="3685"/>
      <c r="K77" s="3685"/>
      <c r="L77" s="3685"/>
      <c r="M77" s="3685"/>
      <c r="N77" s="3685"/>
      <c r="O77" s="3685"/>
      <c r="P77" s="3685"/>
      <c r="Q77" s="3685"/>
      <c r="R77" s="3685"/>
      <c r="S77" s="3685"/>
      <c r="T77" s="3685"/>
      <c r="U77" s="3685"/>
      <c r="V77" s="3685"/>
      <c r="W77" s="3685"/>
      <c r="X77" s="3685"/>
      <c r="Y77" s="3685"/>
      <c r="Z77" s="3685"/>
      <c r="AA77" s="3685"/>
      <c r="AB77" s="3685"/>
      <c r="AC77" s="3685"/>
      <c r="AD77" s="3685"/>
      <c r="AE77" s="3685"/>
      <c r="AF77" s="3685"/>
      <c r="AG77" s="3685"/>
      <c r="AH77" s="3685"/>
      <c r="AI77" s="3685"/>
      <c r="AJ77" s="3685"/>
    </row>
    <row r="78" spans="1:36" ht="18" customHeight="1">
      <c r="A78" s="4088" t="s">
        <v>1136</v>
      </c>
      <c r="B78" s="3954" t="s">
        <v>601</v>
      </c>
      <c r="C78" s="4089">
        <f>'7. Утайки от ПСОВ'!D19</f>
        <v>0</v>
      </c>
      <c r="D78" s="4089">
        <f>'7. Утайки от ПСОВ'!E19</f>
        <v>0</v>
      </c>
      <c r="E78" s="4089">
        <f>'7. Утайки от ПСОВ'!F19</f>
        <v>0</v>
      </c>
      <c r="F78" s="4089">
        <f>'7. Утайки от ПСОВ'!G19</f>
        <v>0</v>
      </c>
      <c r="G78" s="4089">
        <f>'7. Утайки от ПСОВ'!H19</f>
        <v>0</v>
      </c>
      <c r="H78" s="4089">
        <f>'7. Утайки от ПСОВ'!I19</f>
        <v>0</v>
      </c>
      <c r="I78" s="3685"/>
      <c r="J78" s="3685"/>
      <c r="K78" s="3685"/>
      <c r="L78" s="3685"/>
      <c r="M78" s="3685"/>
      <c r="N78" s="3685"/>
      <c r="O78" s="3685"/>
      <c r="P78" s="3685"/>
      <c r="Q78" s="3685"/>
      <c r="R78" s="3685"/>
      <c r="S78" s="3685"/>
      <c r="T78" s="3685"/>
      <c r="U78" s="3685"/>
      <c r="V78" s="3685"/>
      <c r="W78" s="3685"/>
      <c r="X78" s="3685"/>
      <c r="Y78" s="3685"/>
      <c r="Z78" s="3685"/>
      <c r="AA78" s="3685"/>
      <c r="AB78" s="3685"/>
      <c r="AC78" s="3685"/>
      <c r="AD78" s="3685"/>
      <c r="AE78" s="3685"/>
      <c r="AF78" s="3685"/>
      <c r="AG78" s="3685"/>
      <c r="AH78" s="3685"/>
      <c r="AI78" s="3685"/>
      <c r="AJ78" s="3685"/>
    </row>
    <row r="79" spans="1:36" ht="18" customHeight="1">
      <c r="A79" s="4090" t="s">
        <v>1642</v>
      </c>
      <c r="B79" s="3954" t="s">
        <v>601</v>
      </c>
      <c r="C79" s="4089">
        <f>'7. Утайки от ПСОВ'!D14</f>
        <v>0</v>
      </c>
      <c r="D79" s="4089">
        <f>'7. Утайки от ПСОВ'!E14</f>
        <v>0</v>
      </c>
      <c r="E79" s="4089">
        <f>'7. Утайки от ПСОВ'!F14</f>
        <v>0</v>
      </c>
      <c r="F79" s="4089">
        <f>'7. Утайки от ПСОВ'!G14</f>
        <v>358</v>
      </c>
      <c r="G79" s="4089">
        <f>'7. Утайки от ПСОВ'!H14</f>
        <v>691</v>
      </c>
      <c r="H79" s="4089">
        <f>'7. Утайки от ПСОВ'!I14</f>
        <v>712</v>
      </c>
      <c r="I79" s="3685"/>
      <c r="J79" s="3685"/>
      <c r="K79" s="3685"/>
      <c r="L79" s="3685"/>
      <c r="M79" s="3685"/>
      <c r="N79" s="3685"/>
      <c r="O79" s="3685"/>
      <c r="P79" s="3685"/>
      <c r="Q79" s="3685"/>
      <c r="R79" s="3685"/>
      <c r="S79" s="3685"/>
      <c r="T79" s="3685"/>
      <c r="U79" s="3685"/>
      <c r="V79" s="3685"/>
      <c r="W79" s="3685"/>
      <c r="X79" s="3685"/>
      <c r="Y79" s="3685"/>
      <c r="Z79" s="3685"/>
      <c r="AA79" s="3685"/>
      <c r="AB79" s="3685"/>
      <c r="AC79" s="3685"/>
      <c r="AD79" s="3685"/>
      <c r="AE79" s="3685"/>
      <c r="AF79" s="3685"/>
      <c r="AG79" s="3685"/>
      <c r="AH79" s="3685"/>
      <c r="AI79" s="3685"/>
      <c r="AJ79" s="3685"/>
    </row>
    <row r="80" spans="1:36" ht="18" customHeight="1">
      <c r="A80" s="4091" t="s">
        <v>1008</v>
      </c>
      <c r="B80" s="4092" t="s">
        <v>601</v>
      </c>
      <c r="C80" s="4093">
        <f>C78+C79</f>
        <v>0</v>
      </c>
      <c r="D80" s="4093">
        <f t="shared" ref="D80:H80" si="5">D78+D79</f>
        <v>0</v>
      </c>
      <c r="E80" s="4093">
        <f t="shared" si="5"/>
        <v>0</v>
      </c>
      <c r="F80" s="4093">
        <f t="shared" si="5"/>
        <v>358</v>
      </c>
      <c r="G80" s="4093">
        <f t="shared" si="5"/>
        <v>691</v>
      </c>
      <c r="H80" s="4093">
        <f t="shared" si="5"/>
        <v>712</v>
      </c>
      <c r="I80" s="3685"/>
      <c r="J80" s="3685"/>
      <c r="K80" s="3685"/>
      <c r="L80" s="3685"/>
      <c r="M80" s="3685"/>
      <c r="N80" s="3685"/>
      <c r="O80" s="3685"/>
      <c r="P80" s="3685"/>
      <c r="Q80" s="3685"/>
      <c r="R80" s="3685"/>
      <c r="S80" s="3685"/>
      <c r="T80" s="3685"/>
      <c r="U80" s="3685"/>
      <c r="V80" s="3685"/>
      <c r="W80" s="3685"/>
      <c r="X80" s="3685"/>
      <c r="Y80" s="3685"/>
      <c r="Z80" s="3685"/>
      <c r="AA80" s="3685"/>
      <c r="AB80" s="3685"/>
      <c r="AC80" s="3685"/>
      <c r="AD80" s="3685"/>
      <c r="AE80" s="3685"/>
      <c r="AF80" s="3685"/>
      <c r="AG80" s="3685"/>
      <c r="AH80" s="3685"/>
      <c r="AI80" s="3685"/>
      <c r="AJ80" s="3685"/>
    </row>
    <row r="81" spans="1:36" ht="18" customHeight="1">
      <c r="A81" s="4094" t="s">
        <v>628</v>
      </c>
      <c r="B81" s="4094" t="s">
        <v>1645</v>
      </c>
      <c r="C81" s="4095">
        <f>'7. Утайки от ПСОВ'!D32</f>
        <v>0</v>
      </c>
      <c r="D81" s="4095">
        <f>'7. Утайки от ПСОВ'!E32</f>
        <v>0</v>
      </c>
      <c r="E81" s="4095">
        <f>'7. Утайки от ПСОВ'!F32</f>
        <v>0</v>
      </c>
      <c r="F81" s="4095">
        <f>'7. Утайки от ПСОВ'!G32</f>
        <v>96.033519553072622</v>
      </c>
      <c r="G81" s="4095">
        <f>'7. Утайки от ПСОВ'!H32</f>
        <v>94.564399421128812</v>
      </c>
      <c r="H81" s="4095">
        <f>'7. Утайки от ПСОВ'!I32</f>
        <v>97.146067415730343</v>
      </c>
      <c r="I81" s="3685"/>
      <c r="J81" s="3685"/>
      <c r="K81" s="3685"/>
      <c r="L81" s="3685"/>
      <c r="M81" s="3685"/>
      <c r="N81" s="3685"/>
      <c r="O81" s="3685"/>
      <c r="P81" s="3685"/>
      <c r="Q81" s="3685"/>
      <c r="R81" s="3685"/>
      <c r="S81" s="3685"/>
      <c r="T81" s="3685"/>
      <c r="U81" s="3685"/>
      <c r="V81" s="3685"/>
      <c r="W81" s="3685"/>
      <c r="X81" s="3685"/>
      <c r="Y81" s="3685"/>
      <c r="Z81" s="3685"/>
      <c r="AA81" s="3685"/>
      <c r="AB81" s="3685"/>
      <c r="AC81" s="3685"/>
      <c r="AD81" s="3685"/>
      <c r="AE81" s="3685"/>
      <c r="AF81" s="3685"/>
      <c r="AG81" s="3685"/>
      <c r="AH81" s="3685"/>
      <c r="AI81" s="3685"/>
      <c r="AJ81" s="3685"/>
    </row>
    <row r="82" spans="1:36" ht="18" customHeight="1">
      <c r="A82" s="4096"/>
      <c r="B82" s="4096"/>
      <c r="C82" s="4096"/>
      <c r="D82" s="4096"/>
      <c r="E82" s="4096"/>
      <c r="F82" s="4096"/>
      <c r="G82" s="4096"/>
      <c r="H82" s="4096"/>
      <c r="I82" s="3685"/>
      <c r="J82" s="3685"/>
      <c r="K82" s="3685"/>
      <c r="L82" s="3685"/>
      <c r="M82" s="3685"/>
      <c r="N82" s="3685"/>
      <c r="O82" s="3685"/>
      <c r="P82" s="3685"/>
      <c r="Q82" s="3685"/>
      <c r="R82" s="3685"/>
      <c r="S82" s="3685"/>
      <c r="T82" s="3685"/>
      <c r="U82" s="3685"/>
      <c r="V82" s="3685"/>
      <c r="W82" s="3685"/>
      <c r="X82" s="3685"/>
      <c r="Y82" s="3685"/>
      <c r="Z82" s="3685"/>
      <c r="AA82" s="3685"/>
      <c r="AB82" s="3685"/>
      <c r="AC82" s="3685"/>
      <c r="AD82" s="3685"/>
      <c r="AE82" s="3685"/>
      <c r="AF82" s="3685"/>
      <c r="AG82" s="3685"/>
      <c r="AH82" s="3685"/>
      <c r="AI82" s="3685"/>
      <c r="AJ82" s="3685"/>
    </row>
    <row r="83" spans="1:36" ht="18" customHeight="1">
      <c r="A83" s="3955" t="s">
        <v>2</v>
      </c>
      <c r="B83" s="3956" t="s">
        <v>1612</v>
      </c>
      <c r="C83" s="3917" t="s">
        <v>119</v>
      </c>
      <c r="D83" s="3917" t="s">
        <v>1072</v>
      </c>
      <c r="E83" s="3917" t="s">
        <v>1073</v>
      </c>
      <c r="F83" s="3917" t="s">
        <v>1074</v>
      </c>
      <c r="G83" s="3917" t="s">
        <v>1075</v>
      </c>
      <c r="H83" s="3917" t="s">
        <v>1076</v>
      </c>
      <c r="I83" s="3685"/>
      <c r="J83" s="3685"/>
      <c r="K83" s="3685"/>
      <c r="L83" s="3685"/>
      <c r="M83" s="3685"/>
      <c r="N83" s="3685"/>
      <c r="O83" s="3685"/>
      <c r="P83" s="3685"/>
      <c r="Q83" s="3685"/>
      <c r="R83" s="3685"/>
      <c r="S83" s="3685"/>
      <c r="T83" s="3685"/>
      <c r="U83" s="3685"/>
      <c r="V83" s="3685"/>
      <c r="W83" s="3685"/>
      <c r="X83" s="3685"/>
      <c r="Y83" s="3685"/>
      <c r="Z83" s="3685"/>
      <c r="AA83" s="3685"/>
      <c r="AB83" s="3685"/>
      <c r="AC83" s="3685"/>
      <c r="AD83" s="3685"/>
      <c r="AE83" s="3685"/>
      <c r="AF83" s="3685"/>
      <c r="AG83" s="3685"/>
      <c r="AH83" s="3685"/>
      <c r="AI83" s="3685"/>
      <c r="AJ83" s="3685"/>
    </row>
    <row r="84" spans="1:36" ht="18" customHeight="1">
      <c r="A84" s="5624" t="s">
        <v>1136</v>
      </c>
      <c r="B84" s="4092" t="s">
        <v>1643</v>
      </c>
      <c r="C84" s="4093">
        <f>'7. Утайки от ПСОВ'!D39</f>
        <v>0</v>
      </c>
      <c r="D84" s="4093">
        <f>D65/(100%-D66)</f>
        <v>1</v>
      </c>
      <c r="E84" s="4093">
        <f>E65/(100%-E66)</f>
        <v>1</v>
      </c>
      <c r="F84" s="4093">
        <f>F65/(100%-F66)</f>
        <v>1</v>
      </c>
      <c r="G84" s="4093">
        <f>G65/(100%-G66)</f>
        <v>1</v>
      </c>
      <c r="H84" s="4093">
        <f>H65/(100%-H66)</f>
        <v>1</v>
      </c>
      <c r="I84" s="3685"/>
      <c r="J84" s="3685"/>
      <c r="K84" s="3685"/>
      <c r="L84" s="3685"/>
      <c r="M84" s="3685"/>
      <c r="N84" s="3685"/>
      <c r="O84" s="3685"/>
      <c r="P84" s="3685"/>
      <c r="Q84" s="3685"/>
      <c r="R84" s="3685"/>
      <c r="S84" s="3685"/>
      <c r="T84" s="3685"/>
      <c r="U84" s="3685"/>
      <c r="V84" s="3685"/>
      <c r="W84" s="3685"/>
      <c r="X84" s="3685"/>
      <c r="Y84" s="3685"/>
      <c r="Z84" s="3685"/>
      <c r="AA84" s="3685"/>
      <c r="AB84" s="3685"/>
      <c r="AC84" s="3685"/>
      <c r="AD84" s="3685"/>
      <c r="AE84" s="3685"/>
      <c r="AF84" s="3685"/>
      <c r="AG84" s="3685"/>
      <c r="AH84" s="3685"/>
      <c r="AI84" s="3685"/>
      <c r="AJ84" s="3685"/>
    </row>
    <row r="85" spans="1:36" ht="18" customHeight="1">
      <c r="A85" s="5624"/>
      <c r="B85" s="3954" t="s">
        <v>1644</v>
      </c>
      <c r="C85" s="4095">
        <f>'7. Утайки от ПСОВ'!D42</f>
        <v>0</v>
      </c>
      <c r="D85" s="4095">
        <f>'7. Утайки от ПСОВ'!E42</f>
        <v>0</v>
      </c>
      <c r="E85" s="4095">
        <f>'7. Утайки от ПСОВ'!F42</f>
        <v>0</v>
      </c>
      <c r="F85" s="4095">
        <f>'7. Утайки от ПСОВ'!G42</f>
        <v>0</v>
      </c>
      <c r="G85" s="4095">
        <f>'7. Утайки от ПСОВ'!H42</f>
        <v>0</v>
      </c>
      <c r="H85" s="4095">
        <f>'7. Утайки от ПСОВ'!I42</f>
        <v>0</v>
      </c>
      <c r="I85" s="3685"/>
      <c r="J85" s="3685"/>
      <c r="K85" s="3685"/>
      <c r="L85" s="3685"/>
      <c r="M85" s="3685"/>
      <c r="N85" s="3685"/>
      <c r="O85" s="3685"/>
      <c r="P85" s="3685"/>
      <c r="Q85" s="3685"/>
      <c r="R85" s="3685"/>
      <c r="S85" s="3685"/>
      <c r="T85" s="3685"/>
      <c r="U85" s="3685"/>
      <c r="V85" s="3685"/>
      <c r="W85" s="3685"/>
      <c r="X85" s="3685"/>
      <c r="Y85" s="3685"/>
      <c r="Z85" s="3685"/>
      <c r="AA85" s="3685"/>
      <c r="AB85" s="3685"/>
      <c r="AC85" s="3685"/>
      <c r="AD85" s="3685"/>
      <c r="AE85" s="3685"/>
      <c r="AF85" s="3685"/>
      <c r="AG85" s="3685"/>
      <c r="AH85" s="3685"/>
      <c r="AI85" s="3685"/>
      <c r="AJ85" s="3685"/>
    </row>
    <row r="86" spans="1:36" ht="18" customHeight="1">
      <c r="A86" s="5624" t="s">
        <v>1134</v>
      </c>
      <c r="B86" s="4092" t="s">
        <v>1643</v>
      </c>
      <c r="C86" s="4093">
        <f>'7. Утайки от ПСОВ'!D38</f>
        <v>0</v>
      </c>
      <c r="D86" s="4093">
        <f>'7. Утайки от ПСОВ'!E38</f>
        <v>0</v>
      </c>
      <c r="E86" s="4093">
        <f>'7. Утайки от ПСОВ'!F38</f>
        <v>0</v>
      </c>
      <c r="F86" s="4093">
        <f>'7. Утайки от ПСОВ'!G38</f>
        <v>795.55555555555566</v>
      </c>
      <c r="G86" s="4093">
        <f>'7. Утайки от ПСОВ'!H38</f>
        <v>1515.3508771929826</v>
      </c>
      <c r="H86" s="4093">
        <f>'7. Утайки от ПСОВ'!I38</f>
        <v>1603.6036036036037</v>
      </c>
      <c r="I86" s="3685"/>
      <c r="J86" s="3685"/>
      <c r="K86" s="3685"/>
      <c r="L86" s="3685"/>
      <c r="M86" s="3685"/>
      <c r="N86" s="3685"/>
      <c r="O86" s="3685"/>
      <c r="P86" s="3685"/>
      <c r="Q86" s="3685"/>
      <c r="R86" s="3685"/>
      <c r="S86" s="3685"/>
      <c r="T86" s="3685"/>
      <c r="U86" s="3685"/>
      <c r="V86" s="3685"/>
      <c r="W86" s="3685"/>
      <c r="X86" s="3685"/>
      <c r="Y86" s="3685"/>
      <c r="Z86" s="3685"/>
      <c r="AA86" s="3685"/>
      <c r="AB86" s="3685"/>
      <c r="AC86" s="3685"/>
      <c r="AD86" s="3685"/>
      <c r="AE86" s="3685"/>
      <c r="AF86" s="3685"/>
      <c r="AG86" s="3685"/>
      <c r="AH86" s="3685"/>
      <c r="AI86" s="3685"/>
      <c r="AJ86" s="3685"/>
    </row>
    <row r="87" spans="1:36" ht="18" customHeight="1">
      <c r="A87" s="5624"/>
      <c r="B87" s="3954" t="s">
        <v>1644</v>
      </c>
      <c r="C87" s="4095">
        <f>'7. Утайки от ПСОВ'!D41</f>
        <v>0</v>
      </c>
      <c r="D87" s="4095">
        <f>'7. Утайки от ПСОВ'!E41</f>
        <v>0</v>
      </c>
      <c r="E87" s="4095">
        <f>'7. Утайки от ПСОВ'!F41</f>
        <v>0</v>
      </c>
      <c r="F87" s="4095">
        <f>'7. Утайки от ПСОВ'!G41</f>
        <v>42.988826815642454</v>
      </c>
      <c r="G87" s="4095">
        <f>'7. Утайки от ПСОВ'!H41</f>
        <v>43.026338639652671</v>
      </c>
      <c r="H87" s="4095">
        <f>'7. Утайки от ПСОВ'!I41</f>
        <v>43.028089887640448</v>
      </c>
      <c r="I87" s="3685"/>
      <c r="J87" s="3685"/>
      <c r="K87" s="3685"/>
      <c r="L87" s="3685"/>
      <c r="M87" s="3685"/>
      <c r="N87" s="3685"/>
      <c r="O87" s="3685"/>
      <c r="P87" s="3685"/>
      <c r="Q87" s="3685"/>
      <c r="R87" s="3685"/>
      <c r="S87" s="3685"/>
      <c r="T87" s="3685"/>
      <c r="U87" s="3685"/>
      <c r="V87" s="3685"/>
      <c r="W87" s="3685"/>
      <c r="X87" s="3685"/>
      <c r="Y87" s="3685"/>
      <c r="Z87" s="3685"/>
      <c r="AA87" s="3685"/>
      <c r="AB87" s="3685"/>
      <c r="AC87" s="3685"/>
      <c r="AD87" s="3685"/>
      <c r="AE87" s="3685"/>
      <c r="AF87" s="3685"/>
      <c r="AG87" s="3685"/>
      <c r="AH87" s="3685"/>
      <c r="AI87" s="3685"/>
      <c r="AJ87" s="3685"/>
    </row>
    <row r="88" spans="1:36">
      <c r="A88" s="3685"/>
      <c r="B88" s="3685"/>
      <c r="C88" s="3685"/>
      <c r="D88" s="3685"/>
      <c r="E88" s="3685"/>
      <c r="F88" s="3685"/>
      <c r="G88" s="3685"/>
      <c r="H88" s="3685"/>
      <c r="I88" s="3685"/>
      <c r="J88" s="3685"/>
      <c r="K88" s="3685"/>
      <c r="L88" s="3685"/>
      <c r="M88" s="3685"/>
      <c r="N88" s="3685"/>
      <c r="O88" s="3685"/>
      <c r="P88" s="3685"/>
      <c r="Q88" s="3685"/>
      <c r="R88" s="3685"/>
      <c r="S88" s="3685"/>
      <c r="T88" s="3685"/>
      <c r="U88" s="3685"/>
      <c r="V88" s="3685"/>
      <c r="W88" s="3685"/>
      <c r="X88" s="3685"/>
      <c r="Y88" s="3685"/>
      <c r="Z88" s="3685"/>
      <c r="AA88" s="3685"/>
      <c r="AB88" s="3685"/>
      <c r="AC88" s="3685"/>
      <c r="AD88" s="3685"/>
      <c r="AE88" s="3685"/>
      <c r="AF88" s="3685"/>
      <c r="AG88" s="3685"/>
      <c r="AH88" s="3685"/>
      <c r="AI88" s="3685"/>
      <c r="AJ88" s="3685"/>
    </row>
    <row r="89" spans="1:36">
      <c r="A89" s="3685"/>
      <c r="B89" s="3685"/>
      <c r="C89" s="3685"/>
      <c r="D89" s="3685"/>
      <c r="E89" s="3685"/>
      <c r="F89" s="3685"/>
      <c r="G89" s="3685"/>
      <c r="H89" s="3685"/>
      <c r="I89" s="3685"/>
      <c r="J89" s="3685"/>
      <c r="K89" s="3685"/>
      <c r="L89" s="3685"/>
      <c r="M89" s="3685"/>
      <c r="N89" s="3685"/>
      <c r="O89" s="3685"/>
      <c r="P89" s="3685"/>
      <c r="Q89" s="3685"/>
      <c r="R89" s="3685"/>
      <c r="S89" s="3685"/>
      <c r="T89" s="3685"/>
      <c r="U89" s="3685"/>
      <c r="V89" s="3685"/>
      <c r="W89" s="3685"/>
      <c r="X89" s="3685"/>
      <c r="Y89" s="3685"/>
      <c r="Z89" s="3685"/>
      <c r="AA89" s="3685"/>
      <c r="AB89" s="3685"/>
      <c r="AC89" s="3685"/>
      <c r="AD89" s="3685"/>
      <c r="AE89" s="3685"/>
      <c r="AF89" s="3685"/>
      <c r="AG89" s="3685"/>
      <c r="AH89" s="3685"/>
      <c r="AI89" s="3685"/>
      <c r="AJ89" s="3685"/>
    </row>
    <row r="90" spans="1:36">
      <c r="A90" s="3685"/>
      <c r="B90" s="3685"/>
      <c r="C90" s="3685"/>
      <c r="D90" s="3685"/>
      <c r="E90" s="3685"/>
      <c r="F90" s="3685"/>
      <c r="G90" s="3685"/>
      <c r="H90" s="3685"/>
      <c r="I90" s="3685"/>
      <c r="J90" s="3685"/>
      <c r="K90" s="3685"/>
      <c r="L90" s="3685"/>
      <c r="M90" s="3685"/>
      <c r="N90" s="3685"/>
      <c r="O90" s="3685"/>
      <c r="P90" s="3685"/>
      <c r="Q90" s="3685"/>
      <c r="R90" s="3685"/>
      <c r="S90" s="3685"/>
      <c r="T90" s="3685"/>
      <c r="U90" s="3685"/>
      <c r="V90" s="3685"/>
      <c r="W90" s="3685"/>
      <c r="X90" s="3685"/>
      <c r="Y90" s="3685"/>
      <c r="Z90" s="3685"/>
      <c r="AA90" s="3685"/>
      <c r="AB90" s="3685"/>
      <c r="AC90" s="3685"/>
      <c r="AD90" s="3685"/>
      <c r="AE90" s="3685"/>
      <c r="AF90" s="3685"/>
      <c r="AG90" s="3685"/>
      <c r="AH90" s="3685"/>
      <c r="AI90" s="3685"/>
      <c r="AJ90" s="3685"/>
    </row>
    <row r="91" spans="1:36">
      <c r="A91" s="3685"/>
      <c r="B91" s="3685"/>
      <c r="C91" s="3685"/>
      <c r="D91" s="3685"/>
      <c r="E91" s="3685"/>
      <c r="F91" s="3685"/>
      <c r="G91" s="3685"/>
      <c r="H91" s="3685"/>
      <c r="I91" s="3685"/>
      <c r="J91" s="3685"/>
      <c r="K91" s="3685"/>
      <c r="L91" s="3685"/>
      <c r="M91" s="3685"/>
      <c r="N91" s="3685"/>
      <c r="O91" s="3685"/>
      <c r="P91" s="3685"/>
      <c r="Q91" s="3685"/>
      <c r="R91" s="3685"/>
      <c r="S91" s="3685"/>
      <c r="T91" s="3685"/>
      <c r="U91" s="3685"/>
      <c r="V91" s="3685"/>
      <c r="W91" s="3685"/>
      <c r="X91" s="3685"/>
      <c r="Y91" s="3685"/>
      <c r="Z91" s="3685"/>
      <c r="AA91" s="3685"/>
      <c r="AB91" s="3685"/>
      <c r="AC91" s="3685"/>
      <c r="AD91" s="3685"/>
      <c r="AE91" s="3685"/>
      <c r="AF91" s="3685"/>
      <c r="AG91" s="3685"/>
      <c r="AH91" s="3685"/>
      <c r="AI91" s="3685"/>
      <c r="AJ91" s="3685"/>
    </row>
    <row r="92" spans="1:36">
      <c r="A92" s="3685"/>
      <c r="B92" s="3685"/>
      <c r="C92" s="3685"/>
      <c r="D92" s="3685"/>
      <c r="E92" s="3685"/>
      <c r="F92" s="3685"/>
      <c r="G92" s="3685"/>
      <c r="H92" s="3685"/>
      <c r="I92" s="3685"/>
      <c r="J92" s="3685"/>
      <c r="K92" s="3685"/>
      <c r="L92" s="3685"/>
      <c r="M92" s="3685"/>
      <c r="N92" s="3685"/>
      <c r="O92" s="3685"/>
      <c r="P92" s="3685"/>
      <c r="Q92" s="3685"/>
      <c r="R92" s="3685"/>
      <c r="S92" s="3685"/>
      <c r="T92" s="3685"/>
      <c r="U92" s="3685"/>
      <c r="V92" s="3685"/>
      <c r="W92" s="3685"/>
      <c r="X92" s="3685"/>
      <c r="Y92" s="3685"/>
      <c r="Z92" s="3685"/>
      <c r="AA92" s="3685"/>
      <c r="AB92" s="3685"/>
      <c r="AC92" s="3685"/>
      <c r="AD92" s="3685"/>
      <c r="AE92" s="3685"/>
      <c r="AF92" s="3685"/>
      <c r="AG92" s="3685"/>
      <c r="AH92" s="3685"/>
      <c r="AI92" s="3685"/>
      <c r="AJ92" s="3685"/>
    </row>
    <row r="93" spans="1:36">
      <c r="A93" s="3685"/>
      <c r="B93" s="3685"/>
      <c r="C93" s="3685"/>
      <c r="D93" s="3685"/>
      <c r="E93" s="3685"/>
      <c r="F93" s="3685"/>
      <c r="G93" s="3685"/>
      <c r="H93" s="3685"/>
      <c r="I93" s="3685"/>
      <c r="J93" s="3685"/>
      <c r="K93" s="3685"/>
      <c r="L93" s="3685"/>
      <c r="M93" s="3685"/>
      <c r="N93" s="3685"/>
      <c r="O93" s="3685"/>
      <c r="P93" s="3685"/>
      <c r="Q93" s="3685"/>
      <c r="R93" s="3685"/>
      <c r="S93" s="3685"/>
      <c r="T93" s="3685"/>
      <c r="U93" s="3685"/>
      <c r="V93" s="3685"/>
      <c r="W93" s="3685"/>
      <c r="X93" s="3685"/>
      <c r="Y93" s="3685"/>
      <c r="Z93" s="3685"/>
      <c r="AA93" s="3685"/>
      <c r="AB93" s="3685"/>
      <c r="AC93" s="3685"/>
      <c r="AD93" s="3685"/>
      <c r="AE93" s="3685"/>
      <c r="AF93" s="3685"/>
      <c r="AG93" s="3685"/>
      <c r="AH93" s="3685"/>
      <c r="AI93" s="3685"/>
      <c r="AJ93" s="3685"/>
    </row>
    <row r="94" spans="1:36">
      <c r="A94" s="3685"/>
      <c r="B94" s="3685"/>
      <c r="C94" s="3685"/>
      <c r="D94" s="3685"/>
      <c r="E94" s="3685"/>
      <c r="F94" s="3685"/>
      <c r="G94" s="3685"/>
      <c r="H94" s="3685"/>
      <c r="I94" s="3685"/>
      <c r="J94" s="3685"/>
      <c r="K94" s="3685"/>
      <c r="L94" s="3685"/>
      <c r="M94" s="3685"/>
      <c r="N94" s="3685"/>
      <c r="O94" s="3685"/>
      <c r="P94" s="3685"/>
      <c r="Q94" s="3685"/>
      <c r="R94" s="3685"/>
      <c r="S94" s="3685"/>
      <c r="T94" s="3685"/>
      <c r="U94" s="3685"/>
      <c r="V94" s="3685"/>
      <c r="W94" s="3685"/>
      <c r="X94" s="3685"/>
      <c r="Y94" s="3685"/>
      <c r="Z94" s="3685"/>
      <c r="AA94" s="3685"/>
      <c r="AB94" s="3685"/>
      <c r="AC94" s="3685"/>
      <c r="AD94" s="3685"/>
      <c r="AE94" s="3685"/>
      <c r="AF94" s="3685"/>
      <c r="AG94" s="3685"/>
      <c r="AH94" s="3685"/>
      <c r="AI94" s="3685"/>
      <c r="AJ94" s="3685"/>
    </row>
    <row r="95" spans="1:36">
      <c r="A95" s="3685"/>
      <c r="B95" s="3685"/>
      <c r="C95" s="3685"/>
      <c r="D95" s="3685"/>
      <c r="E95" s="3685"/>
      <c r="F95" s="3685"/>
      <c r="G95" s="3685"/>
      <c r="H95" s="3685"/>
      <c r="I95" s="3685"/>
      <c r="J95" s="3685"/>
      <c r="K95" s="3685"/>
      <c r="L95" s="3685"/>
      <c r="M95" s="3685"/>
      <c r="N95" s="3685"/>
      <c r="O95" s="3685"/>
      <c r="P95" s="3685"/>
      <c r="Q95" s="3685"/>
      <c r="R95" s="3685"/>
      <c r="S95" s="3685"/>
      <c r="T95" s="3685"/>
      <c r="U95" s="3685"/>
      <c r="V95" s="3685"/>
      <c r="W95" s="3685"/>
      <c r="X95" s="3685"/>
      <c r="Y95" s="3685"/>
      <c r="Z95" s="3685"/>
      <c r="AA95" s="3685"/>
      <c r="AB95" s="3685"/>
      <c r="AC95" s="3685"/>
      <c r="AD95" s="3685"/>
      <c r="AE95" s="3685"/>
      <c r="AF95" s="3685"/>
      <c r="AG95" s="3685"/>
      <c r="AH95" s="3685"/>
      <c r="AI95" s="3685"/>
      <c r="AJ95" s="3685"/>
    </row>
    <row r="96" spans="1:36">
      <c r="A96" s="3685"/>
      <c r="B96" s="3685"/>
      <c r="C96" s="3685"/>
      <c r="D96" s="3685"/>
      <c r="E96" s="3685"/>
      <c r="F96" s="3685"/>
      <c r="G96" s="3685"/>
      <c r="H96" s="3685"/>
      <c r="I96" s="3685"/>
      <c r="J96" s="3685"/>
      <c r="K96" s="3685"/>
      <c r="L96" s="3685"/>
      <c r="M96" s="3685"/>
      <c r="N96" s="3685"/>
      <c r="O96" s="3685"/>
      <c r="P96" s="3685"/>
      <c r="Q96" s="3685"/>
      <c r="R96" s="3685"/>
      <c r="S96" s="3685"/>
      <c r="T96" s="3685"/>
      <c r="U96" s="3685"/>
      <c r="V96" s="3685"/>
      <c r="W96" s="3685"/>
      <c r="X96" s="3685"/>
      <c r="Y96" s="3685"/>
      <c r="Z96" s="3685"/>
      <c r="AA96" s="3685"/>
      <c r="AB96" s="3685"/>
      <c r="AC96" s="3685"/>
      <c r="AD96" s="3685"/>
      <c r="AE96" s="3685"/>
      <c r="AF96" s="3685"/>
      <c r="AG96" s="3685"/>
      <c r="AH96" s="3685"/>
      <c r="AI96" s="3685"/>
      <c r="AJ96" s="3685"/>
    </row>
    <row r="97" spans="1:36">
      <c r="A97" s="3685"/>
      <c r="B97" s="3685"/>
      <c r="C97" s="3685"/>
      <c r="D97" s="3685"/>
      <c r="E97" s="3685"/>
      <c r="F97" s="3685"/>
      <c r="G97" s="3685"/>
      <c r="H97" s="3685"/>
      <c r="I97" s="3685"/>
      <c r="J97" s="3685"/>
      <c r="K97" s="3685"/>
      <c r="L97" s="3685"/>
      <c r="M97" s="3685"/>
      <c r="N97" s="3685"/>
      <c r="O97" s="3685"/>
      <c r="P97" s="3685"/>
      <c r="Q97" s="3685"/>
      <c r="R97" s="3685"/>
      <c r="S97" s="3685"/>
      <c r="T97" s="3685"/>
      <c r="U97" s="3685"/>
      <c r="V97" s="3685"/>
      <c r="W97" s="3685"/>
      <c r="X97" s="3685"/>
      <c r="Y97" s="3685"/>
      <c r="Z97" s="3685"/>
      <c r="AA97" s="3685"/>
      <c r="AB97" s="3685"/>
      <c r="AC97" s="3685"/>
      <c r="AD97" s="3685"/>
      <c r="AE97" s="3685"/>
      <c r="AF97" s="3685"/>
      <c r="AG97" s="3685"/>
      <c r="AH97" s="3685"/>
      <c r="AI97" s="3685"/>
      <c r="AJ97" s="3685"/>
    </row>
    <row r="98" spans="1:36">
      <c r="A98" s="3685"/>
      <c r="B98" s="3685"/>
      <c r="C98" s="3685"/>
      <c r="D98" s="3685"/>
      <c r="E98" s="3685"/>
      <c r="F98" s="3685"/>
      <c r="G98" s="3685"/>
      <c r="H98" s="3685"/>
      <c r="I98" s="3685"/>
      <c r="J98" s="3685"/>
      <c r="K98" s="3685"/>
      <c r="L98" s="3685"/>
      <c r="M98" s="3685"/>
      <c r="N98" s="3685"/>
      <c r="O98" s="3685"/>
      <c r="P98" s="3685"/>
      <c r="Q98" s="3685"/>
      <c r="R98" s="3685"/>
      <c r="S98" s="3685"/>
      <c r="T98" s="3685"/>
      <c r="U98" s="3685"/>
      <c r="V98" s="3685"/>
      <c r="W98" s="3685"/>
      <c r="X98" s="3685"/>
      <c r="Y98" s="3685"/>
      <c r="Z98" s="3685"/>
      <c r="AA98" s="3685"/>
      <c r="AB98" s="3685"/>
      <c r="AC98" s="3685"/>
      <c r="AD98" s="3685"/>
      <c r="AE98" s="3685"/>
      <c r="AF98" s="3685"/>
      <c r="AG98" s="3685"/>
      <c r="AH98" s="3685"/>
      <c r="AI98" s="3685"/>
      <c r="AJ98" s="3685"/>
    </row>
    <row r="99" spans="1:36">
      <c r="A99" s="3685"/>
      <c r="B99" s="3685"/>
      <c r="C99" s="3685"/>
      <c r="D99" s="3685"/>
      <c r="E99" s="3685"/>
      <c r="F99" s="3685"/>
      <c r="G99" s="3685"/>
      <c r="H99" s="3685"/>
      <c r="I99" s="3685"/>
      <c r="J99" s="3685"/>
      <c r="K99" s="3685"/>
      <c r="L99" s="3685"/>
      <c r="M99" s="3685"/>
      <c r="N99" s="3685"/>
      <c r="O99" s="3685"/>
      <c r="P99" s="3685"/>
      <c r="Q99" s="3685"/>
      <c r="R99" s="3685"/>
      <c r="S99" s="3685"/>
      <c r="T99" s="3685"/>
      <c r="U99" s="3685"/>
      <c r="V99" s="3685"/>
      <c r="W99" s="3685"/>
      <c r="X99" s="3685"/>
      <c r="Y99" s="3685"/>
      <c r="Z99" s="3685"/>
      <c r="AA99" s="3685"/>
      <c r="AB99" s="3685"/>
      <c r="AC99" s="3685"/>
      <c r="AD99" s="3685"/>
      <c r="AE99" s="3685"/>
      <c r="AF99" s="3685"/>
      <c r="AG99" s="3685"/>
      <c r="AH99" s="3685"/>
      <c r="AI99" s="3685"/>
      <c r="AJ99" s="3685"/>
    </row>
    <row r="100" spans="1:36">
      <c r="A100" s="3685"/>
      <c r="B100" s="3685"/>
      <c r="C100" s="3685"/>
      <c r="D100" s="3685"/>
      <c r="E100" s="3685"/>
      <c r="F100" s="3685"/>
      <c r="G100" s="3685"/>
      <c r="H100" s="3685"/>
      <c r="I100" s="3685"/>
      <c r="J100" s="3685"/>
      <c r="K100" s="3685"/>
      <c r="L100" s="3685"/>
      <c r="M100" s="3685"/>
      <c r="N100" s="3685"/>
      <c r="O100" s="3685"/>
      <c r="P100" s="3685"/>
      <c r="Q100" s="3685"/>
      <c r="R100" s="3685"/>
      <c r="S100" s="3685"/>
      <c r="T100" s="3685"/>
      <c r="U100" s="3685"/>
      <c r="V100" s="3685"/>
      <c r="W100" s="3685"/>
      <c r="X100" s="3685"/>
      <c r="Y100" s="3685"/>
      <c r="Z100" s="3685"/>
      <c r="AA100" s="3685"/>
      <c r="AB100" s="3685"/>
      <c r="AC100" s="3685"/>
      <c r="AD100" s="3685"/>
      <c r="AE100" s="3685"/>
      <c r="AF100" s="3685"/>
      <c r="AG100" s="3685"/>
      <c r="AH100" s="3685"/>
      <c r="AI100" s="3685"/>
      <c r="AJ100" s="3685"/>
    </row>
    <row r="101" spans="1:36">
      <c r="A101" s="3685"/>
      <c r="B101" s="3685"/>
      <c r="C101" s="3685"/>
      <c r="D101" s="3685"/>
      <c r="E101" s="3685"/>
      <c r="F101" s="3685"/>
      <c r="G101" s="3685"/>
      <c r="H101" s="3685"/>
      <c r="I101" s="3685"/>
      <c r="J101" s="3685"/>
      <c r="K101" s="3685"/>
      <c r="L101" s="3685"/>
      <c r="M101" s="3685"/>
      <c r="N101" s="3685"/>
      <c r="O101" s="3685"/>
      <c r="P101" s="3685"/>
      <c r="Q101" s="3685"/>
      <c r="R101" s="3685"/>
      <c r="S101" s="3685"/>
      <c r="T101" s="3685"/>
      <c r="U101" s="3685"/>
      <c r="V101" s="3685"/>
      <c r="W101" s="3685"/>
      <c r="X101" s="3685"/>
      <c r="Y101" s="3685"/>
      <c r="Z101" s="3685"/>
      <c r="AA101" s="3685"/>
      <c r="AB101" s="3685"/>
      <c r="AC101" s="3685"/>
      <c r="AD101" s="3685"/>
      <c r="AE101" s="3685"/>
      <c r="AF101" s="3685"/>
      <c r="AG101" s="3685"/>
      <c r="AH101" s="3685"/>
      <c r="AI101" s="3685"/>
      <c r="AJ101" s="3685"/>
    </row>
    <row r="102" spans="1:36">
      <c r="A102" s="3685"/>
      <c r="B102" s="3685"/>
      <c r="C102" s="3685"/>
      <c r="D102" s="3685"/>
      <c r="E102" s="3685"/>
      <c r="F102" s="3685"/>
      <c r="G102" s="3685"/>
      <c r="H102" s="3685"/>
      <c r="I102" s="3685"/>
      <c r="J102" s="3685"/>
      <c r="K102" s="3685"/>
      <c r="L102" s="3685"/>
      <c r="M102" s="3685"/>
      <c r="N102" s="3685"/>
      <c r="O102" s="3685"/>
      <c r="P102" s="3685"/>
      <c r="Q102" s="3685"/>
      <c r="R102" s="3685"/>
      <c r="S102" s="3685"/>
      <c r="T102" s="3685"/>
      <c r="U102" s="3685"/>
      <c r="V102" s="3685"/>
      <c r="W102" s="3685"/>
      <c r="X102" s="3685"/>
      <c r="Y102" s="3685"/>
      <c r="Z102" s="3685"/>
      <c r="AA102" s="3685"/>
      <c r="AB102" s="3685"/>
      <c r="AC102" s="3685"/>
      <c r="AD102" s="3685"/>
      <c r="AE102" s="3685"/>
      <c r="AF102" s="3685"/>
      <c r="AG102" s="3685"/>
      <c r="AH102" s="3685"/>
      <c r="AI102" s="3685"/>
      <c r="AJ102" s="3685"/>
    </row>
    <row r="103" spans="1:36">
      <c r="A103" s="3685"/>
      <c r="B103" s="3685"/>
      <c r="C103" s="3685"/>
      <c r="D103" s="3685"/>
      <c r="E103" s="3685"/>
      <c r="F103" s="3685"/>
      <c r="G103" s="3685"/>
      <c r="H103" s="3685"/>
      <c r="I103" s="3685"/>
      <c r="J103" s="3685"/>
      <c r="K103" s="3685"/>
      <c r="L103" s="3685"/>
      <c r="M103" s="3685"/>
      <c r="N103" s="3685"/>
      <c r="O103" s="3685"/>
      <c r="P103" s="3685"/>
      <c r="Q103" s="3685"/>
      <c r="R103" s="3685"/>
      <c r="S103" s="3685"/>
      <c r="T103" s="3685"/>
      <c r="U103" s="3685"/>
      <c r="V103" s="3685"/>
      <c r="W103" s="3685"/>
      <c r="X103" s="3685"/>
      <c r="Y103" s="3685"/>
      <c r="Z103" s="3685"/>
      <c r="AA103" s="3685"/>
      <c r="AB103" s="3685"/>
      <c r="AC103" s="3685"/>
      <c r="AD103" s="3685"/>
      <c r="AE103" s="3685"/>
      <c r="AF103" s="3685"/>
      <c r="AG103" s="3685"/>
      <c r="AH103" s="3685"/>
      <c r="AI103" s="3685"/>
      <c r="AJ103" s="3685"/>
    </row>
    <row r="104" spans="1:36">
      <c r="A104" s="3685"/>
      <c r="B104" s="3685"/>
      <c r="C104" s="3685"/>
      <c r="D104" s="3685"/>
      <c r="E104" s="3685"/>
      <c r="F104" s="3685"/>
      <c r="G104" s="3685"/>
      <c r="H104" s="3685"/>
      <c r="I104" s="3685"/>
      <c r="J104" s="3685"/>
      <c r="K104" s="3685"/>
      <c r="L104" s="3685"/>
      <c r="M104" s="3685"/>
      <c r="N104" s="3685"/>
      <c r="O104" s="3685"/>
      <c r="P104" s="3685"/>
      <c r="Q104" s="3685"/>
      <c r="R104" s="3685"/>
      <c r="S104" s="3685"/>
      <c r="T104" s="3685"/>
      <c r="U104" s="3685"/>
      <c r="V104" s="3685"/>
      <c r="W104" s="3685"/>
      <c r="X104" s="3685"/>
      <c r="Y104" s="3685"/>
      <c r="Z104" s="3685"/>
      <c r="AA104" s="3685"/>
      <c r="AB104" s="3685"/>
      <c r="AC104" s="3685"/>
      <c r="AD104" s="3685"/>
      <c r="AE104" s="3685"/>
      <c r="AF104" s="3685"/>
      <c r="AG104" s="3685"/>
      <c r="AH104" s="3685"/>
      <c r="AI104" s="3685"/>
      <c r="AJ104" s="3685"/>
    </row>
    <row r="105" spans="1:36">
      <c r="A105" s="3685"/>
      <c r="B105" s="3685"/>
      <c r="C105" s="3685"/>
      <c r="D105" s="3685"/>
      <c r="E105" s="3685"/>
      <c r="F105" s="3685"/>
      <c r="G105" s="3685"/>
      <c r="H105" s="3685"/>
      <c r="I105" s="3685"/>
      <c r="J105" s="3685"/>
      <c r="K105" s="3685"/>
      <c r="L105" s="3685"/>
      <c r="M105" s="3685"/>
      <c r="N105" s="3685"/>
      <c r="O105" s="3685"/>
      <c r="P105" s="3685"/>
      <c r="Q105" s="3685"/>
      <c r="R105" s="3685"/>
      <c r="S105" s="3685"/>
      <c r="T105" s="3685"/>
      <c r="U105" s="3685"/>
      <c r="V105" s="3685"/>
      <c r="W105" s="3685"/>
      <c r="X105" s="3685"/>
      <c r="Y105" s="3685"/>
      <c r="Z105" s="3685"/>
      <c r="AA105" s="3685"/>
      <c r="AB105" s="3685"/>
      <c r="AC105" s="3685"/>
      <c r="AD105" s="3685"/>
      <c r="AE105" s="3685"/>
      <c r="AF105" s="3685"/>
      <c r="AG105" s="3685"/>
      <c r="AH105" s="3685"/>
      <c r="AI105" s="3685"/>
      <c r="AJ105" s="3685"/>
    </row>
    <row r="106" spans="1:36">
      <c r="A106" s="3685"/>
      <c r="B106" s="3685"/>
      <c r="C106" s="3685"/>
      <c r="D106" s="3685"/>
      <c r="E106" s="3685"/>
      <c r="F106" s="3685"/>
      <c r="G106" s="3685"/>
      <c r="H106" s="3685"/>
      <c r="I106" s="3685"/>
      <c r="J106" s="3685"/>
      <c r="K106" s="3685"/>
      <c r="L106" s="3685"/>
      <c r="M106" s="3685"/>
      <c r="N106" s="3685"/>
      <c r="O106" s="3685"/>
      <c r="P106" s="3685"/>
      <c r="Q106" s="3685"/>
      <c r="R106" s="3685"/>
      <c r="S106" s="3685"/>
      <c r="T106" s="3685"/>
      <c r="U106" s="3685"/>
      <c r="V106" s="3685"/>
      <c r="W106" s="3685"/>
      <c r="X106" s="3685"/>
      <c r="Y106" s="3685"/>
      <c r="Z106" s="3685"/>
      <c r="AA106" s="3685"/>
      <c r="AB106" s="3685"/>
      <c r="AC106" s="3685"/>
      <c r="AD106" s="3685"/>
      <c r="AE106" s="3685"/>
      <c r="AF106" s="3685"/>
      <c r="AG106" s="3685"/>
      <c r="AH106" s="3685"/>
      <c r="AI106" s="3685"/>
      <c r="AJ106" s="3685"/>
    </row>
    <row r="107" spans="1:36">
      <c r="A107" s="3685"/>
      <c r="B107" s="3685"/>
      <c r="C107" s="3685"/>
      <c r="D107" s="3685"/>
      <c r="E107" s="3685"/>
      <c r="F107" s="3685"/>
      <c r="G107" s="3685"/>
      <c r="H107" s="3685"/>
      <c r="I107" s="3685"/>
      <c r="J107" s="3685"/>
      <c r="K107" s="3685"/>
      <c r="L107" s="3685"/>
      <c r="M107" s="3685"/>
      <c r="N107" s="3685"/>
      <c r="O107" s="3685"/>
      <c r="P107" s="3685"/>
      <c r="Q107" s="3685"/>
      <c r="R107" s="3685"/>
      <c r="S107" s="3685"/>
      <c r="T107" s="3685"/>
      <c r="U107" s="3685"/>
      <c r="V107" s="3685"/>
      <c r="W107" s="3685"/>
      <c r="X107" s="3685"/>
      <c r="Y107" s="3685"/>
      <c r="Z107" s="3685"/>
      <c r="AA107" s="3685"/>
      <c r="AB107" s="3685"/>
      <c r="AC107" s="3685"/>
      <c r="AD107" s="3685"/>
      <c r="AE107" s="3685"/>
      <c r="AF107" s="3685"/>
      <c r="AG107" s="3685"/>
      <c r="AH107" s="3685"/>
      <c r="AI107" s="3685"/>
      <c r="AJ107" s="3685"/>
    </row>
    <row r="108" spans="1:36">
      <c r="A108" s="3685"/>
      <c r="B108" s="3685"/>
      <c r="C108" s="3685"/>
      <c r="D108" s="3685"/>
      <c r="E108" s="3685"/>
      <c r="F108" s="3685"/>
      <c r="G108" s="3685"/>
      <c r="H108" s="3685"/>
      <c r="I108" s="3685"/>
      <c r="J108" s="3685"/>
      <c r="K108" s="3685"/>
      <c r="L108" s="3685"/>
      <c r="M108" s="3685"/>
      <c r="N108" s="3685"/>
      <c r="O108" s="3685"/>
      <c r="P108" s="3685"/>
      <c r="Q108" s="3685"/>
      <c r="R108" s="3685"/>
      <c r="S108" s="3685"/>
      <c r="T108" s="3685"/>
      <c r="U108" s="3685"/>
      <c r="V108" s="3685"/>
      <c r="W108" s="3685"/>
      <c r="X108" s="3685"/>
      <c r="Y108" s="3685"/>
      <c r="Z108" s="3685"/>
      <c r="AA108" s="3685"/>
      <c r="AB108" s="3685"/>
      <c r="AC108" s="3685"/>
      <c r="AD108" s="3685"/>
      <c r="AE108" s="3685"/>
      <c r="AF108" s="3685"/>
      <c r="AG108" s="3685"/>
      <c r="AH108" s="3685"/>
      <c r="AI108" s="3685"/>
      <c r="AJ108" s="3685"/>
    </row>
    <row r="109" spans="1:36">
      <c r="A109" s="3685"/>
      <c r="B109" s="3685"/>
      <c r="C109" s="3685"/>
      <c r="D109" s="3685"/>
      <c r="E109" s="3685"/>
      <c r="F109" s="3685"/>
      <c r="G109" s="3685"/>
      <c r="H109" s="3685"/>
      <c r="I109" s="3685"/>
      <c r="J109" s="3685"/>
      <c r="K109" s="3685"/>
      <c r="L109" s="3685"/>
      <c r="M109" s="3685"/>
      <c r="N109" s="3685"/>
      <c r="O109" s="3685"/>
      <c r="P109" s="3685"/>
      <c r="Q109" s="3685"/>
      <c r="R109" s="3685"/>
      <c r="S109" s="3685"/>
      <c r="T109" s="3685"/>
      <c r="U109" s="3685"/>
      <c r="V109" s="3685"/>
      <c r="W109" s="3685"/>
      <c r="X109" s="3685"/>
      <c r="Y109" s="3685"/>
      <c r="Z109" s="3685"/>
      <c r="AA109" s="3685"/>
      <c r="AB109" s="3685"/>
      <c r="AC109" s="3685"/>
      <c r="AD109" s="3685"/>
      <c r="AE109" s="3685"/>
      <c r="AF109" s="3685"/>
      <c r="AG109" s="3685"/>
      <c r="AH109" s="3685"/>
      <c r="AI109" s="3685"/>
      <c r="AJ109" s="3685"/>
    </row>
    <row r="110" spans="1:36">
      <c r="A110" s="3685"/>
      <c r="B110" s="3685"/>
      <c r="C110" s="3685"/>
      <c r="D110" s="3685"/>
      <c r="E110" s="3685"/>
      <c r="F110" s="3685"/>
      <c r="G110" s="3685"/>
      <c r="H110" s="3685"/>
      <c r="I110" s="3685"/>
      <c r="J110" s="3685"/>
      <c r="K110" s="3685"/>
      <c r="L110" s="3685"/>
      <c r="M110" s="3685"/>
      <c r="N110" s="3685"/>
      <c r="O110" s="3685"/>
      <c r="P110" s="3685"/>
      <c r="Q110" s="3685"/>
      <c r="R110" s="3685"/>
      <c r="S110" s="3685"/>
      <c r="T110" s="3685"/>
      <c r="U110" s="3685"/>
      <c r="V110" s="3685"/>
      <c r="W110" s="3685"/>
      <c r="X110" s="3685"/>
      <c r="Y110" s="3685"/>
      <c r="Z110" s="3685"/>
      <c r="AA110" s="3685"/>
      <c r="AB110" s="3685"/>
      <c r="AC110" s="3685"/>
      <c r="AD110" s="3685"/>
      <c r="AE110" s="3685"/>
      <c r="AF110" s="3685"/>
      <c r="AG110" s="3685"/>
      <c r="AH110" s="3685"/>
      <c r="AI110" s="3685"/>
      <c r="AJ110" s="3685"/>
    </row>
    <row r="111" spans="1:36">
      <c r="A111" s="3685"/>
      <c r="B111" s="3685"/>
      <c r="C111" s="3685"/>
      <c r="D111" s="3685"/>
      <c r="E111" s="3685"/>
      <c r="F111" s="3685"/>
      <c r="G111" s="3685"/>
      <c r="H111" s="3685"/>
      <c r="I111" s="3685"/>
      <c r="J111" s="3685"/>
      <c r="K111" s="3685"/>
      <c r="L111" s="3685"/>
      <c r="M111" s="3685"/>
      <c r="N111" s="3685"/>
      <c r="O111" s="3685"/>
      <c r="P111" s="3685"/>
      <c r="Q111" s="3685"/>
      <c r="R111" s="3685"/>
      <c r="S111" s="3685"/>
      <c r="T111" s="3685"/>
      <c r="U111" s="3685"/>
      <c r="V111" s="3685"/>
      <c r="W111" s="3685"/>
      <c r="X111" s="3685"/>
      <c r="Y111" s="3685"/>
      <c r="Z111" s="3685"/>
      <c r="AA111" s="3685"/>
      <c r="AB111" s="3685"/>
      <c r="AC111" s="3685"/>
      <c r="AD111" s="3685"/>
      <c r="AE111" s="3685"/>
      <c r="AF111" s="3685"/>
      <c r="AG111" s="3685"/>
      <c r="AH111" s="3685"/>
      <c r="AI111" s="3685"/>
      <c r="AJ111" s="3685"/>
    </row>
    <row r="112" spans="1:36">
      <c r="A112" s="3685"/>
      <c r="B112" s="3685"/>
      <c r="C112" s="3685"/>
      <c r="D112" s="3685"/>
      <c r="E112" s="3685"/>
      <c r="F112" s="3685"/>
      <c r="G112" s="3685"/>
      <c r="H112" s="3685"/>
      <c r="I112" s="3685"/>
      <c r="J112" s="3685"/>
      <c r="K112" s="3685"/>
      <c r="L112" s="3685"/>
      <c r="M112" s="3685"/>
      <c r="N112" s="3685"/>
      <c r="O112" s="3685"/>
      <c r="P112" s="3685"/>
      <c r="Q112" s="3685"/>
      <c r="R112" s="3685"/>
      <c r="S112" s="3685"/>
      <c r="T112" s="3685"/>
      <c r="U112" s="3685"/>
      <c r="V112" s="3685"/>
      <c r="W112" s="3685"/>
      <c r="X112" s="3685"/>
      <c r="Y112" s="3685"/>
      <c r="Z112" s="3685"/>
      <c r="AA112" s="3685"/>
      <c r="AB112" s="3685"/>
      <c r="AC112" s="3685"/>
      <c r="AD112" s="3685"/>
      <c r="AE112" s="3685"/>
      <c r="AF112" s="3685"/>
      <c r="AG112" s="3685"/>
      <c r="AH112" s="3685"/>
      <c r="AI112" s="3685"/>
      <c r="AJ112" s="3685"/>
    </row>
    <row r="113" spans="1:36">
      <c r="A113" s="3685"/>
      <c r="B113" s="3685"/>
      <c r="C113" s="3685"/>
      <c r="D113" s="3685"/>
      <c r="E113" s="3685"/>
      <c r="F113" s="3685"/>
      <c r="G113" s="3685"/>
      <c r="H113" s="3685"/>
      <c r="I113" s="3685"/>
      <c r="J113" s="3685"/>
      <c r="K113" s="3685"/>
      <c r="L113" s="3685"/>
      <c r="M113" s="3685"/>
      <c r="N113" s="3685"/>
      <c r="O113" s="3685"/>
      <c r="P113" s="3685"/>
      <c r="Q113" s="3685"/>
      <c r="R113" s="3685"/>
      <c r="S113" s="3685"/>
      <c r="T113" s="3685"/>
      <c r="U113" s="3685"/>
      <c r="V113" s="3685"/>
      <c r="W113" s="3685"/>
      <c r="X113" s="3685"/>
      <c r="Y113" s="3685"/>
      <c r="Z113" s="3685"/>
      <c r="AA113" s="3685"/>
      <c r="AB113" s="3685"/>
      <c r="AC113" s="3685"/>
      <c r="AD113" s="3685"/>
      <c r="AE113" s="3685"/>
      <c r="AF113" s="3685"/>
      <c r="AG113" s="3685"/>
      <c r="AH113" s="3685"/>
      <c r="AI113" s="3685"/>
      <c r="AJ113" s="3685"/>
    </row>
    <row r="114" spans="1:36">
      <c r="A114" s="3685"/>
      <c r="B114" s="3685"/>
      <c r="C114" s="3685"/>
      <c r="D114" s="3685"/>
      <c r="E114" s="3685"/>
      <c r="F114" s="3685"/>
      <c r="G114" s="3685"/>
      <c r="H114" s="3685"/>
      <c r="I114" s="3685"/>
      <c r="J114" s="3685"/>
      <c r="K114" s="3685"/>
      <c r="L114" s="3685"/>
      <c r="M114" s="3685"/>
      <c r="N114" s="3685"/>
      <c r="O114" s="3685"/>
      <c r="P114" s="3685"/>
      <c r="Q114" s="3685"/>
      <c r="R114" s="3685"/>
      <c r="S114" s="3685"/>
      <c r="T114" s="3685"/>
      <c r="U114" s="3685"/>
      <c r="V114" s="3685"/>
      <c r="W114" s="3685"/>
      <c r="X114" s="3685"/>
      <c r="Y114" s="3685"/>
      <c r="Z114" s="3685"/>
      <c r="AA114" s="3685"/>
      <c r="AB114" s="3685"/>
      <c r="AC114" s="3685"/>
      <c r="AD114" s="3685"/>
      <c r="AE114" s="3685"/>
      <c r="AF114" s="3685"/>
      <c r="AG114" s="3685"/>
      <c r="AH114" s="3685"/>
      <c r="AI114" s="3685"/>
      <c r="AJ114" s="3685"/>
    </row>
    <row r="115" spans="1:36">
      <c r="A115" s="3685"/>
      <c r="B115" s="3685"/>
      <c r="C115" s="3685"/>
      <c r="D115" s="3685"/>
      <c r="E115" s="3685"/>
      <c r="F115" s="3685"/>
      <c r="G115" s="3685"/>
      <c r="H115" s="3685"/>
      <c r="I115" s="3685"/>
      <c r="J115" s="3685"/>
      <c r="K115" s="3685"/>
      <c r="L115" s="3685"/>
      <c r="M115" s="3685"/>
      <c r="N115" s="3685"/>
      <c r="O115" s="3685"/>
      <c r="P115" s="3685"/>
      <c r="Q115" s="3685"/>
      <c r="R115" s="3685"/>
      <c r="S115" s="3685"/>
      <c r="T115" s="3685"/>
      <c r="U115" s="3685"/>
      <c r="V115" s="3685"/>
      <c r="W115" s="3685"/>
      <c r="X115" s="3685"/>
      <c r="Y115" s="3685"/>
      <c r="Z115" s="3685"/>
      <c r="AA115" s="3685"/>
      <c r="AB115" s="3685"/>
      <c r="AC115" s="3685"/>
      <c r="AD115" s="3685"/>
      <c r="AE115" s="3685"/>
      <c r="AF115" s="3685"/>
      <c r="AG115" s="3685"/>
      <c r="AH115" s="3685"/>
      <c r="AI115" s="3685"/>
      <c r="AJ115" s="3685"/>
    </row>
    <row r="116" spans="1:36">
      <c r="A116" s="3685"/>
      <c r="B116" s="3685"/>
      <c r="C116" s="3685"/>
      <c r="D116" s="3685"/>
      <c r="E116" s="3685"/>
      <c r="F116" s="3685"/>
      <c r="G116" s="3685"/>
      <c r="H116" s="3685"/>
      <c r="I116" s="3685"/>
      <c r="J116" s="3685"/>
      <c r="K116" s="3685"/>
      <c r="L116" s="3685"/>
      <c r="M116" s="3685"/>
      <c r="N116" s="3685"/>
      <c r="O116" s="3685"/>
      <c r="P116" s="3685"/>
      <c r="Q116" s="3685"/>
      <c r="R116" s="3685"/>
      <c r="S116" s="3685"/>
      <c r="T116" s="3685"/>
      <c r="U116" s="3685"/>
      <c r="V116" s="3685"/>
      <c r="W116" s="3685"/>
      <c r="X116" s="3685"/>
      <c r="Y116" s="3685"/>
      <c r="Z116" s="3685"/>
      <c r="AA116" s="3685"/>
      <c r="AB116" s="3685"/>
      <c r="AC116" s="3685"/>
      <c r="AD116" s="3685"/>
      <c r="AE116" s="3685"/>
      <c r="AF116" s="3685"/>
      <c r="AG116" s="3685"/>
      <c r="AH116" s="3685"/>
      <c r="AI116" s="3685"/>
      <c r="AJ116" s="3685"/>
    </row>
    <row r="117" spans="1:36">
      <c r="A117" s="3685"/>
      <c r="B117" s="3685"/>
      <c r="C117" s="3685"/>
      <c r="D117" s="3685"/>
      <c r="E117" s="3685"/>
      <c r="F117" s="3685"/>
      <c r="G117" s="3685"/>
      <c r="H117" s="3685"/>
      <c r="I117" s="3685"/>
      <c r="J117" s="3685"/>
      <c r="K117" s="3685"/>
      <c r="L117" s="3685"/>
      <c r="M117" s="3685"/>
      <c r="N117" s="3685"/>
      <c r="O117" s="3685"/>
      <c r="P117" s="3685"/>
      <c r="Q117" s="3685"/>
      <c r="R117" s="3685"/>
      <c r="S117" s="3685"/>
      <c r="T117" s="3685"/>
      <c r="U117" s="3685"/>
      <c r="V117" s="3685"/>
      <c r="W117" s="3685"/>
      <c r="X117" s="3685"/>
      <c r="Y117" s="3685"/>
      <c r="Z117" s="3685"/>
      <c r="AA117" s="3685"/>
      <c r="AB117" s="3685"/>
      <c r="AC117" s="3685"/>
      <c r="AD117" s="3685"/>
      <c r="AE117" s="3685"/>
      <c r="AF117" s="3685"/>
      <c r="AG117" s="3685"/>
      <c r="AH117" s="3685"/>
      <c r="AI117" s="3685"/>
      <c r="AJ117" s="3685"/>
    </row>
    <row r="118" spans="1:36">
      <c r="A118" s="3685"/>
      <c r="B118" s="3685"/>
      <c r="C118" s="3685"/>
      <c r="D118" s="3685"/>
      <c r="E118" s="3685"/>
      <c r="F118" s="3685"/>
      <c r="G118" s="3685"/>
      <c r="H118" s="3685"/>
      <c r="I118" s="3685"/>
      <c r="J118" s="3685"/>
      <c r="K118" s="3685"/>
      <c r="L118" s="3685"/>
      <c r="M118" s="3685"/>
      <c r="N118" s="3685"/>
      <c r="O118" s="3685"/>
      <c r="P118" s="3685"/>
      <c r="Q118" s="3685"/>
      <c r="R118" s="3685"/>
      <c r="S118" s="3685"/>
      <c r="T118" s="3685"/>
      <c r="U118" s="3685"/>
      <c r="V118" s="3685"/>
      <c r="W118" s="3685"/>
      <c r="X118" s="3685"/>
      <c r="Y118" s="3685"/>
      <c r="Z118" s="3685"/>
      <c r="AA118" s="3685"/>
      <c r="AB118" s="3685"/>
      <c r="AC118" s="3685"/>
      <c r="AD118" s="3685"/>
      <c r="AE118" s="3685"/>
      <c r="AF118" s="3685"/>
      <c r="AG118" s="3685"/>
      <c r="AH118" s="3685"/>
      <c r="AI118" s="3685"/>
      <c r="AJ118" s="3685"/>
    </row>
    <row r="119" spans="1:36">
      <c r="A119" s="3685"/>
      <c r="B119" s="3685"/>
      <c r="C119" s="3685"/>
      <c r="D119" s="3685"/>
      <c r="E119" s="3685"/>
      <c r="F119" s="3685"/>
      <c r="G119" s="3685"/>
      <c r="H119" s="3685"/>
      <c r="I119" s="3685"/>
      <c r="J119" s="3685"/>
      <c r="K119" s="3685"/>
      <c r="L119" s="3685"/>
      <c r="M119" s="3685"/>
      <c r="N119" s="3685"/>
      <c r="O119" s="3685"/>
      <c r="P119" s="3685"/>
      <c r="Q119" s="3685"/>
      <c r="R119" s="3685"/>
      <c r="S119" s="3685"/>
      <c r="T119" s="3685"/>
      <c r="U119" s="3685"/>
      <c r="V119" s="3685"/>
      <c r="W119" s="3685"/>
      <c r="X119" s="3685"/>
      <c r="Y119" s="3685"/>
      <c r="Z119" s="3685"/>
      <c r="AA119" s="3685"/>
      <c r="AB119" s="3685"/>
      <c r="AC119" s="3685"/>
      <c r="AD119" s="3685"/>
      <c r="AE119" s="3685"/>
      <c r="AF119" s="3685"/>
      <c r="AG119" s="3685"/>
      <c r="AH119" s="3685"/>
      <c r="AI119" s="3685"/>
      <c r="AJ119" s="3685"/>
    </row>
    <row r="120" spans="1:36">
      <c r="A120" s="3685"/>
      <c r="B120" s="3685"/>
      <c r="C120" s="3685"/>
      <c r="D120" s="3685"/>
      <c r="E120" s="3685"/>
      <c r="F120" s="3685"/>
      <c r="G120" s="3685"/>
      <c r="H120" s="3685"/>
      <c r="I120" s="3685"/>
      <c r="J120" s="3685"/>
      <c r="K120" s="3685"/>
      <c r="L120" s="3685"/>
      <c r="M120" s="3685"/>
      <c r="N120" s="3685"/>
      <c r="O120" s="3685"/>
      <c r="P120" s="3685"/>
      <c r="Q120" s="3685"/>
      <c r="R120" s="3685"/>
      <c r="S120" s="3685"/>
      <c r="T120" s="3685"/>
      <c r="U120" s="3685"/>
      <c r="V120" s="3685"/>
      <c r="W120" s="3685"/>
      <c r="X120" s="3685"/>
      <c r="Y120" s="3685"/>
      <c r="Z120" s="3685"/>
      <c r="AA120" s="3685"/>
      <c r="AB120" s="3685"/>
      <c r="AC120" s="3685"/>
      <c r="AD120" s="3685"/>
      <c r="AE120" s="3685"/>
      <c r="AF120" s="3685"/>
      <c r="AG120" s="3685"/>
      <c r="AH120" s="3685"/>
      <c r="AI120" s="3685"/>
      <c r="AJ120" s="3685"/>
    </row>
    <row r="121" spans="1:36">
      <c r="A121" s="3685"/>
      <c r="B121" s="3685"/>
      <c r="C121" s="3685"/>
      <c r="D121" s="3685"/>
      <c r="E121" s="3685"/>
      <c r="F121" s="3685"/>
      <c r="G121" s="3685"/>
      <c r="H121" s="3685"/>
      <c r="I121" s="3685"/>
      <c r="J121" s="3685"/>
      <c r="K121" s="3685"/>
      <c r="L121" s="3685"/>
      <c r="M121" s="3685"/>
      <c r="N121" s="3685"/>
      <c r="O121" s="3685"/>
      <c r="P121" s="3685"/>
      <c r="Q121" s="3685"/>
      <c r="R121" s="3685"/>
      <c r="S121" s="3685"/>
      <c r="T121" s="3685"/>
      <c r="U121" s="3685"/>
      <c r="V121" s="3685"/>
      <c r="W121" s="3685"/>
      <c r="X121" s="3685"/>
      <c r="Y121" s="3685"/>
      <c r="Z121" s="3685"/>
      <c r="AA121" s="3685"/>
      <c r="AB121" s="3685"/>
      <c r="AC121" s="3685"/>
      <c r="AD121" s="3685"/>
      <c r="AE121" s="3685"/>
      <c r="AF121" s="3685"/>
      <c r="AG121" s="3685"/>
      <c r="AH121" s="3685"/>
      <c r="AI121" s="3685"/>
      <c r="AJ121" s="3685"/>
    </row>
    <row r="122" spans="1:36">
      <c r="A122" s="3685"/>
      <c r="B122" s="3685"/>
      <c r="C122" s="3685"/>
      <c r="D122" s="3685"/>
      <c r="E122" s="3685"/>
      <c r="F122" s="3685"/>
      <c r="G122" s="3685"/>
      <c r="H122" s="3685"/>
      <c r="I122" s="3685"/>
      <c r="J122" s="3685"/>
      <c r="K122" s="3685"/>
      <c r="L122" s="3685"/>
      <c r="M122" s="3685"/>
      <c r="N122" s="3685"/>
      <c r="O122" s="3685"/>
      <c r="P122" s="3685"/>
      <c r="Q122" s="3685"/>
      <c r="R122" s="3685"/>
      <c r="S122" s="3685"/>
      <c r="T122" s="3685"/>
      <c r="U122" s="3685"/>
      <c r="V122" s="3685"/>
      <c r="W122" s="3685"/>
      <c r="X122" s="3685"/>
      <c r="Y122" s="3685"/>
      <c r="Z122" s="3685"/>
      <c r="AA122" s="3685"/>
      <c r="AB122" s="3685"/>
      <c r="AC122" s="3685"/>
      <c r="AD122" s="3685"/>
      <c r="AE122" s="3685"/>
      <c r="AF122" s="3685"/>
      <c r="AG122" s="3685"/>
      <c r="AH122" s="3685"/>
      <c r="AI122" s="3685"/>
      <c r="AJ122" s="3685"/>
    </row>
    <row r="123" spans="1:36">
      <c r="A123" s="3685"/>
      <c r="B123" s="3685"/>
      <c r="C123" s="3685"/>
      <c r="D123" s="3685"/>
      <c r="E123" s="3685"/>
      <c r="F123" s="3685"/>
      <c r="G123" s="3685"/>
      <c r="H123" s="3685"/>
      <c r="I123" s="3685"/>
      <c r="J123" s="3685"/>
      <c r="K123" s="3685"/>
      <c r="L123" s="3685"/>
      <c r="M123" s="3685"/>
      <c r="N123" s="3685"/>
      <c r="O123" s="3685"/>
      <c r="P123" s="3685"/>
      <c r="Q123" s="3685"/>
      <c r="R123" s="3685"/>
      <c r="S123" s="3685"/>
      <c r="T123" s="3685"/>
      <c r="U123" s="3685"/>
      <c r="V123" s="3685"/>
      <c r="W123" s="3685"/>
      <c r="X123" s="3685"/>
      <c r="Y123" s="3685"/>
      <c r="Z123" s="3685"/>
      <c r="AA123" s="3685"/>
      <c r="AB123" s="3685"/>
      <c r="AC123" s="3685"/>
      <c r="AD123" s="3685"/>
      <c r="AE123" s="3685"/>
      <c r="AF123" s="3685"/>
      <c r="AG123" s="3685"/>
      <c r="AH123" s="3685"/>
      <c r="AI123" s="3685"/>
      <c r="AJ123" s="3685"/>
    </row>
    <row r="124" spans="1:36">
      <c r="A124" s="3685"/>
      <c r="B124" s="3685"/>
      <c r="C124" s="3685"/>
      <c r="D124" s="3685"/>
      <c r="E124" s="3685"/>
      <c r="F124" s="3685"/>
      <c r="G124" s="3685"/>
      <c r="H124" s="3685"/>
      <c r="I124" s="3685"/>
      <c r="J124" s="3685"/>
      <c r="K124" s="3685"/>
      <c r="L124" s="3685"/>
      <c r="M124" s="3685"/>
      <c r="N124" s="3685"/>
      <c r="O124" s="3685"/>
      <c r="P124" s="3685"/>
      <c r="Q124" s="3685"/>
      <c r="R124" s="3685"/>
      <c r="S124" s="3685"/>
      <c r="T124" s="3685"/>
      <c r="U124" s="3685"/>
      <c r="V124" s="3685"/>
      <c r="W124" s="3685"/>
      <c r="X124" s="3685"/>
      <c r="Y124" s="3685"/>
      <c r="Z124" s="3685"/>
      <c r="AA124" s="3685"/>
      <c r="AB124" s="3685"/>
      <c r="AC124" s="3685"/>
      <c r="AD124" s="3685"/>
      <c r="AE124" s="3685"/>
      <c r="AF124" s="3685"/>
      <c r="AG124" s="3685"/>
      <c r="AH124" s="3685"/>
      <c r="AI124" s="3685"/>
      <c r="AJ124" s="3685"/>
    </row>
    <row r="125" spans="1:36">
      <c r="A125" s="3685"/>
      <c r="B125" s="3685"/>
      <c r="C125" s="3685"/>
      <c r="D125" s="3685"/>
      <c r="E125" s="3685"/>
      <c r="F125" s="3685"/>
      <c r="G125" s="3685"/>
      <c r="H125" s="3685"/>
      <c r="I125" s="3685"/>
      <c r="J125" s="3685"/>
      <c r="K125" s="3685"/>
      <c r="L125" s="3685"/>
      <c r="M125" s="3685"/>
      <c r="N125" s="3685"/>
      <c r="O125" s="3685"/>
      <c r="P125" s="3685"/>
      <c r="Q125" s="3685"/>
      <c r="R125" s="3685"/>
      <c r="S125" s="3685"/>
      <c r="T125" s="3685"/>
      <c r="U125" s="3685"/>
      <c r="V125" s="3685"/>
      <c r="W125" s="3685"/>
      <c r="X125" s="3685"/>
      <c r="Y125" s="3685"/>
      <c r="Z125" s="3685"/>
      <c r="AA125" s="3685"/>
      <c r="AB125" s="3685"/>
      <c r="AC125" s="3685"/>
      <c r="AD125" s="3685"/>
      <c r="AE125" s="3685"/>
      <c r="AF125" s="3685"/>
      <c r="AG125" s="3685"/>
      <c r="AH125" s="3685"/>
      <c r="AI125" s="3685"/>
      <c r="AJ125" s="3685"/>
    </row>
    <row r="126" spans="1:36">
      <c r="A126" s="3685"/>
      <c r="B126" s="3685"/>
      <c r="C126" s="3685"/>
      <c r="D126" s="3685"/>
      <c r="E126" s="3685"/>
      <c r="F126" s="3685"/>
      <c r="G126" s="3685"/>
      <c r="H126" s="3685"/>
      <c r="I126" s="3685"/>
      <c r="J126" s="3685"/>
      <c r="K126" s="3685"/>
      <c r="L126" s="3685"/>
      <c r="M126" s="3685"/>
      <c r="N126" s="3685"/>
      <c r="O126" s="3685"/>
      <c r="P126" s="3685"/>
      <c r="Q126" s="3685"/>
      <c r="R126" s="3685"/>
      <c r="S126" s="3685"/>
      <c r="T126" s="3685"/>
      <c r="U126" s="3685"/>
      <c r="V126" s="3685"/>
      <c r="W126" s="3685"/>
      <c r="X126" s="3685"/>
      <c r="Y126" s="3685"/>
      <c r="Z126" s="3685"/>
      <c r="AA126" s="3685"/>
      <c r="AB126" s="3685"/>
      <c r="AC126" s="3685"/>
      <c r="AD126" s="3685"/>
      <c r="AE126" s="3685"/>
      <c r="AF126" s="3685"/>
      <c r="AG126" s="3685"/>
      <c r="AH126" s="3685"/>
      <c r="AI126" s="3685"/>
      <c r="AJ126" s="3685"/>
    </row>
    <row r="127" spans="1:36">
      <c r="A127" s="3685"/>
      <c r="B127" s="3685"/>
      <c r="C127" s="3685"/>
      <c r="D127" s="3685"/>
      <c r="E127" s="3685"/>
      <c r="F127" s="3685"/>
      <c r="G127" s="3685"/>
      <c r="H127" s="3685"/>
      <c r="I127" s="3685"/>
      <c r="J127" s="3685"/>
      <c r="K127" s="3685"/>
      <c r="L127" s="3685"/>
      <c r="M127" s="3685"/>
      <c r="N127" s="3685"/>
      <c r="O127" s="3685"/>
      <c r="P127" s="3685"/>
      <c r="Q127" s="3685"/>
      <c r="R127" s="3685"/>
      <c r="S127" s="3685"/>
      <c r="T127" s="3685"/>
      <c r="U127" s="3685"/>
      <c r="V127" s="3685"/>
      <c r="W127" s="3685"/>
      <c r="X127" s="3685"/>
      <c r="Y127" s="3685"/>
      <c r="Z127" s="3685"/>
      <c r="AA127" s="3685"/>
      <c r="AB127" s="3685"/>
      <c r="AC127" s="3685"/>
      <c r="AD127" s="3685"/>
      <c r="AE127" s="3685"/>
      <c r="AF127" s="3685"/>
      <c r="AG127" s="3685"/>
      <c r="AH127" s="3685"/>
      <c r="AI127" s="3685"/>
      <c r="AJ127" s="3685"/>
    </row>
    <row r="128" spans="1:36">
      <c r="A128" s="3685"/>
      <c r="B128" s="3685"/>
      <c r="C128" s="3685"/>
      <c r="D128" s="3685"/>
      <c r="E128" s="3685"/>
      <c r="F128" s="3685"/>
      <c r="G128" s="3685"/>
      <c r="H128" s="3685"/>
      <c r="I128" s="3685"/>
      <c r="J128" s="3685"/>
      <c r="K128" s="3685"/>
      <c r="L128" s="3685"/>
      <c r="M128" s="3685"/>
      <c r="N128" s="3685"/>
      <c r="O128" s="3685"/>
      <c r="P128" s="3685"/>
      <c r="Q128" s="3685"/>
      <c r="R128" s="3685"/>
      <c r="S128" s="3685"/>
      <c r="T128" s="3685"/>
      <c r="U128" s="3685"/>
      <c r="V128" s="3685"/>
      <c r="W128" s="3685"/>
      <c r="X128" s="3685"/>
      <c r="Y128" s="3685"/>
      <c r="Z128" s="3685"/>
      <c r="AA128" s="3685"/>
      <c r="AB128" s="3685"/>
      <c r="AC128" s="3685"/>
      <c r="AD128" s="3685"/>
      <c r="AE128" s="3685"/>
      <c r="AF128" s="3685"/>
      <c r="AG128" s="3685"/>
      <c r="AH128" s="3685"/>
      <c r="AI128" s="3685"/>
      <c r="AJ128" s="3685"/>
    </row>
    <row r="129" spans="1:36">
      <c r="A129" s="3685"/>
      <c r="B129" s="3685"/>
      <c r="C129" s="3685"/>
      <c r="D129" s="3685"/>
      <c r="E129" s="3685"/>
      <c r="F129" s="3685"/>
      <c r="G129" s="3685"/>
      <c r="H129" s="3685"/>
      <c r="I129" s="3685"/>
      <c r="J129" s="3685"/>
      <c r="K129" s="3685"/>
      <c r="L129" s="3685"/>
      <c r="M129" s="3685"/>
      <c r="N129" s="3685"/>
      <c r="O129" s="3685"/>
      <c r="P129" s="3685"/>
      <c r="Q129" s="3685"/>
      <c r="R129" s="3685"/>
      <c r="S129" s="3685"/>
      <c r="T129" s="3685"/>
      <c r="U129" s="3685"/>
      <c r="V129" s="3685"/>
      <c r="W129" s="3685"/>
      <c r="X129" s="3685"/>
      <c r="Y129" s="3685"/>
      <c r="Z129" s="3685"/>
      <c r="AA129" s="3685"/>
      <c r="AB129" s="3685"/>
      <c r="AC129" s="3685"/>
      <c r="AD129" s="3685"/>
      <c r="AE129" s="3685"/>
      <c r="AF129" s="3685"/>
      <c r="AG129" s="3685"/>
      <c r="AH129" s="3685"/>
      <c r="AI129" s="3685"/>
      <c r="AJ129" s="3685"/>
    </row>
    <row r="130" spans="1:36">
      <c r="A130" s="3685"/>
      <c r="B130" s="3685"/>
      <c r="C130" s="3685"/>
      <c r="D130" s="3685"/>
      <c r="E130" s="3685"/>
      <c r="F130" s="3685"/>
      <c r="G130" s="3685"/>
      <c r="H130" s="3685"/>
      <c r="I130" s="3685"/>
      <c r="J130" s="3685"/>
      <c r="K130" s="3685"/>
      <c r="L130" s="3685"/>
      <c r="M130" s="3685"/>
      <c r="N130" s="3685"/>
      <c r="O130" s="3685"/>
      <c r="P130" s="3685"/>
      <c r="Q130" s="3685"/>
      <c r="R130" s="3685"/>
      <c r="S130" s="3685"/>
      <c r="T130" s="3685"/>
      <c r="U130" s="3685"/>
      <c r="V130" s="3685"/>
      <c r="W130" s="3685"/>
      <c r="X130" s="3685"/>
      <c r="Y130" s="3685"/>
      <c r="Z130" s="3685"/>
      <c r="AA130" s="3685"/>
      <c r="AB130" s="3685"/>
      <c r="AC130" s="3685"/>
      <c r="AD130" s="3685"/>
      <c r="AE130" s="3685"/>
      <c r="AF130" s="3685"/>
      <c r="AG130" s="3685"/>
      <c r="AH130" s="3685"/>
      <c r="AI130" s="3685"/>
      <c r="AJ130" s="3685"/>
    </row>
    <row r="131" spans="1:36">
      <c r="A131" s="3685"/>
      <c r="B131" s="3685"/>
      <c r="C131" s="3685"/>
      <c r="D131" s="3685"/>
      <c r="E131" s="3685"/>
      <c r="F131" s="3685"/>
      <c r="G131" s="3685"/>
      <c r="H131" s="3685"/>
      <c r="I131" s="3685"/>
      <c r="J131" s="3685"/>
      <c r="K131" s="3685"/>
      <c r="L131" s="3685"/>
      <c r="M131" s="3685"/>
      <c r="N131" s="3685"/>
      <c r="O131" s="3685"/>
      <c r="P131" s="3685"/>
      <c r="Q131" s="3685"/>
      <c r="R131" s="3685"/>
      <c r="S131" s="3685"/>
      <c r="T131" s="3685"/>
      <c r="U131" s="3685"/>
      <c r="V131" s="3685"/>
      <c r="W131" s="3685"/>
      <c r="X131" s="3685"/>
      <c r="Y131" s="3685"/>
      <c r="Z131" s="3685"/>
      <c r="AA131" s="3685"/>
      <c r="AB131" s="3685"/>
      <c r="AC131" s="3685"/>
      <c r="AD131" s="3685"/>
      <c r="AE131" s="3685"/>
      <c r="AF131" s="3685"/>
      <c r="AG131" s="3685"/>
      <c r="AH131" s="3685"/>
      <c r="AI131" s="3685"/>
      <c r="AJ131" s="3685"/>
    </row>
    <row r="132" spans="1:36">
      <c r="A132" s="3685"/>
      <c r="B132" s="3685"/>
      <c r="C132" s="3685"/>
      <c r="D132" s="3685"/>
      <c r="E132" s="3685"/>
      <c r="F132" s="3685"/>
      <c r="G132" s="3685"/>
      <c r="H132" s="3685"/>
      <c r="I132" s="3685"/>
      <c r="J132" s="3685"/>
      <c r="K132" s="3685"/>
      <c r="L132" s="3685"/>
      <c r="M132" s="3685"/>
      <c r="N132" s="3685"/>
      <c r="O132" s="3685"/>
      <c r="P132" s="3685"/>
      <c r="Q132" s="3685"/>
      <c r="R132" s="3685"/>
      <c r="S132" s="3685"/>
      <c r="T132" s="3685"/>
      <c r="U132" s="3685"/>
      <c r="V132" s="3685"/>
      <c r="W132" s="3685"/>
      <c r="X132" s="3685"/>
      <c r="Y132" s="3685"/>
      <c r="Z132" s="3685"/>
      <c r="AA132" s="3685"/>
      <c r="AB132" s="3685"/>
      <c r="AC132" s="3685"/>
      <c r="AD132" s="3685"/>
      <c r="AE132" s="3685"/>
      <c r="AF132" s="3685"/>
      <c r="AG132" s="3685"/>
      <c r="AH132" s="3685"/>
      <c r="AI132" s="3685"/>
      <c r="AJ132" s="3685"/>
    </row>
    <row r="133" spans="1:36">
      <c r="A133" s="3685"/>
      <c r="B133" s="3685"/>
      <c r="C133" s="3685"/>
      <c r="D133" s="3685"/>
      <c r="E133" s="3685"/>
      <c r="F133" s="3685"/>
      <c r="G133" s="3685"/>
      <c r="H133" s="3685"/>
      <c r="I133" s="3685"/>
      <c r="J133" s="3685"/>
      <c r="K133" s="3685"/>
      <c r="L133" s="3685"/>
      <c r="M133" s="3685"/>
      <c r="N133" s="3685"/>
      <c r="O133" s="3685"/>
      <c r="P133" s="3685"/>
      <c r="Q133" s="3685"/>
      <c r="R133" s="3685"/>
      <c r="S133" s="3685"/>
      <c r="T133" s="3685"/>
      <c r="U133" s="3685"/>
      <c r="V133" s="3685"/>
      <c r="W133" s="3685"/>
      <c r="X133" s="3685"/>
      <c r="Y133" s="3685"/>
      <c r="Z133" s="3685"/>
      <c r="AA133" s="3685"/>
      <c r="AB133" s="3685"/>
      <c r="AC133" s="3685"/>
      <c r="AD133" s="3685"/>
      <c r="AE133" s="3685"/>
      <c r="AF133" s="3685"/>
      <c r="AG133" s="3685"/>
      <c r="AH133" s="3685"/>
      <c r="AI133" s="3685"/>
      <c r="AJ133" s="3685"/>
    </row>
    <row r="134" spans="1:36">
      <c r="A134" s="3685"/>
      <c r="B134" s="3685"/>
      <c r="C134" s="3685"/>
      <c r="D134" s="3685"/>
      <c r="E134" s="3685"/>
      <c r="F134" s="3685"/>
      <c r="G134" s="3685"/>
      <c r="H134" s="3685"/>
      <c r="I134" s="3685"/>
      <c r="J134" s="3685"/>
      <c r="K134" s="3685"/>
      <c r="L134" s="3685"/>
      <c r="M134" s="3685"/>
      <c r="N134" s="3685"/>
      <c r="O134" s="3685"/>
      <c r="P134" s="3685"/>
      <c r="Q134" s="3685"/>
      <c r="R134" s="3685"/>
      <c r="S134" s="3685"/>
      <c r="T134" s="3685"/>
      <c r="U134" s="3685"/>
      <c r="V134" s="3685"/>
      <c r="W134" s="3685"/>
      <c r="X134" s="3685"/>
      <c r="Y134" s="3685"/>
      <c r="Z134" s="3685"/>
      <c r="AA134" s="3685"/>
      <c r="AB134" s="3685"/>
      <c r="AC134" s="3685"/>
      <c r="AD134" s="3685"/>
      <c r="AE134" s="3685"/>
      <c r="AF134" s="3685"/>
      <c r="AG134" s="3685"/>
      <c r="AH134" s="3685"/>
      <c r="AI134" s="3685"/>
      <c r="AJ134" s="3685"/>
    </row>
    <row r="135" spans="1:36">
      <c r="A135" s="3685"/>
      <c r="B135" s="3685"/>
      <c r="C135" s="3685"/>
      <c r="D135" s="3685"/>
      <c r="E135" s="3685"/>
      <c r="F135" s="3685"/>
      <c r="G135" s="3685"/>
      <c r="H135" s="3685"/>
      <c r="I135" s="3685"/>
      <c r="J135" s="3685"/>
      <c r="K135" s="3685"/>
      <c r="L135" s="3685"/>
      <c r="M135" s="3685"/>
      <c r="N135" s="3685"/>
      <c r="O135" s="3685"/>
      <c r="P135" s="3685"/>
      <c r="Q135" s="3685"/>
      <c r="R135" s="3685"/>
      <c r="S135" s="3685"/>
      <c r="T135" s="3685"/>
      <c r="U135" s="3685"/>
      <c r="V135" s="3685"/>
      <c r="W135" s="3685"/>
      <c r="X135" s="3685"/>
      <c r="Y135" s="3685"/>
      <c r="Z135" s="3685"/>
      <c r="AA135" s="3685"/>
      <c r="AB135" s="3685"/>
      <c r="AC135" s="3685"/>
      <c r="AD135" s="3685"/>
      <c r="AE135" s="3685"/>
      <c r="AF135" s="3685"/>
      <c r="AG135" s="3685"/>
      <c r="AH135" s="3685"/>
      <c r="AI135" s="3685"/>
      <c r="AJ135" s="3685"/>
    </row>
    <row r="136" spans="1:36">
      <c r="A136" s="3685"/>
      <c r="B136" s="3685"/>
      <c r="C136" s="3685"/>
      <c r="D136" s="3685"/>
      <c r="E136" s="3685"/>
      <c r="F136" s="3685"/>
      <c r="G136" s="3685"/>
      <c r="H136" s="3685"/>
      <c r="I136" s="3685"/>
      <c r="J136" s="3685"/>
      <c r="K136" s="3685"/>
      <c r="L136" s="3685"/>
      <c r="M136" s="3685"/>
      <c r="N136" s="3685"/>
      <c r="O136" s="3685"/>
      <c r="P136" s="3685"/>
      <c r="Q136" s="3685"/>
      <c r="R136" s="3685"/>
      <c r="S136" s="3685"/>
      <c r="T136" s="3685"/>
      <c r="U136" s="3685"/>
      <c r="V136" s="3685"/>
      <c r="W136" s="3685"/>
      <c r="X136" s="3685"/>
      <c r="Y136" s="3685"/>
      <c r="Z136" s="3685"/>
      <c r="AA136" s="3685"/>
      <c r="AB136" s="3685"/>
      <c r="AC136" s="3685"/>
      <c r="AD136" s="3685"/>
      <c r="AE136" s="3685"/>
      <c r="AF136" s="3685"/>
      <c r="AG136" s="3685"/>
      <c r="AH136" s="3685"/>
      <c r="AI136" s="3685"/>
      <c r="AJ136" s="3685"/>
    </row>
    <row r="137" spans="1:36">
      <c r="A137" s="3685"/>
      <c r="B137" s="3685"/>
      <c r="C137" s="3685"/>
      <c r="D137" s="3685"/>
      <c r="E137" s="3685"/>
      <c r="F137" s="3685"/>
      <c r="G137" s="3685"/>
      <c r="H137" s="3685"/>
      <c r="I137" s="3685"/>
      <c r="J137" s="3685"/>
      <c r="K137" s="3685"/>
      <c r="L137" s="3685"/>
      <c r="M137" s="3685"/>
      <c r="N137" s="3685"/>
      <c r="O137" s="3685"/>
      <c r="P137" s="3685"/>
      <c r="Q137" s="3685"/>
      <c r="R137" s="3685"/>
      <c r="S137" s="3685"/>
      <c r="T137" s="3685"/>
      <c r="U137" s="3685"/>
      <c r="V137" s="3685"/>
      <c r="W137" s="3685"/>
      <c r="X137" s="3685"/>
      <c r="Y137" s="3685"/>
      <c r="Z137" s="3685"/>
      <c r="AA137" s="3685"/>
      <c r="AB137" s="3685"/>
      <c r="AC137" s="3685"/>
      <c r="AD137" s="3685"/>
      <c r="AE137" s="3685"/>
      <c r="AF137" s="3685"/>
      <c r="AG137" s="3685"/>
      <c r="AH137" s="3685"/>
      <c r="AI137" s="3685"/>
      <c r="AJ137" s="3685"/>
    </row>
    <row r="138" spans="1:36">
      <c r="A138" s="3685"/>
      <c r="B138" s="3685"/>
      <c r="C138" s="3685"/>
      <c r="D138" s="3685"/>
      <c r="E138" s="3685"/>
      <c r="F138" s="3685"/>
      <c r="G138" s="3685"/>
      <c r="H138" s="3685"/>
      <c r="I138" s="3685"/>
      <c r="J138" s="3685"/>
      <c r="K138" s="3685"/>
      <c r="L138" s="3685"/>
      <c r="M138" s="3685"/>
      <c r="N138" s="3685"/>
      <c r="O138" s="3685"/>
      <c r="P138" s="3685"/>
      <c r="Q138" s="3685"/>
      <c r="R138" s="3685"/>
      <c r="S138" s="3685"/>
      <c r="T138" s="3685"/>
      <c r="U138" s="3685"/>
      <c r="V138" s="3685"/>
      <c r="W138" s="3685"/>
      <c r="X138" s="3685"/>
      <c r="Y138" s="3685"/>
      <c r="Z138" s="3685"/>
      <c r="AA138" s="3685"/>
      <c r="AB138" s="3685"/>
      <c r="AC138" s="3685"/>
      <c r="AD138" s="3685"/>
      <c r="AE138" s="3685"/>
      <c r="AF138" s="3685"/>
      <c r="AG138" s="3685"/>
      <c r="AH138" s="3685"/>
      <c r="AI138" s="3685"/>
      <c r="AJ138" s="3685"/>
    </row>
    <row r="139" spans="1:36">
      <c r="A139" s="3685"/>
      <c r="B139" s="3685"/>
      <c r="C139" s="3685"/>
      <c r="D139" s="3685"/>
      <c r="E139" s="3685"/>
      <c r="F139" s="3685"/>
      <c r="G139" s="3685"/>
      <c r="H139" s="3685"/>
      <c r="I139" s="3685"/>
      <c r="J139" s="3685"/>
      <c r="K139" s="3685"/>
      <c r="L139" s="3685"/>
      <c r="M139" s="3685"/>
      <c r="N139" s="3685"/>
      <c r="O139" s="3685"/>
      <c r="P139" s="3685"/>
      <c r="Q139" s="3685"/>
      <c r="R139" s="3685"/>
      <c r="S139" s="3685"/>
      <c r="T139" s="3685"/>
      <c r="U139" s="3685"/>
      <c r="V139" s="3685"/>
      <c r="W139" s="3685"/>
      <c r="X139" s="3685"/>
      <c r="Y139" s="3685"/>
      <c r="Z139" s="3685"/>
      <c r="AA139" s="3685"/>
      <c r="AB139" s="3685"/>
      <c r="AC139" s="3685"/>
      <c r="AD139" s="3685"/>
      <c r="AE139" s="3685"/>
      <c r="AF139" s="3685"/>
      <c r="AG139" s="3685"/>
      <c r="AH139" s="3685"/>
      <c r="AI139" s="3685"/>
      <c r="AJ139" s="3685"/>
    </row>
    <row r="140" spans="1:36">
      <c r="A140" s="3685"/>
      <c r="B140" s="3685"/>
      <c r="C140" s="3685"/>
      <c r="D140" s="3685"/>
      <c r="E140" s="3685"/>
      <c r="F140" s="3685"/>
      <c r="G140" s="3685"/>
      <c r="H140" s="3685"/>
      <c r="I140" s="3685"/>
      <c r="J140" s="3685"/>
      <c r="K140" s="3685"/>
      <c r="L140" s="3685"/>
      <c r="M140" s="3685"/>
      <c r="N140" s="3685"/>
      <c r="O140" s="3685"/>
      <c r="P140" s="3685"/>
      <c r="Q140" s="3685"/>
      <c r="R140" s="3685"/>
      <c r="S140" s="3685"/>
      <c r="T140" s="3685"/>
      <c r="U140" s="3685"/>
      <c r="V140" s="3685"/>
      <c r="W140" s="3685"/>
      <c r="X140" s="3685"/>
      <c r="Y140" s="3685"/>
      <c r="Z140" s="3685"/>
      <c r="AA140" s="3685"/>
      <c r="AB140" s="3685"/>
      <c r="AC140" s="3685"/>
      <c r="AD140" s="3685"/>
      <c r="AE140" s="3685"/>
      <c r="AF140" s="3685"/>
      <c r="AG140" s="3685"/>
      <c r="AH140" s="3685"/>
      <c r="AI140" s="3685"/>
      <c r="AJ140" s="3685"/>
    </row>
    <row r="141" spans="1:36">
      <c r="A141" s="3685"/>
      <c r="B141" s="3685"/>
      <c r="C141" s="3685"/>
      <c r="D141" s="3685"/>
      <c r="E141" s="3685"/>
      <c r="F141" s="3685"/>
      <c r="G141" s="3685"/>
      <c r="H141" s="3685"/>
      <c r="I141" s="3685"/>
      <c r="J141" s="3685"/>
      <c r="K141" s="3685"/>
      <c r="L141" s="3685"/>
      <c r="M141" s="3685"/>
      <c r="N141" s="3685"/>
      <c r="O141" s="3685"/>
      <c r="P141" s="3685"/>
      <c r="Q141" s="3685"/>
      <c r="R141" s="3685"/>
      <c r="S141" s="3685"/>
      <c r="T141" s="3685"/>
      <c r="U141" s="3685"/>
      <c r="V141" s="3685"/>
      <c r="W141" s="3685"/>
      <c r="X141" s="3685"/>
      <c r="Y141" s="3685"/>
      <c r="Z141" s="3685"/>
      <c r="AA141" s="3685"/>
      <c r="AB141" s="3685"/>
      <c r="AC141" s="3685"/>
      <c r="AD141" s="3685"/>
      <c r="AE141" s="3685"/>
      <c r="AF141" s="3685"/>
      <c r="AG141" s="3685"/>
      <c r="AH141" s="3685"/>
      <c r="AI141" s="3685"/>
      <c r="AJ141" s="3685"/>
    </row>
    <row r="142" spans="1:36">
      <c r="A142" s="3685"/>
      <c r="B142" s="3685"/>
      <c r="C142" s="3685"/>
      <c r="D142" s="3685"/>
      <c r="E142" s="3685"/>
      <c r="F142" s="3685"/>
      <c r="G142" s="3685"/>
      <c r="H142" s="3685"/>
      <c r="I142" s="3685"/>
      <c r="J142" s="3685"/>
      <c r="K142" s="3685"/>
      <c r="L142" s="3685"/>
      <c r="M142" s="3685"/>
      <c r="N142" s="3685"/>
      <c r="O142" s="3685"/>
      <c r="P142" s="3685"/>
      <c r="Q142" s="3685"/>
      <c r="R142" s="3685"/>
      <c r="S142" s="3685"/>
      <c r="T142" s="3685"/>
      <c r="U142" s="3685"/>
      <c r="V142" s="3685"/>
      <c r="W142" s="3685"/>
      <c r="X142" s="3685"/>
      <c r="Y142" s="3685"/>
      <c r="Z142" s="3685"/>
      <c r="AA142" s="3685"/>
      <c r="AB142" s="3685"/>
      <c r="AC142" s="3685"/>
      <c r="AD142" s="3685"/>
      <c r="AE142" s="3685"/>
      <c r="AF142" s="3685"/>
      <c r="AG142" s="3685"/>
      <c r="AH142" s="3685"/>
      <c r="AI142" s="3685"/>
      <c r="AJ142" s="3685"/>
    </row>
    <row r="143" spans="1:36">
      <c r="A143" s="3685"/>
      <c r="B143" s="3685"/>
      <c r="C143" s="3685"/>
      <c r="D143" s="3685"/>
      <c r="E143" s="3685"/>
      <c r="F143" s="3685"/>
      <c r="G143" s="3685"/>
      <c r="H143" s="3685"/>
      <c r="I143" s="3685"/>
      <c r="J143" s="3685"/>
      <c r="K143" s="3685"/>
      <c r="L143" s="3685"/>
      <c r="M143" s="3685"/>
      <c r="N143" s="3685"/>
      <c r="O143" s="3685"/>
      <c r="P143" s="3685"/>
      <c r="Q143" s="3685"/>
      <c r="R143" s="3685"/>
      <c r="S143" s="3685"/>
      <c r="T143" s="3685"/>
      <c r="U143" s="3685"/>
      <c r="V143" s="3685"/>
      <c r="W143" s="3685"/>
      <c r="X143" s="3685"/>
      <c r="Y143" s="3685"/>
      <c r="Z143" s="3685"/>
      <c r="AA143" s="3685"/>
      <c r="AB143" s="3685"/>
      <c r="AC143" s="3685"/>
      <c r="AD143" s="3685"/>
      <c r="AE143" s="3685"/>
      <c r="AF143" s="3685"/>
      <c r="AG143" s="3685"/>
      <c r="AH143" s="3685"/>
      <c r="AI143" s="3685"/>
      <c r="AJ143" s="3685"/>
    </row>
    <row r="144" spans="1:36">
      <c r="A144" s="3685"/>
      <c r="B144" s="3685"/>
      <c r="C144" s="3685"/>
      <c r="D144" s="3685"/>
      <c r="E144" s="3685"/>
      <c r="F144" s="3685"/>
      <c r="G144" s="3685"/>
      <c r="H144" s="3685"/>
      <c r="I144" s="3685"/>
      <c r="J144" s="3685"/>
      <c r="K144" s="3685"/>
      <c r="L144" s="3685"/>
      <c r="M144" s="3685"/>
      <c r="N144" s="3685"/>
      <c r="O144" s="3685"/>
      <c r="P144" s="3685"/>
      <c r="Q144" s="3685"/>
      <c r="R144" s="3685"/>
      <c r="S144" s="3685"/>
      <c r="T144" s="3685"/>
      <c r="U144" s="3685"/>
      <c r="V144" s="3685"/>
      <c r="W144" s="3685"/>
      <c r="X144" s="3685"/>
      <c r="Y144" s="3685"/>
      <c r="Z144" s="3685"/>
      <c r="AA144" s="3685"/>
      <c r="AB144" s="3685"/>
      <c r="AC144" s="3685"/>
      <c r="AD144" s="3685"/>
      <c r="AE144" s="3685"/>
      <c r="AF144" s="3685"/>
      <c r="AG144" s="3685"/>
      <c r="AH144" s="3685"/>
      <c r="AI144" s="3685"/>
      <c r="AJ144" s="3685"/>
    </row>
    <row r="145" spans="1:36">
      <c r="A145" s="3685"/>
      <c r="B145" s="3685"/>
      <c r="C145" s="3685"/>
      <c r="D145" s="3685"/>
      <c r="E145" s="3685"/>
      <c r="F145" s="3685"/>
      <c r="G145" s="3685"/>
      <c r="H145" s="3685"/>
      <c r="I145" s="3685"/>
      <c r="J145" s="3685"/>
      <c r="K145" s="3685"/>
      <c r="L145" s="3685"/>
      <c r="M145" s="3685"/>
      <c r="N145" s="3685"/>
      <c r="O145" s="3685"/>
      <c r="P145" s="3685"/>
      <c r="Q145" s="3685"/>
      <c r="R145" s="3685"/>
      <c r="S145" s="3685"/>
      <c r="T145" s="3685"/>
      <c r="U145" s="3685"/>
      <c r="V145" s="3685"/>
      <c r="W145" s="3685"/>
      <c r="X145" s="3685"/>
      <c r="Y145" s="3685"/>
      <c r="Z145" s="3685"/>
      <c r="AA145" s="3685"/>
      <c r="AB145" s="3685"/>
      <c r="AC145" s="3685"/>
      <c r="AD145" s="3685"/>
      <c r="AE145" s="3685"/>
      <c r="AF145" s="3685"/>
      <c r="AG145" s="3685"/>
      <c r="AH145" s="3685"/>
      <c r="AI145" s="3685"/>
      <c r="AJ145" s="3685"/>
    </row>
    <row r="146" spans="1:36">
      <c r="A146" s="3685"/>
      <c r="B146" s="3685"/>
      <c r="C146" s="3685"/>
      <c r="D146" s="3685"/>
      <c r="E146" s="3685"/>
      <c r="F146" s="3685"/>
      <c r="G146" s="3685"/>
      <c r="H146" s="3685"/>
      <c r="I146" s="3685"/>
      <c r="J146" s="3685"/>
      <c r="K146" s="3685"/>
      <c r="L146" s="3685"/>
      <c r="M146" s="3685"/>
      <c r="N146" s="3685"/>
      <c r="O146" s="3685"/>
      <c r="P146" s="3685"/>
      <c r="Q146" s="3685"/>
      <c r="R146" s="3685"/>
      <c r="S146" s="3685"/>
      <c r="T146" s="3685"/>
      <c r="U146" s="3685"/>
      <c r="V146" s="3685"/>
      <c r="W146" s="3685"/>
      <c r="X146" s="3685"/>
      <c r="Y146" s="3685"/>
      <c r="Z146" s="3685"/>
      <c r="AA146" s="3685"/>
      <c r="AB146" s="3685"/>
      <c r="AC146" s="3685"/>
      <c r="AD146" s="3685"/>
      <c r="AE146" s="3685"/>
      <c r="AF146" s="3685"/>
      <c r="AG146" s="3685"/>
      <c r="AH146" s="3685"/>
      <c r="AI146" s="3685"/>
      <c r="AJ146" s="3685"/>
    </row>
    <row r="147" spans="1:36">
      <c r="A147" s="3685"/>
      <c r="B147" s="3685"/>
      <c r="C147" s="3685"/>
      <c r="D147" s="3685"/>
      <c r="E147" s="3685"/>
      <c r="F147" s="3685"/>
      <c r="G147" s="3685"/>
      <c r="H147" s="3685"/>
      <c r="I147" s="3685"/>
      <c r="J147" s="3685"/>
      <c r="K147" s="3685"/>
      <c r="L147" s="3685"/>
      <c r="M147" s="3685"/>
      <c r="N147" s="3685"/>
      <c r="O147" s="3685"/>
      <c r="P147" s="3685"/>
      <c r="Q147" s="3685"/>
      <c r="R147" s="3685"/>
      <c r="S147" s="3685"/>
      <c r="T147" s="3685"/>
      <c r="U147" s="3685"/>
      <c r="V147" s="3685"/>
      <c r="W147" s="3685"/>
      <c r="X147" s="3685"/>
      <c r="Y147" s="3685"/>
      <c r="Z147" s="3685"/>
      <c r="AA147" s="3685"/>
      <c r="AB147" s="3685"/>
      <c r="AC147" s="3685"/>
      <c r="AD147" s="3685"/>
      <c r="AE147" s="3685"/>
      <c r="AF147" s="3685"/>
      <c r="AG147" s="3685"/>
      <c r="AH147" s="3685"/>
      <c r="AI147" s="3685"/>
      <c r="AJ147" s="3685"/>
    </row>
    <row r="148" spans="1:36">
      <c r="A148" s="3685"/>
      <c r="B148" s="3685"/>
      <c r="C148" s="3685"/>
      <c r="D148" s="3685"/>
      <c r="E148" s="3685"/>
      <c r="F148" s="3685"/>
      <c r="G148" s="3685"/>
      <c r="H148" s="3685"/>
      <c r="I148" s="3685"/>
      <c r="J148" s="3685"/>
      <c r="K148" s="3685"/>
      <c r="L148" s="3685"/>
      <c r="M148" s="3685"/>
      <c r="N148" s="3685"/>
      <c r="O148" s="3685"/>
      <c r="P148" s="3685"/>
      <c r="Q148" s="3685"/>
      <c r="R148" s="3685"/>
      <c r="S148" s="3685"/>
      <c r="T148" s="3685"/>
      <c r="U148" s="3685"/>
      <c r="V148" s="3685"/>
      <c r="W148" s="3685"/>
      <c r="X148" s="3685"/>
      <c r="Y148" s="3685"/>
      <c r="Z148" s="3685"/>
      <c r="AA148" s="3685"/>
      <c r="AB148" s="3685"/>
      <c r="AC148" s="3685"/>
      <c r="AD148" s="3685"/>
      <c r="AE148" s="3685"/>
      <c r="AF148" s="3685"/>
      <c r="AG148" s="3685"/>
      <c r="AH148" s="3685"/>
      <c r="AI148" s="3685"/>
      <c r="AJ148" s="3685"/>
    </row>
    <row r="149" spans="1:36">
      <c r="A149" s="3685"/>
      <c r="B149" s="3685"/>
      <c r="C149" s="3685"/>
      <c r="D149" s="3685"/>
      <c r="E149" s="3685"/>
      <c r="F149" s="3685"/>
      <c r="G149" s="3685"/>
      <c r="H149" s="3685"/>
      <c r="I149" s="3685"/>
      <c r="J149" s="3685"/>
      <c r="K149" s="3685"/>
      <c r="L149" s="3685"/>
      <c r="M149" s="3685"/>
      <c r="N149" s="3685"/>
      <c r="O149" s="3685"/>
      <c r="P149" s="3685"/>
      <c r="Q149" s="3685"/>
      <c r="R149" s="3685"/>
      <c r="S149" s="3685"/>
      <c r="T149" s="3685"/>
      <c r="U149" s="3685"/>
      <c r="V149" s="3685"/>
      <c r="W149" s="3685"/>
      <c r="X149" s="3685"/>
      <c r="Y149" s="3685"/>
      <c r="Z149" s="3685"/>
      <c r="AA149" s="3685"/>
      <c r="AB149" s="3685"/>
      <c r="AC149" s="3685"/>
      <c r="AD149" s="3685"/>
      <c r="AE149" s="3685"/>
      <c r="AF149" s="3685"/>
      <c r="AG149" s="3685"/>
      <c r="AH149" s="3685"/>
      <c r="AI149" s="3685"/>
      <c r="AJ149" s="3685"/>
    </row>
    <row r="150" spans="1:36">
      <c r="A150" s="3685"/>
      <c r="B150" s="3685"/>
      <c r="C150" s="3685"/>
      <c r="D150" s="3685"/>
      <c r="E150" s="3685"/>
      <c r="F150" s="3685"/>
      <c r="G150" s="3685"/>
      <c r="H150" s="3685"/>
      <c r="I150" s="3685"/>
      <c r="J150" s="3685"/>
      <c r="K150" s="3685"/>
      <c r="L150" s="3685"/>
      <c r="M150" s="3685"/>
      <c r="N150" s="3685"/>
      <c r="O150" s="3685"/>
      <c r="P150" s="3685"/>
      <c r="Q150" s="3685"/>
      <c r="R150" s="3685"/>
      <c r="S150" s="3685"/>
      <c r="T150" s="3685"/>
      <c r="U150" s="3685"/>
      <c r="V150" s="3685"/>
      <c r="W150" s="3685"/>
      <c r="X150" s="3685"/>
      <c r="Y150" s="3685"/>
      <c r="Z150" s="3685"/>
      <c r="AA150" s="3685"/>
      <c r="AB150" s="3685"/>
      <c r="AC150" s="3685"/>
      <c r="AD150" s="3685"/>
      <c r="AE150" s="3685"/>
      <c r="AF150" s="3685"/>
      <c r="AG150" s="3685"/>
      <c r="AH150" s="3685"/>
      <c r="AI150" s="3685"/>
      <c r="AJ150" s="3685"/>
    </row>
    <row r="151" spans="1:36">
      <c r="A151" s="3685"/>
      <c r="B151" s="3685"/>
      <c r="C151" s="3685"/>
      <c r="D151" s="3685"/>
      <c r="E151" s="3685"/>
      <c r="F151" s="3685"/>
      <c r="G151" s="3685"/>
      <c r="H151" s="3685"/>
      <c r="I151" s="3685"/>
      <c r="J151" s="3685"/>
      <c r="K151" s="3685"/>
      <c r="L151" s="3685"/>
      <c r="M151" s="3685"/>
      <c r="N151" s="3685"/>
      <c r="O151" s="3685"/>
      <c r="P151" s="3685"/>
      <c r="Q151" s="3685"/>
      <c r="R151" s="3685"/>
      <c r="S151" s="3685"/>
      <c r="T151" s="3685"/>
      <c r="U151" s="3685"/>
      <c r="V151" s="3685"/>
      <c r="W151" s="3685"/>
      <c r="X151" s="3685"/>
      <c r="Y151" s="3685"/>
      <c r="Z151" s="3685"/>
      <c r="AA151" s="3685"/>
      <c r="AB151" s="3685"/>
      <c r="AC151" s="3685"/>
      <c r="AD151" s="3685"/>
      <c r="AE151" s="3685"/>
      <c r="AF151" s="3685"/>
      <c r="AG151" s="3685"/>
      <c r="AH151" s="3685"/>
      <c r="AI151" s="3685"/>
      <c r="AJ151" s="3685"/>
    </row>
    <row r="152" spans="1:36">
      <c r="A152" s="3685"/>
      <c r="B152" s="3685"/>
      <c r="C152" s="3685"/>
      <c r="D152" s="3685"/>
      <c r="E152" s="3685"/>
      <c r="F152" s="3685"/>
      <c r="G152" s="3685"/>
      <c r="H152" s="3685"/>
      <c r="I152" s="3685"/>
      <c r="J152" s="3685"/>
      <c r="K152" s="3685"/>
      <c r="L152" s="3685"/>
      <c r="M152" s="3685"/>
      <c r="N152" s="3685"/>
      <c r="O152" s="3685"/>
      <c r="P152" s="3685"/>
      <c r="Q152" s="3685"/>
      <c r="R152" s="3685"/>
      <c r="S152" s="3685"/>
      <c r="T152" s="3685"/>
      <c r="U152" s="3685"/>
      <c r="V152" s="3685"/>
      <c r="W152" s="3685"/>
      <c r="X152" s="3685"/>
      <c r="Y152" s="3685"/>
      <c r="Z152" s="3685"/>
      <c r="AA152" s="3685"/>
      <c r="AB152" s="3685"/>
      <c r="AC152" s="3685"/>
      <c r="AD152" s="3685"/>
      <c r="AE152" s="3685"/>
      <c r="AF152" s="3685"/>
      <c r="AG152" s="3685"/>
      <c r="AH152" s="3685"/>
      <c r="AI152" s="3685"/>
      <c r="AJ152" s="3685"/>
    </row>
    <row r="153" spans="1:36">
      <c r="A153" s="3685"/>
      <c r="B153" s="3685"/>
      <c r="C153" s="3685"/>
      <c r="D153" s="3685"/>
      <c r="E153" s="3685"/>
      <c r="F153" s="3685"/>
      <c r="G153" s="3685"/>
      <c r="H153" s="3685"/>
      <c r="I153" s="3685"/>
      <c r="J153" s="3685"/>
      <c r="K153" s="3685"/>
      <c r="L153" s="3685"/>
      <c r="M153" s="3685"/>
      <c r="N153" s="3685"/>
      <c r="O153" s="3685"/>
      <c r="P153" s="3685"/>
      <c r="Q153" s="3685"/>
      <c r="R153" s="3685"/>
      <c r="S153" s="3685"/>
      <c r="T153" s="3685"/>
      <c r="U153" s="3685"/>
      <c r="V153" s="3685"/>
      <c r="W153" s="3685"/>
      <c r="X153" s="3685"/>
      <c r="Y153" s="3685"/>
      <c r="Z153" s="3685"/>
      <c r="AA153" s="3685"/>
      <c r="AB153" s="3685"/>
      <c r="AC153" s="3685"/>
      <c r="AD153" s="3685"/>
      <c r="AE153" s="3685"/>
      <c r="AF153" s="3685"/>
      <c r="AG153" s="3685"/>
      <c r="AH153" s="3685"/>
      <c r="AI153" s="3685"/>
      <c r="AJ153" s="3685"/>
    </row>
    <row r="154" spans="1:36">
      <c r="A154" s="3685"/>
      <c r="B154" s="3685"/>
      <c r="C154" s="3685"/>
      <c r="D154" s="3685"/>
      <c r="E154" s="3685"/>
      <c r="F154" s="3685"/>
      <c r="G154" s="3685"/>
      <c r="H154" s="3685"/>
      <c r="I154" s="3685"/>
      <c r="J154" s="3685"/>
      <c r="K154" s="3685"/>
      <c r="L154" s="3685"/>
      <c r="M154" s="3685"/>
      <c r="N154" s="3685"/>
      <c r="O154" s="3685"/>
      <c r="P154" s="3685"/>
      <c r="Q154" s="3685"/>
      <c r="R154" s="3685"/>
      <c r="S154" s="3685"/>
      <c r="T154" s="3685"/>
      <c r="U154" s="3685"/>
      <c r="V154" s="3685"/>
      <c r="W154" s="3685"/>
      <c r="X154" s="3685"/>
      <c r="Y154" s="3685"/>
      <c r="Z154" s="3685"/>
      <c r="AA154" s="3685"/>
      <c r="AB154" s="3685"/>
      <c r="AC154" s="3685"/>
      <c r="AD154" s="3685"/>
      <c r="AE154" s="3685"/>
      <c r="AF154" s="3685"/>
      <c r="AG154" s="3685"/>
      <c r="AH154" s="3685"/>
      <c r="AI154" s="3685"/>
      <c r="AJ154" s="3685"/>
    </row>
    <row r="155" spans="1:36">
      <c r="A155" s="3685"/>
      <c r="B155" s="3685"/>
      <c r="C155" s="3685"/>
      <c r="D155" s="3685"/>
      <c r="E155" s="3685"/>
      <c r="F155" s="3685"/>
      <c r="G155" s="3685"/>
      <c r="H155" s="3685"/>
      <c r="I155" s="3685"/>
      <c r="J155" s="3685"/>
      <c r="K155" s="3685"/>
      <c r="L155" s="3685"/>
      <c r="M155" s="3685"/>
      <c r="N155" s="3685"/>
      <c r="O155" s="3685"/>
      <c r="P155" s="3685"/>
      <c r="Q155" s="3685"/>
      <c r="R155" s="3685"/>
      <c r="S155" s="3685"/>
      <c r="T155" s="3685"/>
      <c r="U155" s="3685"/>
      <c r="V155" s="3685"/>
      <c r="W155" s="3685"/>
      <c r="X155" s="3685"/>
      <c r="Y155" s="3685"/>
      <c r="Z155" s="3685"/>
      <c r="AA155" s="3685"/>
      <c r="AB155" s="3685"/>
      <c r="AC155" s="3685"/>
      <c r="AD155" s="3685"/>
      <c r="AE155" s="3685"/>
      <c r="AF155" s="3685"/>
      <c r="AG155" s="3685"/>
      <c r="AH155" s="3685"/>
      <c r="AI155" s="3685"/>
      <c r="AJ155" s="3685"/>
    </row>
    <row r="156" spans="1:36">
      <c r="A156" s="3685"/>
      <c r="B156" s="3685"/>
      <c r="C156" s="3685"/>
      <c r="D156" s="3685"/>
      <c r="E156" s="3685"/>
      <c r="F156" s="3685"/>
      <c r="G156" s="3685"/>
      <c r="H156" s="3685"/>
      <c r="I156" s="3685"/>
      <c r="J156" s="3685"/>
      <c r="K156" s="3685"/>
      <c r="L156" s="3685"/>
      <c r="M156" s="3685"/>
      <c r="N156" s="3685"/>
      <c r="O156" s="3685"/>
      <c r="P156" s="3685"/>
      <c r="Q156" s="3685"/>
      <c r="R156" s="3685"/>
      <c r="S156" s="3685"/>
      <c r="T156" s="3685"/>
      <c r="U156" s="3685"/>
      <c r="V156" s="3685"/>
      <c r="W156" s="3685"/>
      <c r="X156" s="3685"/>
      <c r="Y156" s="3685"/>
      <c r="Z156" s="3685"/>
      <c r="AA156" s="3685"/>
      <c r="AB156" s="3685"/>
      <c r="AC156" s="3685"/>
      <c r="AD156" s="3685"/>
      <c r="AE156" s="3685"/>
      <c r="AF156" s="3685"/>
      <c r="AG156" s="3685"/>
      <c r="AH156" s="3685"/>
      <c r="AI156" s="3685"/>
      <c r="AJ156" s="3685"/>
    </row>
    <row r="157" spans="1:36">
      <c r="A157" s="3685"/>
      <c r="B157" s="3685"/>
      <c r="C157" s="3685"/>
      <c r="D157" s="3685"/>
      <c r="E157" s="3685"/>
      <c r="F157" s="3685"/>
      <c r="G157" s="3685"/>
      <c r="H157" s="3685"/>
      <c r="I157" s="3685"/>
      <c r="X157" s="3685"/>
      <c r="Y157" s="3685"/>
      <c r="Z157" s="3685"/>
      <c r="AA157" s="3685"/>
      <c r="AB157" s="3685"/>
      <c r="AC157" s="3685"/>
      <c r="AD157" s="3685"/>
      <c r="AE157" s="3685"/>
      <c r="AF157" s="3685"/>
      <c r="AG157" s="3685"/>
      <c r="AH157" s="3685"/>
      <c r="AI157" s="3685"/>
      <c r="AJ157" s="3685"/>
    </row>
  </sheetData>
  <mergeCells count="36">
    <mergeCell ref="A42:A43"/>
    <mergeCell ref="A2:A3"/>
    <mergeCell ref="B2:B3"/>
    <mergeCell ref="C2:H2"/>
    <mergeCell ref="A13:A14"/>
    <mergeCell ref="B13:B14"/>
    <mergeCell ref="C13:H13"/>
    <mergeCell ref="A31:H31"/>
    <mergeCell ref="A33:A34"/>
    <mergeCell ref="A35:A36"/>
    <mergeCell ref="A37:A38"/>
    <mergeCell ref="A39:A41"/>
    <mergeCell ref="A71:A72"/>
    <mergeCell ref="A73:A74"/>
    <mergeCell ref="A44:A45"/>
    <mergeCell ref="A46:A48"/>
    <mergeCell ref="A49:H49"/>
    <mergeCell ref="A50:A51"/>
    <mergeCell ref="A54:H54"/>
    <mergeCell ref="A55:A56"/>
    <mergeCell ref="Y2:AI2"/>
    <mergeCell ref="Y35:AI35"/>
    <mergeCell ref="A86:A87"/>
    <mergeCell ref="J2:J4"/>
    <mergeCell ref="L3:Q3"/>
    <mergeCell ref="K3:K4"/>
    <mergeCell ref="K2:W2"/>
    <mergeCell ref="R3:W3"/>
    <mergeCell ref="A84:A85"/>
    <mergeCell ref="A29:A30"/>
    <mergeCell ref="B29:B30"/>
    <mergeCell ref="C29:H29"/>
    <mergeCell ref="A62:H62"/>
    <mergeCell ref="A64:A65"/>
    <mergeCell ref="A66:A68"/>
    <mergeCell ref="A69:H69"/>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Q56"/>
  <sheetViews>
    <sheetView zoomScale="115" zoomScaleNormal="115" workbookViewId="0">
      <selection activeCell="O29" sqref="O29"/>
    </sheetView>
  </sheetViews>
  <sheetFormatPr defaultRowHeight="12.75"/>
  <cols>
    <col min="1" max="1" width="32" customWidth="1"/>
    <col min="2" max="2" width="4.85546875" style="3938" customWidth="1"/>
    <col min="3" max="10" width="5" customWidth="1"/>
    <col min="11" max="11" width="5" style="3937" customWidth="1"/>
    <col min="12" max="14" width="5" customWidth="1"/>
    <col min="15" max="15" width="4.5703125" customWidth="1"/>
    <col min="16" max="16" width="26.5703125" customWidth="1"/>
    <col min="17" max="22" width="6.5703125" customWidth="1"/>
    <col min="23" max="23" width="6.85546875" customWidth="1"/>
    <col min="24" max="24" width="7" customWidth="1"/>
    <col min="25" max="25" width="4.42578125" customWidth="1"/>
    <col min="26" max="26" width="39.7109375" style="1436" customWidth="1"/>
    <col min="27" max="33" width="9.140625" style="1444"/>
    <col min="34" max="34" width="5.28515625" customWidth="1"/>
    <col min="35" max="35" width="39.7109375" style="1436" customWidth="1"/>
  </cols>
  <sheetData>
    <row r="1" spans="1:40" ht="15.75">
      <c r="A1" s="4034" t="s">
        <v>885</v>
      </c>
      <c r="B1" s="4097"/>
      <c r="C1" s="3685"/>
      <c r="D1" s="3685"/>
      <c r="E1" s="3685"/>
      <c r="F1" s="3685"/>
      <c r="G1" s="3685"/>
      <c r="H1" s="3685"/>
      <c r="I1" s="3685"/>
      <c r="J1" s="3685"/>
      <c r="K1" s="4098"/>
      <c r="L1" s="3685"/>
      <c r="M1" s="3685"/>
      <c r="N1" s="3685"/>
      <c r="O1" s="3685"/>
      <c r="P1" s="4034" t="s">
        <v>1454</v>
      </c>
      <c r="Q1" s="3685"/>
      <c r="R1" s="3685"/>
      <c r="S1" s="3685"/>
      <c r="T1" s="3685"/>
      <c r="U1" s="3685"/>
      <c r="V1" s="3685"/>
      <c r="W1" s="3685"/>
      <c r="X1" s="3685"/>
      <c r="Y1" s="3685"/>
      <c r="Z1" s="4099" t="s">
        <v>1796</v>
      </c>
      <c r="AA1" s="3577"/>
      <c r="AB1" s="3577"/>
      <c r="AC1" s="3577"/>
      <c r="AD1" s="3577"/>
      <c r="AE1" s="3577"/>
      <c r="AF1" s="3577"/>
      <c r="AG1" s="3577"/>
      <c r="AH1" s="3685"/>
      <c r="AI1" s="4099" t="s">
        <v>1797</v>
      </c>
      <c r="AJ1" s="3577"/>
      <c r="AK1" s="3577"/>
      <c r="AL1" s="3577"/>
      <c r="AM1" s="3577"/>
      <c r="AN1" s="3577"/>
    </row>
    <row r="2" spans="1:40" ht="12.6" customHeight="1">
      <c r="A2" s="5661" t="s">
        <v>2</v>
      </c>
      <c r="B2" s="5663" t="s">
        <v>1615</v>
      </c>
      <c r="C2" s="5665" t="s">
        <v>212</v>
      </c>
      <c r="D2" s="5666"/>
      <c r="E2" s="5666"/>
      <c r="F2" s="5666"/>
      <c r="G2" s="5666"/>
      <c r="H2" s="5667"/>
      <c r="I2" s="5665" t="s">
        <v>213</v>
      </c>
      <c r="J2" s="5666"/>
      <c r="K2" s="5666"/>
      <c r="L2" s="5666"/>
      <c r="M2" s="5666"/>
      <c r="N2" s="5667"/>
      <c r="O2" s="3685"/>
      <c r="P2" s="5661" t="s">
        <v>1825</v>
      </c>
      <c r="Q2" s="5673" t="s">
        <v>1647</v>
      </c>
      <c r="R2" s="5673"/>
      <c r="S2" s="5673"/>
      <c r="T2" s="5673"/>
      <c r="U2" s="5673"/>
      <c r="V2" s="5673"/>
      <c r="W2" s="5671" t="s">
        <v>1648</v>
      </c>
      <c r="X2" s="5653" t="s">
        <v>1649</v>
      </c>
      <c r="Y2" s="3685"/>
      <c r="Z2" s="5652" t="s">
        <v>1801</v>
      </c>
      <c r="AA2" s="5652" t="s">
        <v>215</v>
      </c>
      <c r="AB2" s="5652"/>
      <c r="AC2" s="5652"/>
      <c r="AD2" s="5652"/>
      <c r="AE2" s="5652"/>
      <c r="AF2" s="3685"/>
      <c r="AG2" s="3685"/>
      <c r="AH2" s="3685"/>
      <c r="AI2" s="5652" t="s">
        <v>1794</v>
      </c>
      <c r="AJ2" s="5653" t="s">
        <v>1072</v>
      </c>
      <c r="AK2" s="5653" t="s">
        <v>1073</v>
      </c>
      <c r="AL2" s="5653" t="s">
        <v>1074</v>
      </c>
      <c r="AM2" s="5653" t="s">
        <v>1075</v>
      </c>
      <c r="AN2" s="5653" t="s">
        <v>1076</v>
      </c>
    </row>
    <row r="3" spans="1:40" ht="11.25" customHeight="1">
      <c r="A3" s="5662"/>
      <c r="B3" s="5664"/>
      <c r="C3" s="3936" t="s">
        <v>1629</v>
      </c>
      <c r="D3" s="3936" t="s">
        <v>1637</v>
      </c>
      <c r="E3" s="3936" t="s">
        <v>1638</v>
      </c>
      <c r="F3" s="3936" t="s">
        <v>1639</v>
      </c>
      <c r="G3" s="3936" t="s">
        <v>1640</v>
      </c>
      <c r="H3" s="3936" t="s">
        <v>1641</v>
      </c>
      <c r="I3" s="3936" t="s">
        <v>1629</v>
      </c>
      <c r="J3" s="3936" t="s">
        <v>1637</v>
      </c>
      <c r="K3" s="3936" t="s">
        <v>1638</v>
      </c>
      <c r="L3" s="3936" t="s">
        <v>1639</v>
      </c>
      <c r="M3" s="3936" t="s">
        <v>1640</v>
      </c>
      <c r="N3" s="3936" t="s">
        <v>1641</v>
      </c>
      <c r="O3" s="3685"/>
      <c r="P3" s="5662"/>
      <c r="Q3" s="4100" t="s">
        <v>119</v>
      </c>
      <c r="R3" s="4100" t="s">
        <v>1072</v>
      </c>
      <c r="S3" s="4100" t="s">
        <v>1073</v>
      </c>
      <c r="T3" s="4100" t="s">
        <v>1074</v>
      </c>
      <c r="U3" s="4100" t="s">
        <v>1075</v>
      </c>
      <c r="V3" s="4100" t="s">
        <v>1076</v>
      </c>
      <c r="W3" s="5672"/>
      <c r="X3" s="5653"/>
      <c r="Y3" s="3685"/>
      <c r="Z3" s="5652"/>
      <c r="AA3" s="4100" t="s">
        <v>1072</v>
      </c>
      <c r="AB3" s="4100" t="s">
        <v>1073</v>
      </c>
      <c r="AC3" s="4100" t="s">
        <v>1074</v>
      </c>
      <c r="AD3" s="4100" t="s">
        <v>1075</v>
      </c>
      <c r="AE3" s="4100" t="s">
        <v>1076</v>
      </c>
      <c r="AF3" s="3685"/>
      <c r="AG3" s="3685"/>
      <c r="AH3" s="3685"/>
      <c r="AI3" s="5652"/>
      <c r="AJ3" s="5653"/>
      <c r="AK3" s="5653" t="s">
        <v>1073</v>
      </c>
      <c r="AL3" s="5653" t="s">
        <v>1074</v>
      </c>
      <c r="AM3" s="5653" t="s">
        <v>1075</v>
      </c>
      <c r="AN3" s="5653" t="s">
        <v>1076</v>
      </c>
    </row>
    <row r="4" spans="1:40" ht="15.95" customHeight="1">
      <c r="A4" s="3939" t="s">
        <v>1620</v>
      </c>
      <c r="B4" s="4101" t="s">
        <v>682</v>
      </c>
      <c r="C4" s="4102">
        <f>'5. Персонал'!C11</f>
        <v>275</v>
      </c>
      <c r="D4" s="4102">
        <f>'5. Персонал'!D11</f>
        <v>274</v>
      </c>
      <c r="E4" s="4102">
        <f>'5. Персонал'!E11</f>
        <v>274</v>
      </c>
      <c r="F4" s="4102">
        <f>'5. Персонал'!F11</f>
        <v>274</v>
      </c>
      <c r="G4" s="4102">
        <f>'5. Персонал'!G11</f>
        <v>274</v>
      </c>
      <c r="H4" s="4102">
        <f>'5. Персонал'!H11</f>
        <v>250</v>
      </c>
      <c r="I4" s="4102">
        <f>'5. Персонал'!I11</f>
        <v>16</v>
      </c>
      <c r="J4" s="4102">
        <f>'5. Персонал'!J11</f>
        <v>24</v>
      </c>
      <c r="K4" s="4102">
        <f>'5. Персонал'!K11</f>
        <v>24</v>
      </c>
      <c r="L4" s="4102">
        <f>'5. Персонал'!L11</f>
        <v>24</v>
      </c>
      <c r="M4" s="4102">
        <f>'5. Персонал'!M11</f>
        <v>24</v>
      </c>
      <c r="N4" s="4102">
        <f>'5. Персонал'!N11</f>
        <v>22</v>
      </c>
      <c r="O4" s="3685"/>
      <c r="P4" s="4103" t="s">
        <v>212</v>
      </c>
      <c r="Q4" s="4089">
        <f>'8. Ремонтна програма'!D24</f>
        <v>4466</v>
      </c>
      <c r="R4" s="4089">
        <f>'8. Ремонтна програма'!E24</f>
        <v>3490.8329221008107</v>
      </c>
      <c r="S4" s="4089">
        <f>'8. Ремонтна програма'!F24</f>
        <v>3491</v>
      </c>
      <c r="T4" s="4089">
        <f>'8. Ремонтна програма'!G24</f>
        <v>3489</v>
      </c>
      <c r="U4" s="4089">
        <f>'8. Ремонтна програма'!H24</f>
        <v>3488</v>
      </c>
      <c r="V4" s="4089">
        <f>'8. Ремонтна програма'!I24</f>
        <v>3486</v>
      </c>
      <c r="W4" s="4104">
        <f>IFERROR((R4-Q4)/Q4,0)</f>
        <v>-0.21835357767559097</v>
      </c>
      <c r="X4" s="4105">
        <f>IFERROR((V4-Q4)/Q4,0)</f>
        <v>-0.21943573667711599</v>
      </c>
      <c r="Y4" s="3685"/>
      <c r="Z4" s="4106" t="s">
        <v>1803</v>
      </c>
      <c r="AA4" s="4107">
        <f>'4. Отчет и прогн. потребление'!E20/1000</f>
        <v>5622.6746666666668</v>
      </c>
      <c r="AB4" s="4107">
        <f>'4. Отчет и прогн. потребление'!F20/1000</f>
        <v>5599.1167078386834</v>
      </c>
      <c r="AC4" s="4107">
        <f>'4. Отчет и прогн. потребление'!G20/1000</f>
        <v>5536.584783862133</v>
      </c>
      <c r="AD4" s="4107">
        <f>'4. Отчет и прогн. потребление'!H20/1000</f>
        <v>5480.7542598855825</v>
      </c>
      <c r="AE4" s="4107">
        <f>'4. Отчет и прогн. потребление'!I20/1000</f>
        <v>5443.6898026957861</v>
      </c>
      <c r="AF4" s="3685"/>
      <c r="AG4" s="3685"/>
      <c r="AH4" s="3685"/>
      <c r="AI4" s="5656" t="s">
        <v>212</v>
      </c>
      <c r="AJ4" s="5657"/>
      <c r="AK4" s="5657"/>
      <c r="AL4" s="5657"/>
      <c r="AM4" s="5657"/>
      <c r="AN4" s="5658"/>
    </row>
    <row r="5" spans="1:40" ht="14.1" customHeight="1">
      <c r="A5" s="3934" t="s">
        <v>1613</v>
      </c>
      <c r="B5" s="4108" t="s">
        <v>1618</v>
      </c>
      <c r="C5" s="4109">
        <f>'5. Персонал'!C14</f>
        <v>267</v>
      </c>
      <c r="D5" s="4109">
        <f>'5. Персонал'!D14</f>
        <v>264</v>
      </c>
      <c r="E5" s="4109">
        <f>'5. Персонал'!E14</f>
        <v>264</v>
      </c>
      <c r="F5" s="4109">
        <f>'5. Персонал'!F14</f>
        <v>264</v>
      </c>
      <c r="G5" s="4109">
        <f>'5. Персонал'!G14</f>
        <v>264</v>
      </c>
      <c r="H5" s="4109">
        <f>'5. Персонал'!H14</f>
        <v>230</v>
      </c>
      <c r="I5" s="4109">
        <f>'5. Персонал'!I14</f>
        <v>20</v>
      </c>
      <c r="J5" s="4109">
        <f>'5. Персонал'!J14</f>
        <v>20</v>
      </c>
      <c r="K5" s="4109">
        <f>'5. Персонал'!K14</f>
        <v>20</v>
      </c>
      <c r="L5" s="4109">
        <f>'5. Персонал'!L14</f>
        <v>20</v>
      </c>
      <c r="M5" s="4109">
        <f>'5. Персонал'!M14</f>
        <v>20</v>
      </c>
      <c r="N5" s="4109">
        <f>'5. Персонал'!N14</f>
        <v>21</v>
      </c>
      <c r="O5" s="3685"/>
      <c r="P5" s="4103" t="s">
        <v>178</v>
      </c>
      <c r="Q5" s="4089">
        <f>'8. Ремонтна програма'!D53</f>
        <v>847</v>
      </c>
      <c r="R5" s="4089">
        <f>'8. Ремонтна програма'!E53</f>
        <v>896</v>
      </c>
      <c r="S5" s="4089">
        <f>'8. Ремонтна програма'!F53</f>
        <v>890</v>
      </c>
      <c r="T5" s="4089">
        <f>'8. Ремонтна програма'!G53</f>
        <v>890</v>
      </c>
      <c r="U5" s="4089">
        <f>'8. Ремонтна програма'!H53</f>
        <v>870</v>
      </c>
      <c r="V5" s="4089">
        <f>'8. Ремонтна програма'!I53</f>
        <v>880</v>
      </c>
      <c r="W5" s="4104">
        <f t="shared" ref="W5:W7" si="0">IFERROR((R5-Q5)/Q5,0)</f>
        <v>5.7851239669421489E-2</v>
      </c>
      <c r="X5" s="4105">
        <f t="shared" ref="X5:X7" si="1">IFERROR((V5-Q5)/Q5,0)</f>
        <v>3.896103896103896E-2</v>
      </c>
      <c r="Y5" s="3685"/>
      <c r="Z5" s="5652" t="s">
        <v>1801</v>
      </c>
      <c r="AA5" s="5652" t="s">
        <v>178</v>
      </c>
      <c r="AB5" s="5652"/>
      <c r="AC5" s="5652"/>
      <c r="AD5" s="5652"/>
      <c r="AE5" s="5652"/>
      <c r="AF5" s="3685"/>
      <c r="AG5" s="3685"/>
      <c r="AH5" s="3685"/>
      <c r="AI5" s="1593" t="s">
        <v>614</v>
      </c>
      <c r="AJ5" s="4110">
        <f>'20.Цени '!D9</f>
        <v>2.0209999999999999</v>
      </c>
      <c r="AK5" s="4110">
        <f>'20.Цени '!E9</f>
        <v>2.0619999999999998</v>
      </c>
      <c r="AL5" s="4110">
        <f>'20.Цени '!F9</f>
        <v>2.177</v>
      </c>
      <c r="AM5" s="4110">
        <f>'20.Цени '!G9</f>
        <v>2.3340000000000001</v>
      </c>
      <c r="AN5" s="4110">
        <f>'20.Цени '!H9</f>
        <v>2.3879999999999999</v>
      </c>
    </row>
    <row r="6" spans="1:40" ht="17.25" customHeight="1">
      <c r="A6" s="3942" t="s">
        <v>1623</v>
      </c>
      <c r="B6" s="4111" t="s">
        <v>174</v>
      </c>
      <c r="C6" s="4112"/>
      <c r="D6" s="4113">
        <f>IFERROR((D5-C5)/C5,0)</f>
        <v>-1.1235955056179775E-2</v>
      </c>
      <c r="E6" s="4113">
        <f t="shared" ref="E6:H6" si="2">IFERROR((E5-D5)/D5,0)</f>
        <v>0</v>
      </c>
      <c r="F6" s="4113">
        <f t="shared" si="2"/>
        <v>0</v>
      </c>
      <c r="G6" s="4113">
        <f t="shared" si="2"/>
        <v>0</v>
      </c>
      <c r="H6" s="4113">
        <f t="shared" si="2"/>
        <v>-0.12878787878787878</v>
      </c>
      <c r="I6" s="4112"/>
      <c r="J6" s="4114">
        <f>IFERROR((J5-I5)/I5,0)</f>
        <v>0</v>
      </c>
      <c r="K6" s="4114">
        <f t="shared" ref="K6" si="3">IFERROR((K5-J5)/J5,0)</f>
        <v>0</v>
      </c>
      <c r="L6" s="4114">
        <f t="shared" ref="L6" si="4">IFERROR((L5-K5)/K5,0)</f>
        <v>0</v>
      </c>
      <c r="M6" s="4114">
        <f t="shared" ref="M6" si="5">IFERROR((M5-L5)/L5,0)</f>
        <v>0</v>
      </c>
      <c r="N6" s="4114">
        <f t="shared" ref="N6" si="6">IFERROR((N5-M5)/M5,0)</f>
        <v>0.05</v>
      </c>
      <c r="O6" s="3685"/>
      <c r="P6" s="4103" t="s">
        <v>188</v>
      </c>
      <c r="Q6" s="4089">
        <f>'8. Ремонтна програма'!D79</f>
        <v>6</v>
      </c>
      <c r="R6" s="4089">
        <f>'8. Ремонтна програма'!E79</f>
        <v>17</v>
      </c>
      <c r="S6" s="4089">
        <f>'8. Ремонтна програма'!F79</f>
        <v>17</v>
      </c>
      <c r="T6" s="4089">
        <f>'8. Ремонтна програма'!G79</f>
        <v>17</v>
      </c>
      <c r="U6" s="4089">
        <f>'8. Ремонтна програма'!H79</f>
        <v>22</v>
      </c>
      <c r="V6" s="4089">
        <f>'8. Ремонтна програма'!I79</f>
        <v>22</v>
      </c>
      <c r="W6" s="4104">
        <f t="shared" si="0"/>
        <v>1.8333333333333333</v>
      </c>
      <c r="X6" s="4105">
        <f t="shared" si="1"/>
        <v>2.6666666666666665</v>
      </c>
      <c r="Y6" s="3685"/>
      <c r="Z6" s="5652"/>
      <c r="AA6" s="4010" t="s">
        <v>1072</v>
      </c>
      <c r="AB6" s="4010" t="s">
        <v>1073</v>
      </c>
      <c r="AC6" s="4010" t="s">
        <v>1074</v>
      </c>
      <c r="AD6" s="4010" t="s">
        <v>1075</v>
      </c>
      <c r="AE6" s="4010" t="s">
        <v>1076</v>
      </c>
      <c r="AF6" s="3685"/>
      <c r="AG6" s="3685"/>
      <c r="AH6" s="3685"/>
      <c r="AI6" s="5656" t="s">
        <v>178</v>
      </c>
      <c r="AJ6" s="5657"/>
      <c r="AK6" s="5657"/>
      <c r="AL6" s="5657"/>
      <c r="AM6" s="5657"/>
      <c r="AN6" s="5658"/>
    </row>
    <row r="7" spans="1:40" ht="15" customHeight="1">
      <c r="A7" s="3942" t="s">
        <v>1622</v>
      </c>
      <c r="B7" s="4111" t="s">
        <v>174</v>
      </c>
      <c r="C7" s="4112"/>
      <c r="D7" s="4113">
        <f>IFERROR((D5-$C$5)/$C$5,0)</f>
        <v>-1.1235955056179775E-2</v>
      </c>
      <c r="E7" s="4113">
        <f t="shared" ref="E7:H7" si="7">IFERROR((E5-$C$5)/$C$5,0)</f>
        <v>-1.1235955056179775E-2</v>
      </c>
      <c r="F7" s="4113">
        <f t="shared" si="7"/>
        <v>-1.1235955056179775E-2</v>
      </c>
      <c r="G7" s="4113">
        <f t="shared" si="7"/>
        <v>-1.1235955056179775E-2</v>
      </c>
      <c r="H7" s="4113">
        <f t="shared" si="7"/>
        <v>-0.13857677902621723</v>
      </c>
      <c r="I7" s="4112"/>
      <c r="J7" s="4114">
        <f>IFERROR((J5-$I$5)/$I$5,0)</f>
        <v>0</v>
      </c>
      <c r="K7" s="4114">
        <f t="shared" ref="K7:N7" si="8">IFERROR((K5-$I$5)/$I$5,0)</f>
        <v>0</v>
      </c>
      <c r="L7" s="4113">
        <f t="shared" si="8"/>
        <v>0</v>
      </c>
      <c r="M7" s="4113">
        <f t="shared" si="8"/>
        <v>0</v>
      </c>
      <c r="N7" s="4113">
        <f t="shared" si="8"/>
        <v>0.05</v>
      </c>
      <c r="O7" s="3685"/>
      <c r="P7" s="4115" t="s">
        <v>1256</v>
      </c>
      <c r="Q7" s="4089">
        <f>'8. Ремонтна програма'!D110</f>
        <v>0</v>
      </c>
      <c r="R7" s="4089">
        <f>'8. Ремонтна програма'!E110</f>
        <v>0</v>
      </c>
      <c r="S7" s="4089">
        <f>'8. Ремонтна програма'!F110</f>
        <v>9</v>
      </c>
      <c r="T7" s="4089">
        <f>'8. Ремонтна програма'!G110</f>
        <v>22</v>
      </c>
      <c r="U7" s="4089">
        <f>'8. Ремонтна програма'!H110</f>
        <v>19</v>
      </c>
      <c r="V7" s="4089">
        <f>'8. Ремонтна програма'!I110</f>
        <v>12</v>
      </c>
      <c r="W7" s="4104">
        <f t="shared" si="0"/>
        <v>0</v>
      </c>
      <c r="X7" s="4105">
        <f t="shared" si="1"/>
        <v>0</v>
      </c>
      <c r="Y7" s="3685"/>
      <c r="Z7" s="4116" t="s">
        <v>1791</v>
      </c>
      <c r="AA7" s="4117">
        <f>AA8+AA9</f>
        <v>3883.1309666666666</v>
      </c>
      <c r="AB7" s="4117">
        <f t="shared" ref="AB7:AE7" si="9">AB8+AB9</f>
        <v>3871.1903909444463</v>
      </c>
      <c r="AC7" s="4117">
        <f t="shared" si="9"/>
        <v>4082.7090899444488</v>
      </c>
      <c r="AD7" s="4117">
        <f t="shared" si="9"/>
        <v>4046.078888944452</v>
      </c>
      <c r="AE7" s="4117">
        <f t="shared" si="9"/>
        <v>4016.2794053974503</v>
      </c>
      <c r="AF7" s="3685"/>
      <c r="AG7" s="3685"/>
      <c r="AH7" s="3685"/>
      <c r="AI7" s="1593" t="s">
        <v>614</v>
      </c>
      <c r="AJ7" s="4110">
        <f>'20.Цени '!D11</f>
        <v>0.20899999999999999</v>
      </c>
      <c r="AK7" s="4110">
        <f>'20.Цени '!E11</f>
        <v>0.29699999999999999</v>
      </c>
      <c r="AL7" s="4110">
        <f>'20.Цени '!F11</f>
        <v>0.36299999999999999</v>
      </c>
      <c r="AM7" s="4110">
        <f>'20.Цени '!G11</f>
        <v>0.42499999999999999</v>
      </c>
      <c r="AN7" s="4110">
        <f>'20.Цени '!H11</f>
        <v>0.437</v>
      </c>
    </row>
    <row r="8" spans="1:40" ht="21" customHeight="1">
      <c r="A8" s="3935" t="s">
        <v>1614</v>
      </c>
      <c r="B8" s="4118" t="s">
        <v>1619</v>
      </c>
      <c r="C8" s="4119">
        <f>'5. Персонал'!C50</f>
        <v>11.663887640449438</v>
      </c>
      <c r="D8" s="4119">
        <f>'5. Персонал'!D50</f>
        <v>13.413825757575758</v>
      </c>
      <c r="E8" s="4119">
        <f>'5. Персонал'!E50</f>
        <v>15.425757575757576</v>
      </c>
      <c r="F8" s="4119">
        <f>'5. Персонал'!F50</f>
        <v>17.739393939393938</v>
      </c>
      <c r="G8" s="4119">
        <f>'5. Персонал'!G50</f>
        <v>20.399621212121211</v>
      </c>
      <c r="H8" s="4119">
        <f>'5. Персонал'!H50</f>
        <v>23.733478260869564</v>
      </c>
      <c r="I8" s="4119">
        <f>'5. Персонал'!I50</f>
        <v>8.8415999999999997</v>
      </c>
      <c r="J8" s="4119">
        <f>'5. Персонал'!J50</f>
        <v>10.1675</v>
      </c>
      <c r="K8" s="4119">
        <f>'5. Персонал'!K50</f>
        <v>11.692499999999999</v>
      </c>
      <c r="L8" s="4119">
        <f>'5. Персонал'!L50</f>
        <v>13.446000000000002</v>
      </c>
      <c r="M8" s="4119">
        <f>'5. Персонал'!M50</f>
        <v>15.4625</v>
      </c>
      <c r="N8" s="4119">
        <f>'5. Персонал'!N50</f>
        <v>15.998095238095241</v>
      </c>
      <c r="O8" s="3685"/>
      <c r="P8" s="5661" t="s">
        <v>1825</v>
      </c>
      <c r="Q8" s="5668" t="s">
        <v>1646</v>
      </c>
      <c r="R8" s="5669"/>
      <c r="S8" s="5669"/>
      <c r="T8" s="5669"/>
      <c r="U8" s="5669"/>
      <c r="V8" s="5669"/>
      <c r="W8" s="5671" t="s">
        <v>1648</v>
      </c>
      <c r="X8" s="5653" t="s">
        <v>1649</v>
      </c>
      <c r="Y8" s="3685"/>
      <c r="Z8" s="4120" t="s">
        <v>304</v>
      </c>
      <c r="AA8" s="4117">
        <f>'4. Отчет и прогн. потребление'!E50/1000</f>
        <v>3795.2312999999999</v>
      </c>
      <c r="AB8" s="4117">
        <f>'4. Отчет и прогн. потребление'!F50/1000</f>
        <v>3784.3074385466184</v>
      </c>
      <c r="AC8" s="4117">
        <f>'4. Отчет и прогн. потребление'!G50/1000</f>
        <v>3996.8428518154597</v>
      </c>
      <c r="AD8" s="4117">
        <f>'4. Отчет и прогн. потребление'!H50/1000</f>
        <v>3961.2293650843017</v>
      </c>
      <c r="AE8" s="4117">
        <f>'4. Отчет и прогн. потребление'!I50/1000</f>
        <v>3932.4347435100744</v>
      </c>
      <c r="AF8" s="3685"/>
      <c r="AG8" s="3685"/>
      <c r="AH8" s="3685"/>
      <c r="AI8" s="5656" t="s">
        <v>188</v>
      </c>
      <c r="AJ8" s="5657"/>
      <c r="AK8" s="5657"/>
      <c r="AL8" s="5657"/>
      <c r="AM8" s="5657"/>
      <c r="AN8" s="5658"/>
    </row>
    <row r="9" spans="1:40" ht="12.6" customHeight="1">
      <c r="A9" s="3942" t="s">
        <v>1623</v>
      </c>
      <c r="B9" s="4111" t="s">
        <v>174</v>
      </c>
      <c r="C9" s="4112"/>
      <c r="D9" s="4113">
        <f>IFERROR((D8-C8)/C8,0)</f>
        <v>0.15003043334005317</v>
      </c>
      <c r="E9" s="4113">
        <f t="shared" ref="E9" si="10">IFERROR((E8-D8)/D8,0)</f>
        <v>0.14998941051888456</v>
      </c>
      <c r="F9" s="4113">
        <f t="shared" ref="F9" si="11">IFERROR((F8-E8)/E8,0)</f>
        <v>0.14998526667321474</v>
      </c>
      <c r="G9" s="4113">
        <f t="shared" ref="G9" si="12">IFERROR((G8-F8)/F8,0)</f>
        <v>0.14996156474205671</v>
      </c>
      <c r="H9" s="4113">
        <f t="shared" ref="H9" si="13">IFERROR((H8-G8)/G8,0)</f>
        <v>0.16342739966011796</v>
      </c>
      <c r="I9" s="4112"/>
      <c r="J9" s="4113">
        <f>IFERROR((J8-I8)/I8,0)</f>
        <v>0.14996154542164322</v>
      </c>
      <c r="K9" s="4113">
        <f t="shared" ref="K9" si="14">IFERROR((K8-J8)/J8,0)</f>
        <v>0.14998770592574365</v>
      </c>
      <c r="L9" s="4113">
        <f t="shared" ref="L9" si="15">IFERROR((L8-K8)/K8,0)</f>
        <v>0.14996792815907656</v>
      </c>
      <c r="M9" s="4113">
        <f t="shared" ref="M9" si="16">IFERROR((M8-L8)/L8,0)</f>
        <v>0.14997025137587378</v>
      </c>
      <c r="N9" s="4113">
        <f t="shared" ref="N9" si="17">IFERROR((N8-M8)/M8,0)</f>
        <v>3.4638333910767358E-2</v>
      </c>
      <c r="O9" s="3685"/>
      <c r="P9" s="5662"/>
      <c r="Q9" s="4100" t="s">
        <v>119</v>
      </c>
      <c r="R9" s="4100" t="s">
        <v>1072</v>
      </c>
      <c r="S9" s="4100" t="s">
        <v>1073</v>
      </c>
      <c r="T9" s="4100" t="s">
        <v>1074</v>
      </c>
      <c r="U9" s="4100" t="s">
        <v>1075</v>
      </c>
      <c r="V9" s="4100" t="s">
        <v>1076</v>
      </c>
      <c r="W9" s="5672"/>
      <c r="X9" s="5653"/>
      <c r="Y9" s="3685"/>
      <c r="Z9" s="4121" t="s">
        <v>305</v>
      </c>
      <c r="AA9" s="4117">
        <f>'4. Отчет и прогн. потребление'!E51/1000</f>
        <v>87.899666666666675</v>
      </c>
      <c r="AB9" s="4117">
        <f>'4. Отчет и прогн. потребление'!F51/1000</f>
        <v>86.882952397827836</v>
      </c>
      <c r="AC9" s="4117">
        <f>'4. Отчет и прогн. потребление'!G51/1000</f>
        <v>85.866238128989011</v>
      </c>
      <c r="AD9" s="4117">
        <f>'4. Отчет и прогн. потребление'!H51/1000</f>
        <v>84.849523860150157</v>
      </c>
      <c r="AE9" s="4117">
        <f>'4. Отчет и прогн. потребление'!I51/1000</f>
        <v>83.844661887376091</v>
      </c>
      <c r="AF9" s="3685"/>
      <c r="AG9" s="3685"/>
      <c r="AH9" s="3685"/>
      <c r="AI9" s="1593" t="s">
        <v>614</v>
      </c>
      <c r="AJ9" s="4110">
        <f>'20.Цени '!D13</f>
        <v>0.56699999999999995</v>
      </c>
      <c r="AK9" s="4110">
        <f>'20.Цени '!E13</f>
        <v>0.67100000000000004</v>
      </c>
      <c r="AL9" s="4110">
        <f>'20.Цени '!F13</f>
        <v>0.61299999999999999</v>
      </c>
      <c r="AM9" s="4110">
        <f>'20.Цени '!G13</f>
        <v>0.65600000000000003</v>
      </c>
      <c r="AN9" s="4110">
        <f>'20.Цени '!H13</f>
        <v>0.67200000000000004</v>
      </c>
    </row>
    <row r="10" spans="1:40">
      <c r="A10" s="3941" t="s">
        <v>1621</v>
      </c>
      <c r="B10" s="4111" t="s">
        <v>174</v>
      </c>
      <c r="C10" s="4112"/>
      <c r="D10" s="4113">
        <f>IFERROR((D8-$C$8)/$C$8,0)</f>
        <v>0.15003043334005317</v>
      </c>
      <c r="E10" s="4113">
        <f>IFERROR((E8-$C$8)/$C$8,0)</f>
        <v>0.32252282011550509</v>
      </c>
      <c r="F10" s="4113">
        <f>IFERROR((F8-$C$8)/$C$8,0)</f>
        <v>0.52088175797194114</v>
      </c>
      <c r="G10" s="4113">
        <f>IFERROR((G8-$C$8)/$C$8,0)</f>
        <v>0.74895556618506343</v>
      </c>
      <c r="H10" s="4113">
        <f>IFERROR((H8-$C$8)/$C$8,0)</f>
        <v>1.0347828264877776</v>
      </c>
      <c r="I10" s="4112"/>
      <c r="J10" s="4113">
        <f>IFERROR((J8-$I$8)/$I$8,0)</f>
        <v>0.14996154542164322</v>
      </c>
      <c r="K10" s="4114">
        <f>IFERROR((K8-$I$8)/$I$8,0)</f>
        <v>0.32244163952225835</v>
      </c>
      <c r="L10" s="4113">
        <f>IFERROR((L8-$I$8)/$I$8,0)</f>
        <v>0.52076547231270376</v>
      </c>
      <c r="M10" s="4113">
        <f>IFERROR((M8-$I$8)/$I$8,0)</f>
        <v>0.74883505247918936</v>
      </c>
      <c r="N10" s="4113">
        <f>IFERROR((N8-$I$8)/$I$8,0)</f>
        <v>0.80941178498181787</v>
      </c>
      <c r="O10" s="3685"/>
      <c r="P10" s="4103" t="s">
        <v>212</v>
      </c>
      <c r="Q10" s="4089">
        <f>'8. Ремонтна програма'!J24</f>
        <v>1904.0797599999999</v>
      </c>
      <c r="R10" s="4089">
        <f>'8. Ремонтна програма'!K24</f>
        <v>2104.62</v>
      </c>
      <c r="S10" s="4089">
        <f>'8. Ремонтна програма'!L24</f>
        <v>2152.62</v>
      </c>
      <c r="T10" s="4089">
        <f>'8. Ремонтна програма'!M24</f>
        <v>2213.62</v>
      </c>
      <c r="U10" s="4089">
        <f>'8. Ремонтна програма'!N24</f>
        <v>2285.62</v>
      </c>
      <c r="V10" s="4089">
        <f>'8. Ремонтна програма'!O24</f>
        <v>2285.62</v>
      </c>
      <c r="W10" s="4122">
        <f t="shared" ref="W10:W14" si="18">IFERROR((R10-Q10)/Q10,0)</f>
        <v>0.10532134431175302</v>
      </c>
      <c r="X10" s="4105">
        <f t="shared" ref="X10:X14" si="19">IFERROR((V10-Q10)/Q10,0)</f>
        <v>0.20038038742662759</v>
      </c>
      <c r="Y10" s="3685"/>
      <c r="Z10" s="5652" t="s">
        <v>1801</v>
      </c>
      <c r="AA10" s="5652" t="s">
        <v>188</v>
      </c>
      <c r="AB10" s="5652"/>
      <c r="AC10" s="5652"/>
      <c r="AD10" s="5652"/>
      <c r="AE10" s="5652"/>
      <c r="AF10" s="3685"/>
      <c r="AG10" s="3685"/>
      <c r="AH10" s="3685"/>
      <c r="AI10" s="1593" t="s">
        <v>183</v>
      </c>
      <c r="AJ10" s="4123"/>
      <c r="AK10" s="4123"/>
      <c r="AL10" s="4123"/>
      <c r="AM10" s="4123"/>
      <c r="AN10" s="4123"/>
    </row>
    <row r="11" spans="1:40" ht="18.75" customHeight="1">
      <c r="A11" s="3940" t="s">
        <v>1625</v>
      </c>
      <c r="B11" s="4124" t="s">
        <v>174</v>
      </c>
      <c r="C11" s="3932">
        <f>'5. Персонал'!C62</f>
        <v>0.21289180279861208</v>
      </c>
      <c r="D11" s="3932">
        <f>'5. Персонал'!D62</f>
        <v>0.21517825626544299</v>
      </c>
      <c r="E11" s="3932">
        <f>'5. Персонал'!E62</f>
        <v>0.215352126510166</v>
      </c>
      <c r="F11" s="3932">
        <f>'5. Персонал'!F62</f>
        <v>0.2152374444824052</v>
      </c>
      <c r="G11" s="3932">
        <f>'5. Персонал'!G62</f>
        <v>0.21520750162473307</v>
      </c>
      <c r="H11" s="3932">
        <f>'5. Персонал'!H62</f>
        <v>0.2441973363621375</v>
      </c>
      <c r="I11" s="3932">
        <f>'5. Персонал'!I62</f>
        <v>0.2714440825190011</v>
      </c>
      <c r="J11" s="3932">
        <f>'5. Персонал'!J62</f>
        <v>0.27046963363658716</v>
      </c>
      <c r="K11" s="3932">
        <f>'5. Персонал'!K62</f>
        <v>0.26940346375881974</v>
      </c>
      <c r="L11" s="3932">
        <f>'5. Персонал'!L62</f>
        <v>0.27145619515097424</v>
      </c>
      <c r="M11" s="3932">
        <f>'5. Персонал'!M62</f>
        <v>0.27162489894907033</v>
      </c>
      <c r="N11" s="3932">
        <f>'5. Персонал'!N62</f>
        <v>0.28574830336944873</v>
      </c>
      <c r="O11" s="3685"/>
      <c r="P11" s="4103" t="s">
        <v>178</v>
      </c>
      <c r="Q11" s="4089">
        <f>'8. Ремонтна програма'!J53</f>
        <v>94.536370000000005</v>
      </c>
      <c r="R11" s="4089">
        <f>'8. Ремонтна програма'!K53</f>
        <v>297.55500000000001</v>
      </c>
      <c r="S11" s="4089">
        <f>'8. Ремонтна програма'!L53</f>
        <v>303.55500000000001</v>
      </c>
      <c r="T11" s="4089">
        <f>'8. Ремонтна програма'!M53</f>
        <v>307.55500000000001</v>
      </c>
      <c r="U11" s="4089">
        <f>'8. Ремонтна програма'!N53</f>
        <v>313.55500000000001</v>
      </c>
      <c r="V11" s="4089">
        <f>'8. Ремонтна програма'!O53</f>
        <v>317.55500000000001</v>
      </c>
      <c r="W11" s="4122">
        <f t="shared" si="18"/>
        <v>2.1475187803381917</v>
      </c>
      <c r="X11" s="4105">
        <f t="shared" si="19"/>
        <v>2.3590775698284161</v>
      </c>
      <c r="Y11" s="3685"/>
      <c r="Z11" s="5652"/>
      <c r="AA11" s="4100" t="s">
        <v>1072</v>
      </c>
      <c r="AB11" s="4100" t="s">
        <v>1073</v>
      </c>
      <c r="AC11" s="4100" t="s">
        <v>1074</v>
      </c>
      <c r="AD11" s="4100" t="s">
        <v>1075</v>
      </c>
      <c r="AE11" s="4100" t="s">
        <v>1076</v>
      </c>
      <c r="AF11" s="3685"/>
      <c r="AG11" s="3685"/>
      <c r="AH11" s="3685"/>
      <c r="AI11" s="4125" t="s">
        <v>184</v>
      </c>
      <c r="AJ11" s="4126">
        <f>'20.Цени '!D15</f>
        <v>0.63100000000000001</v>
      </c>
      <c r="AK11" s="4126">
        <f>'20.Цени '!E15</f>
        <v>0.746</v>
      </c>
      <c r="AL11" s="4126">
        <f>'20.Цени '!F15</f>
        <v>0.67900000000000005</v>
      </c>
      <c r="AM11" s="4126">
        <f>'20.Цени '!G15</f>
        <v>0.72699999999999998</v>
      </c>
      <c r="AN11" s="4126">
        <f>'20.Цени '!H15</f>
        <v>0.745</v>
      </c>
    </row>
    <row r="12" spans="1:40" ht="21.75" customHeight="1">
      <c r="A12" s="3940" t="s">
        <v>1624</v>
      </c>
      <c r="B12" s="4124" t="s">
        <v>174</v>
      </c>
      <c r="C12" s="3932">
        <f>'5. Персонал'!C63</f>
        <v>9.3762302288378174E-2</v>
      </c>
      <c r="D12" s="3932">
        <f>'5. Персонал'!D63</f>
        <v>9.4599364631133068E-2</v>
      </c>
      <c r="E12" s="3932">
        <f>'5. Персонал'!E63</f>
        <v>9.4784402318043415E-2</v>
      </c>
      <c r="F12" s="3932">
        <f>'5. Персонал'!F63</f>
        <v>9.4593440382644348E-2</v>
      </c>
      <c r="G12" s="3932">
        <f>'5. Персонал'!G63</f>
        <v>9.4698728066103424E-2</v>
      </c>
      <c r="H12" s="3932">
        <f>'5. Персонал'!H63</f>
        <v>0.10735156722296518</v>
      </c>
      <c r="I12" s="3932">
        <f>'5. Персонал'!I63</f>
        <v>0.1074466159971046</v>
      </c>
      <c r="J12" s="3932">
        <f>'5. Персонал'!J63</f>
        <v>0.10818785345463487</v>
      </c>
      <c r="K12" s="3932">
        <f>'5. Персонал'!K63</f>
        <v>0.10690613641223007</v>
      </c>
      <c r="L12" s="3932">
        <f>'5. Персонал'!L63</f>
        <v>0.10783876245723635</v>
      </c>
      <c r="M12" s="3932">
        <f>'5. Персонал'!M63</f>
        <v>0.10670978172999192</v>
      </c>
      <c r="N12" s="3932">
        <f>'5. Персонал'!N63</f>
        <v>0.11310870341707345</v>
      </c>
      <c r="O12" s="3685"/>
      <c r="P12" s="4103" t="s">
        <v>188</v>
      </c>
      <c r="Q12" s="4089">
        <f>'8. Ремонтна програма'!J79</f>
        <v>24.60191</v>
      </c>
      <c r="R12" s="4089">
        <f>'8. Ремонтна програма'!K79</f>
        <v>30</v>
      </c>
      <c r="S12" s="4089">
        <f>'8. Ремонтна програма'!L79</f>
        <v>30</v>
      </c>
      <c r="T12" s="4089">
        <f>'8. Ремонтна програма'!M79</f>
        <v>30</v>
      </c>
      <c r="U12" s="4089">
        <f>'8. Ремонтна програма'!N79</f>
        <v>30</v>
      </c>
      <c r="V12" s="4089">
        <f>'8. Ремонтна програма'!O79</f>
        <v>30</v>
      </c>
      <c r="W12" s="4122">
        <f t="shared" si="18"/>
        <v>0.2194175167700394</v>
      </c>
      <c r="X12" s="4105">
        <f t="shared" si="19"/>
        <v>0.2194175167700394</v>
      </c>
      <c r="Y12" s="3685"/>
      <c r="Z12" s="4116" t="s">
        <v>1792</v>
      </c>
      <c r="AA12" s="4117">
        <f>AA13+AA14</f>
        <v>3093.1060000000002</v>
      </c>
      <c r="AB12" s="4117">
        <f t="shared" ref="AB12:AE12" si="20">AB13+AB14</f>
        <v>3090.2966133213681</v>
      </c>
      <c r="AC12" s="4117">
        <f t="shared" si="20"/>
        <v>3855.1787126394288</v>
      </c>
      <c r="AD12" s="4117">
        <f t="shared" si="20"/>
        <v>3818.9195006830191</v>
      </c>
      <c r="AE12" s="4117">
        <f t="shared" si="20"/>
        <v>3783.0882184252773</v>
      </c>
      <c r="AF12" s="3685"/>
      <c r="AG12" s="3685"/>
      <c r="AH12" s="3685"/>
      <c r="AI12" s="4125" t="s">
        <v>185</v>
      </c>
      <c r="AJ12" s="4126">
        <f>'20.Цени '!D16</f>
        <v>1.1279999999999999</v>
      </c>
      <c r="AK12" s="4126">
        <f>'20.Цени '!E16</f>
        <v>1.335</v>
      </c>
      <c r="AL12" s="4126">
        <f>'20.Цени '!F16</f>
        <v>1.222</v>
      </c>
      <c r="AM12" s="4126">
        <f>'20.Цени '!G16</f>
        <v>1.3080000000000001</v>
      </c>
      <c r="AN12" s="4126">
        <f>'20.Цени '!H16</f>
        <v>1.34</v>
      </c>
    </row>
    <row r="13" spans="1:40" ht="14.25" customHeight="1">
      <c r="A13" s="5661" t="s">
        <v>2</v>
      </c>
      <c r="B13" s="5663" t="s">
        <v>1615</v>
      </c>
      <c r="C13" s="5665" t="s">
        <v>188</v>
      </c>
      <c r="D13" s="5666"/>
      <c r="E13" s="5666"/>
      <c r="F13" s="5666"/>
      <c r="G13" s="5666"/>
      <c r="H13" s="5667"/>
      <c r="I13" s="5668" t="s">
        <v>1036</v>
      </c>
      <c r="J13" s="5669"/>
      <c r="K13" s="5669"/>
      <c r="L13" s="5669"/>
      <c r="M13" s="5669"/>
      <c r="N13" s="5670"/>
      <c r="O13" s="3685"/>
      <c r="P13" s="4115" t="s">
        <v>1256</v>
      </c>
      <c r="Q13" s="4089">
        <f>'8. Ремонтна програма'!J110</f>
        <v>1</v>
      </c>
      <c r="R13" s="4089">
        <f>'8. Ремонтна програма'!K110</f>
        <v>1</v>
      </c>
      <c r="S13" s="4089">
        <f>'8. Ремонтна програма'!L110</f>
        <v>13.2</v>
      </c>
      <c r="T13" s="4089">
        <f>'8. Ремонтна програма'!M110</f>
        <v>22.265000000000001</v>
      </c>
      <c r="U13" s="4089">
        <f>'8. Ремонтна програма'!N110</f>
        <v>28.698999999999998</v>
      </c>
      <c r="V13" s="4089">
        <f>'8. Ремонтна програма'!O110</f>
        <v>22</v>
      </c>
      <c r="W13" s="4122">
        <f t="shared" si="18"/>
        <v>0</v>
      </c>
      <c r="X13" s="4105">
        <f t="shared" si="19"/>
        <v>21</v>
      </c>
      <c r="Y13" s="3685"/>
      <c r="Z13" s="4120" t="s">
        <v>304</v>
      </c>
      <c r="AA13" s="4117">
        <f>'4. Отчет и прогн. потребление'!E55/1000</f>
        <v>3046.893</v>
      </c>
      <c r="AB13" s="4117">
        <f>'4. Отчет и прогн. потребление'!F55/1000</f>
        <v>3044.618147959412</v>
      </c>
      <c r="AC13" s="4117">
        <f>'4. Отчет и прогн. потребление'!G55/1000</f>
        <v>3772.5347819155168</v>
      </c>
      <c r="AD13" s="4117">
        <f>'4. Отчет и прогн. потребление'!H55/1000</f>
        <v>3737.2921045971511</v>
      </c>
      <c r="AE13" s="4117">
        <f>'4. Отчет и прогн. потребление'!I55/1000</f>
        <v>3702.4654174026095</v>
      </c>
      <c r="AF13" s="3685"/>
      <c r="AG13" s="3685"/>
      <c r="AH13" s="3685"/>
      <c r="AI13" s="4125" t="s">
        <v>186</v>
      </c>
      <c r="AJ13" s="4126">
        <f>'20.Цени '!D17</f>
        <v>0</v>
      </c>
      <c r="AK13" s="4126">
        <f>'20.Цени '!E17</f>
        <v>0</v>
      </c>
      <c r="AL13" s="4126">
        <f>'20.Цени '!F17</f>
        <v>0</v>
      </c>
      <c r="AM13" s="4126">
        <f>'20.Цени '!G17</f>
        <v>0</v>
      </c>
      <c r="AN13" s="4126">
        <f>'20.Цени '!H17</f>
        <v>0</v>
      </c>
    </row>
    <row r="14" spans="1:40" ht="14.25" customHeight="1">
      <c r="A14" s="5662"/>
      <c r="B14" s="5664"/>
      <c r="C14" s="3936" t="s">
        <v>1629</v>
      </c>
      <c r="D14" s="3936" t="s">
        <v>1637</v>
      </c>
      <c r="E14" s="3936" t="s">
        <v>1638</v>
      </c>
      <c r="F14" s="3936" t="s">
        <v>1639</v>
      </c>
      <c r="G14" s="3936" t="s">
        <v>1640</v>
      </c>
      <c r="H14" s="3936" t="s">
        <v>1641</v>
      </c>
      <c r="I14" s="3936" t="s">
        <v>1629</v>
      </c>
      <c r="J14" s="3936" t="s">
        <v>1637</v>
      </c>
      <c r="K14" s="3936" t="s">
        <v>1638</v>
      </c>
      <c r="L14" s="3936" t="s">
        <v>1639</v>
      </c>
      <c r="M14" s="3936" t="s">
        <v>1640</v>
      </c>
      <c r="N14" s="3936" t="s">
        <v>1641</v>
      </c>
      <c r="O14" s="3685"/>
      <c r="P14" s="4115" t="s">
        <v>1102</v>
      </c>
      <c r="Q14" s="4089">
        <f>'8. Ремонтна програма'!J141</f>
        <v>0</v>
      </c>
      <c r="R14" s="4089">
        <f>'8. Ремонтна програма'!K141</f>
        <v>0</v>
      </c>
      <c r="S14" s="4089">
        <f>'8. Ремонтна програма'!L141</f>
        <v>0</v>
      </c>
      <c r="T14" s="4089">
        <f>'8. Ремонтна програма'!M141</f>
        <v>0</v>
      </c>
      <c r="U14" s="4089">
        <f>'8. Ремонтна програма'!N141</f>
        <v>0</v>
      </c>
      <c r="V14" s="4089">
        <f>'8. Ремонтна програма'!O141</f>
        <v>0</v>
      </c>
      <c r="W14" s="4122">
        <f t="shared" si="18"/>
        <v>0</v>
      </c>
      <c r="X14" s="4105">
        <f t="shared" si="19"/>
        <v>0</v>
      </c>
      <c r="Y14" s="3685"/>
      <c r="Z14" s="4121" t="s">
        <v>305</v>
      </c>
      <c r="AA14" s="4117">
        <f>SUM(AA15:AA17)</f>
        <v>46.213000000000001</v>
      </c>
      <c r="AB14" s="4117">
        <f t="shared" ref="AB14:AE14" si="21">SUM(AB15:AB17)</f>
        <v>45.678465361956064</v>
      </c>
      <c r="AC14" s="4117">
        <f t="shared" si="21"/>
        <v>82.643930723912135</v>
      </c>
      <c r="AD14" s="4117">
        <f t="shared" si="21"/>
        <v>81.627396085868185</v>
      </c>
      <c r="AE14" s="4117">
        <f t="shared" si="21"/>
        <v>80.622801022667673</v>
      </c>
      <c r="AF14" s="3685"/>
      <c r="AG14" s="3685"/>
      <c r="AH14" s="3685"/>
      <c r="AI14" s="5656" t="str">
        <f>AA18</f>
        <v>Доставяне вода с непитейни качества</v>
      </c>
      <c r="AJ14" s="5657"/>
      <c r="AK14" s="5657"/>
      <c r="AL14" s="5657"/>
      <c r="AM14" s="5657"/>
      <c r="AN14" s="5658"/>
    </row>
    <row r="15" spans="1:40" ht="20.100000000000001" customHeight="1">
      <c r="A15" s="3939" t="s">
        <v>1620</v>
      </c>
      <c r="B15" s="4101" t="s">
        <v>682</v>
      </c>
      <c r="C15" s="4102">
        <f>'5. Персонал'!O11</f>
        <v>35</v>
      </c>
      <c r="D15" s="4102">
        <f>'5. Персонал'!P11</f>
        <v>36</v>
      </c>
      <c r="E15" s="4102">
        <f>'5. Персонал'!Q11</f>
        <v>36</v>
      </c>
      <c r="F15" s="4102">
        <f>'5. Персонал'!R11</f>
        <v>36</v>
      </c>
      <c r="G15" s="4102">
        <f>'5. Персонал'!S11</f>
        <v>36</v>
      </c>
      <c r="H15" s="4102">
        <f>'5. Персонал'!T11</f>
        <v>34</v>
      </c>
      <c r="I15" s="4102">
        <f>C4+I4+C15</f>
        <v>326</v>
      </c>
      <c r="J15" s="4102">
        <f t="shared" ref="J15:N15" si="22">D4+J4+D15</f>
        <v>334</v>
      </c>
      <c r="K15" s="4102">
        <f t="shared" si="22"/>
        <v>334</v>
      </c>
      <c r="L15" s="4102">
        <f t="shared" si="22"/>
        <v>334</v>
      </c>
      <c r="M15" s="4102">
        <f t="shared" si="22"/>
        <v>334</v>
      </c>
      <c r="N15" s="4102">
        <f t="shared" si="22"/>
        <v>306</v>
      </c>
      <c r="O15" s="3685"/>
      <c r="P15" s="4127"/>
      <c r="Q15" s="4128"/>
      <c r="R15" s="4128"/>
      <c r="S15" s="4128"/>
      <c r="T15" s="4128"/>
      <c r="U15" s="4128"/>
      <c r="V15" s="4128"/>
      <c r="W15" s="4129"/>
      <c r="X15" s="4130"/>
      <c r="Y15" s="3685"/>
      <c r="Z15" s="4131" t="s">
        <v>1005</v>
      </c>
      <c r="AA15" s="4117">
        <f>'4. Отчет и прогн. потребление'!E58/1000</f>
        <v>10.000941079295153</v>
      </c>
      <c r="AB15" s="4117">
        <f>'4. Отчет и прогн. потребление'!F58/1000</f>
        <v>9.8852626031105313</v>
      </c>
      <c r="AC15" s="4117">
        <f>'4. Отчет и прогн. потребление'!G58/1000</f>
        <v>18.582286114918869</v>
      </c>
      <c r="AD15" s="4117">
        <f>'4. Отчет и прогн. потребление'!H58/1000</f>
        <v>18.362298167368614</v>
      </c>
      <c r="AE15" s="4117">
        <f>'4. Отчет и прогн. потребление'!I58/1000</f>
        <v>18.144894059528422</v>
      </c>
      <c r="AF15" s="3685"/>
      <c r="AG15" s="3685"/>
      <c r="AH15" s="3685"/>
      <c r="AI15" s="1593"/>
      <c r="AJ15" s="4110">
        <f>'20.Цени '!D18</f>
        <v>0.13100000000000001</v>
      </c>
      <c r="AK15" s="4110">
        <f>'20.Цени '!E18</f>
        <v>0.185</v>
      </c>
      <c r="AL15" s="4110">
        <f>'20.Цени '!F18</f>
        <v>0.185</v>
      </c>
      <c r="AM15" s="4110">
        <f>'20.Цени '!G18</f>
        <v>0.185</v>
      </c>
      <c r="AN15" s="4110">
        <f>'20.Цени '!H18</f>
        <v>0.185</v>
      </c>
    </row>
    <row r="16" spans="1:40" ht="17.25" customHeight="1">
      <c r="A16" s="3934" t="s">
        <v>1613</v>
      </c>
      <c r="B16" s="4108" t="s">
        <v>1618</v>
      </c>
      <c r="C16" s="4109">
        <f>'5. Персонал'!O14</f>
        <v>30</v>
      </c>
      <c r="D16" s="4109">
        <f>'5. Персонал'!P14</f>
        <v>30</v>
      </c>
      <c r="E16" s="4109">
        <f>'5. Персонал'!Q14</f>
        <v>30</v>
      </c>
      <c r="F16" s="4109">
        <f>'5. Персонал'!R14</f>
        <v>30</v>
      </c>
      <c r="G16" s="4109">
        <f>'5. Персонал'!S14</f>
        <v>30</v>
      </c>
      <c r="H16" s="4109">
        <f>'5. Персонал'!T14</f>
        <v>32</v>
      </c>
      <c r="I16" s="4102">
        <f>C5+I5+C16</f>
        <v>317</v>
      </c>
      <c r="J16" s="4102">
        <f t="shared" ref="J16:N16" si="23">D5+J5+D16</f>
        <v>314</v>
      </c>
      <c r="K16" s="4102">
        <f t="shared" si="23"/>
        <v>314</v>
      </c>
      <c r="L16" s="4102">
        <f t="shared" si="23"/>
        <v>314</v>
      </c>
      <c r="M16" s="4102">
        <f t="shared" si="23"/>
        <v>314</v>
      </c>
      <c r="N16" s="4102">
        <f t="shared" si="23"/>
        <v>283</v>
      </c>
      <c r="O16" s="3685"/>
      <c r="P16" s="4132" t="s">
        <v>1676</v>
      </c>
      <c r="Q16" s="4133" t="s">
        <v>119</v>
      </c>
      <c r="R16" s="4133" t="s">
        <v>1072</v>
      </c>
      <c r="S16" s="4133" t="s">
        <v>1073</v>
      </c>
      <c r="T16" s="4133" t="s">
        <v>1074</v>
      </c>
      <c r="U16" s="4133" t="s">
        <v>1075</v>
      </c>
      <c r="V16" s="4133" t="s">
        <v>1076</v>
      </c>
      <c r="W16" s="4133" t="s">
        <v>1661</v>
      </c>
      <c r="X16" s="4133" t="s">
        <v>1662</v>
      </c>
      <c r="Y16" s="3685"/>
      <c r="Z16" s="4131" t="s">
        <v>1006</v>
      </c>
      <c r="AA16" s="4117">
        <f>'4. Отчет и прогн. потребление'!E59/1000</f>
        <v>36.212058920704848</v>
      </c>
      <c r="AB16" s="4117">
        <f>'4. Отчет и прогн. потребление'!F59/1000</f>
        <v>35.793202758845531</v>
      </c>
      <c r="AC16" s="4117">
        <f>'4. Отчет и прогн. потребление'!G59/1000</f>
        <v>64.061644608993262</v>
      </c>
      <c r="AD16" s="4117">
        <f>'4. Отчет и прогн. потребление'!H59/1000</f>
        <v>63.265097918499563</v>
      </c>
      <c r="AE16" s="4117">
        <f>'4. Отчет и прогн. потребление'!I59/1000</f>
        <v>62.477906963139247</v>
      </c>
      <c r="AF16" s="3685"/>
      <c r="AG16" s="3685"/>
      <c r="AH16" s="3685"/>
      <c r="AI16" s="5656" t="str">
        <f>AA21</f>
        <v>Доставяне вода на друг ВиК оператор</v>
      </c>
      <c r="AJ16" s="5657"/>
      <c r="AK16" s="5657"/>
      <c r="AL16" s="5657"/>
      <c r="AM16" s="5657"/>
      <c r="AN16" s="5658"/>
    </row>
    <row r="17" spans="1:43" ht="14.25" customHeight="1">
      <c r="A17" s="3942" t="s">
        <v>1623</v>
      </c>
      <c r="B17" s="4111" t="s">
        <v>174</v>
      </c>
      <c r="C17" s="4112"/>
      <c r="D17" s="4113">
        <f>IFERROR((D16-C16)/C16,0)</f>
        <v>0</v>
      </c>
      <c r="E17" s="4113">
        <f t="shared" ref="E17" si="24">IFERROR((E16-D16)/D16,0)</f>
        <v>0</v>
      </c>
      <c r="F17" s="4113">
        <f t="shared" ref="F17" si="25">IFERROR((F16-E16)/E16,0)</f>
        <v>0</v>
      </c>
      <c r="G17" s="4113">
        <f t="shared" ref="G17" si="26">IFERROR((G16-F16)/F16,0)</f>
        <v>0</v>
      </c>
      <c r="H17" s="4113">
        <f t="shared" ref="H17" si="27">IFERROR((H16-G16)/G16,0)</f>
        <v>6.6666666666666666E-2</v>
      </c>
      <c r="I17" s="4112"/>
      <c r="J17" s="4114">
        <f>IFERROR((J16-I16)/I16,0)</f>
        <v>-9.4637223974763408E-3</v>
      </c>
      <c r="K17" s="4114">
        <f t="shared" ref="K17" si="28">IFERROR((K16-J16)/J16,0)</f>
        <v>0</v>
      </c>
      <c r="L17" s="4114">
        <f t="shared" ref="L17" si="29">IFERROR((L16-K16)/K16,0)</f>
        <v>0</v>
      </c>
      <c r="M17" s="4114">
        <f t="shared" ref="M17" si="30">IFERROR((M16-L16)/L16,0)</f>
        <v>0</v>
      </c>
      <c r="N17" s="4114">
        <f t="shared" ref="N17" si="31">IFERROR((N16-M16)/M16,0)</f>
        <v>-9.8726114649681534E-2</v>
      </c>
      <c r="O17" s="3685"/>
      <c r="P17" s="4134" t="s">
        <v>1651</v>
      </c>
      <c r="Q17" s="4135">
        <f>IFERROR('8. Ремонтна програма'!K10/'8. Ремонтна програма'!K$24,0)</f>
        <v>3.8011612547633306E-3</v>
      </c>
      <c r="R17" s="4135">
        <f>IFERROR('8. Ремонтна програма'!L10/'8. Ремонтна програма'!L$24,0)</f>
        <v>3.7164014085161339E-3</v>
      </c>
      <c r="S17" s="4135">
        <f>IFERROR('8. Ремонтна програма'!M10/'8. Ремонтна програма'!M$24,0)</f>
        <v>3.6139897543390467E-3</v>
      </c>
      <c r="T17" s="4135">
        <f>IFERROR('8. Ремонтна програма'!N10/'8. Ремонтна програма'!N$24,0)</f>
        <v>3.5001443809557146E-3</v>
      </c>
      <c r="U17" s="4135">
        <f>IFERROR('8. Ремонтна програма'!O10/'8. Ремонтна програма'!O$24,0)</f>
        <v>3.5001443809557146E-3</v>
      </c>
      <c r="V17" s="4135">
        <f>IFERROR('8. Ремонтна програма'!P10/'8. Ремонтна програма'!P$24,0)</f>
        <v>0</v>
      </c>
      <c r="W17" s="4136">
        <f t="shared" ref="W17:W30" si="32">IFERROR((R17-Q17)/Q17,0)</f>
        <v>-2.2298408451096881E-2</v>
      </c>
      <c r="X17" s="4136">
        <f t="shared" ref="X17:X30" si="33">IFERROR((V17-Q17)/Q17,0)</f>
        <v>-1</v>
      </c>
      <c r="Y17" s="3685"/>
      <c r="Z17" s="4131" t="s">
        <v>1007</v>
      </c>
      <c r="AA17" s="4117">
        <f>'4. Отчет и прогн. потребление'!E60/1000</f>
        <v>0</v>
      </c>
      <c r="AB17" s="4117">
        <f>'4. Отчет и прогн. потребление'!F60/1000</f>
        <v>0</v>
      </c>
      <c r="AC17" s="4117">
        <f>'4. Отчет и прогн. потребление'!G60/1000</f>
        <v>0</v>
      </c>
      <c r="AD17" s="4117">
        <f>'4. Отчет и прогн. потребление'!H60/1000</f>
        <v>0</v>
      </c>
      <c r="AE17" s="4117">
        <f>'4. Отчет и прогн. потребление'!I60/1000</f>
        <v>0</v>
      </c>
      <c r="AF17" s="3685"/>
      <c r="AG17" s="3685"/>
      <c r="AH17" s="3685"/>
      <c r="AI17" s="1593"/>
      <c r="AJ17" s="4110">
        <f>'20.Цени '!D19</f>
        <v>0</v>
      </c>
      <c r="AK17" s="4110">
        <f>'20.Цени '!E19</f>
        <v>0</v>
      </c>
      <c r="AL17" s="4110">
        <f>'20.Цени '!F19</f>
        <v>0</v>
      </c>
      <c r="AM17" s="4110">
        <f>'20.Цени '!G19</f>
        <v>0</v>
      </c>
      <c r="AN17" s="4110">
        <f>'20.Цени '!H19</f>
        <v>0</v>
      </c>
    </row>
    <row r="18" spans="1:43">
      <c r="A18" s="3942" t="s">
        <v>1622</v>
      </c>
      <c r="B18" s="4111" t="s">
        <v>174</v>
      </c>
      <c r="C18" s="4112"/>
      <c r="D18" s="4113">
        <f>IFERROR((D16-$C$16)/$C$16,0)</f>
        <v>0</v>
      </c>
      <c r="E18" s="4113">
        <f t="shared" ref="E18:H18" si="34">IFERROR((E16-$C$16)/$C$16,0)</f>
        <v>0</v>
      </c>
      <c r="F18" s="4113">
        <f t="shared" si="34"/>
        <v>0</v>
      </c>
      <c r="G18" s="4113">
        <f t="shared" si="34"/>
        <v>0</v>
      </c>
      <c r="H18" s="4113">
        <f t="shared" si="34"/>
        <v>6.6666666666666666E-2</v>
      </c>
      <c r="I18" s="4112"/>
      <c r="J18" s="4137">
        <f>IFERROR((J16-$I$16)/$I$16,0)</f>
        <v>-9.4637223974763408E-3</v>
      </c>
      <c r="K18" s="4114">
        <f t="shared" ref="K18:N18" si="35">IFERROR((K16-$I$16)/$I$16,0)</f>
        <v>-9.4637223974763408E-3</v>
      </c>
      <c r="L18" s="4113">
        <f t="shared" si="35"/>
        <v>-9.4637223974763408E-3</v>
      </c>
      <c r="M18" s="4113">
        <f t="shared" si="35"/>
        <v>-9.4637223974763408E-3</v>
      </c>
      <c r="N18" s="4113">
        <f t="shared" si="35"/>
        <v>-0.10725552050473186</v>
      </c>
      <c r="O18" s="3685"/>
      <c r="P18" s="4134" t="s">
        <v>1652</v>
      </c>
      <c r="Q18" s="4135">
        <f>IFERROR('8. Ремонтна програма'!K11/'8. Ремонтна програма'!K$24,0)</f>
        <v>0.12068686983873574</v>
      </c>
      <c r="R18" s="4135">
        <f>IFERROR('8. Ремонтна програма'!L11/'8. Ремонтна програма'!L$24,0)</f>
        <v>0.11799574472038725</v>
      </c>
      <c r="S18" s="4135">
        <f>IFERROR('8. Ремонтна програма'!M11/'8. Ремонтна програма'!M$24,0)</f>
        <v>0.11474417470026473</v>
      </c>
      <c r="T18" s="4135">
        <f>IFERROR('8. Ремонтна програма'!N11/'8. Ремонтна програма'!N$24,0)</f>
        <v>0.11112958409534394</v>
      </c>
      <c r="U18" s="4135">
        <f>IFERROR('8. Ремонтна програма'!O11/'8. Ремонтна програма'!O$24,0)</f>
        <v>0.11112958409534394</v>
      </c>
      <c r="V18" s="4135">
        <f>IFERROR('8. Ремонтна програма'!P11/'8. Ремонтна програма'!P$24,0)</f>
        <v>0</v>
      </c>
      <c r="W18" s="4136">
        <f t="shared" si="32"/>
        <v>-2.2298408451096815E-2</v>
      </c>
      <c r="X18" s="4136">
        <f t="shared" si="33"/>
        <v>-1</v>
      </c>
      <c r="Y18" s="3685"/>
      <c r="Z18" s="5652" t="s">
        <v>1802</v>
      </c>
      <c r="AA18" s="5659" t="str">
        <f>C24</f>
        <v>Доставяне вода с непитейни качества</v>
      </c>
      <c r="AB18" s="5652"/>
      <c r="AC18" s="5652"/>
      <c r="AD18" s="5652"/>
      <c r="AE18" s="5652"/>
      <c r="AF18" s="3685"/>
      <c r="AG18" s="3685"/>
      <c r="AH18" s="3685"/>
      <c r="AI18" s="3685"/>
      <c r="AJ18" s="3685"/>
      <c r="AK18" s="3685"/>
      <c r="AL18" s="3685"/>
      <c r="AM18" s="3685"/>
      <c r="AN18" s="3685"/>
    </row>
    <row r="19" spans="1:43" ht="21.75" customHeight="1">
      <c r="A19" s="3935" t="s">
        <v>1614</v>
      </c>
      <c r="B19" s="4118" t="s">
        <v>1619</v>
      </c>
      <c r="C19" s="4119">
        <f>'5. Персонал'!O50</f>
        <v>14.448933333333335</v>
      </c>
      <c r="D19" s="4119">
        <f>'5. Персонал'!P50</f>
        <v>16.55</v>
      </c>
      <c r="E19" s="4119">
        <f>'5. Персонал'!Q50</f>
        <v>19.109333333333332</v>
      </c>
      <c r="F19" s="4119">
        <f>'5. Персонал'!R50</f>
        <v>21.976666666666667</v>
      </c>
      <c r="G19" s="4119">
        <f>'5. Персонал'!S50</f>
        <v>25.273333333333333</v>
      </c>
      <c r="H19" s="4119">
        <f>'5. Персонал'!T50</f>
        <v>26.78125</v>
      </c>
      <c r="I19" s="4119">
        <f>IFERROR(('5. Персонал'!C29+'5. Персонал'!I29+'5. Персонал'!O29)/I16,0)</f>
        <v>11.749394321766561</v>
      </c>
      <c r="J19" s="4119">
        <f>IFERROR(('5. Персонал'!D29+'5. Персонал'!J29+'5. Персонал'!P29)/J16,0)</f>
        <v>13.506687898089172</v>
      </c>
      <c r="K19" s="4119">
        <f>IFERROR(('5. Персонал'!E29+'5. Персонал'!K29+'5. Персонал'!Q29)/K16,0)</f>
        <v>15.539904458598725</v>
      </c>
      <c r="L19" s="4119">
        <f>IFERROR(('5. Персонал'!F29+'5. Персонал'!L29+'5. Персонал'!R29)/L16,0)</f>
        <v>17.870764331210193</v>
      </c>
      <c r="M19" s="4119">
        <f>IFERROR(('5. Персонал'!G29+'5. Персонал'!M29+'5. Персонал'!S29)/M16,0)</f>
        <v>20.550796178343948</v>
      </c>
      <c r="N19" s="4119">
        <f>IFERROR(('5. Персонал'!H29+'5. Персонал'!N29+'5. Персонал'!T29)/N16,0)</f>
        <v>23.504098939929328</v>
      </c>
      <c r="O19" s="3685"/>
      <c r="P19" s="4138" t="s">
        <v>1653</v>
      </c>
      <c r="Q19" s="4135">
        <f>IFERROR('8. Ремонтна програма'!K12/'8. Ремонтна програма'!K$24,0)</f>
        <v>0.50840531782459542</v>
      </c>
      <c r="R19" s="4135">
        <f>IFERROR('8. Ремонтна програма'!L12/'8. Ремонтна програма'!L$24,0)</f>
        <v>0.51936709684012972</v>
      </c>
      <c r="S19" s="4135">
        <f>IFERROR('8. Ремонтна програма'!M12/'8. Ремонтна програма'!M$24,0)</f>
        <v>0.53261174004571699</v>
      </c>
      <c r="T19" s="4135">
        <f>IFERROR('8. Ремонтна програма'!N12/'8. Ремонтна програма'!N$24,0)</f>
        <v>0.54733507757194988</v>
      </c>
      <c r="U19" s="4135">
        <f>IFERROR('8. Ремонтна програма'!O12/'8. Ремонтна програма'!O$24,0)</f>
        <v>0.54733507757194988</v>
      </c>
      <c r="V19" s="4135">
        <f>IFERROR('8. Ремонтна програма'!P12/'8. Ремонтна програма'!P$24,0)</f>
        <v>0</v>
      </c>
      <c r="W19" s="4136">
        <f t="shared" si="32"/>
        <v>2.156110219782598E-2</v>
      </c>
      <c r="X19" s="4136">
        <f t="shared" si="33"/>
        <v>-1</v>
      </c>
      <c r="Y19" s="3685"/>
      <c r="Z19" s="5652"/>
      <c r="AA19" s="4100" t="s">
        <v>1072</v>
      </c>
      <c r="AB19" s="4100" t="s">
        <v>1073</v>
      </c>
      <c r="AC19" s="4100" t="s">
        <v>1074</v>
      </c>
      <c r="AD19" s="4100" t="s">
        <v>1075</v>
      </c>
      <c r="AE19" s="4100" t="s">
        <v>1076</v>
      </c>
      <c r="AF19" s="3685"/>
      <c r="AG19" s="3685"/>
      <c r="AH19" s="3685"/>
      <c r="AI19" s="5660" t="s">
        <v>284</v>
      </c>
      <c r="AJ19" s="5660" t="s">
        <v>285</v>
      </c>
      <c r="AK19" s="5660" t="s">
        <v>196</v>
      </c>
      <c r="AL19" s="5660"/>
      <c r="AM19" s="5660" t="s">
        <v>197</v>
      </c>
      <c r="AN19" s="5660"/>
      <c r="AO19" s="5660"/>
      <c r="AP19" s="5660"/>
      <c r="AQ19" s="5660"/>
    </row>
    <row r="20" spans="1:43" ht="15.75" customHeight="1">
      <c r="A20" s="3942" t="s">
        <v>1623</v>
      </c>
      <c r="B20" s="4111" t="s">
        <v>174</v>
      </c>
      <c r="C20" s="4112"/>
      <c r="D20" s="4113">
        <f>IFERROR((D19-C19)/C19,0)</f>
        <v>0.1454132715679127</v>
      </c>
      <c r="E20" s="4113">
        <f t="shared" ref="E20" si="36">IFERROR((E19-D19)/D19,0)</f>
        <v>0.15464249748237649</v>
      </c>
      <c r="F20" s="4113">
        <f t="shared" ref="F20" si="37">IFERROR((F19-E19)/E19,0)</f>
        <v>0.15004884175272126</v>
      </c>
      <c r="G20" s="4113">
        <f t="shared" ref="G20" si="38">IFERROR((G19-F19)/F19,0)</f>
        <v>0.15000758380100107</v>
      </c>
      <c r="H20" s="4113">
        <f t="shared" ref="H20" si="39">IFERROR((H19-G19)/G19,0)</f>
        <v>5.9664336586652593E-2</v>
      </c>
      <c r="I20" s="4112"/>
      <c r="J20" s="4114">
        <f>IFERROR((J19-I19)/I19,0)</f>
        <v>0.14956460973201866</v>
      </c>
      <c r="K20" s="4114">
        <f t="shared" ref="K20" si="40">IFERROR((K19-J19)/J19,0)</f>
        <v>0.15053405956001972</v>
      </c>
      <c r="L20" s="4114">
        <f t="shared" ref="L20" si="41">IFERROR((L19-K19)/K19,0)</f>
        <v>0.14999190495805967</v>
      </c>
      <c r="M20" s="4114">
        <f t="shared" ref="M20" si="42">IFERROR((M19-L19)/L19,0)</f>
        <v>0.14996738793389175</v>
      </c>
      <c r="N20" s="4114">
        <f t="shared" ref="N20" si="43">IFERROR((N19-M19)/M19,0)</f>
        <v>0.14370746203485374</v>
      </c>
      <c r="O20" s="3685"/>
      <c r="P20" s="4134" t="s">
        <v>1654</v>
      </c>
      <c r="Q20" s="4135">
        <f>IFERROR('8. Ремонтна програма'!K13/'8. Ремонтна програма'!K$24,0)</f>
        <v>0.29316456177362188</v>
      </c>
      <c r="R20" s="4135">
        <f>IFERROR('8. Ремонтна програма'!L13/'8. Ремонтна програма'!L$24,0)</f>
        <v>0.28662745863180683</v>
      </c>
      <c r="S20" s="4135">
        <f>IFERROR('8. Ремонтна програма'!M13/'8. Ремонтна програма'!M$24,0)</f>
        <v>0.27872895980339896</v>
      </c>
      <c r="T20" s="4135">
        <f>IFERROR('8. Ремонтна програма'!N13/'8. Ремонтна програма'!N$24,0)</f>
        <v>0.2699486353812095</v>
      </c>
      <c r="U20" s="4135">
        <f>IFERROR('8. Ремонтна програма'!O13/'8. Ремонтна програма'!O$24,0)</f>
        <v>0.2699486353812095</v>
      </c>
      <c r="V20" s="4135">
        <f>IFERROR('8. Ремонтна програма'!P13/'8. Ремонтна програма'!P$24,0)</f>
        <v>0</v>
      </c>
      <c r="W20" s="4136">
        <f t="shared" si="32"/>
        <v>-2.2298408451096898E-2</v>
      </c>
      <c r="X20" s="4136">
        <f t="shared" si="33"/>
        <v>-1</v>
      </c>
      <c r="Y20" s="3685"/>
      <c r="Z20" s="4106" t="s">
        <v>345</v>
      </c>
      <c r="AA20" s="4107">
        <f>'4. Отчет и прогн. потребление'!E69/1000</f>
        <v>1363.3038333333332</v>
      </c>
      <c r="AB20" s="4107">
        <f>'4. Отчет и прогн. потребление'!F69/1000</f>
        <v>1347.5348263202686</v>
      </c>
      <c r="AC20" s="4107">
        <f>'4. Отчет и прогн. потребление'!G69/1000</f>
        <v>1331.7658193072043</v>
      </c>
      <c r="AD20" s="4107">
        <f>'4. Отчет и прогн. потребление'!H69/1000</f>
        <v>1315.99681229414</v>
      </c>
      <c r="AE20" s="4107">
        <f>'4. Отчет и прогн. потребление'!I69/1000</f>
        <v>1300.4116316967113</v>
      </c>
      <c r="AF20" s="3685"/>
      <c r="AG20" s="3685"/>
      <c r="AH20" s="3685"/>
      <c r="AI20" s="5660"/>
      <c r="AJ20" s="5660"/>
      <c r="AK20" s="4363" t="s">
        <v>119</v>
      </c>
      <c r="AL20" s="4363" t="s">
        <v>729</v>
      </c>
      <c r="AM20" s="4363" t="s">
        <v>1072</v>
      </c>
      <c r="AN20" s="4363" t="s">
        <v>1073</v>
      </c>
      <c r="AO20" s="4363" t="s">
        <v>1074</v>
      </c>
      <c r="AP20" s="4363" t="s">
        <v>1075</v>
      </c>
      <c r="AQ20" s="4363" t="s">
        <v>1076</v>
      </c>
    </row>
    <row r="21" spans="1:43" ht="22.5">
      <c r="A21" s="3941" t="s">
        <v>1621</v>
      </c>
      <c r="B21" s="4111" t="s">
        <v>174</v>
      </c>
      <c r="C21" s="4112"/>
      <c r="D21" s="4113">
        <f>IFERROR((D19-$C$19)/$C$19,0)</f>
        <v>0.1454132715679127</v>
      </c>
      <c r="E21" s="4113">
        <f t="shared" ref="E21:H21" si="44">IFERROR((E19-$C$19)/$C$19,0)</f>
        <v>0.32254284053263427</v>
      </c>
      <c r="F21" s="4113">
        <f t="shared" si="44"/>
        <v>0.52098886192290994</v>
      </c>
      <c r="G21" s="4113">
        <f t="shared" si="44"/>
        <v>0.74914872608820016</v>
      </c>
      <c r="H21" s="4113">
        <f t="shared" si="44"/>
        <v>0.8535105244216411</v>
      </c>
      <c r="I21" s="4112"/>
      <c r="J21" s="4113">
        <f>IFERROR((J19-$I$19)/$I$19,0)</f>
        <v>0.14956460973201866</v>
      </c>
      <c r="K21" s="4114">
        <f t="shared" ref="K21:N21" si="45">IFERROR((K19-$I$19)/$I$19,0)</f>
        <v>0.32261323716150914</v>
      </c>
      <c r="L21" s="4113">
        <f t="shared" si="45"/>
        <v>0.52099451612610992</v>
      </c>
      <c r="M21" s="4113">
        <f t="shared" si="45"/>
        <v>0.74909409077131617</v>
      </c>
      <c r="N21" s="4113">
        <f t="shared" si="45"/>
        <v>1.0004519634162221</v>
      </c>
      <c r="O21" s="3685"/>
      <c r="P21" s="4134" t="s">
        <v>1655</v>
      </c>
      <c r="Q21" s="4135">
        <f>IFERROR('8. Ремонтна програма'!K14/'8. Ремонтна програма'!K$24,0)</f>
        <v>6.1768870389904123E-3</v>
      </c>
      <c r="R21" s="4135">
        <f>IFERROR('8. Ремонтна програма'!L14/'8. Ремонтна програма'!L$24,0)</f>
        <v>6.0391522888387176E-3</v>
      </c>
      <c r="S21" s="4135">
        <f>IFERROR('8. Ремонтна програма'!M14/'8. Ремонтна програма'!M$24,0)</f>
        <v>5.8727333508009506E-3</v>
      </c>
      <c r="T21" s="4135">
        <f>IFERROR('8. Ремонтна програма'!N14/'8. Ремонтна програма'!N$24,0)</f>
        <v>5.6877346190530361E-3</v>
      </c>
      <c r="U21" s="4135">
        <f>IFERROR('8. Ремонтна програма'!O14/'8. Ремонтна програма'!O$24,0)</f>
        <v>5.6877346190530361E-3</v>
      </c>
      <c r="V21" s="4135">
        <f>IFERROR('8. Ремонтна програма'!P14/'8. Ремонтна програма'!P$24,0)</f>
        <v>0</v>
      </c>
      <c r="W21" s="4136">
        <f t="shared" si="32"/>
        <v>-2.2298408451096898E-2</v>
      </c>
      <c r="X21" s="4136">
        <f t="shared" si="33"/>
        <v>-1</v>
      </c>
      <c r="Y21" s="3685"/>
      <c r="Z21" s="5652" t="s">
        <v>1801</v>
      </c>
      <c r="AA21" s="5652" t="str">
        <f>I24</f>
        <v>Доставяне вода на друг ВиК оператор</v>
      </c>
      <c r="AB21" s="5652"/>
      <c r="AC21" s="5652"/>
      <c r="AD21" s="5652"/>
      <c r="AE21" s="5652"/>
      <c r="AF21" s="3685"/>
      <c r="AG21" s="3685"/>
      <c r="AH21" s="3685"/>
      <c r="AI21" s="4379" t="s">
        <v>291</v>
      </c>
      <c r="AJ21" s="4380" t="s">
        <v>1829</v>
      </c>
      <c r="AK21" s="4385">
        <f>'13. Соц. поносимост'!C12</f>
        <v>2.8</v>
      </c>
      <c r="AL21" s="4385">
        <f>'13. Соц. поносимост'!D12</f>
        <v>2.8</v>
      </c>
      <c r="AM21" s="4385">
        <f>'13. Соц. поносимост'!E12</f>
        <v>2.8</v>
      </c>
      <c r="AN21" s="4385">
        <f>'13. Соц. поносимост'!F12</f>
        <v>2.8</v>
      </c>
      <c r="AO21" s="4385">
        <f>'13. Соц. поносимост'!G12</f>
        <v>2.8</v>
      </c>
      <c r="AP21" s="4385">
        <f>'13. Соц. поносимост'!H12</f>
        <v>2.8</v>
      </c>
      <c r="AQ21" s="4385">
        <f>'13. Соц. поносимост'!I12</f>
        <v>2.8</v>
      </c>
    </row>
    <row r="22" spans="1:43" ht="21" customHeight="1">
      <c r="A22" s="3940" t="s">
        <v>1625</v>
      </c>
      <c r="B22" s="4124" t="s">
        <v>174</v>
      </c>
      <c r="C22" s="3932">
        <f>'5. Персонал'!O62</f>
        <v>0.21454870947797761</v>
      </c>
      <c r="D22" s="3932">
        <f>'5. Персонал'!P62</f>
        <v>0.21550855991943604</v>
      </c>
      <c r="E22" s="3932">
        <f>'5. Персонал'!Q62</f>
        <v>0.21455484231091265</v>
      </c>
      <c r="F22" s="3932">
        <f>'5. Персонал'!R62</f>
        <v>0.21386318822994085</v>
      </c>
      <c r="G22" s="3932">
        <f>'5. Персонал'!S62</f>
        <v>0.21498285412819834</v>
      </c>
      <c r="H22" s="3932">
        <f>'5. Персонал'!T62</f>
        <v>0.21820303383897316</v>
      </c>
      <c r="I22" s="3932">
        <f>IFERROR(('5. Персонал'!C42+'5. Персонал'!I42+'5. Персонал'!O42)/('5. Персонал'!C29+'5. Персонал'!I29+'5. Персонал'!O29),0)</f>
        <v>0.21586454016825624</v>
      </c>
      <c r="J22" s="3932">
        <f>IFERROR(('5. Персонал'!D42+'5. Персонал'!J42+'5. Персонал'!P42)/('5. Персонал'!D29+'5. Персонал'!J29+'5. Персонал'!P29),0)</f>
        <v>0.21786800594185468</v>
      </c>
      <c r="K22" s="3932">
        <f>IFERROR(('5. Персонал'!E42+'5. Персонал'!K42+'5. Персонал'!Q42)/('5. Персонал'!E29+'5. Персонал'!K29+'5. Персонал'!Q29),0)</f>
        <v>0.2178488501966378</v>
      </c>
      <c r="L22" s="3932">
        <f>IFERROR(('5. Персонал'!F42+'5. Персонал'!L42+'5. Персонал'!R42)/('5. Персонал'!F29+'5. Персонал'!L29+'5. Персонал'!R29),0)</f>
        <v>0.21777019007666509</v>
      </c>
      <c r="M22" s="3932">
        <f>IFERROR(('5. Персонал'!G42+'5. Персонал'!M42+'5. Персонал'!S42)/('5. Персонал'!G29+'5. Персонал'!M29+'5. Персонал'!S29),0)</f>
        <v>0.21788484336621236</v>
      </c>
      <c r="N22" s="3932">
        <f>IFERROR(('5. Персонал'!H42+'5. Персонал'!N42+'5. Персонал'!T42)/('5. Персонал'!H29+'5. Персонал'!N29+'5. Персонал'!T29),0)</f>
        <v>0.24294687341205054</v>
      </c>
      <c r="O22" s="3685"/>
      <c r="P22" s="4138" t="s">
        <v>1656</v>
      </c>
      <c r="Q22" s="4135">
        <f>IFERROR('8. Ремонтна програма'!K15/'8. Ремонтна програма'!K$24,0)</f>
        <v>6.652032195835828E-3</v>
      </c>
      <c r="R22" s="4135">
        <f>IFERROR('8. Ремонтна програма'!L15/'8. Ремонтна програма'!L$24,0)</f>
        <v>6.5037024649032349E-3</v>
      </c>
      <c r="S22" s="4135">
        <f>IFERROR('8. Ремонтна програма'!M15/'8. Ремонтна програма'!M$24,0)</f>
        <v>6.3244820700933315E-3</v>
      </c>
      <c r="T22" s="4135">
        <f>IFERROR('8. Ремонтна програма'!N15/'8. Ремонтна програма'!N$24,0)</f>
        <v>6.1252526666725005E-3</v>
      </c>
      <c r="U22" s="4135">
        <f>IFERROR('8. Ремонтна програма'!O15/'8. Ремонтна програма'!O$24,0)</f>
        <v>6.1252526666725005E-3</v>
      </c>
      <c r="V22" s="4135">
        <f>IFERROR('8. Ремонтна програма'!P15/'8. Ремонтна програма'!P$24,0)</f>
        <v>0</v>
      </c>
      <c r="W22" s="4136">
        <f t="shared" si="32"/>
        <v>-2.2298408451096718E-2</v>
      </c>
      <c r="X22" s="4136">
        <f t="shared" si="33"/>
        <v>-1</v>
      </c>
      <c r="Y22" s="3685"/>
      <c r="Z22" s="5652"/>
      <c r="AA22" s="4100" t="s">
        <v>1072</v>
      </c>
      <c r="AB22" s="4100" t="s">
        <v>1073</v>
      </c>
      <c r="AC22" s="4100" t="s">
        <v>1074</v>
      </c>
      <c r="AD22" s="4100" t="s">
        <v>1075</v>
      </c>
      <c r="AE22" s="4100" t="s">
        <v>1076</v>
      </c>
      <c r="AF22" s="3685"/>
      <c r="AG22" s="3685"/>
      <c r="AH22" s="3685"/>
      <c r="AI22" s="4379" t="s">
        <v>344</v>
      </c>
      <c r="AJ22" s="4381" t="s">
        <v>293</v>
      </c>
      <c r="AK22" s="4385">
        <f>'13. Соц. поносимост'!C13</f>
        <v>6.7670399999999988</v>
      </c>
      <c r="AL22" s="4385">
        <f>'13. Соц. поносимост'!D13</f>
        <v>6.8039999999999985</v>
      </c>
      <c r="AM22" s="4385">
        <f>'13. Соц. поносимост'!E13</f>
        <v>9.3979199999999974</v>
      </c>
      <c r="AN22" s="4385">
        <f>'13. Соц. поносимост'!F13</f>
        <v>10.1808</v>
      </c>
      <c r="AO22" s="4385">
        <f>'13. Соц. поносимост'!G13</f>
        <v>10.594079999999998</v>
      </c>
      <c r="AP22" s="4385">
        <f>'13. Соц. поносимост'!H13</f>
        <v>11.474399999999999</v>
      </c>
      <c r="AQ22" s="4385">
        <f>'13. Соц. поносимост'!I13</f>
        <v>11.749919999999998</v>
      </c>
    </row>
    <row r="23" spans="1:43" ht="19.5" customHeight="1">
      <c r="A23" s="3940" t="s">
        <v>1624</v>
      </c>
      <c r="B23" s="4124" t="s">
        <v>174</v>
      </c>
      <c r="C23" s="3932">
        <f>'5. Персонал'!O63</f>
        <v>9.2279014829237685E-2</v>
      </c>
      <c r="D23" s="3932">
        <f>'5. Персонал'!P63</f>
        <v>9.264853977844914E-2</v>
      </c>
      <c r="E23" s="3932">
        <f>'5. Персонал'!Q63</f>
        <v>9.2450460507954232E-2</v>
      </c>
      <c r="F23" s="3932">
        <f>'5. Персонал'!R63</f>
        <v>9.2522372212953133E-2</v>
      </c>
      <c r="G23" s="3932">
        <f>'5. Персонал'!S63</f>
        <v>9.2323925085729355E-2</v>
      </c>
      <c r="H23" s="3932">
        <f>'5. Персонал'!T63</f>
        <v>9.3348891481913651E-2</v>
      </c>
      <c r="I23" s="3932">
        <f>IFERROR(('5. Персонал'!C46+'5. Персонал'!I46+'5. Персонал'!O46)/('5. Персонал'!C29+'5. Персонал'!I29+'5. Персонал'!O29),0)</f>
        <v>9.4239370148082008E-2</v>
      </c>
      <c r="J23" s="3932">
        <f>IFERROR(('5. Персонал'!D46+'5. Персонал'!J46+'5. Персонал'!P46)/('5. Персонал'!D29+'5. Персонал'!J29+'5. Персонал'!P29),0)</f>
        <v>9.5022517743038354E-2</v>
      </c>
      <c r="K23" s="3932">
        <f>IFERROR(('5. Персонал'!E46+'5. Персонал'!K46+'5. Персонал'!Q46)/('5. Персонал'!E29+'5. Персонал'!K29+'5. Персонал'!Q29),0)</f>
        <v>9.5091125579717717E-2</v>
      </c>
      <c r="L23" s="3932">
        <f>IFERROR(('5. Персонал'!F46+'5. Персонал'!L46+'5. Персонал'!R46)/('5. Персонал'!F29+'5. Персонал'!L29+'5. Персонал'!R29),0)</f>
        <v>9.4984870139822E-2</v>
      </c>
      <c r="M23" s="3932">
        <f>IFERROR(('5. Персонал'!G46+'5. Персонал'!M46+'5. Персонал'!S46)/('5. Персонал'!G29+'5. Персонал'!M29+'5. Персонал'!S29),0)</f>
        <v>9.4995312221542089E-2</v>
      </c>
      <c r="N23" s="3932">
        <f>IFERROR(('5. Персонал'!H46+'5. Персонал'!N46+'5. Персонал'!T46)/('5. Персонал'!H29+'5. Персонал'!N29+'5. Персонал'!T29),0)</f>
        <v>0.10583824188247747</v>
      </c>
      <c r="O23" s="3685"/>
      <c r="P23" s="4138" t="s">
        <v>1657</v>
      </c>
      <c r="Q23" s="4135">
        <f>IFERROR('8. Ремонтна програма'!K16/'8. Ремонтна програма'!K$24,0)</f>
        <v>5.7017418821449957E-3</v>
      </c>
      <c r="R23" s="4135">
        <f>IFERROR('8. Ремонтна програма'!L16/'8. Ремонтна програма'!L$24,0)</f>
        <v>5.5746021127742011E-3</v>
      </c>
      <c r="S23" s="4135">
        <f>IFERROR('8. Ремонтна програма'!M16/'8. Ремонтна програма'!M$24,0)</f>
        <v>5.4209846315085696E-3</v>
      </c>
      <c r="T23" s="4135">
        <f>IFERROR('8. Ремонтна програма'!N16/'8. Ремонтна програма'!N$24,0)</f>
        <v>5.2502165714335717E-3</v>
      </c>
      <c r="U23" s="4135">
        <f>IFERROR('8. Ремонтна програма'!O16/'8. Ремонтна програма'!O$24,0)</f>
        <v>5.2502165714335717E-3</v>
      </c>
      <c r="V23" s="4135">
        <f>IFERROR('8. Ремонтна програма'!P16/'8. Ремонтна програма'!P$24,0)</f>
        <v>0</v>
      </c>
      <c r="W23" s="4136">
        <f t="shared" si="32"/>
        <v>-2.2298408451096804E-2</v>
      </c>
      <c r="X23" s="4136">
        <f t="shared" si="33"/>
        <v>-1</v>
      </c>
      <c r="Y23" s="3685"/>
      <c r="Z23" s="4106" t="s">
        <v>345</v>
      </c>
      <c r="AA23" s="4107">
        <f>'4. Отчет и прогн. потребление'!E100/1000</f>
        <v>0</v>
      </c>
      <c r="AB23" s="4107">
        <f>'4. Отчет и прогн. потребление'!F100/1000</f>
        <v>0</v>
      </c>
      <c r="AC23" s="4107">
        <f>'4. Отчет и прогн. потребление'!G100/1000</f>
        <v>0</v>
      </c>
      <c r="AD23" s="4107">
        <f>'4. Отчет и прогн. потребление'!H100/1000</f>
        <v>0</v>
      </c>
      <c r="AE23" s="4107">
        <f>'4. Отчет и прогн. потребление'!I100/1000</f>
        <v>0</v>
      </c>
      <c r="AF23" s="3685"/>
      <c r="AG23" s="3685"/>
      <c r="AH23" s="3685"/>
      <c r="AI23" s="4379" t="s">
        <v>294</v>
      </c>
      <c r="AJ23" s="4381" t="s">
        <v>295</v>
      </c>
      <c r="AK23" s="4386">
        <f>'13. Соц. поносимост'!C14</f>
        <v>651</v>
      </c>
      <c r="AL23" s="4386">
        <f>'13. Соц. поносимост'!D14</f>
        <v>675.08699999999999</v>
      </c>
      <c r="AM23" s="4386">
        <f>'13. Соц. поносимост'!E14</f>
        <v>707.491176</v>
      </c>
      <c r="AN23" s="4386">
        <f>'13. Соц. поносимост'!F14</f>
        <v>733.66834951199996</v>
      </c>
      <c r="AO23" s="4386">
        <f>'13. Соц. поносимост'!G14</f>
        <v>758.61307339540804</v>
      </c>
      <c r="AP23" s="4386">
        <f>'13. Соц. поносимост'!H14</f>
        <v>784.40591789085192</v>
      </c>
      <c r="AQ23" s="4386">
        <f>'13. Соц. поносимост'!I14</f>
        <v>811.07571909914088</v>
      </c>
    </row>
    <row r="24" spans="1:43" ht="12.6" customHeight="1">
      <c r="A24" s="5661" t="s">
        <v>2</v>
      </c>
      <c r="B24" s="5663" t="s">
        <v>1615</v>
      </c>
      <c r="C24" s="5665" t="s">
        <v>1256</v>
      </c>
      <c r="D24" s="5666"/>
      <c r="E24" s="5666"/>
      <c r="F24" s="5666"/>
      <c r="G24" s="5666"/>
      <c r="H24" s="5667"/>
      <c r="I24" s="5668" t="s">
        <v>1257</v>
      </c>
      <c r="J24" s="5669"/>
      <c r="K24" s="5669"/>
      <c r="L24" s="5669"/>
      <c r="M24" s="5669"/>
      <c r="N24" s="5670"/>
      <c r="O24" s="3685"/>
      <c r="P24" s="4134" t="s">
        <v>1658</v>
      </c>
      <c r="Q24" s="4135">
        <f>IFERROR('8. Ремонтна програма'!K17/'8. Ремонтна програма'!K$24,0)</f>
        <v>1.4254354705362489E-3</v>
      </c>
      <c r="R24" s="4135">
        <f>IFERROR('8. Ремонтна програма'!L17/'8. Ремонтна програма'!L$24,0)</f>
        <v>1.3936505281935503E-3</v>
      </c>
      <c r="S24" s="4135">
        <f>IFERROR('8. Ремонтна програма'!M17/'8. Ремонтна програма'!M$24,0)</f>
        <v>1.3552461578771424E-3</v>
      </c>
      <c r="T24" s="4135">
        <f>IFERROR('8. Ремонтна програма'!N17/'8. Ремонтна програма'!N$24,0)</f>
        <v>1.3125541428583929E-3</v>
      </c>
      <c r="U24" s="4135">
        <f>IFERROR('8. Ремонтна програма'!O17/'8. Ремонтна програма'!O$24,0)</f>
        <v>1.3125541428583929E-3</v>
      </c>
      <c r="V24" s="4135">
        <f>IFERROR('8. Ремонтна програма'!P17/'8. Ремонтна програма'!P$24,0)</f>
        <v>0</v>
      </c>
      <c r="W24" s="4136">
        <f t="shared" si="32"/>
        <v>-2.2298408451096804E-2</v>
      </c>
      <c r="X24" s="4136">
        <f t="shared" si="33"/>
        <v>-1</v>
      </c>
      <c r="Y24" s="3685"/>
      <c r="Z24" s="4139"/>
      <c r="AA24" s="4140"/>
      <c r="AB24" s="4140"/>
      <c r="AC24" s="4140"/>
      <c r="AD24" s="4140"/>
      <c r="AE24" s="4140"/>
      <c r="AF24" s="3685"/>
      <c r="AG24" s="3685"/>
      <c r="AH24" s="3685"/>
      <c r="AI24" s="4379" t="s">
        <v>1830</v>
      </c>
      <c r="AJ24" s="4381" t="s">
        <v>174</v>
      </c>
      <c r="AK24" s="4390"/>
      <c r="AL24" s="4382">
        <f>'13. Соц. поносимост'!D15</f>
        <v>3.6999999999999998E-2</v>
      </c>
      <c r="AM24" s="4382">
        <f>'13. Соц. поносимост'!E15</f>
        <v>4.8000000000000001E-2</v>
      </c>
      <c r="AN24" s="4382">
        <f>'13. Соц. поносимост'!F15</f>
        <v>3.6999999999999998E-2</v>
      </c>
      <c r="AO24" s="4382">
        <f>'13. Соц. поносимост'!G15</f>
        <v>3.4000000000000002E-2</v>
      </c>
      <c r="AP24" s="4382">
        <f>'13. Соц. поносимост'!H15</f>
        <v>3.4000000000000002E-2</v>
      </c>
      <c r="AQ24" s="4382">
        <f>'13. Соц. поносимост'!I15</f>
        <v>3.4000000000000002E-2</v>
      </c>
    </row>
    <row r="25" spans="1:43" ht="14.25" customHeight="1">
      <c r="A25" s="5662"/>
      <c r="B25" s="5664"/>
      <c r="C25" s="3936" t="s">
        <v>1629</v>
      </c>
      <c r="D25" s="3936" t="s">
        <v>1637</v>
      </c>
      <c r="E25" s="3936" t="s">
        <v>1638</v>
      </c>
      <c r="F25" s="3936" t="s">
        <v>1639</v>
      </c>
      <c r="G25" s="3936" t="s">
        <v>1640</v>
      </c>
      <c r="H25" s="3936" t="s">
        <v>1641</v>
      </c>
      <c r="I25" s="3936" t="s">
        <v>1629</v>
      </c>
      <c r="J25" s="3936" t="s">
        <v>1637</v>
      </c>
      <c r="K25" s="3936" t="s">
        <v>1638</v>
      </c>
      <c r="L25" s="3936" t="s">
        <v>1639</v>
      </c>
      <c r="M25" s="3936" t="s">
        <v>1640</v>
      </c>
      <c r="N25" s="3936" t="s">
        <v>1641</v>
      </c>
      <c r="O25" s="3685"/>
      <c r="P25" s="4138" t="s">
        <v>1660</v>
      </c>
      <c r="Q25" s="4135">
        <f>IFERROR('8. Ремонтна програма'!K18/'8. Ремонтна програма'!K$24,0)</f>
        <v>1.4729499862207907E-3</v>
      </c>
      <c r="R25" s="4135">
        <f>IFERROR('8. Ремонтна програма'!L18/'8. Ремонтна програма'!L$24,0)</f>
        <v>1.4401055458000019E-3</v>
      </c>
      <c r="S25" s="4135">
        <f>IFERROR('8. Ремонтна програма'!M18/'8. Ремонтна програма'!M$24,0)</f>
        <v>1.4004210298063807E-3</v>
      </c>
      <c r="T25" s="4135">
        <f>IFERROR('8. Ремонтна програма'!N18/'8. Ремонтна програма'!N$24,0)</f>
        <v>1.3563059476203395E-3</v>
      </c>
      <c r="U25" s="4135">
        <f>IFERROR('8. Ремонтна програма'!O18/'8. Ремонтна програма'!O$24,0)</f>
        <v>1.3563059476203395E-3</v>
      </c>
      <c r="V25" s="4135">
        <f>IFERROR('8. Ремонтна програма'!P18/'8. Ремонтна програма'!P$24,0)</f>
        <v>0</v>
      </c>
      <c r="W25" s="4136">
        <f t="shared" si="32"/>
        <v>-2.2298408451096929E-2</v>
      </c>
      <c r="X25" s="4136">
        <f t="shared" si="33"/>
        <v>-1</v>
      </c>
      <c r="Y25" s="3685"/>
      <c r="Z25" s="5654" t="s">
        <v>1793</v>
      </c>
      <c r="AA25" s="5652" t="s">
        <v>188</v>
      </c>
      <c r="AB25" s="5652"/>
      <c r="AC25" s="5652"/>
      <c r="AD25" s="5652"/>
      <c r="AE25" s="5652"/>
      <c r="AF25" s="3685"/>
      <c r="AG25" s="3685"/>
      <c r="AH25" s="3685"/>
      <c r="AI25" s="4379" t="s">
        <v>748</v>
      </c>
      <c r="AJ25" s="4381" t="s">
        <v>293</v>
      </c>
      <c r="AK25" s="4385">
        <f>'13. Соц. поносимост'!C16</f>
        <v>16.275000000000002</v>
      </c>
      <c r="AL25" s="4385">
        <f>'13. Соц. поносимост'!D16</f>
        <v>16.877175000000001</v>
      </c>
      <c r="AM25" s="4385">
        <f>'13. Соц. поносимост'!E16</f>
        <v>17.687279400000001</v>
      </c>
      <c r="AN25" s="4385">
        <f>'13. Соц. поносимост'!F16</f>
        <v>18.341708737800001</v>
      </c>
      <c r="AO25" s="4385">
        <f>'13. Соц. поносимост'!G16</f>
        <v>18.9653268348852</v>
      </c>
      <c r="AP25" s="4385">
        <f>'13. Соц. поносимост'!H16</f>
        <v>19.610147947271301</v>
      </c>
      <c r="AQ25" s="4385">
        <f>'13. Соц. поносимост'!I16</f>
        <v>20.276892977478525</v>
      </c>
    </row>
    <row r="26" spans="1:43" ht="20.45" customHeight="1">
      <c r="A26" s="3939" t="s">
        <v>1620</v>
      </c>
      <c r="B26" s="4101" t="s">
        <v>682</v>
      </c>
      <c r="C26" s="4102">
        <f>'5. Персонал'!U11</f>
        <v>1</v>
      </c>
      <c r="D26" s="4102">
        <f>'5. Персонал'!V11</f>
        <v>1</v>
      </c>
      <c r="E26" s="4102">
        <f>'5. Персонал'!W11</f>
        <v>1</v>
      </c>
      <c r="F26" s="4102">
        <f>'5. Персонал'!X11</f>
        <v>1</v>
      </c>
      <c r="G26" s="4102">
        <f>'5. Персонал'!Y11</f>
        <v>1</v>
      </c>
      <c r="H26" s="4102">
        <f>'5. Персонал'!Z11</f>
        <v>1</v>
      </c>
      <c r="I26" s="4102">
        <f>'5. Персонал'!AA11</f>
        <v>0</v>
      </c>
      <c r="J26" s="4102">
        <f>'5. Персонал'!AB11</f>
        <v>0</v>
      </c>
      <c r="K26" s="4102">
        <f>'5. Персонал'!AC11</f>
        <v>0</v>
      </c>
      <c r="L26" s="4102">
        <f>'5. Персонал'!AD11</f>
        <v>0</v>
      </c>
      <c r="M26" s="4102">
        <f>'5. Персонал'!AE11</f>
        <v>0</v>
      </c>
      <c r="N26" s="4102">
        <f>'5. Персонал'!AF11</f>
        <v>0</v>
      </c>
      <c r="O26" s="3685"/>
      <c r="P26" s="4138" t="s">
        <v>1659</v>
      </c>
      <c r="Q26" s="4135">
        <f>IFERROR('8. Ремонтна програма'!K19/'8. Ремонтна програма'!K$24,0)</f>
        <v>1.4254354705362489E-3</v>
      </c>
      <c r="R26" s="4135">
        <f>IFERROR('8. Ремонтна програма'!L19/'8. Ремонтна програма'!L$24,0)</f>
        <v>1.3936505281935503E-3</v>
      </c>
      <c r="S26" s="4135">
        <f>IFERROR('8. Ремонтна програма'!M19/'8. Ремонтна програма'!M$24,0)</f>
        <v>1.3552461578771424E-3</v>
      </c>
      <c r="T26" s="4135">
        <f>IFERROR('8. Ремонтна програма'!N19/'8. Ремонтна програма'!N$24,0)</f>
        <v>1.3125541428583929E-3</v>
      </c>
      <c r="U26" s="4135">
        <f>IFERROR('8. Ремонтна програма'!O19/'8. Ремонтна програма'!O$24,0)</f>
        <v>1.3125541428583929E-3</v>
      </c>
      <c r="V26" s="4135">
        <f>IFERROR('8. Ремонтна програма'!P19/'8. Ремонтна програма'!P$24,0)</f>
        <v>0</v>
      </c>
      <c r="W26" s="4136">
        <f t="shared" si="32"/>
        <v>-2.2298408451096804E-2</v>
      </c>
      <c r="X26" s="4136">
        <f t="shared" si="33"/>
        <v>-1</v>
      </c>
      <c r="Y26" s="3685"/>
      <c r="Z26" s="5655"/>
      <c r="AA26" s="4100" t="s">
        <v>1072</v>
      </c>
      <c r="AB26" s="4100" t="s">
        <v>1073</v>
      </c>
      <c r="AC26" s="4100" t="s">
        <v>1074</v>
      </c>
      <c r="AD26" s="4100" t="s">
        <v>1075</v>
      </c>
      <c r="AE26" s="4100" t="s">
        <v>1076</v>
      </c>
      <c r="AF26" s="3685"/>
      <c r="AG26" s="3685"/>
      <c r="AH26" s="3685"/>
      <c r="AI26" s="4383" t="s">
        <v>1831</v>
      </c>
      <c r="AJ26" s="4381" t="s">
        <v>297</v>
      </c>
      <c r="AK26" s="4391">
        <f>'13. Соц. поносимост'!C17</f>
        <v>5.8125000000000009</v>
      </c>
      <c r="AL26" s="4391">
        <f>'13. Соц. поносимост'!D17</f>
        <v>6.027562500000001</v>
      </c>
      <c r="AM26" s="4391">
        <f>'13. Соц. поносимост'!E17</f>
        <v>6.3168855000000006</v>
      </c>
      <c r="AN26" s="4391">
        <f>'13. Соц. поносимост'!F17</f>
        <v>6.5506102635000012</v>
      </c>
      <c r="AO26" s="4391">
        <f>'13. Соц. поносимост'!G17</f>
        <v>6.7733310124590007</v>
      </c>
      <c r="AP26" s="4391">
        <f>'13. Соц. поносимост'!H17</f>
        <v>7.0036242668826079</v>
      </c>
      <c r="AQ26" s="4391">
        <f>'13. Соц. поносимост'!I17</f>
        <v>7.2417474919566169</v>
      </c>
    </row>
    <row r="27" spans="1:43" ht="22.5" customHeight="1">
      <c r="A27" s="3934" t="s">
        <v>1613</v>
      </c>
      <c r="B27" s="4108" t="s">
        <v>1618</v>
      </c>
      <c r="C27" s="4109">
        <f>'5. Персонал'!U14</f>
        <v>1</v>
      </c>
      <c r="D27" s="4109">
        <f>'5. Персонал'!V14</f>
        <v>1</v>
      </c>
      <c r="E27" s="4109">
        <f>'5. Персонал'!W14</f>
        <v>1</v>
      </c>
      <c r="F27" s="4109">
        <f>'5. Персонал'!X14</f>
        <v>1</v>
      </c>
      <c r="G27" s="4109">
        <f>'5. Персонал'!Y14</f>
        <v>1</v>
      </c>
      <c r="H27" s="4109">
        <f>'5. Персонал'!Z14</f>
        <v>1</v>
      </c>
      <c r="I27" s="4109">
        <f>'5. Персонал'!AA14</f>
        <v>0</v>
      </c>
      <c r="J27" s="4109">
        <f>'5. Персонал'!AB14</f>
        <v>0</v>
      </c>
      <c r="K27" s="4109">
        <f>'5. Персонал'!AC14</f>
        <v>0</v>
      </c>
      <c r="L27" s="4109">
        <f>'5. Персонал'!AD14</f>
        <v>0</v>
      </c>
      <c r="M27" s="4109">
        <f>'5. Персонал'!AE14</f>
        <v>0</v>
      </c>
      <c r="N27" s="4109">
        <f>'5. Персонал'!AF14</f>
        <v>0</v>
      </c>
      <c r="O27" s="3685"/>
      <c r="P27" s="4138" t="s">
        <v>922</v>
      </c>
      <c r="Q27" s="4135">
        <f>IFERROR('8. Ремонтна програма'!K20/'8. Ремонтна програма'!K$24,0)</f>
        <v>1.1973657952504492E-3</v>
      </c>
      <c r="R27" s="4135">
        <f>IFERROR('8. Ремонтна програма'!L20/'8. Ремонтна програма'!L$24,0)</f>
        <v>1.1706664436825823E-3</v>
      </c>
      <c r="S27" s="4135">
        <f>IFERROR('8. Ремонтна програма'!M20/'8. Ремонтна програма'!M$24,0)</f>
        <v>1.1384067726167998E-3</v>
      </c>
      <c r="T27" s="4135">
        <f>IFERROR('8. Ремонтна програма'!N20/'8. Ремонтна програма'!N$24,0)</f>
        <v>1.1025454800010501E-3</v>
      </c>
      <c r="U27" s="4135">
        <f>IFERROR('8. Ремонтна програма'!O20/'8. Ремонтна програма'!O$24,0)</f>
        <v>1.1025454800010501E-3</v>
      </c>
      <c r="V27" s="4135">
        <f>IFERROR('8. Ремонтна програма'!P20/'8. Ремонтна програма'!P$24,0)</f>
        <v>0</v>
      </c>
      <c r="W27" s="4136">
        <f t="shared" si="32"/>
        <v>-2.2298408451096811E-2</v>
      </c>
      <c r="X27" s="4136">
        <f t="shared" si="33"/>
        <v>-1</v>
      </c>
      <c r="Y27" s="3685"/>
      <c r="Z27" s="4141" t="s">
        <v>307</v>
      </c>
      <c r="AA27" s="4014">
        <f>'16. Необходими приходи'!D49</f>
        <v>1.1121637204515291</v>
      </c>
      <c r="AB27" s="4014">
        <f>'16. Необходими приходи'!E49</f>
        <v>1.1121637204515291</v>
      </c>
      <c r="AC27" s="4014">
        <f>'16. Необходими приходи'!F49</f>
        <v>1.1081735906787262</v>
      </c>
      <c r="AD27" s="4014">
        <f>'16. Необходими приходи'!G49</f>
        <v>1.1081735906787262</v>
      </c>
      <c r="AE27" s="4014">
        <f>'16. Необходими приходи'!H49</f>
        <v>1.1081735906787262</v>
      </c>
      <c r="AF27" s="3685"/>
      <c r="AG27" s="3685"/>
      <c r="AH27" s="3685"/>
      <c r="AI27" s="4383" t="s">
        <v>1832</v>
      </c>
      <c r="AJ27" s="4381" t="s">
        <v>333</v>
      </c>
      <c r="AK27" s="4392"/>
      <c r="AL27" s="4384"/>
      <c r="AM27" s="4393">
        <f>(AJ5+AJ7+AJ9)*1.2</f>
        <v>3.3563999999999994</v>
      </c>
      <c r="AN27" s="4393">
        <f t="shared" ref="AN27:AQ27" si="46">(AK5+AK7+AK9)*1.2</f>
        <v>3.6360000000000001</v>
      </c>
      <c r="AO27" s="4393">
        <f t="shared" si="46"/>
        <v>3.7835999999999999</v>
      </c>
      <c r="AP27" s="4393">
        <f t="shared" si="46"/>
        <v>4.0979999999999999</v>
      </c>
      <c r="AQ27" s="4393">
        <f t="shared" si="46"/>
        <v>4.1963999999999997</v>
      </c>
    </row>
    <row r="28" spans="1:43" ht="16.5" customHeight="1">
      <c r="A28" s="3942" t="s">
        <v>1623</v>
      </c>
      <c r="B28" s="4111" t="s">
        <v>174</v>
      </c>
      <c r="C28" s="4112"/>
      <c r="D28" s="4113">
        <f>IFERROR((D27-C27)/C27,0)</f>
        <v>0</v>
      </c>
      <c r="E28" s="4113">
        <f t="shared" ref="E28" si="47">IFERROR((E27-D27)/D27,0)</f>
        <v>0</v>
      </c>
      <c r="F28" s="4113">
        <f t="shared" ref="F28" si="48">IFERROR((F27-E27)/E27,0)</f>
        <v>0</v>
      </c>
      <c r="G28" s="4113">
        <f t="shared" ref="G28" si="49">IFERROR((G27-F27)/F27,0)</f>
        <v>0</v>
      </c>
      <c r="H28" s="4113">
        <f t="shared" ref="H28" si="50">IFERROR((H27-G27)/G27,0)</f>
        <v>0</v>
      </c>
      <c r="I28" s="4112"/>
      <c r="J28" s="4114">
        <f>IFERROR((J27-I27)/I27,0)</f>
        <v>0</v>
      </c>
      <c r="K28" s="4114">
        <f t="shared" ref="K28" si="51">IFERROR((K27-J27)/J27,0)</f>
        <v>0</v>
      </c>
      <c r="L28" s="4114">
        <f t="shared" ref="L28" si="52">IFERROR((L27-K27)/K27,0)</f>
        <v>0</v>
      </c>
      <c r="M28" s="4114">
        <f t="shared" ref="M28" si="53">IFERROR((M27-L27)/L27,0)</f>
        <v>0</v>
      </c>
      <c r="N28" s="4114">
        <f t="shared" ref="N28" si="54">IFERROR((N27-M27)/M27,0)</f>
        <v>0</v>
      </c>
      <c r="O28" s="3685"/>
      <c r="P28" s="4134" t="s">
        <v>923</v>
      </c>
      <c r="Q28" s="4135">
        <f>IFERROR('8. Ремонтна програма'!K21/'8. Ремонтна програма'!K$24,0)</f>
        <v>2.3757257842270817E-3</v>
      </c>
      <c r="R28" s="4135">
        <f>IFERROR('8. Ремонтна програма'!L21/'8. Ремонтна програма'!L$24,0)</f>
        <v>2.3227508803225837E-3</v>
      </c>
      <c r="S28" s="4135">
        <f>IFERROR('8. Ремонтна програма'!M21/'8. Ремонтна програма'!M$24,0)</f>
        <v>2.2587435964619043E-3</v>
      </c>
      <c r="T28" s="4135">
        <f>IFERROR('8. Ремонтна програма'!N21/'8. Ремонтна програма'!N$24,0)</f>
        <v>2.1875902380973215E-3</v>
      </c>
      <c r="U28" s="4135">
        <f>IFERROR('8. Ремонтна програма'!O21/'8. Ремонтна програма'!O$24,0)</f>
        <v>2.1875902380973215E-3</v>
      </c>
      <c r="V28" s="4135">
        <f>IFERROR('8. Ремонтна програма'!P21/'8. Ремонтна програма'!P$24,0)</f>
        <v>0</v>
      </c>
      <c r="W28" s="4136">
        <f t="shared" si="32"/>
        <v>-2.2298408451096926E-2</v>
      </c>
      <c r="X28" s="4136">
        <f t="shared" si="33"/>
        <v>-1</v>
      </c>
      <c r="Y28" s="3685"/>
      <c r="Z28" s="4141" t="s">
        <v>308</v>
      </c>
      <c r="AA28" s="4014">
        <f>'16. Необходими приходи'!D50</f>
        <v>1.9902690236387768</v>
      </c>
      <c r="AB28" s="4014">
        <f>'16. Необходими приходи'!E50</f>
        <v>1.9902690236387768</v>
      </c>
      <c r="AC28" s="4014">
        <f>'16. Необходими приходи'!F50</f>
        <v>1.9934611274570191</v>
      </c>
      <c r="AD28" s="4014">
        <f>'16. Необходими приходи'!G50</f>
        <v>1.9934611274570191</v>
      </c>
      <c r="AE28" s="4014">
        <f>'16. Необходими приходи'!H50</f>
        <v>1.9934611274570191</v>
      </c>
      <c r="AF28" s="3685"/>
      <c r="AG28" s="3685"/>
      <c r="AH28" s="3685"/>
      <c r="AI28" s="3685"/>
      <c r="AJ28" s="3685"/>
      <c r="AK28" s="3685"/>
      <c r="AL28" s="3685"/>
      <c r="AM28" s="3685"/>
      <c r="AN28" s="3685"/>
    </row>
    <row r="29" spans="1:43">
      <c r="A29" s="3942" t="s">
        <v>1622</v>
      </c>
      <c r="B29" s="4111" t="s">
        <v>174</v>
      </c>
      <c r="C29" s="4112"/>
      <c r="D29" s="4113">
        <f>IFERROR((D27-$C$27)/$C$27,0)</f>
        <v>0</v>
      </c>
      <c r="E29" s="4113">
        <f t="shared" ref="E29:H29" si="55">IFERROR((E27-$C$27)/$C$27,0)</f>
        <v>0</v>
      </c>
      <c r="F29" s="4113">
        <f t="shared" si="55"/>
        <v>0</v>
      </c>
      <c r="G29" s="4113">
        <f t="shared" si="55"/>
        <v>0</v>
      </c>
      <c r="H29" s="4113">
        <f t="shared" si="55"/>
        <v>0</v>
      </c>
      <c r="I29" s="4112"/>
      <c r="J29" s="4137">
        <f>IFERROR((J27-$I$27)/$I$27,0)</f>
        <v>0</v>
      </c>
      <c r="K29" s="4114">
        <f t="shared" ref="K29:N29" si="56">IFERROR((K27-$I$27)/$I$27,0)</f>
        <v>0</v>
      </c>
      <c r="L29" s="4113">
        <f t="shared" si="56"/>
        <v>0</v>
      </c>
      <c r="M29" s="4113">
        <f t="shared" si="56"/>
        <v>0</v>
      </c>
      <c r="N29" s="4113">
        <f t="shared" si="56"/>
        <v>0</v>
      </c>
      <c r="O29" s="3685"/>
      <c r="P29" s="4134" t="s">
        <v>1384</v>
      </c>
      <c r="Q29" s="4135">
        <f>IFERROR('8. Ремонтна програма'!K22/'8. Ремонтна програма'!K$24,0)</f>
        <v>2.3757257842270817E-3</v>
      </c>
      <c r="R29" s="4135">
        <f>IFERROR('8. Ремонтна програма'!L22/'8. Ремонтна програма'!L$24,0)</f>
        <v>2.3227508803225837E-3</v>
      </c>
      <c r="S29" s="4135">
        <f>IFERROR('8. Ремонтна програма'!M22/'8. Ремонтна програма'!M$24,0)</f>
        <v>2.2587435964619043E-3</v>
      </c>
      <c r="T29" s="4135">
        <f>IFERROR('8. Ремонтна програма'!N22/'8. Ремонтна програма'!N$24,0)</f>
        <v>2.1875902380973215E-3</v>
      </c>
      <c r="U29" s="4135">
        <f>IFERROR('8. Ремонтна програма'!O22/'8. Ремонтна програма'!O$24,0)</f>
        <v>2.1875902380973215E-3</v>
      </c>
      <c r="V29" s="4135">
        <f>IFERROR('8. Ремонтна програма'!P22/'8. Ремонтна програма'!P$24,0)</f>
        <v>0</v>
      </c>
      <c r="W29" s="4136">
        <f t="shared" si="32"/>
        <v>-2.2298408451096926E-2</v>
      </c>
      <c r="X29" s="4136">
        <f t="shared" si="33"/>
        <v>-1</v>
      </c>
      <c r="Y29" s="3685"/>
      <c r="Z29" s="4141" t="s">
        <v>309</v>
      </c>
      <c r="AA29" s="4014">
        <f>'16. Необходими приходи'!D51</f>
        <v>0</v>
      </c>
      <c r="AB29" s="4014">
        <f>'16. Необходими приходи'!E51</f>
        <v>0</v>
      </c>
      <c r="AC29" s="4014">
        <f>'16. Необходими приходи'!F51</f>
        <v>0</v>
      </c>
      <c r="AD29" s="4014">
        <f>'16. Необходими приходи'!G51</f>
        <v>0</v>
      </c>
      <c r="AE29" s="4014">
        <f>'16. Необходими приходи'!H51</f>
        <v>0</v>
      </c>
      <c r="AF29" s="3685"/>
      <c r="AG29" s="3685"/>
      <c r="AH29" s="3685"/>
      <c r="AI29" s="3685"/>
      <c r="AJ29" s="3685"/>
      <c r="AK29" s="3685"/>
      <c r="AL29" s="3685"/>
      <c r="AM29" s="3685"/>
      <c r="AN29" s="3685"/>
    </row>
    <row r="30" spans="1:43" ht="19.5" customHeight="1">
      <c r="A30" s="3935" t="s">
        <v>1614</v>
      </c>
      <c r="B30" s="4118" t="s">
        <v>1619</v>
      </c>
      <c r="C30" s="4119">
        <f>'5. Персонал'!U50</f>
        <v>16.451999999999998</v>
      </c>
      <c r="D30" s="4119">
        <f>'5. Персонал'!V50</f>
        <v>18.920000000000002</v>
      </c>
      <c r="E30" s="4119">
        <f>'5. Персонал'!W50</f>
        <v>21.757999999999999</v>
      </c>
      <c r="F30" s="4119">
        <f>'5. Персонал'!X50</f>
        <v>25.021999999999998</v>
      </c>
      <c r="G30" s="4119">
        <f>'5. Персонал'!Y50</f>
        <v>28.774999999999999</v>
      </c>
      <c r="H30" s="4119">
        <f>'5. Персонал'!Z50</f>
        <v>32.904000000000003</v>
      </c>
      <c r="I30" s="4119">
        <f>'5. Персонал'!AA50</f>
        <v>0</v>
      </c>
      <c r="J30" s="4119">
        <f>'5. Персонал'!AB50</f>
        <v>0</v>
      </c>
      <c r="K30" s="4119">
        <f>'5. Персонал'!AC50</f>
        <v>0</v>
      </c>
      <c r="L30" s="4119">
        <f>'5. Персонал'!AD50</f>
        <v>0</v>
      </c>
      <c r="M30" s="4119">
        <f>'5. Персонал'!AE50</f>
        <v>0</v>
      </c>
      <c r="N30" s="4119">
        <f>'5. Персонал'!AF50</f>
        <v>0</v>
      </c>
      <c r="O30" s="3685"/>
      <c r="P30" s="4134" t="s">
        <v>1650</v>
      </c>
      <c r="Q30" s="4135">
        <f>IFERROR('8. Ремонтна програма'!K23/'8. Ремонтна програма'!K$24,0)</f>
        <v>4.5138789900314551E-2</v>
      </c>
      <c r="R30" s="4135">
        <f>IFERROR('8. Ремонтна програма'!L23/'8. Ремонтна програма'!L$24,0)</f>
        <v>4.4132266726129091E-2</v>
      </c>
      <c r="S30" s="4135">
        <f>IFERROR('8. Ремонтна програма'!M23/'8. Ремонтна програма'!M$24,0)</f>
        <v>4.2916128332776179E-2</v>
      </c>
      <c r="T30" s="4135">
        <f>IFERROR('8. Ремонтна програма'!N23/'8. Ремонтна програма'!N$24,0)</f>
        <v>4.1564214523849112E-2</v>
      </c>
      <c r="U30" s="4135">
        <f>IFERROR('8. Ремонтна програма'!O23/'8. Ремонтна програма'!O$24,0)</f>
        <v>4.1564214523849112E-2</v>
      </c>
      <c r="V30" s="4135">
        <f>IFERROR('8. Ремонтна програма'!P23/'8. Ремонтна програма'!P$24,0)</f>
        <v>0</v>
      </c>
      <c r="W30" s="4136">
        <f t="shared" si="32"/>
        <v>-2.2298408451096867E-2</v>
      </c>
      <c r="X30" s="4136">
        <f t="shared" si="33"/>
        <v>-1</v>
      </c>
      <c r="Y30" s="3685"/>
      <c r="Z30" s="4142" t="s">
        <v>1808</v>
      </c>
      <c r="AA30" s="4140"/>
      <c r="AB30" s="4140"/>
      <c r="AC30" s="4140"/>
      <c r="AD30" s="4140"/>
      <c r="AE30" s="4140"/>
      <c r="AF30" s="3685"/>
      <c r="AG30" s="3685"/>
      <c r="AH30" s="3685"/>
      <c r="AI30" s="3685"/>
      <c r="AJ30" s="3685"/>
      <c r="AK30" s="3685"/>
      <c r="AL30" s="3685"/>
      <c r="AM30" s="3685"/>
      <c r="AN30" s="3685"/>
    </row>
    <row r="31" spans="1:43" ht="13.5" customHeight="1">
      <c r="A31" s="3942" t="s">
        <v>1623</v>
      </c>
      <c r="B31" s="4111" t="s">
        <v>174</v>
      </c>
      <c r="C31" s="4112"/>
      <c r="D31" s="4113">
        <f>IFERROR((D30-C30)/C30,0)</f>
        <v>0.15001215657670822</v>
      </c>
      <c r="E31" s="4113">
        <f t="shared" ref="E31" si="57">IFERROR((E30-D30)/D30,0)</f>
        <v>0.14999999999999986</v>
      </c>
      <c r="F31" s="4113">
        <f t="shared" ref="F31" si="58">IFERROR((F30-E30)/E30,0)</f>
        <v>0.1500137880319882</v>
      </c>
      <c r="G31" s="4113">
        <f t="shared" ref="G31" si="59">IFERROR((G30-F30)/F30,0)</f>
        <v>0.14998801055071539</v>
      </c>
      <c r="H31" s="4113">
        <f t="shared" ref="H31" si="60">IFERROR((H30-G30)/G30,0)</f>
        <v>0.1434926151172895</v>
      </c>
      <c r="I31" s="4112"/>
      <c r="J31" s="4114">
        <f>IFERROR((J30-I30)/I30,0)</f>
        <v>0</v>
      </c>
      <c r="K31" s="4114">
        <f t="shared" ref="K31" si="61">IFERROR((K30-J30)/J30,0)</f>
        <v>0</v>
      </c>
      <c r="L31" s="4114">
        <f t="shared" ref="L31" si="62">IFERROR((L30-K30)/K30,0)</f>
        <v>0</v>
      </c>
      <c r="M31" s="4114">
        <f t="shared" ref="M31" si="63">IFERROR((M30-L30)/L30,0)</f>
        <v>0</v>
      </c>
      <c r="N31" s="4114">
        <f t="shared" ref="N31" si="64">IFERROR((N30-M30)/M30,0)</f>
        <v>0</v>
      </c>
      <c r="O31" s="3685"/>
      <c r="P31" s="3685"/>
      <c r="Q31" s="3685"/>
      <c r="R31" s="3685"/>
      <c r="S31" s="3685"/>
      <c r="T31" s="3685"/>
      <c r="U31" s="3685"/>
      <c r="V31" s="3685"/>
      <c r="W31" s="3685"/>
      <c r="X31" s="3685"/>
      <c r="Y31" s="3685"/>
      <c r="Z31" s="5651" t="s">
        <v>1822</v>
      </c>
      <c r="AA31" s="5652" t="s">
        <v>188</v>
      </c>
      <c r="AB31" s="5652"/>
      <c r="AC31" s="5652"/>
      <c r="AD31" s="5652"/>
      <c r="AE31" s="5652"/>
      <c r="AF31" s="3577"/>
      <c r="AG31" s="3577"/>
      <c r="AH31" s="3685"/>
      <c r="AI31" s="3685"/>
      <c r="AJ31" s="3685"/>
      <c r="AK31" s="3685"/>
      <c r="AL31" s="3685"/>
      <c r="AM31" s="3685"/>
      <c r="AN31" s="3685"/>
    </row>
    <row r="32" spans="1:43">
      <c r="A32" s="3941" t="s">
        <v>1621</v>
      </c>
      <c r="B32" s="4111" t="s">
        <v>174</v>
      </c>
      <c r="C32" s="4112"/>
      <c r="D32" s="4113">
        <f>IFERROR((D30-$C$30)/$C$30,0)</f>
        <v>0.15001215657670822</v>
      </c>
      <c r="E32" s="4113">
        <f t="shared" ref="E32:H32" si="65">IFERROR((E30-$C$30)/$C$30,0)</f>
        <v>0.3225139800632143</v>
      </c>
      <c r="F32" s="4113">
        <f t="shared" si="65"/>
        <v>0.52090931193775836</v>
      </c>
      <c r="G32" s="4113">
        <f t="shared" si="65"/>
        <v>0.74902747386336022</v>
      </c>
      <c r="H32" s="4113">
        <f t="shared" si="65"/>
        <v>1.0000000000000004</v>
      </c>
      <c r="I32" s="4112"/>
      <c r="J32" s="4113">
        <f>IFERROR((J30-$I$30)/$I$30,0)</f>
        <v>0</v>
      </c>
      <c r="K32" s="4114">
        <f t="shared" ref="K32:N32" si="66">IFERROR((K30-$I$30)/$I$30,0)</f>
        <v>0</v>
      </c>
      <c r="L32" s="4113">
        <f t="shared" si="66"/>
        <v>0</v>
      </c>
      <c r="M32" s="4113">
        <f t="shared" si="66"/>
        <v>0</v>
      </c>
      <c r="N32" s="4113">
        <f t="shared" si="66"/>
        <v>0</v>
      </c>
      <c r="O32" s="3685"/>
      <c r="P32" s="3685"/>
      <c r="Q32" s="3685"/>
      <c r="R32" s="3685"/>
      <c r="S32" s="3685"/>
      <c r="T32" s="3685"/>
      <c r="U32" s="3685"/>
      <c r="V32" s="3685"/>
      <c r="W32" s="3685"/>
      <c r="X32" s="3685"/>
      <c r="Y32" s="3685"/>
      <c r="Z32" s="5651"/>
      <c r="AA32" s="4234" t="s">
        <v>1072</v>
      </c>
      <c r="AB32" s="4234" t="s">
        <v>1073</v>
      </c>
      <c r="AC32" s="4234" t="s">
        <v>1074</v>
      </c>
      <c r="AD32" s="4234" t="s">
        <v>1075</v>
      </c>
      <c r="AE32" s="4234" t="s">
        <v>1076</v>
      </c>
      <c r="AF32" s="3577"/>
      <c r="AG32" s="3577"/>
      <c r="AH32" s="3685"/>
      <c r="AI32" s="3685"/>
      <c r="AJ32" s="3685"/>
      <c r="AK32" s="3685"/>
      <c r="AL32" s="3685"/>
      <c r="AM32" s="3685"/>
      <c r="AN32" s="3685"/>
    </row>
    <row r="33" spans="1:40" ht="21" customHeight="1">
      <c r="A33" s="3940" t="s">
        <v>1625</v>
      </c>
      <c r="B33" s="4124" t="s">
        <v>174</v>
      </c>
      <c r="C33" s="3932">
        <f>'5. Персонал'!U62</f>
        <v>0.22185752492098226</v>
      </c>
      <c r="D33" s="3932">
        <f>'5. Персонал'!V62</f>
        <v>0.26427061310782241</v>
      </c>
      <c r="E33" s="3932">
        <f>'5. Персонал'!W62</f>
        <v>0.22980053313723689</v>
      </c>
      <c r="F33" s="3932">
        <f>'5. Персонал'!X62</f>
        <v>0.23978898569259052</v>
      </c>
      <c r="G33" s="3932">
        <f>'5. Персонал'!Y62</f>
        <v>0.24326672458731538</v>
      </c>
      <c r="H33" s="3932">
        <f>'5. Персонал'!Z62</f>
        <v>0.24313153415998051</v>
      </c>
      <c r="I33" s="3932">
        <f>'5. Персонал'!AA62</f>
        <v>0</v>
      </c>
      <c r="J33" s="3932">
        <f>'5. Персонал'!AB62</f>
        <v>0</v>
      </c>
      <c r="K33" s="3932">
        <f>'5. Персонал'!AC62</f>
        <v>0</v>
      </c>
      <c r="L33" s="3932">
        <f>'5. Персонал'!AD62</f>
        <v>0</v>
      </c>
      <c r="M33" s="3932">
        <f>'5. Персонал'!AE62</f>
        <v>0</v>
      </c>
      <c r="N33" s="3932">
        <f>'5. Персонал'!AF62</f>
        <v>0</v>
      </c>
      <c r="O33" s="3685"/>
      <c r="P33" s="4132" t="s">
        <v>1677</v>
      </c>
      <c r="Q33" s="4133" t="s">
        <v>119</v>
      </c>
      <c r="R33" s="4133" t="s">
        <v>1072</v>
      </c>
      <c r="S33" s="4133" t="s">
        <v>1073</v>
      </c>
      <c r="T33" s="4133" t="s">
        <v>1074</v>
      </c>
      <c r="U33" s="4133" t="s">
        <v>1075</v>
      </c>
      <c r="V33" s="4133" t="s">
        <v>1076</v>
      </c>
      <c r="W33" s="4133" t="s">
        <v>1661</v>
      </c>
      <c r="X33" s="4133" t="s">
        <v>1662</v>
      </c>
      <c r="Y33" s="3685"/>
      <c r="Z33" s="4144" t="s">
        <v>1804</v>
      </c>
      <c r="AA33" s="4049">
        <f>'16. Необходими приходи'!D55</f>
        <v>257.17</v>
      </c>
      <c r="AB33" s="4049">
        <f>'16. Необходими приходи'!E55</f>
        <v>257.17</v>
      </c>
      <c r="AC33" s="4049">
        <f>'16. Необходими приходи'!F55</f>
        <v>285.3</v>
      </c>
      <c r="AD33" s="4049">
        <f>'16. Необходими приходи'!G55</f>
        <v>285.3</v>
      </c>
      <c r="AE33" s="4049">
        <f>'16. Необходими приходи'!H55</f>
        <v>285.3</v>
      </c>
      <c r="AF33" s="3577"/>
      <c r="AG33" s="3577"/>
      <c r="AH33" s="3685"/>
      <c r="AI33" s="3685"/>
      <c r="AJ33" s="3685"/>
      <c r="AK33" s="3685"/>
      <c r="AL33" s="3685"/>
      <c r="AM33" s="3685"/>
      <c r="AN33" s="3685"/>
    </row>
    <row r="34" spans="1:40" ht="18.75" customHeight="1">
      <c r="A34" s="3940" t="s">
        <v>1624</v>
      </c>
      <c r="B34" s="4124" t="s">
        <v>174</v>
      </c>
      <c r="C34" s="3932">
        <f>'5. Персонал'!U63</f>
        <v>9.8468271334792135E-2</v>
      </c>
      <c r="D34" s="3932">
        <f>'5. Персонал'!V63</f>
        <v>0.13742071881606766</v>
      </c>
      <c r="E34" s="3932">
        <f>'5. Персонал'!W63</f>
        <v>0.13788031988234214</v>
      </c>
      <c r="F34" s="3932">
        <f>'5. Персонал'!X63</f>
        <v>0.11989449284629526</v>
      </c>
      <c r="G34" s="3932">
        <f>'5. Персонал'!Y63</f>
        <v>0.10425716768027803</v>
      </c>
      <c r="H34" s="3932">
        <f>'5. Персонал'!Z63</f>
        <v>0.12156576707999026</v>
      </c>
      <c r="I34" s="3932">
        <f>'5. Персонал'!AA63</f>
        <v>0</v>
      </c>
      <c r="J34" s="3932">
        <f>'5. Персонал'!AB63</f>
        <v>0</v>
      </c>
      <c r="K34" s="3932">
        <f>'5. Персонал'!AC63</f>
        <v>0</v>
      </c>
      <c r="L34" s="3932">
        <f>'5. Персонал'!AD63</f>
        <v>0</v>
      </c>
      <c r="M34" s="3932">
        <f>'5. Персонал'!AE63</f>
        <v>0</v>
      </c>
      <c r="N34" s="3932">
        <f>'5. Персонал'!AF63</f>
        <v>0</v>
      </c>
      <c r="O34" s="3685"/>
      <c r="P34" s="4138" t="s">
        <v>1664</v>
      </c>
      <c r="Q34" s="4135">
        <f>IFERROR('8. Ремонтна програма'!K34/'8. Ремонтна програма'!K$46,0)</f>
        <v>0</v>
      </c>
      <c r="R34" s="4135">
        <f>IFERROR('8. Ремонтна програма'!L34/'8. Ремонтна програма'!L$46,0)</f>
        <v>0</v>
      </c>
      <c r="S34" s="4135">
        <f>IFERROR('8. Ремонтна програма'!M34/'8. Ремонтна програма'!M$46,0)</f>
        <v>0</v>
      </c>
      <c r="T34" s="4135">
        <f>IFERROR('8. Ремонтна програма'!N34/'8. Ремонтна програма'!N$46,0)</f>
        <v>0</v>
      </c>
      <c r="U34" s="4135">
        <f>IFERROR('8. Ремонтна програма'!O34/'8. Ремонтна програма'!O$46,0)</f>
        <v>0</v>
      </c>
      <c r="V34" s="4135">
        <f>IFERROR('8. Ремонтна програма'!P34/'8. Ремонтна програма'!P$46,0)</f>
        <v>0</v>
      </c>
      <c r="W34" s="4136">
        <f t="shared" ref="W34:W45" si="67">IFERROR((R34-Q34)/Q34,0)</f>
        <v>0</v>
      </c>
      <c r="X34" s="4136">
        <f t="shared" ref="X34:X45" si="68">IFERROR((V34-Q34)/Q34,0)</f>
        <v>0</v>
      </c>
      <c r="Y34" s="3685"/>
      <c r="Z34" s="4144" t="s">
        <v>1805</v>
      </c>
      <c r="AA34" s="4049">
        <f>'16. Необходими приходи'!D56</f>
        <v>10314.02</v>
      </c>
      <c r="AB34" s="4049">
        <f>'16. Необходими приходи'!E56</f>
        <v>10314.02</v>
      </c>
      <c r="AC34" s="4049">
        <f>'16. Необходими приходи'!F56</f>
        <v>17167.25</v>
      </c>
      <c r="AD34" s="4049">
        <f>'16. Необходими приходи'!G56</f>
        <v>17167.25</v>
      </c>
      <c r="AE34" s="4049">
        <f>'16. Необходими приходи'!H56</f>
        <v>17167.25</v>
      </c>
      <c r="AF34" s="3577"/>
      <c r="AG34" s="3577"/>
      <c r="AH34" s="3685"/>
      <c r="AI34" s="3685"/>
      <c r="AJ34" s="3685"/>
      <c r="AK34" s="3685"/>
      <c r="AL34" s="3685"/>
      <c r="AM34" s="3685"/>
      <c r="AN34" s="3685"/>
    </row>
    <row r="35" spans="1:40" ht="14.25" customHeight="1">
      <c r="A35" s="5661" t="s">
        <v>2</v>
      </c>
      <c r="B35" s="5663" t="s">
        <v>1615</v>
      </c>
      <c r="C35" s="5665" t="s">
        <v>1616</v>
      </c>
      <c r="D35" s="5666"/>
      <c r="E35" s="5666"/>
      <c r="F35" s="5666"/>
      <c r="G35" s="5666"/>
      <c r="H35" s="5667"/>
      <c r="I35" s="5668" t="s">
        <v>1617</v>
      </c>
      <c r="J35" s="5669"/>
      <c r="K35" s="5669"/>
      <c r="L35" s="5669"/>
      <c r="M35" s="5669"/>
      <c r="N35" s="5670"/>
      <c r="O35" s="3685"/>
      <c r="P35" s="4134" t="s">
        <v>1663</v>
      </c>
      <c r="Q35" s="4135">
        <f>IFERROR('8. Ремонтна програма'!K35/'8. Ремонтна програма'!K$46,0)</f>
        <v>0</v>
      </c>
      <c r="R35" s="4135">
        <f>IFERROR('8. Ремонтна програма'!L35/'8. Ремонтна програма'!L$46,0)</f>
        <v>0</v>
      </c>
      <c r="S35" s="4135">
        <f>IFERROR('8. Ремонтна програма'!M35/'8. Ремонтна програма'!M$46,0)</f>
        <v>0</v>
      </c>
      <c r="T35" s="4135">
        <f>IFERROR('8. Ремонтна програма'!N35/'8. Ремонтна програма'!N$46,0)</f>
        <v>0</v>
      </c>
      <c r="U35" s="4135">
        <f>IFERROR('8. Ремонтна програма'!O35/'8. Ремонтна програма'!O$46,0)</f>
        <v>0</v>
      </c>
      <c r="V35" s="4135">
        <f>IFERROR('8. Ремонтна програма'!P35/'8. Ремонтна програма'!P$46,0)</f>
        <v>0</v>
      </c>
      <c r="W35" s="4136">
        <f t="shared" si="67"/>
        <v>0</v>
      </c>
      <c r="X35" s="4136">
        <f t="shared" si="68"/>
        <v>0</v>
      </c>
      <c r="Y35" s="3685"/>
      <c r="Z35" s="4144" t="s">
        <v>1806</v>
      </c>
      <c r="AA35" s="4049">
        <f>'16. Необходими приходи'!D57</f>
        <v>0</v>
      </c>
      <c r="AB35" s="4049">
        <f>'16. Необходими приходи'!E57</f>
        <v>0</v>
      </c>
      <c r="AC35" s="4049">
        <f>'16. Необходими приходи'!F57</f>
        <v>0</v>
      </c>
      <c r="AD35" s="4049">
        <f>'16. Необходими приходи'!G57</f>
        <v>0</v>
      </c>
      <c r="AE35" s="4049">
        <f>'16. Необходими приходи'!H57</f>
        <v>0</v>
      </c>
      <c r="AF35" s="3577"/>
      <c r="AG35" s="3577"/>
      <c r="AH35" s="3685"/>
      <c r="AI35" s="3685"/>
      <c r="AJ35" s="3685"/>
      <c r="AK35" s="3685"/>
      <c r="AL35" s="3685"/>
      <c r="AM35" s="3685"/>
      <c r="AN35" s="3685"/>
    </row>
    <row r="36" spans="1:40" ht="12.75" customHeight="1">
      <c r="A36" s="5662"/>
      <c r="B36" s="5664"/>
      <c r="C36" s="3936" t="s">
        <v>1629</v>
      </c>
      <c r="D36" s="3936" t="s">
        <v>1637</v>
      </c>
      <c r="E36" s="3936" t="s">
        <v>1638</v>
      </c>
      <c r="F36" s="3936" t="s">
        <v>1639</v>
      </c>
      <c r="G36" s="3936" t="s">
        <v>1640</v>
      </c>
      <c r="H36" s="3936" t="s">
        <v>1641</v>
      </c>
      <c r="I36" s="3936" t="s">
        <v>1629</v>
      </c>
      <c r="J36" s="3936" t="s">
        <v>1637</v>
      </c>
      <c r="K36" s="3936" t="s">
        <v>1638</v>
      </c>
      <c r="L36" s="3936" t="s">
        <v>1639</v>
      </c>
      <c r="M36" s="3936" t="s">
        <v>1640</v>
      </c>
      <c r="N36" s="3936" t="s">
        <v>1641</v>
      </c>
      <c r="O36" s="3685"/>
      <c r="P36" s="4134" t="s">
        <v>1665</v>
      </c>
      <c r="Q36" s="4135">
        <f>IFERROR('8. Ремонтна програма'!K36/'8. Ремонтна програма'!K$46,0)</f>
        <v>0</v>
      </c>
      <c r="R36" s="4135">
        <f>IFERROR('8. Ремонтна програма'!L36/'8. Ремонтна програма'!L$46,0)</f>
        <v>0</v>
      </c>
      <c r="S36" s="4135">
        <f>IFERROR('8. Ремонтна програма'!M36/'8. Ремонтна програма'!M$46,0)</f>
        <v>0</v>
      </c>
      <c r="T36" s="4135">
        <f>IFERROR('8. Ремонтна програма'!N36/'8. Ремонтна програма'!N$46,0)</f>
        <v>0</v>
      </c>
      <c r="U36" s="4135">
        <f>IFERROR('8. Ремонтна програма'!O36/'8. Ремонтна програма'!O$46,0)</f>
        <v>0</v>
      </c>
      <c r="V36" s="4135">
        <f>IFERROR('8. Ремонтна програма'!P36/'8. Ремонтна програма'!P$46,0)</f>
        <v>0</v>
      </c>
      <c r="W36" s="4136">
        <f t="shared" si="67"/>
        <v>0</v>
      </c>
      <c r="X36" s="4136">
        <f t="shared" si="68"/>
        <v>0</v>
      </c>
      <c r="Y36" s="3685"/>
      <c r="Z36" s="4237" t="s">
        <v>1807</v>
      </c>
      <c r="AA36" s="4047">
        <f>SUM(AA33:AA35)</f>
        <v>10571.19</v>
      </c>
      <c r="AB36" s="4047">
        <f t="shared" ref="AB36:AE36" si="69">SUM(AB33:AB35)</f>
        <v>10571.19</v>
      </c>
      <c r="AC36" s="4047">
        <f t="shared" si="69"/>
        <v>17452.55</v>
      </c>
      <c r="AD36" s="4047">
        <f t="shared" si="69"/>
        <v>17452.55</v>
      </c>
      <c r="AE36" s="4047">
        <f t="shared" si="69"/>
        <v>17452.55</v>
      </c>
      <c r="AF36" s="3577"/>
      <c r="AG36" s="3577"/>
      <c r="AH36" s="3685"/>
      <c r="AI36" s="3685"/>
      <c r="AJ36" s="3685"/>
      <c r="AK36" s="3685"/>
      <c r="AL36" s="3685"/>
      <c r="AM36" s="3685"/>
      <c r="AN36" s="3685"/>
    </row>
    <row r="37" spans="1:40" ht="20.45" customHeight="1">
      <c r="A37" s="3939" t="s">
        <v>1620</v>
      </c>
      <c r="B37" s="4101" t="s">
        <v>682</v>
      </c>
      <c r="C37" s="4102">
        <f>C4+C26+I26</f>
        <v>276</v>
      </c>
      <c r="D37" s="4102">
        <f t="shared" ref="D37:H37" si="70">D4+D26+J26</f>
        <v>275</v>
      </c>
      <c r="E37" s="4102">
        <f t="shared" si="70"/>
        <v>275</v>
      </c>
      <c r="F37" s="4102">
        <f t="shared" si="70"/>
        <v>275</v>
      </c>
      <c r="G37" s="4102">
        <f t="shared" si="70"/>
        <v>275</v>
      </c>
      <c r="H37" s="4102">
        <f t="shared" si="70"/>
        <v>251</v>
      </c>
      <c r="I37" s="4102">
        <f>I4+C15</f>
        <v>51</v>
      </c>
      <c r="J37" s="4102">
        <f t="shared" ref="J37:N37" si="71">J4+D15</f>
        <v>60</v>
      </c>
      <c r="K37" s="4102">
        <f t="shared" si="71"/>
        <v>60</v>
      </c>
      <c r="L37" s="4102">
        <f t="shared" si="71"/>
        <v>60</v>
      </c>
      <c r="M37" s="4102">
        <f t="shared" si="71"/>
        <v>60</v>
      </c>
      <c r="N37" s="4102">
        <f t="shared" si="71"/>
        <v>56</v>
      </c>
      <c r="O37" s="3685"/>
      <c r="P37" s="4138" t="s">
        <v>1666</v>
      </c>
      <c r="Q37" s="4135">
        <f>IFERROR('8. Ремонтна програма'!K37/'8. Ремонтна програма'!K$46,0)</f>
        <v>0</v>
      </c>
      <c r="R37" s="4135">
        <f>IFERROR('8. Ремонтна програма'!L37/'8. Ремонтна програма'!L$46,0)</f>
        <v>0</v>
      </c>
      <c r="S37" s="4135">
        <f>IFERROR('8. Ремонтна програма'!M37/'8. Ремонтна програма'!M$46,0)</f>
        <v>0</v>
      </c>
      <c r="T37" s="4135">
        <f>IFERROR('8. Ремонтна програма'!N37/'8. Ремонтна програма'!N$46,0)</f>
        <v>0</v>
      </c>
      <c r="U37" s="4135">
        <f>IFERROR('8. Ремонтна програма'!O37/'8. Ремонтна програма'!O$46,0)</f>
        <v>0</v>
      </c>
      <c r="V37" s="4135">
        <f>IFERROR('8. Ремонтна програма'!P37/'8. Ремонтна програма'!P$46,0)</f>
        <v>0</v>
      </c>
      <c r="W37" s="4136">
        <f t="shared" si="67"/>
        <v>0</v>
      </c>
      <c r="X37" s="4136">
        <f t="shared" si="68"/>
        <v>0</v>
      </c>
      <c r="Y37" s="3685"/>
      <c r="Z37" s="3551"/>
      <c r="AA37" s="3577"/>
      <c r="AB37" s="3577"/>
      <c r="AC37" s="3577"/>
      <c r="AD37" s="3577"/>
      <c r="AE37" s="3577"/>
      <c r="AF37" s="3577"/>
      <c r="AG37" s="3577"/>
      <c r="AH37" s="3685"/>
      <c r="AI37" s="3685"/>
      <c r="AJ37" s="3685"/>
      <c r="AK37" s="3685"/>
      <c r="AL37" s="3685"/>
      <c r="AM37" s="3685"/>
      <c r="AN37" s="3685"/>
    </row>
    <row r="38" spans="1:40" ht="21">
      <c r="A38" s="3934" t="s">
        <v>1613</v>
      </c>
      <c r="B38" s="4108" t="s">
        <v>1618</v>
      </c>
      <c r="C38" s="4102">
        <f>C5+C27+I27</f>
        <v>268</v>
      </c>
      <c r="D38" s="4102">
        <f t="shared" ref="D38:H38" si="72">D5+D27+J27</f>
        <v>265</v>
      </c>
      <c r="E38" s="4102">
        <f t="shared" si="72"/>
        <v>265</v>
      </c>
      <c r="F38" s="4102">
        <f t="shared" si="72"/>
        <v>265</v>
      </c>
      <c r="G38" s="4102">
        <f t="shared" si="72"/>
        <v>265</v>
      </c>
      <c r="H38" s="4102">
        <f t="shared" si="72"/>
        <v>231</v>
      </c>
      <c r="I38" s="4102">
        <f>I5+C16</f>
        <v>50</v>
      </c>
      <c r="J38" s="4102">
        <f t="shared" ref="J38:N38" si="73">J5+D16</f>
        <v>50</v>
      </c>
      <c r="K38" s="4102">
        <f t="shared" si="73"/>
        <v>50</v>
      </c>
      <c r="L38" s="4102">
        <f t="shared" si="73"/>
        <v>50</v>
      </c>
      <c r="M38" s="4102">
        <f t="shared" si="73"/>
        <v>50</v>
      </c>
      <c r="N38" s="4102">
        <f t="shared" si="73"/>
        <v>53</v>
      </c>
      <c r="O38" s="3685"/>
      <c r="P38" s="4134" t="s">
        <v>1667</v>
      </c>
      <c r="Q38" s="4135">
        <f>IFERROR('8. Ремонтна програма'!K38/'8. Ремонтна програма'!K$46,0)</f>
        <v>0</v>
      </c>
      <c r="R38" s="4135">
        <f>IFERROR('8. Ремонтна програма'!L38/'8. Ремонтна програма'!L$46,0)</f>
        <v>0</v>
      </c>
      <c r="S38" s="4135">
        <f>IFERROR('8. Ремонтна програма'!M38/'8. Ремонтна програма'!M$46,0)</f>
        <v>0</v>
      </c>
      <c r="T38" s="4135">
        <f>IFERROR('8. Ремонтна програма'!N38/'8. Ремонтна програма'!N$46,0)</f>
        <v>0</v>
      </c>
      <c r="U38" s="4135">
        <f>IFERROR('8. Ремонтна програма'!O38/'8. Ремонтна програма'!O$46,0)</f>
        <v>0</v>
      </c>
      <c r="V38" s="4135">
        <f>IFERROR('8. Ремонтна програма'!P38/'8. Ремонтна програма'!P$46,0)</f>
        <v>0</v>
      </c>
      <c r="W38" s="4136">
        <f t="shared" si="67"/>
        <v>0</v>
      </c>
      <c r="X38" s="4136">
        <f t="shared" si="68"/>
        <v>0</v>
      </c>
      <c r="Y38" s="3685"/>
      <c r="Z38" s="3551"/>
      <c r="AA38" s="3577"/>
      <c r="AB38" s="3577"/>
      <c r="AC38" s="3577"/>
      <c r="AD38" s="3577"/>
      <c r="AE38" s="3577"/>
      <c r="AF38" s="3577"/>
      <c r="AG38" s="3577"/>
      <c r="AH38" s="3685"/>
      <c r="AI38" s="3685"/>
      <c r="AJ38" s="3685"/>
      <c r="AK38" s="3685"/>
      <c r="AL38" s="3685"/>
      <c r="AM38" s="3685"/>
      <c r="AN38" s="3685"/>
    </row>
    <row r="39" spans="1:40" ht="15" customHeight="1">
      <c r="A39" s="3942" t="s">
        <v>1623</v>
      </c>
      <c r="B39" s="4111" t="s">
        <v>174</v>
      </c>
      <c r="C39" s="4112"/>
      <c r="D39" s="4113">
        <f>IFERROR((D38-C38)/C38,0)</f>
        <v>-1.1194029850746268E-2</v>
      </c>
      <c r="E39" s="4113">
        <f t="shared" ref="E39" si="74">IFERROR((E38-D38)/D38,0)</f>
        <v>0</v>
      </c>
      <c r="F39" s="4113">
        <f t="shared" ref="F39" si="75">IFERROR((F38-E38)/E38,0)</f>
        <v>0</v>
      </c>
      <c r="G39" s="4113">
        <f t="shared" ref="G39" si="76">IFERROR((G38-F38)/F38,0)</f>
        <v>0</v>
      </c>
      <c r="H39" s="4113">
        <f t="shared" ref="H39" si="77">IFERROR((H38-G38)/G38,0)</f>
        <v>-0.12830188679245283</v>
      </c>
      <c r="I39" s="4112"/>
      <c r="J39" s="4114">
        <f>IFERROR((J38-I38)/I38,0)</f>
        <v>0</v>
      </c>
      <c r="K39" s="4114">
        <f t="shared" ref="K39" si="78">IFERROR((K38-J38)/J38,0)</f>
        <v>0</v>
      </c>
      <c r="L39" s="4114">
        <f t="shared" ref="L39" si="79">IFERROR((L38-K38)/K38,0)</f>
        <v>0</v>
      </c>
      <c r="M39" s="4114">
        <f t="shared" ref="M39" si="80">IFERROR((M38-L38)/L38,0)</f>
        <v>0</v>
      </c>
      <c r="N39" s="4114">
        <f t="shared" ref="N39" si="81">IFERROR((N38-M38)/M38,0)</f>
        <v>0.06</v>
      </c>
      <c r="O39" s="3685"/>
      <c r="P39" s="4134" t="s">
        <v>1668</v>
      </c>
      <c r="Q39" s="4135">
        <f>IFERROR('8. Ремонтна програма'!K39/'8. Ремонтна програма'!K$46,0)</f>
        <v>0</v>
      </c>
      <c r="R39" s="4135">
        <f>IFERROR('8. Ремонтна програма'!L39/'8. Ремонтна програма'!L$46,0)</f>
        <v>0</v>
      </c>
      <c r="S39" s="4135">
        <f>IFERROR('8. Ремонтна програма'!M39/'8. Ремонтна програма'!M$46,0)</f>
        <v>0</v>
      </c>
      <c r="T39" s="4135">
        <f>IFERROR('8. Ремонтна програма'!N39/'8. Ремонтна програма'!N$46,0)</f>
        <v>0</v>
      </c>
      <c r="U39" s="4135">
        <f>IFERROR('8. Ремонтна програма'!O39/'8. Ремонтна програма'!O$46,0)</f>
        <v>0</v>
      </c>
      <c r="V39" s="4135">
        <f>IFERROR('8. Ремонтна програма'!P39/'8. Ремонтна програма'!P$46,0)</f>
        <v>0</v>
      </c>
      <c r="W39" s="4136">
        <f t="shared" si="67"/>
        <v>0</v>
      </c>
      <c r="X39" s="4136">
        <f t="shared" si="68"/>
        <v>0</v>
      </c>
      <c r="Y39" s="3685"/>
      <c r="Z39" s="3551"/>
      <c r="AA39" s="3577"/>
      <c r="AB39" s="3577"/>
      <c r="AC39" s="3577"/>
      <c r="AD39" s="3577"/>
      <c r="AE39" s="3577"/>
      <c r="AF39" s="3577"/>
      <c r="AG39" s="3577"/>
      <c r="AH39" s="3685"/>
      <c r="AI39" s="3685"/>
      <c r="AJ39" s="3685"/>
      <c r="AK39" s="3685"/>
      <c r="AL39" s="3685"/>
      <c r="AM39" s="3685"/>
      <c r="AN39" s="3685"/>
    </row>
    <row r="40" spans="1:40">
      <c r="A40" s="3942" t="s">
        <v>1622</v>
      </c>
      <c r="B40" s="4111" t="s">
        <v>174</v>
      </c>
      <c r="C40" s="4112"/>
      <c r="D40" s="4113">
        <f>IFERROR((D38-$C$38)/$C$38,0)</f>
        <v>-1.1194029850746268E-2</v>
      </c>
      <c r="E40" s="4113">
        <f t="shared" ref="E40:H40" si="82">IFERROR((E38-$C$38)/$C$38,0)</f>
        <v>-1.1194029850746268E-2</v>
      </c>
      <c r="F40" s="4113">
        <f t="shared" si="82"/>
        <v>-1.1194029850746268E-2</v>
      </c>
      <c r="G40" s="4113">
        <f t="shared" si="82"/>
        <v>-1.1194029850746268E-2</v>
      </c>
      <c r="H40" s="4113">
        <f t="shared" si="82"/>
        <v>-0.13805970149253732</v>
      </c>
      <c r="I40" s="4112"/>
      <c r="J40" s="4137">
        <f>IFERROR((J38-$I$38)/$I$38,0)</f>
        <v>0</v>
      </c>
      <c r="K40" s="4114">
        <f t="shared" ref="K40:N40" si="83">IFERROR((K38-$I$38)/$I$38,0)</f>
        <v>0</v>
      </c>
      <c r="L40" s="4113">
        <f t="shared" si="83"/>
        <v>0</v>
      </c>
      <c r="M40" s="4113">
        <f t="shared" si="83"/>
        <v>0</v>
      </c>
      <c r="N40" s="4113">
        <f t="shared" si="83"/>
        <v>0.06</v>
      </c>
      <c r="O40" s="3685"/>
      <c r="P40" s="4134" t="s">
        <v>1669</v>
      </c>
      <c r="Q40" s="4135">
        <f>IFERROR('8. Ремонтна програма'!K40/'8. Ремонтна програма'!K$46,0)</f>
        <v>0</v>
      </c>
      <c r="R40" s="4135">
        <f>IFERROR('8. Ремонтна програма'!L40/'8. Ремонтна програма'!L$46,0)</f>
        <v>0</v>
      </c>
      <c r="S40" s="4135">
        <f>IFERROR('8. Ремонтна програма'!M40/'8. Ремонтна програма'!M$46,0)</f>
        <v>0</v>
      </c>
      <c r="T40" s="4135">
        <f>IFERROR('8. Ремонтна програма'!N40/'8. Ремонтна програма'!N$46,0)</f>
        <v>0</v>
      </c>
      <c r="U40" s="4135">
        <f>IFERROR('8. Ремонтна програма'!O40/'8. Ремонтна програма'!O$46,0)</f>
        <v>0</v>
      </c>
      <c r="V40" s="4135">
        <f>IFERROR('8. Ремонтна програма'!P40/'8. Ремонтна програма'!P$46,0)</f>
        <v>0</v>
      </c>
      <c r="W40" s="4136">
        <f t="shared" si="67"/>
        <v>0</v>
      </c>
      <c r="X40" s="4136">
        <f t="shared" si="68"/>
        <v>0</v>
      </c>
      <c r="Y40" s="3685"/>
      <c r="Z40" s="3551"/>
      <c r="AA40" s="3577"/>
      <c r="AB40" s="3577"/>
      <c r="AC40" s="3577"/>
      <c r="AD40" s="3577"/>
      <c r="AE40" s="3577"/>
      <c r="AF40" s="3577"/>
      <c r="AG40" s="3577"/>
      <c r="AH40" s="3685"/>
      <c r="AI40" s="3685"/>
      <c r="AJ40" s="3685"/>
      <c r="AK40" s="3685"/>
      <c r="AL40" s="3685"/>
      <c r="AM40" s="3685"/>
      <c r="AN40" s="3685"/>
    </row>
    <row r="41" spans="1:40" ht="31.5">
      <c r="A41" s="3935" t="s">
        <v>1614</v>
      </c>
      <c r="B41" s="4118" t="s">
        <v>1619</v>
      </c>
      <c r="C41" s="4119">
        <f>IFERROR(('5. Персонал'!C29+'5. Персонал'!U29+'5. Персонал'!AA29)/C38,0)</f>
        <v>11.681753731343283</v>
      </c>
      <c r="D41" s="4119">
        <f>IFERROR(('5. Персонал'!D29+'5. Персонал'!V29+'5. Персонал'!AB29)/D38,0)</f>
        <v>13.434603773584906</v>
      </c>
      <c r="E41" s="4119">
        <f>IFERROR(('5. Персонал'!E29+'5. Персонал'!W29+'5. Персонал'!AC29)/E38,0)</f>
        <v>15.449652830188679</v>
      </c>
      <c r="F41" s="4119">
        <f>IFERROR(('5. Персонал'!F29+'5. Персонал'!X29+'5. Персонал'!AD29)/F38,0)</f>
        <v>17.766875471698111</v>
      </c>
      <c r="G41" s="4119">
        <f>IFERROR(('5. Персонал'!G29+'5. Персонал'!Y29+'5. Персонал'!AE29)/G38,0)</f>
        <v>20.43122641509434</v>
      </c>
      <c r="H41" s="4119">
        <f>IFERROR(('5. Персонал'!H29+'5. Персонал'!Z29+'5. Персонал'!AF29)/H38,0)</f>
        <v>23.773177489177492</v>
      </c>
      <c r="I41" s="4119">
        <f>IFERROR(('5. Персонал'!I29+'5. Персонал'!O29)/I38,0)</f>
        <v>12.206</v>
      </c>
      <c r="J41" s="4119">
        <f>IFERROR(('5. Персонал'!J29+'5. Персонал'!P29)/J38,0)</f>
        <v>13.997</v>
      </c>
      <c r="K41" s="4119">
        <f>IFERROR(('5. Персонал'!K29+'5. Персонал'!Q29)/K38,0)</f>
        <v>16.142600000000002</v>
      </c>
      <c r="L41" s="4119">
        <f>IFERROR(('5. Персонал'!L29+'5. Персонал'!R29)/L38,0)</f>
        <v>18.564399999999999</v>
      </c>
      <c r="M41" s="4119">
        <f>IFERROR(('5. Персонал'!M29+'5. Персонал'!S29)/M38,0)</f>
        <v>21.349</v>
      </c>
      <c r="N41" s="4119">
        <f>IFERROR(('5. Персонал'!N29+'5. Персонал'!T29)/N38,0)</f>
        <v>22.50867924528302</v>
      </c>
      <c r="O41" s="3685"/>
      <c r="P41" s="4134" t="s">
        <v>1080</v>
      </c>
      <c r="Q41" s="4135">
        <f>IFERROR('8. Ремонтна програма'!K41/'8. Ремонтна програма'!K$46,0)</f>
        <v>0</v>
      </c>
      <c r="R41" s="4135">
        <f>IFERROR('8. Ремонтна програма'!L41/'8. Ремонтна програма'!L$46,0)</f>
        <v>0</v>
      </c>
      <c r="S41" s="4135">
        <f>IFERROR('8. Ремонтна програма'!M41/'8. Ремонтна програма'!M$46,0)</f>
        <v>0</v>
      </c>
      <c r="T41" s="4135">
        <f>IFERROR('8. Ремонтна програма'!N41/'8. Ремонтна програма'!N$46,0)</f>
        <v>0</v>
      </c>
      <c r="U41" s="4135">
        <f>IFERROR('8. Ремонтна програма'!O41/'8. Ремонтна програма'!O$46,0)</f>
        <v>0</v>
      </c>
      <c r="V41" s="4135">
        <f>IFERROR('8. Ремонтна програма'!P41/'8. Ремонтна програма'!P$46,0)</f>
        <v>0</v>
      </c>
      <c r="W41" s="4136">
        <f t="shared" si="67"/>
        <v>0</v>
      </c>
      <c r="X41" s="4136">
        <f t="shared" si="68"/>
        <v>0</v>
      </c>
      <c r="Y41" s="3685"/>
      <c r="Z41" s="3551"/>
      <c r="AA41" s="3577"/>
      <c r="AB41" s="3577"/>
      <c r="AC41" s="3577"/>
      <c r="AD41" s="3577"/>
      <c r="AE41" s="3577"/>
      <c r="AF41" s="3577"/>
      <c r="AG41" s="3577"/>
      <c r="AH41" s="3685"/>
      <c r="AI41" s="3685"/>
      <c r="AJ41" s="3685"/>
      <c r="AK41" s="3685"/>
      <c r="AL41" s="3685"/>
      <c r="AM41" s="3685"/>
      <c r="AN41" s="3685"/>
    </row>
    <row r="42" spans="1:40" ht="15.75" customHeight="1">
      <c r="A42" s="3942" t="s">
        <v>1623</v>
      </c>
      <c r="B42" s="4111" t="s">
        <v>174</v>
      </c>
      <c r="C42" s="4112"/>
      <c r="D42" s="4113">
        <f>IFERROR((D41-C41)/C41,0)</f>
        <v>0.15005024780984338</v>
      </c>
      <c r="E42" s="4113">
        <f t="shared" ref="E42" si="84">IFERROR((E41-D41)/D41,0)</f>
        <v>0.14998946679512495</v>
      </c>
      <c r="F42" s="4113">
        <f t="shared" ref="F42" si="85">IFERROR((F41-E41)/E41,0)</f>
        <v>0.14998541824717057</v>
      </c>
      <c r="G42" s="4113">
        <f t="shared" ref="G42" si="86">IFERROR((G41-F41)/F41,0)</f>
        <v>0.14996170528917305</v>
      </c>
      <c r="H42" s="4113">
        <f t="shared" ref="H42" si="87">IFERROR((H41-G41)/G41,0)</f>
        <v>0.16357075224883022</v>
      </c>
      <c r="I42" s="4112"/>
      <c r="J42" s="4114">
        <f>IFERROR((J41-I41)/I41,0)</f>
        <v>0.14673111584466658</v>
      </c>
      <c r="K42" s="4114">
        <f t="shared" ref="K42" si="88">IFERROR((K41-J41)/J41,0)</f>
        <v>0.15328999071229563</v>
      </c>
      <c r="L42" s="4114">
        <f t="shared" ref="L42" si="89">IFERROR((L41-K41)/K41,0)</f>
        <v>0.15002539863466835</v>
      </c>
      <c r="M42" s="4114">
        <f t="shared" ref="M42" si="90">IFERROR((M41-L41)/L41,0)</f>
        <v>0.14999676800758446</v>
      </c>
      <c r="N42" s="4114">
        <f t="shared" ref="N42" si="91">IFERROR((N41-M41)/M41,0)</f>
        <v>5.432007331879804E-2</v>
      </c>
      <c r="O42" s="3685"/>
      <c r="P42" s="4134" t="s">
        <v>1082</v>
      </c>
      <c r="Q42" s="4135">
        <f>IFERROR('8. Ремонтна програма'!K42/'8. Ремонтна програма'!K$46,0)</f>
        <v>0</v>
      </c>
      <c r="R42" s="4135">
        <f>IFERROR('8. Ремонтна програма'!L42/'8. Ремонтна програма'!L$46,0)</f>
        <v>0</v>
      </c>
      <c r="S42" s="4135">
        <f>IFERROR('8. Ремонтна програма'!M42/'8. Ремонтна програма'!M$46,0)</f>
        <v>0</v>
      </c>
      <c r="T42" s="4135">
        <f>IFERROR('8. Ремонтна програма'!N42/'8. Ремонтна програма'!N$46,0)</f>
        <v>0</v>
      </c>
      <c r="U42" s="4135">
        <f>IFERROR('8. Ремонтна програма'!O42/'8. Ремонтна програма'!O$46,0)</f>
        <v>0</v>
      </c>
      <c r="V42" s="4135">
        <f>IFERROR('8. Ремонтна програма'!P42/'8. Ремонтна програма'!P$46,0)</f>
        <v>0</v>
      </c>
      <c r="W42" s="4136">
        <f t="shared" si="67"/>
        <v>0</v>
      </c>
      <c r="X42" s="4136">
        <f t="shared" si="68"/>
        <v>0</v>
      </c>
      <c r="Y42" s="3685"/>
      <c r="Z42" s="3551"/>
      <c r="AA42" s="3577"/>
      <c r="AB42" s="3577"/>
      <c r="AC42" s="3577"/>
      <c r="AD42" s="3577"/>
      <c r="AE42" s="3577"/>
      <c r="AF42" s="3577"/>
      <c r="AG42" s="3577"/>
      <c r="AH42" s="3685"/>
      <c r="AI42" s="3685"/>
      <c r="AJ42" s="3685"/>
      <c r="AK42" s="3685"/>
      <c r="AL42" s="3685"/>
      <c r="AM42" s="3685"/>
      <c r="AN42" s="3685"/>
    </row>
    <row r="43" spans="1:40">
      <c r="A43" s="3941" t="s">
        <v>1621</v>
      </c>
      <c r="B43" s="4111" t="s">
        <v>174</v>
      </c>
      <c r="C43" s="4112"/>
      <c r="D43" s="4113">
        <f>IFERROR((D41-$C$41)/$C$41,0)</f>
        <v>0.15005024780984338</v>
      </c>
      <c r="E43" s="4113">
        <f t="shared" ref="E43:H43" si="92">IFERROR((E41-$C$41)/$C$41,0)</f>
        <v>0.32254567126644312</v>
      </c>
      <c r="F43" s="4113">
        <f t="shared" si="92"/>
        <v>0.52090823692232557</v>
      </c>
      <c r="G43" s="4113">
        <f t="shared" si="92"/>
        <v>0.74898622971954709</v>
      </c>
      <c r="H43" s="4113">
        <f t="shared" si="92"/>
        <v>1.0350692229876188</v>
      </c>
      <c r="I43" s="4112"/>
      <c r="J43" s="4113">
        <f>IFERROR((J41-$I$41)/$I$41,0)</f>
        <v>0.14673111584466658</v>
      </c>
      <c r="K43" s="4114">
        <f t="shared" ref="K43:N43" si="93">IFERROR((K41-$I$41)/$I$41,0)</f>
        <v>0.3225135179419959</v>
      </c>
      <c r="L43" s="4113">
        <f t="shared" si="93"/>
        <v>0.5209241356709815</v>
      </c>
      <c r="M43" s="4113">
        <f t="shared" si="93"/>
        <v>0.74905784040635759</v>
      </c>
      <c r="N43" s="4113">
        <f t="shared" si="93"/>
        <v>0.84406679053604949</v>
      </c>
      <c r="O43" s="3685"/>
      <c r="P43" s="4134" t="s">
        <v>924</v>
      </c>
      <c r="Q43" s="4135">
        <f>IFERROR('8. Ремонтна програма'!K43/'8. Ремонтна програма'!K$46,0)</f>
        <v>0</v>
      </c>
      <c r="R43" s="4135">
        <f>IFERROR('8. Ремонтна програма'!L43/'8. Ремонтна програма'!L$46,0)</f>
        <v>0</v>
      </c>
      <c r="S43" s="4135">
        <f>IFERROR('8. Ремонтна програма'!M43/'8. Ремонтна програма'!M$46,0)</f>
        <v>0</v>
      </c>
      <c r="T43" s="4135">
        <f>IFERROR('8. Ремонтна програма'!N43/'8. Ремонтна програма'!N$46,0)</f>
        <v>0</v>
      </c>
      <c r="U43" s="4135">
        <f>IFERROR('8. Ремонтна програма'!O43/'8. Ремонтна програма'!O$46,0)</f>
        <v>0</v>
      </c>
      <c r="V43" s="4135">
        <f>IFERROR('8. Ремонтна програма'!P43/'8. Ремонтна програма'!P$46,0)</f>
        <v>0</v>
      </c>
      <c r="W43" s="4136">
        <f t="shared" si="67"/>
        <v>0</v>
      </c>
      <c r="X43" s="4136">
        <f t="shared" si="68"/>
        <v>0</v>
      </c>
      <c r="Y43" s="3685"/>
      <c r="Z43" s="3551"/>
      <c r="AA43" s="3577"/>
      <c r="AB43" s="3577"/>
      <c r="AC43" s="3577"/>
      <c r="AD43" s="3577"/>
      <c r="AE43" s="3577"/>
      <c r="AF43" s="3577"/>
      <c r="AG43" s="3577"/>
      <c r="AH43" s="3685"/>
      <c r="AI43" s="3685"/>
      <c r="AJ43" s="3685"/>
      <c r="AK43" s="3685"/>
      <c r="AL43" s="3685"/>
      <c r="AM43" s="3685"/>
      <c r="AN43" s="3685"/>
    </row>
    <row r="44" spans="1:40" ht="18.75" customHeight="1">
      <c r="A44" s="3940" t="s">
        <v>1625</v>
      </c>
      <c r="B44" s="4124" t="s">
        <v>174</v>
      </c>
      <c r="C44" s="3932">
        <f>IFERROR(('5. Персонал'!C42+'5. Персонал'!U42+'5. Персонал'!AA42)/('5. Персонал'!C29+'5. Персонал'!U29+'5. Персонал'!AA29),0)</f>
        <v>0.21293891800901393</v>
      </c>
      <c r="D44" s="3932">
        <f>IFERROR(('5. Персонал'!D42+'5. Персонал'!V42+'5. Персонал'!AB42)/('5. Персонал'!D29+'5. Персонал'!V29+'5. Персонал'!AB29),0)</f>
        <v>0.21543915037765049</v>
      </c>
      <c r="E44" s="3932">
        <f>IFERROR(('5. Персонал'!E42+'5. Персонал'!W42+'5. Персонал'!AC42)/('5. Персонал'!E29+'5. Персонал'!W29+'5. Персонал'!AC29),0)</f>
        <v>0.21542891114607693</v>
      </c>
      <c r="F44" s="3932">
        <f>IFERROR(('5. Персонал'!F42+'5. Персонал'!X42+'5. Персонал'!AD42)/('5. Персонал'!F29+'5. Персонал'!X29+'5. Персонал'!AD29),0)</f>
        <v>0.21536792445216052</v>
      </c>
      <c r="G44" s="3932">
        <f>IFERROR(('5. Персонал'!G42+'5. Персонал'!Y42+'5. Персонал'!AE42)/('5. Персонал'!G29+'5. Персонал'!Y29+'5. Персонал'!AE29),0)</f>
        <v>0.21535662669517158</v>
      </c>
      <c r="H44" s="3932">
        <f>IFERROR(('5. Персонал'!H42+'5. Персонал'!Z42+'5. Персонал'!AF42)/('5. Персонал'!H29+'5. Персонал'!Z29+'5. Персонал'!AF29),0)</f>
        <v>0.24419095040356151</v>
      </c>
      <c r="I44" s="3932">
        <f>IFERROR(('5. Персонал'!I42+'5. Персонал'!O42)/('5. Персонал'!I29+'5. Персонал'!O29),0)</f>
        <v>0.23103391774537116</v>
      </c>
      <c r="J44" s="3932">
        <f>IFERROR(('5. Персонал'!J42+'5. Персонал'!P42)/('5. Персонал'!J29+'5. Персонал'!P29),0)</f>
        <v>0.23147817389440595</v>
      </c>
      <c r="K44" s="3932">
        <f>IFERROR(('5. Персонал'!K42+'5. Персонал'!Q42)/('5. Персонал'!K29+'5. Персонал'!Q29),0)</f>
        <v>0.2304461486997138</v>
      </c>
      <c r="L44" s="3932">
        <f>IFERROR(('5. Персонал'!L42+'5. Персонал'!R42)/('5. Персонал'!L29+'5. Персонал'!R29),0)</f>
        <v>0.23054879231216738</v>
      </c>
      <c r="M44" s="3932">
        <f>IFERROR(('5. Персонал'!M42+'5. Персонал'!S42)/('5. Персонал'!M29+'5. Персонал'!S29),0)</f>
        <v>0.23139257108061267</v>
      </c>
      <c r="N44" s="3932">
        <f>IFERROR(('5. Персонал'!N42+'5. Персонал'!T42)/('5. Персонал'!N29+'5. Персонал'!T29),0)</f>
        <v>0.23722505364806867</v>
      </c>
      <c r="O44" s="3685"/>
      <c r="P44" s="4138" t="s">
        <v>1390</v>
      </c>
      <c r="Q44" s="4135">
        <f>IFERROR('8. Ремонтна програма'!K44/'8. Ремонтна програма'!K$46,0)</f>
        <v>0</v>
      </c>
      <c r="R44" s="4135">
        <f>IFERROR('8. Ремонтна програма'!L44/'8. Ремонтна програма'!L$46,0)</f>
        <v>0</v>
      </c>
      <c r="S44" s="4135">
        <f>IFERROR('8. Ремонтна програма'!M44/'8. Ремонтна програма'!M$46,0)</f>
        <v>0</v>
      </c>
      <c r="T44" s="4135">
        <f>IFERROR('8. Ремонтна програма'!N44/'8. Ремонтна програма'!N$46,0)</f>
        <v>0</v>
      </c>
      <c r="U44" s="4135">
        <f>IFERROR('8. Ремонтна програма'!O44/'8. Ремонтна програма'!O$46,0)</f>
        <v>0</v>
      </c>
      <c r="V44" s="4135">
        <f>IFERROR('8. Ремонтна програма'!P44/'8. Ремонтна програма'!P$46,0)</f>
        <v>0</v>
      </c>
      <c r="W44" s="4136">
        <f t="shared" si="67"/>
        <v>0</v>
      </c>
      <c r="X44" s="4136">
        <f t="shared" si="68"/>
        <v>0</v>
      </c>
      <c r="Y44" s="3685"/>
      <c r="Z44" s="3551"/>
      <c r="AA44" s="3577"/>
      <c r="AB44" s="3577"/>
      <c r="AC44" s="3577"/>
      <c r="AD44" s="3577"/>
      <c r="AE44" s="3577"/>
      <c r="AF44" s="3577"/>
      <c r="AG44" s="3577"/>
      <c r="AH44" s="3685"/>
      <c r="AI44" s="3685"/>
      <c r="AJ44" s="3685"/>
      <c r="AK44" s="3685"/>
      <c r="AL44" s="3685"/>
      <c r="AM44" s="3685"/>
      <c r="AN44" s="3685"/>
    </row>
    <row r="45" spans="1:40" ht="18" customHeight="1">
      <c r="A45" s="3940" t="s">
        <v>1624</v>
      </c>
      <c r="B45" s="4124" t="s">
        <v>174</v>
      </c>
      <c r="C45" s="3932">
        <f>IFERROR(('5. Персонал'!C46+'5. Персонал'!U46+'5. Персонал'!AA46)/('5. Персонал'!C29+'5. Персонал'!U29+'5. Персонал'!AA29),0)</f>
        <v>9.3787032334518364E-2</v>
      </c>
      <c r="D45" s="3932">
        <f>IFERROR(('5. Персонал'!D46+'5. Персонал'!V46+'5. Персонал'!AB46)/('5. Персонал'!D29+'5. Персонал'!V29+'5. Персонал'!AB29),0)</f>
        <v>9.4826932421766374E-2</v>
      </c>
      <c r="E45" s="3932">
        <f>IFERROR(('5. Персонал'!E46+'5. Персонал'!W46+'5. Персонал'!AC46)/('5. Персонал'!E29+'5. Персонал'!W29+'5. Персонал'!AC29),0)</f>
        <v>9.5013431333133697E-2</v>
      </c>
      <c r="F45" s="3932">
        <f>IFERROR(('5. Персонал'!F46+'5. Персонал'!X46+'5. Персонал'!AD46)/('5. Персонал'!F29+'5. Персонал'!X29+'5. Персонал'!AD29),0)</f>
        <v>9.4727903654500581E-2</v>
      </c>
      <c r="G45" s="3932">
        <f>IFERROR(('5. Персонал'!G46+'5. Персонал'!Y46+'5. Персонал'!AE46)/('5. Персонал'!G29+'5. Персонал'!Y29+'5. Персонал'!AE29),0)</f>
        <v>9.4749527868458847E-2</v>
      </c>
      <c r="H45" s="3932">
        <f>IFERROR(('5. Персонал'!H46+'5. Персонал'!Z46+'5. Персонал'!AF46)/('5. Персонал'!H29+'5. Персонал'!Z29+'5. Персонал'!AF29),0)</f>
        <v>0.10743673433117172</v>
      </c>
      <c r="I45" s="3932">
        <f>IFERROR(('5. Персонал'!I46+'5. Персонал'!O46)/('5. Персонал'!I29+'5. Персонал'!O29),0)</f>
        <v>9.6673766999836153E-2</v>
      </c>
      <c r="J45" s="3932">
        <f>IFERROR(('5. Персонал'!J46+'5. Персонал'!P46)/('5. Персонал'!J29+'5. Персонал'!P29),0)</f>
        <v>9.7163677930985209E-2</v>
      </c>
      <c r="K45" s="3932">
        <f>IFERROR(('5. Персонал'!K46+'5. Персонал'!Q46)/('5. Персонал'!K29+'5. Персонал'!Q29),0)</f>
        <v>9.6638707519234826E-2</v>
      </c>
      <c r="L45" s="3932">
        <f>IFERROR(('5. Персонал'!L46+'5. Персонал'!R46)/('5. Персонал'!L29+'5. Персонал'!R29),0)</f>
        <v>9.6959772467733935E-2</v>
      </c>
      <c r="M45" s="3932">
        <f>IFERROR(('5. Персонал'!M46+'5. Персонал'!S46)/('5. Персонал'!M29+'5. Персонал'!S29),0)</f>
        <v>9.6491638952644149E-2</v>
      </c>
      <c r="N45" s="3932">
        <f>IFERROR(('5. Персонал'!N46+'5. Персонал'!T46)/('5. Персонал'!N29+'5. Персонал'!T29),0)</f>
        <v>9.8913626609442057E-2</v>
      </c>
      <c r="O45" s="3685"/>
      <c r="P45" s="4138" t="s">
        <v>1670</v>
      </c>
      <c r="Q45" s="4135">
        <f>IFERROR('8. Ремонтна програма'!K45/'8. Ремонтна програма'!K$46,0)</f>
        <v>0</v>
      </c>
      <c r="R45" s="4135">
        <f>IFERROR('8. Ремонтна програма'!L45/'8. Ремонтна програма'!L$46,0)</f>
        <v>0</v>
      </c>
      <c r="S45" s="4135">
        <f>IFERROR('8. Ремонтна програма'!M45/'8. Ремонтна програма'!M$46,0)</f>
        <v>0</v>
      </c>
      <c r="T45" s="4135">
        <f>IFERROR('8. Ремонтна програма'!N45/'8. Ремонтна програма'!N$46,0)</f>
        <v>0</v>
      </c>
      <c r="U45" s="4135">
        <f>IFERROR('8. Ремонтна програма'!O45/'8. Ремонтна програма'!O$46,0)</f>
        <v>0</v>
      </c>
      <c r="V45" s="4135">
        <f>IFERROR('8. Ремонтна програма'!P45/'8. Ремонтна програма'!P$46,0)</f>
        <v>0</v>
      </c>
      <c r="W45" s="4136">
        <f t="shared" si="67"/>
        <v>0</v>
      </c>
      <c r="X45" s="4136">
        <f t="shared" si="68"/>
        <v>0</v>
      </c>
      <c r="Y45" s="3685"/>
      <c r="Z45" s="3551"/>
      <c r="AA45" s="3577"/>
      <c r="AB45" s="3577"/>
      <c r="AC45" s="3577"/>
      <c r="AD45" s="3577"/>
      <c r="AE45" s="3577"/>
      <c r="AF45" s="3577"/>
      <c r="AG45" s="3577"/>
      <c r="AH45" s="3685"/>
      <c r="AI45" s="3685"/>
      <c r="AJ45" s="3685"/>
      <c r="AK45" s="3685"/>
      <c r="AL45" s="3685"/>
      <c r="AM45" s="3685"/>
      <c r="AN45" s="3685"/>
    </row>
    <row r="46" spans="1:40" ht="24.75" customHeight="1">
      <c r="A46" s="3685"/>
      <c r="B46" s="4097"/>
      <c r="C46" s="3685"/>
      <c r="D46" s="3685"/>
      <c r="E46" s="3685"/>
      <c r="F46" s="3685"/>
      <c r="G46" s="3685"/>
      <c r="H46" s="3685"/>
      <c r="I46" s="3685"/>
      <c r="J46" s="3685"/>
      <c r="K46" s="4098"/>
      <c r="L46" s="3685"/>
      <c r="M46" s="3685"/>
      <c r="N46" s="3685"/>
      <c r="O46" s="3685"/>
      <c r="P46" s="4132" t="s">
        <v>1678</v>
      </c>
      <c r="Q46" s="4133" t="s">
        <v>119</v>
      </c>
      <c r="R46" s="4133" t="s">
        <v>1072</v>
      </c>
      <c r="S46" s="4133" t="s">
        <v>1073</v>
      </c>
      <c r="T46" s="4133" t="s">
        <v>1074</v>
      </c>
      <c r="U46" s="4133" t="s">
        <v>1075</v>
      </c>
      <c r="V46" s="4133" t="s">
        <v>1076</v>
      </c>
      <c r="W46" s="4133" t="s">
        <v>1661</v>
      </c>
      <c r="X46" s="4133" t="s">
        <v>1662</v>
      </c>
      <c r="Y46" s="3685"/>
      <c r="Z46" s="3551"/>
      <c r="AA46" s="3577"/>
      <c r="AB46" s="3577"/>
      <c r="AC46" s="3577"/>
      <c r="AD46" s="3577"/>
      <c r="AE46" s="3577"/>
      <c r="AF46" s="3577"/>
      <c r="AG46" s="3577"/>
      <c r="AH46" s="3685"/>
      <c r="AI46" s="3685"/>
      <c r="AJ46" s="3685"/>
      <c r="AK46" s="3685"/>
      <c r="AL46" s="3685"/>
      <c r="AM46" s="3685"/>
      <c r="AN46" s="3685"/>
    </row>
    <row r="47" spans="1:40" ht="22.5">
      <c r="A47" s="3685"/>
      <c r="B47" s="4097"/>
      <c r="C47" s="3685"/>
      <c r="D47" s="3685"/>
      <c r="E47" s="3685"/>
      <c r="F47" s="3685"/>
      <c r="G47" s="3685"/>
      <c r="H47" s="3685"/>
      <c r="I47" s="3685"/>
      <c r="J47" s="3685"/>
      <c r="K47" s="4098"/>
      <c r="L47" s="3685"/>
      <c r="M47" s="3685"/>
      <c r="N47" s="3685"/>
      <c r="O47" s="3685"/>
      <c r="P47" s="4138" t="s">
        <v>1671</v>
      </c>
      <c r="Q47" s="4135">
        <f>IFERROR('8. Ремонтна програма'!K57/'8. Ремонтна програма'!K$66,0)</f>
        <v>0.46278006659517928</v>
      </c>
      <c r="R47" s="4135">
        <f>IFERROR('8. Ремонтна програма'!L57/'8. Ремонтна програма'!L$66,0)</f>
        <v>0</v>
      </c>
      <c r="S47" s="4135">
        <f>IFERROR('8. Ремонтна програма'!M57/'8. Ремонтна програма'!M$66,0)</f>
        <v>0</v>
      </c>
      <c r="T47" s="4135">
        <f>IFERROR('8. Ремонтна програма'!N57/'8. Ремонтна програма'!N$66,0)</f>
        <v>0</v>
      </c>
      <c r="U47" s="4135">
        <f>IFERROR('8. Ремонтна програма'!O57/'8. Ремонтна програма'!O$66,0)</f>
        <v>0</v>
      </c>
      <c r="V47" s="4135">
        <f>IFERROR('8. Ремонтна програма'!P57/'8. Ремонтна програма'!P$66,0)</f>
        <v>0</v>
      </c>
      <c r="W47" s="4136">
        <f t="shared" ref="W47:W48" si="94">IFERROR((R47-Q47)/Q47,0)</f>
        <v>-1</v>
      </c>
      <c r="X47" s="4136">
        <f t="shared" ref="X47:X48" si="95">IFERROR((V47-Q47)/Q47,0)</f>
        <v>-1</v>
      </c>
      <c r="Y47" s="3685"/>
      <c r="Z47" s="3551"/>
      <c r="AA47" s="3577"/>
      <c r="AB47" s="3577"/>
      <c r="AC47" s="3577"/>
      <c r="AD47" s="3577"/>
      <c r="AE47" s="3577"/>
      <c r="AF47" s="3577"/>
      <c r="AG47" s="3577"/>
      <c r="AH47" s="3685"/>
      <c r="AI47" s="3685"/>
      <c r="AJ47" s="3685"/>
      <c r="AK47" s="3685"/>
      <c r="AL47" s="3685"/>
      <c r="AM47" s="3685"/>
      <c r="AN47" s="3685"/>
    </row>
    <row r="48" spans="1:40" ht="22.5">
      <c r="A48" s="3685"/>
      <c r="B48" s="4097"/>
      <c r="C48" s="3685"/>
      <c r="D48" s="3685"/>
      <c r="E48" s="3685"/>
      <c r="F48" s="3685"/>
      <c r="G48" s="3685"/>
      <c r="H48" s="3685"/>
      <c r="I48" s="3685"/>
      <c r="J48" s="3685"/>
      <c r="K48" s="4098"/>
      <c r="L48" s="3685"/>
      <c r="M48" s="3685"/>
      <c r="N48" s="3685"/>
      <c r="O48" s="3685"/>
      <c r="P48" s="4138" t="s">
        <v>1672</v>
      </c>
      <c r="Q48" s="4135">
        <f>IFERROR('8. Ремонтна програма'!K58/'8. Ремонтна програма'!K$66,0)</f>
        <v>8.5106382978723207</v>
      </c>
      <c r="R48" s="4135">
        <f>IFERROR('8. Ремонтна програма'!L58/'8. Ремонтна програма'!L$66,0)</f>
        <v>6.5739570164348802</v>
      </c>
      <c r="S48" s="4135">
        <f>IFERROR('8. Ремонтна програма'!M58/'8. Ремонтна програма'!M$66,0)</f>
        <v>5.9701492537313339</v>
      </c>
      <c r="T48" s="4135">
        <f>IFERROR('8. Ремонтна програма'!N58/'8. Ремонтна програма'!N$66,0)</f>
        <v>5.970149253731333</v>
      </c>
      <c r="U48" s="4135">
        <f>IFERROR('8. Ремонтна програма'!O58/'8. Ремонтна програма'!O$66,0)</f>
        <v>7.3136427566807169</v>
      </c>
      <c r="V48" s="4135">
        <f>IFERROR('8. Ремонтна програма'!P58/'8. Ремонтна програма'!P$66,0)</f>
        <v>0</v>
      </c>
      <c r="W48" s="4136">
        <f t="shared" si="94"/>
        <v>-0.2275600505688998</v>
      </c>
      <c r="X48" s="4136">
        <f t="shared" si="95"/>
        <v>-1</v>
      </c>
      <c r="Y48" s="3685"/>
      <c r="Z48" s="3551"/>
      <c r="AA48" s="3577"/>
      <c r="AB48" s="3577"/>
      <c r="AC48" s="3577"/>
      <c r="AD48" s="3577"/>
      <c r="AE48" s="3577"/>
      <c r="AF48" s="3577"/>
      <c r="AG48" s="3577"/>
      <c r="AH48" s="3685"/>
      <c r="AI48" s="3685"/>
      <c r="AJ48" s="3685"/>
      <c r="AK48" s="3685"/>
      <c r="AL48" s="3685"/>
      <c r="AM48" s="3685"/>
      <c r="AN48" s="3685"/>
    </row>
    <row r="49" spans="1:40" ht="22.5">
      <c r="A49" s="3685"/>
      <c r="B49" s="4097"/>
      <c r="C49" s="3685"/>
      <c r="D49" s="3685"/>
      <c r="E49" s="3685"/>
      <c r="F49" s="3685"/>
      <c r="G49" s="3685"/>
      <c r="H49" s="3685"/>
      <c r="I49" s="3685"/>
      <c r="J49" s="3685"/>
      <c r="K49" s="4098"/>
      <c r="L49" s="3685"/>
      <c r="M49" s="3685"/>
      <c r="N49" s="3685"/>
      <c r="O49" s="3685"/>
      <c r="P49" s="4138" t="s">
        <v>1673</v>
      </c>
      <c r="Q49" s="4135">
        <f>IFERROR('8. Ремонтна програма'!K59/'8. Ремонтна програма'!K$66,0)</f>
        <v>0.73649754500818165</v>
      </c>
      <c r="R49" s="4135">
        <f>IFERROR('8. Ремонтна програма'!L59/'8. Ремонтна програма'!L$66,0)</f>
        <v>0</v>
      </c>
      <c r="S49" s="4135">
        <f>IFERROR('8. Ремонтна програма'!M59/'8. Ремонтна програма'!M$66,0)</f>
        <v>0</v>
      </c>
      <c r="T49" s="4135">
        <f>IFERROR('8. Ремонтна програма'!N59/'8. Ремонтна програма'!N$66,0)</f>
        <v>0</v>
      </c>
      <c r="U49" s="4135">
        <f>IFERROR('8. Ремонтна програма'!O59/'8. Ремонтна програма'!O$66,0)</f>
        <v>0</v>
      </c>
      <c r="V49" s="4135">
        <f>IFERROR('8. Ремонтна програма'!P59/'8. Ремонтна програма'!P$66,0)</f>
        <v>0</v>
      </c>
      <c r="W49" s="4136">
        <f t="shared" ref="W49:W55" si="96">IFERROR((R49-Q49)/Q49,0)</f>
        <v>-1</v>
      </c>
      <c r="X49" s="4136">
        <f t="shared" ref="X49:X55" si="97">IFERROR((V49-Q49)/Q49,0)</f>
        <v>-1</v>
      </c>
      <c r="Y49" s="3685"/>
      <c r="Z49" s="3551"/>
      <c r="AA49" s="3577"/>
      <c r="AB49" s="3577"/>
      <c r="AC49" s="3577"/>
      <c r="AD49" s="3577"/>
      <c r="AE49" s="3577"/>
      <c r="AF49" s="3577"/>
      <c r="AG49" s="3577"/>
      <c r="AH49" s="3685"/>
      <c r="AI49" s="3685"/>
      <c r="AJ49" s="3685"/>
      <c r="AK49" s="3685"/>
      <c r="AL49" s="3685"/>
      <c r="AM49" s="3685"/>
      <c r="AN49" s="3685"/>
    </row>
    <row r="50" spans="1:40" ht="20.25" customHeight="1">
      <c r="A50" s="3685"/>
      <c r="B50" s="4097"/>
      <c r="C50" s="3685"/>
      <c r="D50" s="3685"/>
      <c r="E50" s="3685"/>
      <c r="F50" s="3685"/>
      <c r="G50" s="3685"/>
      <c r="H50" s="3685"/>
      <c r="I50" s="3685"/>
      <c r="J50" s="3685"/>
      <c r="K50" s="4098"/>
      <c r="L50" s="3685"/>
      <c r="M50" s="3685"/>
      <c r="N50" s="3685"/>
      <c r="O50" s="3685"/>
      <c r="P50" s="4138" t="s">
        <v>1674</v>
      </c>
      <c r="Q50" s="4135">
        <f>IFERROR('8. Ремонтна програма'!K60/'8. Ремонтна програма'!K$66,0)</f>
        <v>53.682487725040794</v>
      </c>
      <c r="R50" s="4135">
        <f>IFERROR('8. Ремонтна програма'!L60/'8. Ремонтна програма'!L$66,0)</f>
        <v>41.466498103666169</v>
      </c>
      <c r="S50" s="4135">
        <f>IFERROR('8. Ремонтна програма'!M60/'8. Ремонтна програма'!M$66,0)</f>
        <v>37.657864523536105</v>
      </c>
      <c r="T50" s="4135">
        <f>IFERROR('8. Ремонтна програма'!N60/'8. Ремонтна програма'!N$66,0)</f>
        <v>37.657864523536098</v>
      </c>
      <c r="U50" s="4135">
        <f>IFERROR('8. Ремонтна програма'!O60/'8. Ремонтна програма'!O$66,0)</f>
        <v>46.132208157524524</v>
      </c>
      <c r="V50" s="4135">
        <f>IFERROR('8. Ремонтна програма'!P60/'8. Ремонтна програма'!P$66,0)</f>
        <v>0</v>
      </c>
      <c r="W50" s="4136">
        <f t="shared" si="96"/>
        <v>-0.22756005056889977</v>
      </c>
      <c r="X50" s="4136">
        <f t="shared" si="97"/>
        <v>-1</v>
      </c>
      <c r="Y50" s="3685"/>
      <c r="Z50" s="3551"/>
      <c r="AA50" s="3577"/>
      <c r="AB50" s="3577"/>
      <c r="AC50" s="3577"/>
      <c r="AD50" s="3577"/>
      <c r="AE50" s="3577"/>
      <c r="AF50" s="3577"/>
      <c r="AG50" s="3577"/>
      <c r="AH50" s="3685"/>
      <c r="AI50" s="3685"/>
      <c r="AJ50" s="3685"/>
      <c r="AK50" s="3685"/>
      <c r="AL50" s="3685"/>
      <c r="AM50" s="3685"/>
      <c r="AN50" s="3685"/>
    </row>
    <row r="51" spans="1:40" ht="22.5" customHeight="1">
      <c r="A51" s="3685"/>
      <c r="B51" s="4097"/>
      <c r="C51" s="3685"/>
      <c r="D51" s="3685"/>
      <c r="E51" s="3685"/>
      <c r="F51" s="3685"/>
      <c r="G51" s="3685"/>
      <c r="H51" s="3685"/>
      <c r="I51" s="3685"/>
      <c r="J51" s="3685"/>
      <c r="K51" s="4098"/>
      <c r="L51" s="3685"/>
      <c r="M51" s="3685"/>
      <c r="N51" s="3685"/>
      <c r="O51" s="3685"/>
      <c r="P51" s="4138" t="s">
        <v>1675</v>
      </c>
      <c r="Q51" s="4135">
        <f>IFERROR('8. Ремонтна програма'!K61/'8. Ремонтна програма'!K$66,0)</f>
        <v>1.8199672667757731</v>
      </c>
      <c r="R51" s="4135">
        <f>IFERROR('8. Ремонтна програма'!L61/'8. Ремонтна програма'!L$66,0)</f>
        <v>0</v>
      </c>
      <c r="S51" s="4135">
        <f>IFERROR('8. Ремонтна програма'!M61/'8. Ремонтна програма'!M$66,0)</f>
        <v>0</v>
      </c>
      <c r="T51" s="4135">
        <f>IFERROR('8. Ремонтна програма'!N61/'8. Ремонтна програма'!N$66,0)</f>
        <v>0</v>
      </c>
      <c r="U51" s="4135">
        <f>IFERROR('8. Ремонтна програма'!O61/'8. Ремонтна програма'!O$66,0)</f>
        <v>0</v>
      </c>
      <c r="V51" s="4135">
        <f>IFERROR('8. Ремонтна програма'!P61/'8. Ремонтна програма'!P$66,0)</f>
        <v>0</v>
      </c>
      <c r="W51" s="4136">
        <f t="shared" si="96"/>
        <v>-1</v>
      </c>
      <c r="X51" s="4136">
        <f t="shared" si="97"/>
        <v>-1</v>
      </c>
      <c r="Y51" s="3685"/>
      <c r="Z51" s="3551"/>
      <c r="AA51" s="3577"/>
      <c r="AB51" s="3577"/>
      <c r="AC51" s="3577"/>
      <c r="AD51" s="3577"/>
      <c r="AE51" s="3577"/>
      <c r="AF51" s="3577"/>
      <c r="AG51" s="3577"/>
      <c r="AH51" s="3685"/>
      <c r="AI51" s="3685"/>
      <c r="AJ51" s="3685"/>
      <c r="AK51" s="3685"/>
      <c r="AL51" s="3685"/>
      <c r="AM51" s="3685"/>
      <c r="AN51" s="3685"/>
    </row>
    <row r="52" spans="1:40" ht="22.5">
      <c r="A52" s="3685"/>
      <c r="B52" s="4097"/>
      <c r="C52" s="3685"/>
      <c r="D52" s="3685"/>
      <c r="E52" s="3685"/>
      <c r="F52" s="3685"/>
      <c r="G52" s="3685"/>
      <c r="H52" s="3685"/>
      <c r="I52" s="3685"/>
      <c r="J52" s="3685"/>
      <c r="K52" s="4098"/>
      <c r="L52" s="3685"/>
      <c r="M52" s="3685"/>
      <c r="N52" s="3685"/>
      <c r="O52" s="3685"/>
      <c r="P52" s="4138" t="s">
        <v>922</v>
      </c>
      <c r="Q52" s="4135">
        <f>IFERROR('8. Ремонтна програма'!K62/'8. Ремонтна програма'!K$66,0)</f>
        <v>9.4108019639934319</v>
      </c>
      <c r="R52" s="4135">
        <f>IFERROR('8. Ремонтна програма'!L62/'8. Ремонтна програма'!L$66,0)</f>
        <v>8.3438685208596564</v>
      </c>
      <c r="S52" s="4135">
        <f>IFERROR('8. Ремонтна програма'!M62/'8. Ремонтна програма'!M$66,0)</f>
        <v>8.2663605051664621</v>
      </c>
      <c r="T52" s="4135">
        <f>IFERROR('8. Ремонтна програма'!N62/'8. Ремонтна програма'!N$66,0)</f>
        <v>9.4144661308840245</v>
      </c>
      <c r="U52" s="4135">
        <f>IFERROR('8. Ремонтна програма'!O62/'8. Ремонтна програма'!O$66,0)</f>
        <v>12.658227848101241</v>
      </c>
      <c r="V52" s="4135">
        <f>IFERROR('8. Ремонтна програма'!P62/'8. Ремонтна програма'!P$66,0)</f>
        <v>0</v>
      </c>
      <c r="W52" s="4136">
        <f t="shared" si="96"/>
        <v>-0.11337327543560667</v>
      </c>
      <c r="X52" s="4136">
        <f t="shared" si="97"/>
        <v>-1</v>
      </c>
      <c r="Y52" s="3685"/>
      <c r="Z52" s="3551"/>
      <c r="AA52" s="3577"/>
      <c r="AB52" s="3577"/>
      <c r="AC52" s="3577"/>
      <c r="AD52" s="3577"/>
      <c r="AE52" s="3577"/>
      <c r="AF52" s="3577"/>
      <c r="AG52" s="3577"/>
      <c r="AH52" s="3685"/>
      <c r="AI52" s="3685"/>
      <c r="AJ52" s="3685"/>
      <c r="AK52" s="3685"/>
      <c r="AL52" s="3685"/>
      <c r="AM52" s="3685"/>
      <c r="AN52" s="3685"/>
    </row>
    <row r="53" spans="1:40" ht="33.75">
      <c r="A53" s="3685"/>
      <c r="B53" s="4097"/>
      <c r="C53" s="3685"/>
      <c r="D53" s="3685"/>
      <c r="E53" s="3685"/>
      <c r="F53" s="3685"/>
      <c r="G53" s="3685"/>
      <c r="H53" s="3685"/>
      <c r="I53" s="3685"/>
      <c r="J53" s="3685"/>
      <c r="K53" s="4098"/>
      <c r="L53" s="3685"/>
      <c r="M53" s="3685"/>
      <c r="N53" s="3685"/>
      <c r="O53" s="3685"/>
      <c r="P53" s="4138" t="s">
        <v>926</v>
      </c>
      <c r="Q53" s="4135">
        <f>IFERROR('8. Ремонтна програма'!K63/'8. Ремонтна програма'!K$66,0)</f>
        <v>4.9099836333878773E-2</v>
      </c>
      <c r="R53" s="4135">
        <f>IFERROR('8. Ремонтна програма'!L63/'8. Ремонтна програма'!L$66,0)</f>
        <v>3.7377013136920725E-2</v>
      </c>
      <c r="S53" s="4135">
        <f>IFERROR('8. Ремонтна програма'!M63/'8. Ремонтна програма'!M$66,0)</f>
        <v>2.0874647740319351E-2</v>
      </c>
      <c r="T53" s="4135">
        <f>IFERROR('8. Ремонтна програма'!N63/'8. Ремонтна програма'!N$66,0)</f>
        <v>3.1891822936599E-2</v>
      </c>
      <c r="U53" s="4135">
        <f>IFERROR('8. Ремонтна програма'!O63/'8. Ремонтна програма'!O$66,0)</f>
        <v>2.744331240780757E-2</v>
      </c>
      <c r="V53" s="4135">
        <f>IFERROR('8. Ремонтна програма'!P63/'8. Ремонтна програма'!P$66,0)</f>
        <v>0</v>
      </c>
      <c r="W53" s="4136">
        <f t="shared" si="96"/>
        <v>-0.23875483244471279</v>
      </c>
      <c r="X53" s="4136">
        <f t="shared" si="97"/>
        <v>-1</v>
      </c>
      <c r="Y53" s="3685"/>
      <c r="Z53" s="3551"/>
      <c r="AA53" s="3577"/>
      <c r="AB53" s="3577"/>
      <c r="AC53" s="3577"/>
      <c r="AD53" s="3577"/>
      <c r="AE53" s="3577"/>
      <c r="AF53" s="3577"/>
      <c r="AG53" s="3577"/>
      <c r="AH53" s="3685"/>
      <c r="AI53" s="3685"/>
      <c r="AJ53" s="3685"/>
      <c r="AK53" s="3685"/>
      <c r="AL53" s="3685"/>
      <c r="AM53" s="3685"/>
      <c r="AN53" s="3685"/>
    </row>
    <row r="54" spans="1:40" ht="22.5">
      <c r="A54" s="3685"/>
      <c r="B54" s="4097"/>
      <c r="C54" s="3685"/>
      <c r="D54" s="3685"/>
      <c r="E54" s="3685"/>
      <c r="F54" s="3685"/>
      <c r="G54" s="3685"/>
      <c r="H54" s="3685"/>
      <c r="I54" s="3685"/>
      <c r="J54" s="3685"/>
      <c r="K54" s="4098"/>
      <c r="L54" s="3685"/>
      <c r="M54" s="3685"/>
      <c r="N54" s="3685"/>
      <c r="O54" s="3685"/>
      <c r="P54" s="4138" t="s">
        <v>1395</v>
      </c>
      <c r="Q54" s="4135">
        <f>IFERROR('8. Ремонтна програма'!K64/'8. Ремонтна програма'!K$66,0)</f>
        <v>1.8821603927986865</v>
      </c>
      <c r="R54" s="4135">
        <f>IFERROR('8. Ремонтна програма'!L64/'8. Ремонтна програма'!L$66,0)</f>
        <v>1.668773704171931</v>
      </c>
      <c r="S54" s="4135">
        <f>IFERROR('8. Ремонтна програма'!M64/'8. Ремонтна програма'!M$66,0)</f>
        <v>1.6532721010332925</v>
      </c>
      <c r="T54" s="4135">
        <f>IFERROR('8. Ремонтна програма'!N64/'8. Ремонтна програма'!N$66,0)</f>
        <v>1.8828932261768048</v>
      </c>
      <c r="U54" s="4135">
        <f>IFERROR('8. Ремонтна програма'!O64/'8. Ремонтна програма'!O$66,0)</f>
        <v>2.5316455696202484</v>
      </c>
      <c r="V54" s="4135">
        <f>IFERROR('8. Ремонтна програма'!P64/'8. Ремонтна програма'!P$66,0)</f>
        <v>0</v>
      </c>
      <c r="W54" s="4136">
        <f t="shared" si="96"/>
        <v>-0.11337327543560685</v>
      </c>
      <c r="X54" s="4136">
        <f t="shared" si="97"/>
        <v>-1</v>
      </c>
      <c r="Y54" s="3685"/>
      <c r="Z54" s="3551"/>
      <c r="AA54" s="3577"/>
      <c r="AB54" s="3577"/>
      <c r="AC54" s="3577"/>
      <c r="AD54" s="3577"/>
      <c r="AE54" s="3577"/>
      <c r="AF54" s="3577"/>
      <c r="AG54" s="3577"/>
      <c r="AH54" s="3685"/>
      <c r="AI54" s="3685"/>
      <c r="AJ54" s="3685"/>
      <c r="AK54" s="3685"/>
      <c r="AL54" s="3685"/>
      <c r="AM54" s="3685"/>
      <c r="AN54" s="3685"/>
    </row>
    <row r="55" spans="1:40" ht="22.5">
      <c r="A55" s="3685"/>
      <c r="B55" s="4097"/>
      <c r="C55" s="3685"/>
      <c r="D55" s="3685"/>
      <c r="E55" s="3685"/>
      <c r="F55" s="3685"/>
      <c r="G55" s="3685"/>
      <c r="H55" s="3685"/>
      <c r="I55" s="3685"/>
      <c r="J55" s="3685"/>
      <c r="K55" s="4098"/>
      <c r="L55" s="3685"/>
      <c r="M55" s="3685"/>
      <c r="N55" s="3685"/>
      <c r="O55" s="3685"/>
      <c r="P55" s="4138" t="s">
        <v>1670</v>
      </c>
      <c r="Q55" s="4135">
        <f>IFERROR('8. Ремонтна програма'!K65/'8. Ремонтна програма'!K$66,0)</f>
        <v>4.9099836333878773E-2</v>
      </c>
      <c r="R55" s="4135">
        <f>IFERROR('8. Ремонтна програма'!L65/'8. Ремонтна програма'!L$66,0)</f>
        <v>3.7377013136920711E-2</v>
      </c>
      <c r="S55" s="4135">
        <f>IFERROR('8. Ремонтна програма'!M65/'8. Ремонтна програма'!M$66,0)</f>
        <v>2.0874647740319371E-2</v>
      </c>
      <c r="T55" s="4135">
        <f>IFERROR('8. Ремонтна програма'!N65/'8. Ремонтна програма'!N$66,0)</f>
        <v>3.1891822936598972E-2</v>
      </c>
      <c r="U55" s="4135">
        <f>IFERROR('8. Ремонтна програма'!O65/'8. Ремонтна програма'!O$66,0)</f>
        <v>2.7443312407807598E-2</v>
      </c>
      <c r="V55" s="4135">
        <f>IFERROR('8. Ремонтна програма'!P65/'8. Ремонтна програма'!P$66,0)</f>
        <v>0</v>
      </c>
      <c r="W55" s="4136">
        <f t="shared" si="96"/>
        <v>-0.23875483244471307</v>
      </c>
      <c r="X55" s="4136">
        <f t="shared" si="97"/>
        <v>-1</v>
      </c>
      <c r="Y55" s="3685"/>
      <c r="Z55" s="3551"/>
      <c r="AA55" s="3577"/>
      <c r="AB55" s="3577"/>
      <c r="AC55" s="3577"/>
      <c r="AD55" s="3577"/>
      <c r="AE55" s="3577"/>
      <c r="AF55" s="3577"/>
      <c r="AG55" s="3577"/>
      <c r="AH55" s="3685"/>
      <c r="AI55" s="3685"/>
      <c r="AJ55" s="3685"/>
      <c r="AK55" s="3685"/>
      <c r="AL55" s="3685"/>
      <c r="AM55" s="3685"/>
      <c r="AN55" s="3685"/>
    </row>
    <row r="56" spans="1:40">
      <c r="A56" s="3685"/>
      <c r="B56" s="4097"/>
      <c r="C56" s="3685"/>
      <c r="D56" s="3685"/>
      <c r="E56" s="3685"/>
      <c r="F56" s="3685"/>
      <c r="G56" s="3685"/>
      <c r="H56" s="3685"/>
      <c r="I56" s="3685"/>
      <c r="J56" s="3685"/>
      <c r="K56" s="4098"/>
      <c r="L56" s="3685"/>
      <c r="M56" s="3685"/>
      <c r="N56" s="3685"/>
      <c r="O56" s="3685"/>
      <c r="P56" s="3685"/>
      <c r="Q56" s="3685"/>
      <c r="R56" s="3685"/>
      <c r="S56" s="3685"/>
      <c r="T56" s="3685"/>
      <c r="U56" s="3685"/>
      <c r="V56" s="3685"/>
      <c r="W56" s="3685"/>
      <c r="X56" s="3685"/>
      <c r="Y56" s="3685"/>
      <c r="Z56" s="3551"/>
      <c r="AA56" s="3577"/>
      <c r="AB56" s="3577"/>
      <c r="AC56" s="3577"/>
      <c r="AD56" s="3577"/>
      <c r="AE56" s="3577"/>
      <c r="AF56" s="3577"/>
      <c r="AG56" s="3577"/>
      <c r="AH56" s="3685"/>
    </row>
  </sheetData>
  <mergeCells count="53">
    <mergeCell ref="P8:P9"/>
    <mergeCell ref="Q8:V8"/>
    <mergeCell ref="W8:W9"/>
    <mergeCell ref="X8:X9"/>
    <mergeCell ref="P2:P3"/>
    <mergeCell ref="Q2:V2"/>
    <mergeCell ref="W2:W3"/>
    <mergeCell ref="X2:X3"/>
    <mergeCell ref="A2:A3"/>
    <mergeCell ref="B2:B3"/>
    <mergeCell ref="C2:H2"/>
    <mergeCell ref="I2:N2"/>
    <mergeCell ref="A13:A14"/>
    <mergeCell ref="B13:B14"/>
    <mergeCell ref="C13:H13"/>
    <mergeCell ref="I13:N13"/>
    <mergeCell ref="A24:A25"/>
    <mergeCell ref="B24:B25"/>
    <mergeCell ref="C24:H24"/>
    <mergeCell ref="I24:N24"/>
    <mergeCell ref="A35:A36"/>
    <mergeCell ref="B35:B36"/>
    <mergeCell ref="C35:H35"/>
    <mergeCell ref="I35:N35"/>
    <mergeCell ref="AA18:AE18"/>
    <mergeCell ref="Z21:Z22"/>
    <mergeCell ref="AA21:AE21"/>
    <mergeCell ref="AI2:AI3"/>
    <mergeCell ref="AJ2:AJ3"/>
    <mergeCell ref="AI19:AI20"/>
    <mergeCell ref="AJ19:AJ20"/>
    <mergeCell ref="AI6:AN6"/>
    <mergeCell ref="AI8:AN8"/>
    <mergeCell ref="AI14:AN14"/>
    <mergeCell ref="AI16:AN16"/>
    <mergeCell ref="AK19:AL19"/>
    <mergeCell ref="AM19:AQ19"/>
    <mergeCell ref="Z31:Z32"/>
    <mergeCell ref="AA31:AE31"/>
    <mergeCell ref="AK2:AK3"/>
    <mergeCell ref="AL2:AL3"/>
    <mergeCell ref="AM2:AM3"/>
    <mergeCell ref="Z25:Z26"/>
    <mergeCell ref="AA25:AE25"/>
    <mergeCell ref="AI4:AN4"/>
    <mergeCell ref="Z2:Z3"/>
    <mergeCell ref="AA2:AE2"/>
    <mergeCell ref="Z5:Z6"/>
    <mergeCell ref="AA5:AE5"/>
    <mergeCell ref="Z10:Z11"/>
    <mergeCell ref="AA10:AE10"/>
    <mergeCell ref="AN2:AN3"/>
    <mergeCell ref="Z18:Z19"/>
  </mergeCells>
  <conditionalFormatting sqref="Q17:V30">
    <cfRule type="top10" dxfId="3" priority="9" rank="7"/>
  </conditionalFormatting>
  <conditionalFormatting sqref="Q34:V45">
    <cfRule type="top10" dxfId="2" priority="6" rank="7"/>
  </conditionalFormatting>
  <conditionalFormatting sqref="Q47:V55">
    <cfRule type="top10" dxfId="1" priority="3" rank="7"/>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7" id="{A2384BB8-5CD9-496B-860D-680263816071}">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Q17:X30</xm:sqref>
        </x14:conditionalFormatting>
        <x14:conditionalFormatting xmlns:xm="http://schemas.microsoft.com/office/excel/2006/main">
          <x14:cfRule type="iconSet" priority="5" id="{3B33B46F-49AB-4B66-823F-64CA0C418D1F}">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Q34:V45</xm:sqref>
        </x14:conditionalFormatting>
        <x14:conditionalFormatting xmlns:xm="http://schemas.microsoft.com/office/excel/2006/main">
          <x14:cfRule type="iconSet" priority="4" id="{4A1E654C-25EF-438E-A7C9-3A2B5928C4DB}">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W34:X45</xm:sqref>
        </x14:conditionalFormatting>
        <x14:conditionalFormatting xmlns:xm="http://schemas.microsoft.com/office/excel/2006/main">
          <x14:cfRule type="iconSet" priority="2" id="{4B08CA2C-BFA3-4D22-96AA-463DC6F97126}">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Q47:V55</xm:sqref>
        </x14:conditionalFormatting>
        <x14:conditionalFormatting xmlns:xm="http://schemas.microsoft.com/office/excel/2006/main">
          <x14:cfRule type="iconSet" priority="1" id="{A3B06CC4-4385-4742-B14F-086F01E9C3E5}">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W47:X55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26"/>
  </sheetPr>
  <dimension ref="A1:R146"/>
  <sheetViews>
    <sheetView showGridLines="0" view="pageBreakPreview" topLeftCell="A82" zoomScaleNormal="50" zoomScaleSheetLayoutView="100" workbookViewId="0">
      <selection activeCell="E89" sqref="E89:J89"/>
    </sheetView>
  </sheetViews>
  <sheetFormatPr defaultColWidth="9.140625" defaultRowHeight="12.75"/>
  <cols>
    <col min="1" max="1" width="14.140625" style="1810" customWidth="1"/>
    <col min="2" max="2" width="7.28515625" style="1810" customWidth="1"/>
    <col min="3" max="3" width="53.28515625" style="1810" customWidth="1"/>
    <col min="4" max="4" width="6.7109375" style="1811" customWidth="1"/>
    <col min="5" max="10" width="11" style="1811" customWidth="1"/>
    <col min="11" max="11" width="9.7109375" style="1811" customWidth="1"/>
    <col min="12" max="16" width="9.7109375" style="1814" customWidth="1"/>
    <col min="17" max="17" width="22.5703125" style="1811" customWidth="1"/>
    <col min="18" max="18" width="23.7109375" style="1811" customWidth="1"/>
    <col min="19" max="16384" width="9.140625" style="1810"/>
  </cols>
  <sheetData>
    <row r="1" spans="1:18" ht="13.5">
      <c r="E1" s="1812"/>
      <c r="G1" s="1813"/>
      <c r="H1" s="1813"/>
      <c r="I1" s="1813"/>
      <c r="R1" s="4417" t="s">
        <v>0</v>
      </c>
    </row>
    <row r="2" spans="1:18" s="4454" customFormat="1" ht="18.75" customHeight="1">
      <c r="A2" s="5078" t="s">
        <v>1316</v>
      </c>
      <c r="B2" s="5078"/>
      <c r="C2" s="5078"/>
      <c r="D2" s="5078"/>
      <c r="E2" s="5078"/>
      <c r="F2" s="5078"/>
      <c r="G2" s="5078"/>
      <c r="H2" s="5078"/>
      <c r="I2" s="5078"/>
      <c r="J2" s="5078"/>
      <c r="K2" s="5078"/>
      <c r="L2" s="5078"/>
      <c r="M2" s="5078"/>
      <c r="N2" s="5078"/>
      <c r="O2" s="5078"/>
      <c r="P2" s="5078"/>
      <c r="Q2" s="5078"/>
      <c r="R2" s="5078"/>
    </row>
    <row r="3" spans="1:18" s="4454" customFormat="1" ht="18.75" customHeight="1">
      <c r="A3" s="5078" t="s">
        <v>1315</v>
      </c>
      <c r="B3" s="5078"/>
      <c r="C3" s="5078"/>
      <c r="D3" s="5078"/>
      <c r="E3" s="5078"/>
      <c r="F3" s="5078"/>
      <c r="G3" s="5078"/>
      <c r="H3" s="5078"/>
      <c r="I3" s="5078"/>
      <c r="J3" s="5078"/>
      <c r="K3" s="5078"/>
      <c r="L3" s="5078"/>
      <c r="M3" s="5078"/>
      <c r="N3" s="5078"/>
      <c r="O3" s="5078"/>
      <c r="P3" s="5078"/>
      <c r="Q3" s="5078"/>
      <c r="R3" s="5078"/>
    </row>
    <row r="4" spans="1:18" s="4455" customFormat="1" ht="15.75" customHeight="1">
      <c r="A4" s="5079" t="str">
        <f>'1. Обща информация'!A4:D4</f>
        <v>на "Водоснабдяване и канализаиця"ООД, гр. Перник</v>
      </c>
      <c r="B4" s="5079"/>
      <c r="C4" s="5079"/>
      <c r="D4" s="5079"/>
      <c r="E4" s="5079"/>
      <c r="F4" s="5079"/>
      <c r="G4" s="5079"/>
      <c r="H4" s="5079"/>
      <c r="I4" s="5079"/>
      <c r="J4" s="5079"/>
      <c r="K4" s="5079"/>
      <c r="L4" s="5079"/>
      <c r="M4" s="5079"/>
      <c r="N4" s="5079"/>
      <c r="O4" s="5079"/>
      <c r="P4" s="5079"/>
      <c r="Q4" s="5079"/>
      <c r="R4" s="5079"/>
    </row>
    <row r="5" spans="1:18" s="1815" customFormat="1" ht="15.75" customHeight="1">
      <c r="A5" s="5080" t="str">
        <f>'1. Обща информация'!A5:D5</f>
        <v>ЕИК по БУЛСТАТ: 823073638</v>
      </c>
      <c r="B5" s="5080"/>
      <c r="C5" s="5080"/>
      <c r="D5" s="5080"/>
      <c r="E5" s="5080"/>
      <c r="F5" s="5080"/>
      <c r="G5" s="5080"/>
      <c r="H5" s="5080"/>
      <c r="I5" s="5080"/>
      <c r="J5" s="5080"/>
      <c r="K5" s="5080"/>
      <c r="L5" s="5080"/>
      <c r="M5" s="5080"/>
      <c r="N5" s="5080"/>
      <c r="O5" s="5080"/>
      <c r="P5" s="5080"/>
      <c r="Q5" s="5080"/>
      <c r="R5" s="5080"/>
    </row>
    <row r="6" spans="1:18" s="1815" customFormat="1" ht="16.5" thickBot="1">
      <c r="B6" s="4412"/>
      <c r="C6" s="4412"/>
      <c r="D6" s="4412"/>
      <c r="E6" s="4412"/>
      <c r="F6" s="4412"/>
      <c r="G6" s="4412"/>
      <c r="H6" s="4412"/>
      <c r="I6" s="4412"/>
      <c r="J6" s="4412"/>
      <c r="K6" s="4412"/>
      <c r="L6" s="4412"/>
      <c r="M6" s="4412"/>
      <c r="N6" s="4412"/>
      <c r="O6" s="4412"/>
      <c r="P6" s="4412"/>
      <c r="Q6" s="1814"/>
      <c r="R6" s="1814"/>
    </row>
    <row r="7" spans="1:18" ht="30" customHeight="1" thickBot="1">
      <c r="A7" s="5089" t="s">
        <v>856</v>
      </c>
      <c r="B7" s="5096" t="s">
        <v>1</v>
      </c>
      <c r="C7" s="5094" t="s">
        <v>2</v>
      </c>
      <c r="D7" s="5092" t="s">
        <v>754</v>
      </c>
      <c r="E7" s="5085" t="s">
        <v>930</v>
      </c>
      <c r="F7" s="5086"/>
      <c r="G7" s="5086"/>
      <c r="H7" s="5086"/>
      <c r="I7" s="5086"/>
      <c r="J7" s="5087"/>
      <c r="K7" s="5085" t="s">
        <v>844</v>
      </c>
      <c r="L7" s="5086"/>
      <c r="M7" s="5086"/>
      <c r="N7" s="5086"/>
      <c r="O7" s="5086"/>
      <c r="P7" s="5087"/>
      <c r="Q7" s="5083" t="s">
        <v>994</v>
      </c>
      <c r="R7" s="5084"/>
    </row>
    <row r="8" spans="1:18" ht="21" customHeight="1" thickBot="1">
      <c r="A8" s="5090"/>
      <c r="B8" s="5097"/>
      <c r="C8" s="5095"/>
      <c r="D8" s="5093"/>
      <c r="E8" s="361" t="str">
        <f>'Приложение '!C12</f>
        <v>2020 г.</v>
      </c>
      <c r="F8" s="362" t="str">
        <f>'Приложение '!C14</f>
        <v>2022 г.</v>
      </c>
      <c r="G8" s="362" t="str">
        <f>'Приложение '!C15</f>
        <v>2023 г.</v>
      </c>
      <c r="H8" s="362" t="str">
        <f>'Приложение '!C16</f>
        <v>2024 г.</v>
      </c>
      <c r="I8" s="362" t="str">
        <f>'Приложение '!C17</f>
        <v>2025 г.</v>
      </c>
      <c r="J8" s="363" t="str">
        <f>'Приложение '!C18</f>
        <v>2026 г.</v>
      </c>
      <c r="K8" s="361" t="str">
        <f t="shared" ref="K8:Q8" si="0">E8</f>
        <v>2020 г.</v>
      </c>
      <c r="L8" s="362" t="str">
        <f t="shared" si="0"/>
        <v>2022 г.</v>
      </c>
      <c r="M8" s="362" t="str">
        <f t="shared" si="0"/>
        <v>2023 г.</v>
      </c>
      <c r="N8" s="362" t="str">
        <f t="shared" si="0"/>
        <v>2024 г.</v>
      </c>
      <c r="O8" s="362" t="str">
        <f t="shared" si="0"/>
        <v>2025 г.</v>
      </c>
      <c r="P8" s="364" t="str">
        <f t="shared" si="0"/>
        <v>2026 г.</v>
      </c>
      <c r="Q8" s="4415" t="str">
        <f t="shared" si="0"/>
        <v>2020 г.</v>
      </c>
      <c r="R8" s="4416" t="str">
        <f>P8</f>
        <v>2026 г.</v>
      </c>
    </row>
    <row r="9" spans="1:18" ht="16.5" thickBot="1">
      <c r="A9" s="5075" t="s">
        <v>1123</v>
      </c>
      <c r="B9" s="5076"/>
      <c r="C9" s="5076"/>
      <c r="D9" s="5076"/>
      <c r="E9" s="5076"/>
      <c r="F9" s="5076"/>
      <c r="G9" s="5076"/>
      <c r="H9" s="5076"/>
      <c r="I9" s="5076"/>
      <c r="J9" s="5076"/>
      <c r="K9" s="5076"/>
      <c r="L9" s="5076"/>
      <c r="M9" s="5076"/>
      <c r="N9" s="5076"/>
      <c r="O9" s="5076"/>
      <c r="P9" s="5076"/>
      <c r="Q9" s="5076"/>
      <c r="R9" s="5077"/>
    </row>
    <row r="10" spans="1:18" ht="67.5" customHeight="1">
      <c r="A10" s="5069" t="s">
        <v>857</v>
      </c>
      <c r="B10" s="3912" t="s">
        <v>3</v>
      </c>
      <c r="C10" s="1816" t="s">
        <v>1470</v>
      </c>
      <c r="D10" s="529" t="s">
        <v>792</v>
      </c>
      <c r="E10" s="375">
        <f>'4.1. Фактурирани количества'!F13</f>
        <v>117330</v>
      </c>
      <c r="F10" s="1817">
        <f>'4.1. Фактурирани количества'!G13</f>
        <v>114692.11487708034</v>
      </c>
      <c r="G10" s="315">
        <f>'4.1. Фактурирани количества'!H13</f>
        <v>113410.6723156205</v>
      </c>
      <c r="H10" s="315">
        <f>'4.1. Фактурирани количества'!I13</f>
        <v>112141.22975416067</v>
      </c>
      <c r="I10" s="315">
        <f>'4.1. Фактурирани количества'!J13</f>
        <v>111024.78719270084</v>
      </c>
      <c r="J10" s="316">
        <f>'4.1. Фактурирани количества'!K13</f>
        <v>110083.80756948549</v>
      </c>
      <c r="K10" s="87">
        <v>1</v>
      </c>
      <c r="L10" s="84">
        <v>1</v>
      </c>
      <c r="M10" s="84">
        <v>1</v>
      </c>
      <c r="N10" s="84">
        <v>1</v>
      </c>
      <c r="O10" s="84">
        <v>1</v>
      </c>
      <c r="P10" s="80">
        <v>1</v>
      </c>
      <c r="Q10" s="433" t="s">
        <v>2025</v>
      </c>
      <c r="R10" s="634" t="s">
        <v>2006</v>
      </c>
    </row>
    <row r="11" spans="1:18" ht="66" customHeight="1">
      <c r="A11" s="5071"/>
      <c r="B11" s="3913" t="s">
        <v>36</v>
      </c>
      <c r="C11" s="1818" t="s">
        <v>1471</v>
      </c>
      <c r="D11" s="530" t="s">
        <v>792</v>
      </c>
      <c r="E11" s="1007">
        <f>'4.1. Фактурирани количества'!F49</f>
        <v>87431</v>
      </c>
      <c r="F11" s="1819">
        <f>'4.1. Фактурирани количества'!G49</f>
        <v>88409</v>
      </c>
      <c r="G11" s="1820">
        <f>'4.1. Фактурирани количества'!H49</f>
        <v>88932.737353710356</v>
      </c>
      <c r="H11" s="1820">
        <f>'4.1. Фактурирани количества'!I49</f>
        <v>94415.305250292367</v>
      </c>
      <c r="I11" s="1820">
        <f>'4.1. Фактурирани количества'!J49</f>
        <v>93602.873146874379</v>
      </c>
      <c r="J11" s="1821">
        <f>'4.1. Фактурирани количества'!K49</f>
        <v>92962.359994893632</v>
      </c>
      <c r="K11" s="88">
        <v>1</v>
      </c>
      <c r="L11" s="85">
        <v>1</v>
      </c>
      <c r="M11" s="85">
        <v>1</v>
      </c>
      <c r="N11" s="85">
        <v>1</v>
      </c>
      <c r="O11" s="85">
        <v>1</v>
      </c>
      <c r="P11" s="81">
        <v>1</v>
      </c>
      <c r="Q11" s="635" t="s">
        <v>2025</v>
      </c>
      <c r="R11" s="81" t="s">
        <v>2025</v>
      </c>
    </row>
    <row r="12" spans="1:18" ht="71.25" customHeight="1">
      <c r="A12" s="5071"/>
      <c r="B12" s="3913" t="s">
        <v>37</v>
      </c>
      <c r="C12" s="1818" t="s">
        <v>1472</v>
      </c>
      <c r="D12" s="530" t="s">
        <v>792</v>
      </c>
      <c r="E12" s="1007">
        <f>'4.1. Фактурирани количества'!F82</f>
        <v>81261</v>
      </c>
      <c r="F12" s="1819">
        <f>'4.1. Фактурирани количества'!G82</f>
        <v>76414.561738457167</v>
      </c>
      <c r="G12" s="1820">
        <f>'4.1. Фактурирани количества'!H82</f>
        <v>77076.862368628761</v>
      </c>
      <c r="H12" s="1820">
        <f>'4.1. Фактурирани количества'!I82</f>
        <v>94239.993541672011</v>
      </c>
      <c r="I12" s="1820">
        <f>'4.1. Фактурирани количества'!J82</f>
        <v>93356.124714715261</v>
      </c>
      <c r="J12" s="1821">
        <f>'4.1. Фактурирани количества'!K82</f>
        <v>92482.72149179253</v>
      </c>
      <c r="K12" s="88">
        <v>1</v>
      </c>
      <c r="L12" s="85">
        <v>1</v>
      </c>
      <c r="M12" s="85">
        <v>1</v>
      </c>
      <c r="N12" s="85">
        <v>1</v>
      </c>
      <c r="O12" s="85">
        <v>1</v>
      </c>
      <c r="P12" s="81">
        <v>1</v>
      </c>
      <c r="Q12" s="635" t="s">
        <v>2025</v>
      </c>
      <c r="R12" s="81" t="s">
        <v>2025</v>
      </c>
    </row>
    <row r="13" spans="1:18" ht="41.25" customHeight="1" thickBot="1">
      <c r="A13" s="5070"/>
      <c r="B13" s="3914" t="s">
        <v>7</v>
      </c>
      <c r="C13" s="1822" t="s">
        <v>1476</v>
      </c>
      <c r="D13" s="531" t="s">
        <v>792</v>
      </c>
      <c r="E13" s="368">
        <v>119190</v>
      </c>
      <c r="F13" s="206">
        <v>115693.6</v>
      </c>
      <c r="G13" s="206">
        <v>114355.40000000001</v>
      </c>
      <c r="H13" s="206">
        <v>113017.20000000001</v>
      </c>
      <c r="I13" s="206">
        <v>111679</v>
      </c>
      <c r="J13" s="207">
        <v>110356.4</v>
      </c>
      <c r="K13" s="89">
        <v>1</v>
      </c>
      <c r="L13" s="82">
        <v>1</v>
      </c>
      <c r="M13" s="82">
        <v>1</v>
      </c>
      <c r="N13" s="82">
        <v>1</v>
      </c>
      <c r="O13" s="82">
        <v>1</v>
      </c>
      <c r="P13" s="83">
        <v>1</v>
      </c>
      <c r="Q13" s="636" t="s">
        <v>2007</v>
      </c>
      <c r="R13" s="83" t="s">
        <v>2007</v>
      </c>
    </row>
    <row r="14" spans="1:18" ht="51">
      <c r="A14" s="5072" t="s">
        <v>860</v>
      </c>
      <c r="B14" s="3912" t="s">
        <v>35</v>
      </c>
      <c r="C14" s="1823" t="s">
        <v>824</v>
      </c>
      <c r="D14" s="529" t="s">
        <v>792</v>
      </c>
      <c r="E14" s="375">
        <f>'4.1. Фактурирани количества'!F17</f>
        <v>85350</v>
      </c>
      <c r="F14" s="1817">
        <f>'4.1. Фактурирани количества'!G17</f>
        <v>83427.261737440815</v>
      </c>
      <c r="G14" s="315">
        <f>'4.1. Фактурирани количества'!H17</f>
        <v>82482.19695398731</v>
      </c>
      <c r="H14" s="315">
        <f>'4.1. Фактурирани количества'!I17</f>
        <v>81542.349561838157</v>
      </c>
      <c r="I14" s="315">
        <f>'4.1. Фактурирани количества'!J17</f>
        <v>80669.023908819421</v>
      </c>
      <c r="J14" s="316">
        <f>'4.1. Фактурирани количества'!K17</f>
        <v>79876.508599490902</v>
      </c>
      <c r="K14" s="87">
        <v>2</v>
      </c>
      <c r="L14" s="79">
        <v>2</v>
      </c>
      <c r="M14" s="79">
        <v>2</v>
      </c>
      <c r="N14" s="79">
        <v>2</v>
      </c>
      <c r="O14" s="79">
        <v>2</v>
      </c>
      <c r="P14" s="80">
        <v>2</v>
      </c>
      <c r="Q14" s="433" t="s">
        <v>2025</v>
      </c>
      <c r="R14" s="637" t="s">
        <v>2025</v>
      </c>
    </row>
    <row r="15" spans="1:18" ht="51">
      <c r="A15" s="5073"/>
      <c r="B15" s="3913"/>
      <c r="C15" s="1824" t="s">
        <v>858</v>
      </c>
      <c r="D15" s="530" t="s">
        <v>792</v>
      </c>
      <c r="E15" s="1007">
        <f>'4.1. Фактурирани количества'!F53</f>
        <v>46904</v>
      </c>
      <c r="F15" s="1819">
        <f>'4.1. Фактурирани количества'!G53</f>
        <v>45850.543433816587</v>
      </c>
      <c r="G15" s="1820">
        <f>'4.1. Фактурирани количества'!H53</f>
        <v>46156.876586532009</v>
      </c>
      <c r="H15" s="1820">
        <f>'4.1. Фактурирани количества'!I53</f>
        <v>48455.148303440306</v>
      </c>
      <c r="I15" s="1820">
        <f>'4.1. Фактурирани количества'!J53</f>
        <v>48016.463498609468</v>
      </c>
      <c r="J15" s="1821">
        <f>'4.1. Фактурирани количества'!K53</f>
        <v>47653.522233379954</v>
      </c>
      <c r="K15" s="88">
        <v>2</v>
      </c>
      <c r="L15" s="78">
        <v>2</v>
      </c>
      <c r="M15" s="78">
        <v>2</v>
      </c>
      <c r="N15" s="78">
        <v>2</v>
      </c>
      <c r="O15" s="78">
        <v>2</v>
      </c>
      <c r="P15" s="81">
        <v>2</v>
      </c>
      <c r="Q15" s="429" t="s">
        <v>2025</v>
      </c>
      <c r="R15" s="81" t="s">
        <v>2025</v>
      </c>
    </row>
    <row r="16" spans="1:18" ht="51.75" thickBot="1">
      <c r="A16" s="5074"/>
      <c r="B16" s="3914"/>
      <c r="C16" s="1825" t="s">
        <v>859</v>
      </c>
      <c r="D16" s="531" t="s">
        <v>792</v>
      </c>
      <c r="E16" s="376">
        <f>'4.1. Фактурирани количества'!F86</f>
        <v>35683</v>
      </c>
      <c r="F16" s="1826">
        <f>'4.1. Фактурирани количества'!G86</f>
        <v>34876.597989355403</v>
      </c>
      <c r="G16" s="317">
        <f>'4.1. Фактурирани количества'!H86</f>
        <v>35339.396984033097</v>
      </c>
      <c r="H16" s="317">
        <f>'4.1. Фактурирани количества'!I86</f>
        <v>43113.717717841238</v>
      </c>
      <c r="I16" s="317">
        <f>'4.1. Фактурирани количества'!J86</f>
        <v>42710.516712518933</v>
      </c>
      <c r="J16" s="318">
        <f>'4.1. Фактурирани количества'!K86</f>
        <v>42312.01600287974</v>
      </c>
      <c r="K16" s="89">
        <v>2</v>
      </c>
      <c r="L16" s="82">
        <v>2</v>
      </c>
      <c r="M16" s="82">
        <v>2</v>
      </c>
      <c r="N16" s="82">
        <v>2</v>
      </c>
      <c r="O16" s="82">
        <v>2</v>
      </c>
      <c r="P16" s="83">
        <v>2</v>
      </c>
      <c r="Q16" s="638" t="s">
        <v>2006</v>
      </c>
      <c r="R16" s="634" t="s">
        <v>2025</v>
      </c>
    </row>
    <row r="17" spans="1:18" ht="51">
      <c r="A17" s="5069" t="s">
        <v>867</v>
      </c>
      <c r="B17" s="3912"/>
      <c r="C17" s="1823" t="s">
        <v>863</v>
      </c>
      <c r="D17" s="529" t="s">
        <v>792</v>
      </c>
      <c r="E17" s="367">
        <v>125</v>
      </c>
      <c r="F17" s="201">
        <v>125</v>
      </c>
      <c r="G17" s="201">
        <v>125</v>
      </c>
      <c r="H17" s="201">
        <v>125</v>
      </c>
      <c r="I17" s="201">
        <v>125</v>
      </c>
      <c r="J17" s="202">
        <v>125</v>
      </c>
      <c r="K17" s="87">
        <v>1</v>
      </c>
      <c r="L17" s="79">
        <v>1</v>
      </c>
      <c r="M17" s="79">
        <v>1</v>
      </c>
      <c r="N17" s="79">
        <v>1</v>
      </c>
      <c r="O17" s="79">
        <v>1</v>
      </c>
      <c r="P17" s="80">
        <v>1</v>
      </c>
      <c r="Q17" s="433" t="s">
        <v>2025</v>
      </c>
      <c r="R17" s="108" t="s">
        <v>2025</v>
      </c>
    </row>
    <row r="18" spans="1:18" ht="51">
      <c r="A18" s="5071"/>
      <c r="B18" s="3913"/>
      <c r="C18" s="1824" t="s">
        <v>864</v>
      </c>
      <c r="D18" s="530" t="s">
        <v>792</v>
      </c>
      <c r="E18" s="366">
        <v>6</v>
      </c>
      <c r="F18" s="203">
        <v>7</v>
      </c>
      <c r="G18" s="203">
        <v>7</v>
      </c>
      <c r="H18" s="203">
        <v>7</v>
      </c>
      <c r="I18" s="203">
        <v>7</v>
      </c>
      <c r="J18" s="204">
        <v>7</v>
      </c>
      <c r="K18" s="88">
        <v>1</v>
      </c>
      <c r="L18" s="78">
        <v>1</v>
      </c>
      <c r="M18" s="78">
        <v>1</v>
      </c>
      <c r="N18" s="78">
        <v>1</v>
      </c>
      <c r="O18" s="78">
        <v>1</v>
      </c>
      <c r="P18" s="81">
        <v>1</v>
      </c>
      <c r="Q18" s="639" t="s">
        <v>2025</v>
      </c>
      <c r="R18" s="81" t="s">
        <v>2025</v>
      </c>
    </row>
    <row r="19" spans="1:18" ht="51">
      <c r="A19" s="5071"/>
      <c r="B19" s="1827"/>
      <c r="C19" s="1824" t="s">
        <v>865</v>
      </c>
      <c r="D19" s="530" t="s">
        <v>792</v>
      </c>
      <c r="E19" s="366">
        <v>3</v>
      </c>
      <c r="F19" s="203">
        <v>4</v>
      </c>
      <c r="G19" s="203">
        <v>4</v>
      </c>
      <c r="H19" s="203">
        <v>5</v>
      </c>
      <c r="I19" s="203">
        <v>5</v>
      </c>
      <c r="J19" s="204">
        <v>5</v>
      </c>
      <c r="K19" s="88">
        <v>1</v>
      </c>
      <c r="L19" s="78">
        <v>1</v>
      </c>
      <c r="M19" s="78">
        <v>1</v>
      </c>
      <c r="N19" s="78">
        <v>1</v>
      </c>
      <c r="O19" s="78">
        <v>1</v>
      </c>
      <c r="P19" s="81">
        <v>1</v>
      </c>
      <c r="Q19" s="640" t="s">
        <v>2025</v>
      </c>
      <c r="R19" s="81" t="s">
        <v>2025</v>
      </c>
    </row>
    <row r="20" spans="1:18" ht="26.25" thickBot="1">
      <c r="A20" s="5070"/>
      <c r="B20" s="1828"/>
      <c r="C20" s="1825" t="s">
        <v>866</v>
      </c>
      <c r="D20" s="531" t="s">
        <v>792</v>
      </c>
      <c r="E20" s="368">
        <v>171</v>
      </c>
      <c r="F20" s="206">
        <v>171</v>
      </c>
      <c r="G20" s="206">
        <v>171</v>
      </c>
      <c r="H20" s="206">
        <v>171</v>
      </c>
      <c r="I20" s="206">
        <v>171</v>
      </c>
      <c r="J20" s="207">
        <v>171</v>
      </c>
      <c r="K20" s="89">
        <v>1</v>
      </c>
      <c r="L20" s="82">
        <v>1</v>
      </c>
      <c r="M20" s="82">
        <v>1</v>
      </c>
      <c r="N20" s="82">
        <v>1</v>
      </c>
      <c r="O20" s="82">
        <v>1</v>
      </c>
      <c r="P20" s="83">
        <v>1</v>
      </c>
      <c r="Q20" s="638" t="s">
        <v>2008</v>
      </c>
      <c r="R20" s="634" t="s">
        <v>2008</v>
      </c>
    </row>
    <row r="21" spans="1:18">
      <c r="A21" s="5069" t="s">
        <v>868</v>
      </c>
      <c r="B21" s="1829"/>
      <c r="C21" s="1823" t="s">
        <v>1014</v>
      </c>
      <c r="D21" s="529" t="s">
        <v>792</v>
      </c>
      <c r="E21" s="367">
        <v>145</v>
      </c>
      <c r="F21" s="201">
        <v>145</v>
      </c>
      <c r="G21" s="201">
        <v>145</v>
      </c>
      <c r="H21" s="201">
        <v>145</v>
      </c>
      <c r="I21" s="201">
        <v>145</v>
      </c>
      <c r="J21" s="202">
        <v>145</v>
      </c>
      <c r="K21" s="87">
        <v>1</v>
      </c>
      <c r="L21" s="84">
        <v>1</v>
      </c>
      <c r="M21" s="84">
        <v>1</v>
      </c>
      <c r="N21" s="84">
        <v>1</v>
      </c>
      <c r="O21" s="84">
        <v>1</v>
      </c>
      <c r="P21" s="641">
        <v>1</v>
      </c>
      <c r="Q21" s="433" t="s">
        <v>2009</v>
      </c>
      <c r="R21" s="80" t="s">
        <v>2010</v>
      </c>
    </row>
    <row r="22" spans="1:18">
      <c r="A22" s="5071"/>
      <c r="B22" s="1830"/>
      <c r="C22" s="1831" t="s">
        <v>869</v>
      </c>
      <c r="D22" s="532" t="s">
        <v>792</v>
      </c>
      <c r="E22" s="374">
        <v>2</v>
      </c>
      <c r="F22" s="208">
        <v>2</v>
      </c>
      <c r="G22" s="208">
        <v>2</v>
      </c>
      <c r="H22" s="208">
        <v>2</v>
      </c>
      <c r="I22" s="208">
        <v>2</v>
      </c>
      <c r="J22" s="209">
        <v>2</v>
      </c>
      <c r="K22" s="141">
        <v>1</v>
      </c>
      <c r="L22" s="138">
        <v>1</v>
      </c>
      <c r="M22" s="138">
        <v>1</v>
      </c>
      <c r="N22" s="138">
        <v>1</v>
      </c>
      <c r="O22" s="138">
        <v>1</v>
      </c>
      <c r="P22" s="139">
        <v>1</v>
      </c>
      <c r="Q22" s="429" t="s">
        <v>2009</v>
      </c>
      <c r="R22" s="81" t="s">
        <v>2010</v>
      </c>
    </row>
    <row r="23" spans="1:18">
      <c r="A23" s="5071"/>
      <c r="B23" s="1827"/>
      <c r="C23" s="1824" t="s">
        <v>870</v>
      </c>
      <c r="D23" s="530" t="s">
        <v>792</v>
      </c>
      <c r="E23" s="366">
        <v>148</v>
      </c>
      <c r="F23" s="203">
        <v>148</v>
      </c>
      <c r="G23" s="203">
        <v>148</v>
      </c>
      <c r="H23" s="4858">
        <v>151</v>
      </c>
      <c r="I23" s="4858">
        <v>151</v>
      </c>
      <c r="J23" s="4859">
        <v>151</v>
      </c>
      <c r="K23" s="88">
        <v>1</v>
      </c>
      <c r="L23" s="78">
        <v>1</v>
      </c>
      <c r="M23" s="78">
        <v>1</v>
      </c>
      <c r="N23" s="78">
        <v>1</v>
      </c>
      <c r="O23" s="78">
        <v>1</v>
      </c>
      <c r="P23" s="81">
        <v>1</v>
      </c>
      <c r="Q23" s="429" t="s">
        <v>2009</v>
      </c>
      <c r="R23" s="81" t="s">
        <v>2010</v>
      </c>
    </row>
    <row r="24" spans="1:18">
      <c r="A24" s="5071"/>
      <c r="B24" s="1827"/>
      <c r="C24" s="1824" t="s">
        <v>871</v>
      </c>
      <c r="D24" s="530" t="s">
        <v>792</v>
      </c>
      <c r="E24" s="366">
        <v>58</v>
      </c>
      <c r="F24" s="203">
        <v>58</v>
      </c>
      <c r="G24" s="203">
        <v>58</v>
      </c>
      <c r="H24" s="203">
        <v>58</v>
      </c>
      <c r="I24" s="203">
        <v>58</v>
      </c>
      <c r="J24" s="204">
        <v>58</v>
      </c>
      <c r="K24" s="88">
        <v>1</v>
      </c>
      <c r="L24" s="78">
        <v>1</v>
      </c>
      <c r="M24" s="78">
        <v>1</v>
      </c>
      <c r="N24" s="78">
        <v>1</v>
      </c>
      <c r="O24" s="78">
        <v>1</v>
      </c>
      <c r="P24" s="81">
        <v>1</v>
      </c>
      <c r="Q24" s="429" t="s">
        <v>2009</v>
      </c>
      <c r="R24" s="81" t="s">
        <v>2010</v>
      </c>
    </row>
    <row r="25" spans="1:18" ht="51">
      <c r="A25" s="5071"/>
      <c r="B25" s="1832" t="s">
        <v>33</v>
      </c>
      <c r="C25" s="1818" t="s">
        <v>822</v>
      </c>
      <c r="D25" s="530" t="s">
        <v>820</v>
      </c>
      <c r="E25" s="366">
        <v>1481.721</v>
      </c>
      <c r="F25" s="832">
        <v>1483.261</v>
      </c>
      <c r="G25" s="431">
        <v>1484.8009999999999</v>
      </c>
      <c r="H25" s="210">
        <v>1484.8009999999999</v>
      </c>
      <c r="I25" s="203">
        <v>1484.8009999999999</v>
      </c>
      <c r="J25" s="211">
        <v>1484.8009999999999</v>
      </c>
      <c r="K25" s="88">
        <v>2</v>
      </c>
      <c r="L25" s="78">
        <v>2</v>
      </c>
      <c r="M25" s="78">
        <v>2</v>
      </c>
      <c r="N25" s="78">
        <v>2</v>
      </c>
      <c r="O25" s="78">
        <v>2</v>
      </c>
      <c r="P25" s="81">
        <v>2</v>
      </c>
      <c r="Q25" s="429" t="s">
        <v>2026</v>
      </c>
      <c r="R25" s="81" t="s">
        <v>2010</v>
      </c>
    </row>
    <row r="26" spans="1:18" ht="76.5">
      <c r="A26" s="5071"/>
      <c r="B26" s="1827" t="s">
        <v>31</v>
      </c>
      <c r="C26" s="1824" t="s">
        <v>918</v>
      </c>
      <c r="D26" s="530" t="s">
        <v>820</v>
      </c>
      <c r="E26" s="366">
        <v>1481.721</v>
      </c>
      <c r="F26" s="833">
        <v>1483.261</v>
      </c>
      <c r="G26" s="203">
        <v>1484.8009999999999</v>
      </c>
      <c r="H26" s="431">
        <v>1484.8009999999999</v>
      </c>
      <c r="I26" s="210">
        <v>1484.8009999999999</v>
      </c>
      <c r="J26" s="204">
        <v>1484.8009999999999</v>
      </c>
      <c r="K26" s="88">
        <v>2</v>
      </c>
      <c r="L26" s="78">
        <v>2</v>
      </c>
      <c r="M26" s="78">
        <v>2</v>
      </c>
      <c r="N26" s="78">
        <v>2</v>
      </c>
      <c r="O26" s="78">
        <v>2</v>
      </c>
      <c r="P26" s="81">
        <v>2</v>
      </c>
      <c r="Q26" s="138" t="s">
        <v>2020</v>
      </c>
      <c r="R26" s="81" t="s">
        <v>2010</v>
      </c>
    </row>
    <row r="27" spans="1:18" ht="25.5">
      <c r="A27" s="5071"/>
      <c r="B27" s="3913" t="s">
        <v>751</v>
      </c>
      <c r="C27" s="1833" t="s">
        <v>823</v>
      </c>
      <c r="D27" s="530" t="s">
        <v>792</v>
      </c>
      <c r="E27" s="366">
        <v>139</v>
      </c>
      <c r="F27" s="203">
        <v>139</v>
      </c>
      <c r="G27" s="203">
        <v>139</v>
      </c>
      <c r="H27" s="203">
        <v>139</v>
      </c>
      <c r="I27" s="203">
        <v>139</v>
      </c>
      <c r="J27" s="204">
        <v>139</v>
      </c>
      <c r="K27" s="88">
        <v>2</v>
      </c>
      <c r="L27" s="78">
        <v>2</v>
      </c>
      <c r="M27" s="78">
        <v>2</v>
      </c>
      <c r="N27" s="78">
        <v>2</v>
      </c>
      <c r="O27" s="78">
        <v>2</v>
      </c>
      <c r="P27" s="81">
        <v>2</v>
      </c>
      <c r="Q27" s="78" t="s">
        <v>2020</v>
      </c>
      <c r="R27" s="81" t="s">
        <v>2010</v>
      </c>
    </row>
    <row r="28" spans="1:18" ht="38.25">
      <c r="A28" s="5071"/>
      <c r="B28" s="3913" t="s">
        <v>82</v>
      </c>
      <c r="C28" s="1818" t="s">
        <v>907</v>
      </c>
      <c r="D28" s="530" t="s">
        <v>792</v>
      </c>
      <c r="E28" s="366">
        <v>60260</v>
      </c>
      <c r="F28" s="210">
        <v>60267</v>
      </c>
      <c r="G28" s="203">
        <v>60272</v>
      </c>
      <c r="H28" s="203">
        <v>60279</v>
      </c>
      <c r="I28" s="203">
        <v>60290</v>
      </c>
      <c r="J28" s="211">
        <v>60304</v>
      </c>
      <c r="K28" s="88">
        <v>2</v>
      </c>
      <c r="L28" s="78">
        <v>2</v>
      </c>
      <c r="M28" s="78">
        <v>2</v>
      </c>
      <c r="N28" s="78">
        <v>2</v>
      </c>
      <c r="O28" s="78">
        <v>2</v>
      </c>
      <c r="P28" s="81">
        <v>2</v>
      </c>
      <c r="Q28" s="78" t="s">
        <v>2024</v>
      </c>
      <c r="R28" s="81" t="s">
        <v>2010</v>
      </c>
    </row>
    <row r="29" spans="1:18" ht="38.25">
      <c r="A29" s="5071"/>
      <c r="B29" s="3913" t="s">
        <v>851</v>
      </c>
      <c r="C29" s="1818" t="s">
        <v>852</v>
      </c>
      <c r="D29" s="530" t="s">
        <v>792</v>
      </c>
      <c r="E29" s="366">
        <v>60260</v>
      </c>
      <c r="F29" s="203">
        <v>60267</v>
      </c>
      <c r="G29" s="203">
        <v>60272</v>
      </c>
      <c r="H29" s="203">
        <v>60279</v>
      </c>
      <c r="I29" s="203">
        <v>60290</v>
      </c>
      <c r="J29" s="204">
        <v>60304</v>
      </c>
      <c r="K29" s="88">
        <v>2</v>
      </c>
      <c r="L29" s="78">
        <v>2</v>
      </c>
      <c r="M29" s="78">
        <v>2</v>
      </c>
      <c r="N29" s="78">
        <v>2</v>
      </c>
      <c r="O29" s="78">
        <v>2</v>
      </c>
      <c r="P29" s="81">
        <v>2</v>
      </c>
      <c r="Q29" s="78" t="s">
        <v>2024</v>
      </c>
      <c r="R29" s="81" t="s">
        <v>2010</v>
      </c>
    </row>
    <row r="30" spans="1:18" ht="18.75" customHeight="1">
      <c r="A30" s="5071"/>
      <c r="B30" s="3913" t="s">
        <v>84</v>
      </c>
      <c r="C30" s="1818" t="s">
        <v>906</v>
      </c>
      <c r="D30" s="530" t="s">
        <v>792</v>
      </c>
      <c r="E30" s="366">
        <v>15051</v>
      </c>
      <c r="F30" s="203">
        <v>16167</v>
      </c>
      <c r="G30" s="203">
        <v>17284</v>
      </c>
      <c r="H30" s="203">
        <v>17289</v>
      </c>
      <c r="I30" s="203">
        <v>17296</v>
      </c>
      <c r="J30" s="203">
        <v>17306</v>
      </c>
      <c r="K30" s="88">
        <v>2</v>
      </c>
      <c r="L30" s="78">
        <v>2</v>
      </c>
      <c r="M30" s="78">
        <v>2</v>
      </c>
      <c r="N30" s="78">
        <v>2</v>
      </c>
      <c r="O30" s="78">
        <v>2</v>
      </c>
      <c r="P30" s="81">
        <v>2</v>
      </c>
      <c r="Q30" s="429" t="s">
        <v>2024</v>
      </c>
      <c r="R30" s="81" t="s">
        <v>2010</v>
      </c>
    </row>
    <row r="31" spans="1:18" ht="25.5">
      <c r="A31" s="5071"/>
      <c r="B31" s="3913" t="s">
        <v>42</v>
      </c>
      <c r="C31" s="1818" t="s">
        <v>831</v>
      </c>
      <c r="D31" s="530" t="s">
        <v>830</v>
      </c>
      <c r="E31" s="366">
        <v>305.69</v>
      </c>
      <c r="F31" s="203">
        <v>323.65350000000001</v>
      </c>
      <c r="G31" s="203">
        <v>341.61700000000002</v>
      </c>
      <c r="H31" s="203">
        <v>341.61700000000002</v>
      </c>
      <c r="I31" s="203">
        <v>341.61700000000002</v>
      </c>
      <c r="J31" s="203">
        <v>341.61700000000002</v>
      </c>
      <c r="K31" s="88">
        <v>2</v>
      </c>
      <c r="L31" s="78">
        <v>2</v>
      </c>
      <c r="M31" s="78">
        <v>2</v>
      </c>
      <c r="N31" s="78">
        <v>2</v>
      </c>
      <c r="O31" s="78">
        <v>2</v>
      </c>
      <c r="P31" s="81">
        <v>2</v>
      </c>
      <c r="Q31" s="429" t="s">
        <v>2020</v>
      </c>
      <c r="R31" s="81" t="s">
        <v>2010</v>
      </c>
    </row>
    <row r="32" spans="1:18" ht="16.5" customHeight="1">
      <c r="A32" s="5071"/>
      <c r="B32" s="1827"/>
      <c r="C32" s="1824" t="s">
        <v>872</v>
      </c>
      <c r="D32" s="530" t="s">
        <v>792</v>
      </c>
      <c r="E32" s="366">
        <v>0</v>
      </c>
      <c r="F32" s="832">
        <v>0</v>
      </c>
      <c r="G32" s="203">
        <v>0</v>
      </c>
      <c r="H32" s="431">
        <v>2</v>
      </c>
      <c r="I32" s="210">
        <v>2</v>
      </c>
      <c r="J32" s="204">
        <v>2</v>
      </c>
      <c r="K32" s="88">
        <v>1</v>
      </c>
      <c r="L32" s="78">
        <v>1</v>
      </c>
      <c r="M32" s="78">
        <v>1</v>
      </c>
      <c r="N32" s="78">
        <v>1</v>
      </c>
      <c r="O32" s="78">
        <v>1</v>
      </c>
      <c r="P32" s="81">
        <v>1</v>
      </c>
      <c r="Q32" s="432" t="s">
        <v>2020</v>
      </c>
      <c r="R32" s="109" t="s">
        <v>2010</v>
      </c>
    </row>
    <row r="33" spans="1:18" ht="26.25" thickBot="1">
      <c r="A33" s="5070"/>
      <c r="B33" s="1828"/>
      <c r="C33" s="1825" t="s">
        <v>873</v>
      </c>
      <c r="D33" s="531" t="s">
        <v>792</v>
      </c>
      <c r="E33" s="368">
        <v>2</v>
      </c>
      <c r="F33" s="206">
        <v>3</v>
      </c>
      <c r="G33" s="206">
        <v>3</v>
      </c>
      <c r="H33" s="206">
        <v>3</v>
      </c>
      <c r="I33" s="206">
        <v>3</v>
      </c>
      <c r="J33" s="206">
        <v>3</v>
      </c>
      <c r="K33" s="89">
        <v>1</v>
      </c>
      <c r="L33" s="82">
        <v>1</v>
      </c>
      <c r="M33" s="82">
        <v>1</v>
      </c>
      <c r="N33" s="82">
        <v>1</v>
      </c>
      <c r="O33" s="82">
        <v>1</v>
      </c>
      <c r="P33" s="83">
        <v>1</v>
      </c>
      <c r="Q33" s="640" t="s">
        <v>2020</v>
      </c>
      <c r="R33" s="83" t="s">
        <v>2010</v>
      </c>
    </row>
    <row r="34" spans="1:18" ht="51">
      <c r="A34" s="5069" t="s">
        <v>861</v>
      </c>
      <c r="B34" s="1834" t="s">
        <v>8</v>
      </c>
      <c r="C34" s="1835" t="s">
        <v>793</v>
      </c>
      <c r="D34" s="529" t="s">
        <v>792</v>
      </c>
      <c r="E34" s="533">
        <f>SUM(E35:E38)</f>
        <v>975</v>
      </c>
      <c r="F34" s="534">
        <f t="shared" ref="F34:J34" si="1">SUM(F35:F38)</f>
        <v>891</v>
      </c>
      <c r="G34" s="534">
        <f t="shared" si="1"/>
        <v>891</v>
      </c>
      <c r="H34" s="534">
        <f t="shared" si="1"/>
        <v>891</v>
      </c>
      <c r="I34" s="534">
        <f t="shared" si="1"/>
        <v>891</v>
      </c>
      <c r="J34" s="535">
        <f t="shared" si="1"/>
        <v>891</v>
      </c>
      <c r="K34" s="533">
        <f t="shared" ref="K34:P34" si="2">IFERROR(AVERAGE(K35,K36,K37,K38),0)</f>
        <v>1</v>
      </c>
      <c r="L34" s="1836">
        <f t="shared" si="2"/>
        <v>1</v>
      </c>
      <c r="M34" s="534">
        <f t="shared" si="2"/>
        <v>1</v>
      </c>
      <c r="N34" s="1837">
        <f t="shared" si="2"/>
        <v>1</v>
      </c>
      <c r="O34" s="1838">
        <f t="shared" si="2"/>
        <v>1</v>
      </c>
      <c r="P34" s="535">
        <f t="shared" si="2"/>
        <v>1</v>
      </c>
      <c r="Q34" s="433" t="s">
        <v>2011</v>
      </c>
      <c r="R34" s="139" t="s">
        <v>2011</v>
      </c>
    </row>
    <row r="35" spans="1:18" ht="50.1" customHeight="1">
      <c r="A35" s="5071"/>
      <c r="B35" s="1827" t="s">
        <v>9</v>
      </c>
      <c r="C35" s="1824" t="s">
        <v>794</v>
      </c>
      <c r="D35" s="530" t="s">
        <v>792</v>
      </c>
      <c r="E35" s="366">
        <v>776</v>
      </c>
      <c r="F35" s="203">
        <v>728</v>
      </c>
      <c r="G35" s="203">
        <v>728</v>
      </c>
      <c r="H35" s="203">
        <v>728</v>
      </c>
      <c r="I35" s="203">
        <v>728</v>
      </c>
      <c r="J35" s="203">
        <v>728</v>
      </c>
      <c r="K35" s="88">
        <v>1</v>
      </c>
      <c r="L35" s="78">
        <v>1</v>
      </c>
      <c r="M35" s="78">
        <v>1</v>
      </c>
      <c r="N35" s="78">
        <v>1</v>
      </c>
      <c r="O35" s="78">
        <v>1</v>
      </c>
      <c r="P35" s="81">
        <v>1</v>
      </c>
      <c r="Q35" s="78" t="s">
        <v>2011</v>
      </c>
      <c r="R35" s="81" t="s">
        <v>2011</v>
      </c>
    </row>
    <row r="36" spans="1:18" ht="50.1" customHeight="1">
      <c r="A36" s="5071"/>
      <c r="B36" s="1827" t="s">
        <v>10</v>
      </c>
      <c r="C36" s="1824" t="s">
        <v>795</v>
      </c>
      <c r="D36" s="530" t="s">
        <v>792</v>
      </c>
      <c r="E36" s="366">
        <v>89</v>
      </c>
      <c r="F36" s="203">
        <v>84</v>
      </c>
      <c r="G36" s="203">
        <v>84</v>
      </c>
      <c r="H36" s="203">
        <v>84</v>
      </c>
      <c r="I36" s="203">
        <v>84</v>
      </c>
      <c r="J36" s="203">
        <v>84</v>
      </c>
      <c r="K36" s="88">
        <v>1</v>
      </c>
      <c r="L36" s="78">
        <v>1</v>
      </c>
      <c r="M36" s="78">
        <v>1</v>
      </c>
      <c r="N36" s="78">
        <v>1</v>
      </c>
      <c r="O36" s="78">
        <v>1</v>
      </c>
      <c r="P36" s="81">
        <v>1</v>
      </c>
      <c r="Q36" s="78" t="s">
        <v>2011</v>
      </c>
      <c r="R36" s="81" t="s">
        <v>2011</v>
      </c>
    </row>
    <row r="37" spans="1:18" ht="50.1" customHeight="1">
      <c r="A37" s="5071"/>
      <c r="B37" s="1827" t="s">
        <v>11</v>
      </c>
      <c r="C37" s="1824" t="s">
        <v>796</v>
      </c>
      <c r="D37" s="530" t="s">
        <v>792</v>
      </c>
      <c r="E37" s="366">
        <v>92</v>
      </c>
      <c r="F37" s="203">
        <v>63</v>
      </c>
      <c r="G37" s="203">
        <v>63</v>
      </c>
      <c r="H37" s="203">
        <v>63</v>
      </c>
      <c r="I37" s="203">
        <v>63</v>
      </c>
      <c r="J37" s="203">
        <v>63</v>
      </c>
      <c r="K37" s="88">
        <v>1</v>
      </c>
      <c r="L37" s="78">
        <v>1</v>
      </c>
      <c r="M37" s="78">
        <v>1</v>
      </c>
      <c r="N37" s="78">
        <v>1</v>
      </c>
      <c r="O37" s="78">
        <v>1</v>
      </c>
      <c r="P37" s="81">
        <v>1</v>
      </c>
      <c r="Q37" s="78" t="s">
        <v>2011</v>
      </c>
      <c r="R37" s="81" t="s">
        <v>2011</v>
      </c>
    </row>
    <row r="38" spans="1:18" ht="50.1" customHeight="1">
      <c r="A38" s="5071"/>
      <c r="B38" s="1827" t="s">
        <v>12</v>
      </c>
      <c r="C38" s="1824" t="s">
        <v>797</v>
      </c>
      <c r="D38" s="530" t="s">
        <v>792</v>
      </c>
      <c r="E38" s="366">
        <v>18</v>
      </c>
      <c r="F38" s="203">
        <v>16</v>
      </c>
      <c r="G38" s="203">
        <v>16</v>
      </c>
      <c r="H38" s="203">
        <v>16</v>
      </c>
      <c r="I38" s="203">
        <v>16</v>
      </c>
      <c r="J38" s="204">
        <v>16</v>
      </c>
      <c r="K38" s="88">
        <v>1</v>
      </c>
      <c r="L38" s="78">
        <v>1</v>
      </c>
      <c r="M38" s="78">
        <v>1</v>
      </c>
      <c r="N38" s="78">
        <v>1</v>
      </c>
      <c r="O38" s="78">
        <v>1</v>
      </c>
      <c r="P38" s="81">
        <v>1</v>
      </c>
      <c r="Q38" s="78" t="s">
        <v>2011</v>
      </c>
      <c r="R38" s="81" t="s">
        <v>2011</v>
      </c>
    </row>
    <row r="39" spans="1:18" ht="51">
      <c r="A39" s="5071"/>
      <c r="B39" s="1839" t="s">
        <v>13</v>
      </c>
      <c r="C39" s="1840" t="s">
        <v>798</v>
      </c>
      <c r="D39" s="530" t="s">
        <v>792</v>
      </c>
      <c r="E39" s="536">
        <f>SUM(E40:E43)</f>
        <v>975</v>
      </c>
      <c r="F39" s="537">
        <f t="shared" ref="F39:J39" si="3">SUM(F40:F43)</f>
        <v>891</v>
      </c>
      <c r="G39" s="537">
        <f t="shared" si="3"/>
        <v>891</v>
      </c>
      <c r="H39" s="537">
        <f t="shared" si="3"/>
        <v>891</v>
      </c>
      <c r="I39" s="537">
        <f t="shared" si="3"/>
        <v>891</v>
      </c>
      <c r="J39" s="538">
        <f t="shared" si="3"/>
        <v>891</v>
      </c>
      <c r="K39" s="536">
        <f t="shared" ref="K39:P39" si="4">IFERROR(AVERAGE(K40,K41,K42,K43),0)</f>
        <v>1</v>
      </c>
      <c r="L39" s="1841">
        <f t="shared" si="4"/>
        <v>1</v>
      </c>
      <c r="M39" s="1842">
        <f t="shared" si="4"/>
        <v>1</v>
      </c>
      <c r="N39" s="1842">
        <f t="shared" si="4"/>
        <v>1</v>
      </c>
      <c r="O39" s="1842">
        <f t="shared" si="4"/>
        <v>1</v>
      </c>
      <c r="P39" s="538">
        <f t="shared" si="4"/>
        <v>1</v>
      </c>
      <c r="Q39" s="78" t="s">
        <v>2011</v>
      </c>
      <c r="R39" s="81" t="s">
        <v>2011</v>
      </c>
    </row>
    <row r="40" spans="1:18" ht="50.1" customHeight="1">
      <c r="A40" s="5071"/>
      <c r="B40" s="1827" t="s">
        <v>14</v>
      </c>
      <c r="C40" s="1824" t="s">
        <v>799</v>
      </c>
      <c r="D40" s="530" t="s">
        <v>792</v>
      </c>
      <c r="E40" s="366">
        <v>776</v>
      </c>
      <c r="F40" s="203">
        <v>728</v>
      </c>
      <c r="G40" s="203">
        <v>728</v>
      </c>
      <c r="H40" s="203">
        <v>728</v>
      </c>
      <c r="I40" s="203">
        <v>728</v>
      </c>
      <c r="J40" s="204">
        <v>728</v>
      </c>
      <c r="K40" s="88">
        <v>1</v>
      </c>
      <c r="L40" s="78">
        <v>1</v>
      </c>
      <c r="M40" s="78">
        <v>1</v>
      </c>
      <c r="N40" s="78">
        <v>1</v>
      </c>
      <c r="O40" s="78">
        <v>1</v>
      </c>
      <c r="P40" s="81">
        <v>1</v>
      </c>
      <c r="Q40" s="78" t="s">
        <v>2011</v>
      </c>
      <c r="R40" s="81" t="s">
        <v>2011</v>
      </c>
    </row>
    <row r="41" spans="1:18" ht="50.1" customHeight="1">
      <c r="A41" s="5071"/>
      <c r="B41" s="1827" t="s">
        <v>15</v>
      </c>
      <c r="C41" s="1824" t="s">
        <v>800</v>
      </c>
      <c r="D41" s="530" t="s">
        <v>792</v>
      </c>
      <c r="E41" s="366">
        <v>89</v>
      </c>
      <c r="F41" s="203">
        <v>84</v>
      </c>
      <c r="G41" s="203">
        <v>84</v>
      </c>
      <c r="H41" s="203">
        <v>84</v>
      </c>
      <c r="I41" s="203">
        <v>84</v>
      </c>
      <c r="J41" s="204">
        <v>84</v>
      </c>
      <c r="K41" s="88">
        <v>1</v>
      </c>
      <c r="L41" s="78">
        <v>1</v>
      </c>
      <c r="M41" s="78">
        <v>1</v>
      </c>
      <c r="N41" s="78">
        <v>1</v>
      </c>
      <c r="O41" s="78">
        <v>1</v>
      </c>
      <c r="P41" s="81">
        <v>1</v>
      </c>
      <c r="Q41" s="78" t="s">
        <v>2011</v>
      </c>
      <c r="R41" s="81" t="s">
        <v>2011</v>
      </c>
    </row>
    <row r="42" spans="1:18" ht="50.1" customHeight="1">
      <c r="A42" s="5071"/>
      <c r="B42" s="1827" t="s">
        <v>16</v>
      </c>
      <c r="C42" s="1824" t="s">
        <v>801</v>
      </c>
      <c r="D42" s="530" t="s">
        <v>792</v>
      </c>
      <c r="E42" s="366">
        <v>92</v>
      </c>
      <c r="F42" s="203">
        <v>63</v>
      </c>
      <c r="G42" s="203">
        <v>63</v>
      </c>
      <c r="H42" s="203">
        <v>63</v>
      </c>
      <c r="I42" s="203">
        <v>63</v>
      </c>
      <c r="J42" s="204">
        <v>63</v>
      </c>
      <c r="K42" s="88">
        <v>1</v>
      </c>
      <c r="L42" s="78">
        <v>1</v>
      </c>
      <c r="M42" s="78">
        <v>1</v>
      </c>
      <c r="N42" s="78">
        <v>1</v>
      </c>
      <c r="O42" s="78">
        <v>1</v>
      </c>
      <c r="P42" s="81">
        <v>1</v>
      </c>
      <c r="Q42" s="78" t="s">
        <v>2011</v>
      </c>
      <c r="R42" s="81" t="s">
        <v>2011</v>
      </c>
    </row>
    <row r="43" spans="1:18" ht="50.1" customHeight="1" thickBot="1">
      <c r="A43" s="5070"/>
      <c r="B43" s="1828" t="s">
        <v>17</v>
      </c>
      <c r="C43" s="1825" t="s">
        <v>802</v>
      </c>
      <c r="D43" s="531" t="s">
        <v>792</v>
      </c>
      <c r="E43" s="368">
        <v>18</v>
      </c>
      <c r="F43" s="206">
        <v>16</v>
      </c>
      <c r="G43" s="206">
        <v>16</v>
      </c>
      <c r="H43" s="206">
        <v>16</v>
      </c>
      <c r="I43" s="206">
        <v>16</v>
      </c>
      <c r="J43" s="207">
        <v>16</v>
      </c>
      <c r="K43" s="89">
        <v>1</v>
      </c>
      <c r="L43" s="82">
        <v>1</v>
      </c>
      <c r="M43" s="82">
        <v>1</v>
      </c>
      <c r="N43" s="82">
        <v>1</v>
      </c>
      <c r="O43" s="82">
        <v>1</v>
      </c>
      <c r="P43" s="83">
        <v>1</v>
      </c>
      <c r="Q43" s="638" t="s">
        <v>2011</v>
      </c>
      <c r="R43" s="83" t="s">
        <v>2011</v>
      </c>
    </row>
    <row r="44" spans="1:18" ht="51">
      <c r="A44" s="5072" t="s">
        <v>862</v>
      </c>
      <c r="B44" s="1834" t="s">
        <v>18</v>
      </c>
      <c r="C44" s="1835" t="s">
        <v>803</v>
      </c>
      <c r="D44" s="529" t="s">
        <v>792</v>
      </c>
      <c r="E44" s="533">
        <f>SUM(E45:E48)</f>
        <v>4067</v>
      </c>
      <c r="F44" s="534">
        <f t="shared" ref="F44:J44" si="5">SUM(F45:F48)</f>
        <v>3998</v>
      </c>
      <c r="G44" s="534">
        <f t="shared" si="5"/>
        <v>3193</v>
      </c>
      <c r="H44" s="534">
        <f t="shared" si="5"/>
        <v>3983</v>
      </c>
      <c r="I44" s="534">
        <f t="shared" si="5"/>
        <v>3193</v>
      </c>
      <c r="J44" s="535">
        <f t="shared" si="5"/>
        <v>3984</v>
      </c>
      <c r="K44" s="533">
        <f t="shared" ref="K44:P44" si="6">IFERROR(AVERAGE(K45,K46,K47,K48),0)</f>
        <v>1</v>
      </c>
      <c r="L44" s="1836">
        <f t="shared" si="6"/>
        <v>1</v>
      </c>
      <c r="M44" s="1838">
        <f t="shared" si="6"/>
        <v>1</v>
      </c>
      <c r="N44" s="534">
        <f t="shared" si="6"/>
        <v>1</v>
      </c>
      <c r="O44" s="534">
        <f t="shared" si="6"/>
        <v>1</v>
      </c>
      <c r="P44" s="1843">
        <f t="shared" si="6"/>
        <v>1</v>
      </c>
      <c r="Q44" s="138" t="s">
        <v>2011</v>
      </c>
      <c r="R44" s="139" t="s">
        <v>2011</v>
      </c>
    </row>
    <row r="45" spans="1:18" ht="50.1" customHeight="1">
      <c r="A45" s="5073"/>
      <c r="B45" s="1827" t="s">
        <v>19</v>
      </c>
      <c r="C45" s="1824" t="s">
        <v>804</v>
      </c>
      <c r="D45" s="530" t="s">
        <v>792</v>
      </c>
      <c r="E45" s="366">
        <v>2809</v>
      </c>
      <c r="F45" s="203">
        <v>2829</v>
      </c>
      <c r="G45" s="203">
        <v>2374</v>
      </c>
      <c r="H45" s="203">
        <v>2830</v>
      </c>
      <c r="I45" s="203">
        <v>2374</v>
      </c>
      <c r="J45" s="203">
        <v>2830</v>
      </c>
      <c r="K45" s="88">
        <v>1</v>
      </c>
      <c r="L45" s="85">
        <v>1</v>
      </c>
      <c r="M45" s="85">
        <v>1</v>
      </c>
      <c r="N45" s="85">
        <v>1</v>
      </c>
      <c r="O45" s="85">
        <v>1</v>
      </c>
      <c r="P45" s="109">
        <v>1</v>
      </c>
      <c r="Q45" s="85" t="s">
        <v>2011</v>
      </c>
      <c r="R45" s="81" t="s">
        <v>2011</v>
      </c>
    </row>
    <row r="46" spans="1:18" ht="50.1" customHeight="1">
      <c r="A46" s="5073"/>
      <c r="B46" s="1827" t="s">
        <v>20</v>
      </c>
      <c r="C46" s="1824" t="s">
        <v>805</v>
      </c>
      <c r="D46" s="530" t="s">
        <v>792</v>
      </c>
      <c r="E46" s="366">
        <v>341</v>
      </c>
      <c r="F46" s="203">
        <v>346</v>
      </c>
      <c r="G46" s="203">
        <v>282</v>
      </c>
      <c r="H46" s="203">
        <v>346</v>
      </c>
      <c r="I46" s="203">
        <v>282</v>
      </c>
      <c r="J46" s="204">
        <v>347</v>
      </c>
      <c r="K46" s="88">
        <v>1</v>
      </c>
      <c r="L46" s="85">
        <v>1</v>
      </c>
      <c r="M46" s="85">
        <v>1</v>
      </c>
      <c r="N46" s="85">
        <v>1</v>
      </c>
      <c r="O46" s="85">
        <v>1</v>
      </c>
      <c r="P46" s="109">
        <v>1</v>
      </c>
      <c r="Q46" s="85" t="s">
        <v>2011</v>
      </c>
      <c r="R46" s="81" t="s">
        <v>2011</v>
      </c>
    </row>
    <row r="47" spans="1:18" ht="50.1" customHeight="1">
      <c r="A47" s="5073"/>
      <c r="B47" s="1827" t="s">
        <v>21</v>
      </c>
      <c r="C47" s="1824" t="s">
        <v>806</v>
      </c>
      <c r="D47" s="530" t="s">
        <v>792</v>
      </c>
      <c r="E47" s="366">
        <v>772</v>
      </c>
      <c r="F47" s="203">
        <v>693</v>
      </c>
      <c r="G47" s="203">
        <v>423</v>
      </c>
      <c r="H47" s="203">
        <v>693</v>
      </c>
      <c r="I47" s="203">
        <v>423</v>
      </c>
      <c r="J47" s="203">
        <v>693</v>
      </c>
      <c r="K47" s="88">
        <v>1</v>
      </c>
      <c r="L47" s="85">
        <v>1</v>
      </c>
      <c r="M47" s="85">
        <v>1</v>
      </c>
      <c r="N47" s="85">
        <v>1</v>
      </c>
      <c r="O47" s="85">
        <v>1</v>
      </c>
      <c r="P47" s="109">
        <v>1</v>
      </c>
      <c r="Q47" s="85" t="s">
        <v>2011</v>
      </c>
      <c r="R47" s="81" t="s">
        <v>2011</v>
      </c>
    </row>
    <row r="48" spans="1:18" ht="50.1" customHeight="1">
      <c r="A48" s="5073"/>
      <c r="B48" s="1827" t="s">
        <v>22</v>
      </c>
      <c r="C48" s="1824" t="s">
        <v>807</v>
      </c>
      <c r="D48" s="530" t="s">
        <v>792</v>
      </c>
      <c r="E48" s="366">
        <v>145</v>
      </c>
      <c r="F48" s="203">
        <v>130</v>
      </c>
      <c r="G48" s="203">
        <v>114</v>
      </c>
      <c r="H48" s="203">
        <v>114</v>
      </c>
      <c r="I48" s="203">
        <v>114</v>
      </c>
      <c r="J48" s="204">
        <v>114</v>
      </c>
      <c r="K48" s="88">
        <v>1</v>
      </c>
      <c r="L48" s="85">
        <v>1</v>
      </c>
      <c r="M48" s="85">
        <v>1</v>
      </c>
      <c r="N48" s="85">
        <v>1</v>
      </c>
      <c r="O48" s="85">
        <v>1</v>
      </c>
      <c r="P48" s="109">
        <v>1</v>
      </c>
      <c r="Q48" s="85" t="s">
        <v>2011</v>
      </c>
      <c r="R48" s="81" t="s">
        <v>2011</v>
      </c>
    </row>
    <row r="49" spans="1:18" ht="51">
      <c r="A49" s="5073"/>
      <c r="B49" s="1839" t="s">
        <v>23</v>
      </c>
      <c r="C49" s="1840" t="s">
        <v>808</v>
      </c>
      <c r="D49" s="530" t="s">
        <v>792</v>
      </c>
      <c r="E49" s="536">
        <f>SUM(E50:E53)</f>
        <v>4074</v>
      </c>
      <c r="F49" s="537">
        <f t="shared" ref="F49:J49" si="7">SUM(F50:F53)</f>
        <v>4005</v>
      </c>
      <c r="G49" s="537">
        <f t="shared" si="7"/>
        <v>3198</v>
      </c>
      <c r="H49" s="537">
        <f t="shared" si="7"/>
        <v>3989</v>
      </c>
      <c r="I49" s="537">
        <f t="shared" si="7"/>
        <v>3197</v>
      </c>
      <c r="J49" s="538">
        <f t="shared" si="7"/>
        <v>3989</v>
      </c>
      <c r="K49" s="536">
        <f t="shared" ref="K49:P49" si="8">IFERROR(AVERAGE(K50,K51,K52,K53),0)</f>
        <v>1</v>
      </c>
      <c r="L49" s="1841">
        <f t="shared" si="8"/>
        <v>1</v>
      </c>
      <c r="M49" s="1842">
        <f t="shared" si="8"/>
        <v>1</v>
      </c>
      <c r="N49" s="1842">
        <f t="shared" si="8"/>
        <v>1</v>
      </c>
      <c r="O49" s="1842">
        <f t="shared" si="8"/>
        <v>1</v>
      </c>
      <c r="P49" s="538">
        <f t="shared" si="8"/>
        <v>1</v>
      </c>
      <c r="Q49" s="78" t="s">
        <v>2011</v>
      </c>
      <c r="R49" s="81" t="s">
        <v>2011</v>
      </c>
    </row>
    <row r="50" spans="1:18" ht="50.1" customHeight="1">
      <c r="A50" s="5073"/>
      <c r="B50" s="1827" t="s">
        <v>24</v>
      </c>
      <c r="C50" s="1824" t="s">
        <v>809</v>
      </c>
      <c r="D50" s="530" t="s">
        <v>792</v>
      </c>
      <c r="E50" s="366">
        <v>2813</v>
      </c>
      <c r="F50" s="203">
        <v>2833</v>
      </c>
      <c r="G50" s="203">
        <v>2377</v>
      </c>
      <c r="H50" s="203">
        <v>2833</v>
      </c>
      <c r="I50" s="203">
        <v>2376</v>
      </c>
      <c r="J50" s="203">
        <v>2833</v>
      </c>
      <c r="K50" s="88">
        <v>1</v>
      </c>
      <c r="L50" s="78">
        <v>1</v>
      </c>
      <c r="M50" s="78">
        <v>1</v>
      </c>
      <c r="N50" s="78">
        <v>1</v>
      </c>
      <c r="O50" s="78">
        <v>1</v>
      </c>
      <c r="P50" s="81">
        <v>1</v>
      </c>
      <c r="Q50" s="78" t="s">
        <v>2011</v>
      </c>
      <c r="R50" s="81" t="s">
        <v>2011</v>
      </c>
    </row>
    <row r="51" spans="1:18" ht="50.1" customHeight="1">
      <c r="A51" s="5073"/>
      <c r="B51" s="1827" t="s">
        <v>25</v>
      </c>
      <c r="C51" s="1824" t="s">
        <v>810</v>
      </c>
      <c r="D51" s="530" t="s">
        <v>792</v>
      </c>
      <c r="E51" s="366">
        <v>344</v>
      </c>
      <c r="F51" s="203">
        <v>349</v>
      </c>
      <c r="G51" s="203">
        <v>284</v>
      </c>
      <c r="H51" s="203">
        <v>349</v>
      </c>
      <c r="I51" s="203">
        <v>284</v>
      </c>
      <c r="J51" s="203">
        <v>349</v>
      </c>
      <c r="K51" s="88">
        <v>1</v>
      </c>
      <c r="L51" s="78">
        <v>1</v>
      </c>
      <c r="M51" s="78">
        <v>1</v>
      </c>
      <c r="N51" s="78">
        <v>1</v>
      </c>
      <c r="O51" s="78">
        <v>1</v>
      </c>
      <c r="P51" s="81">
        <v>1</v>
      </c>
      <c r="Q51" s="78" t="s">
        <v>2011</v>
      </c>
      <c r="R51" s="81" t="s">
        <v>2011</v>
      </c>
    </row>
    <row r="52" spans="1:18" ht="50.1" customHeight="1">
      <c r="A52" s="5073"/>
      <c r="B52" s="1827" t="s">
        <v>26</v>
      </c>
      <c r="C52" s="1824" t="s">
        <v>811</v>
      </c>
      <c r="D52" s="530" t="s">
        <v>792</v>
      </c>
      <c r="E52" s="366">
        <v>772</v>
      </c>
      <c r="F52" s="203">
        <v>693</v>
      </c>
      <c r="G52" s="203">
        <v>423</v>
      </c>
      <c r="H52" s="203">
        <v>693</v>
      </c>
      <c r="I52" s="203">
        <v>423</v>
      </c>
      <c r="J52" s="203">
        <v>693</v>
      </c>
      <c r="K52" s="88">
        <v>1</v>
      </c>
      <c r="L52" s="78">
        <v>1</v>
      </c>
      <c r="M52" s="78">
        <v>1</v>
      </c>
      <c r="N52" s="78">
        <v>1</v>
      </c>
      <c r="O52" s="78">
        <v>1</v>
      </c>
      <c r="P52" s="81">
        <v>1</v>
      </c>
      <c r="Q52" s="78" t="s">
        <v>2011</v>
      </c>
      <c r="R52" s="81" t="s">
        <v>2011</v>
      </c>
    </row>
    <row r="53" spans="1:18" ht="50.1" customHeight="1" thickBot="1">
      <c r="A53" s="5074"/>
      <c r="B53" s="1828" t="s">
        <v>27</v>
      </c>
      <c r="C53" s="1825" t="s">
        <v>812</v>
      </c>
      <c r="D53" s="531" t="s">
        <v>792</v>
      </c>
      <c r="E53" s="368">
        <v>145</v>
      </c>
      <c r="F53" s="206">
        <v>130</v>
      </c>
      <c r="G53" s="206">
        <v>114</v>
      </c>
      <c r="H53" s="206">
        <v>114</v>
      </c>
      <c r="I53" s="206">
        <v>114</v>
      </c>
      <c r="J53" s="207">
        <v>114</v>
      </c>
      <c r="K53" s="88">
        <v>1</v>
      </c>
      <c r="L53" s="82">
        <v>1</v>
      </c>
      <c r="M53" s="82">
        <v>1</v>
      </c>
      <c r="N53" s="82">
        <v>1</v>
      </c>
      <c r="O53" s="82">
        <v>1</v>
      </c>
      <c r="P53" s="83">
        <v>1</v>
      </c>
      <c r="Q53" s="78" t="s">
        <v>2011</v>
      </c>
      <c r="R53" s="81" t="s">
        <v>2011</v>
      </c>
    </row>
    <row r="54" spans="1:18" ht="38.25">
      <c r="A54" s="5069" t="s">
        <v>908</v>
      </c>
      <c r="B54" s="1829" t="s">
        <v>28</v>
      </c>
      <c r="C54" s="1823" t="s">
        <v>813</v>
      </c>
      <c r="D54" s="529" t="s">
        <v>792</v>
      </c>
      <c r="E54" s="367">
        <v>92</v>
      </c>
      <c r="F54" s="201">
        <v>92</v>
      </c>
      <c r="G54" s="201">
        <v>92</v>
      </c>
      <c r="H54" s="201">
        <v>92</v>
      </c>
      <c r="I54" s="201">
        <v>92</v>
      </c>
      <c r="J54" s="202">
        <v>92</v>
      </c>
      <c r="K54" s="87">
        <v>1</v>
      </c>
      <c r="L54" s="79">
        <v>1</v>
      </c>
      <c r="M54" s="79">
        <v>1</v>
      </c>
      <c r="N54" s="79">
        <v>1</v>
      </c>
      <c r="O54" s="79">
        <v>1</v>
      </c>
      <c r="P54" s="80">
        <v>1</v>
      </c>
      <c r="Q54" s="433" t="s">
        <v>2011</v>
      </c>
      <c r="R54" s="80" t="s">
        <v>2011</v>
      </c>
    </row>
    <row r="55" spans="1:18" ht="39" thickBot="1">
      <c r="A55" s="5070"/>
      <c r="B55" s="1828" t="s">
        <v>29</v>
      </c>
      <c r="C55" s="1825" t="s">
        <v>814</v>
      </c>
      <c r="D55" s="531" t="s">
        <v>792</v>
      </c>
      <c r="E55" s="368">
        <v>92</v>
      </c>
      <c r="F55" s="206">
        <v>92</v>
      </c>
      <c r="G55" s="206">
        <v>92</v>
      </c>
      <c r="H55" s="206">
        <v>92</v>
      </c>
      <c r="I55" s="206">
        <v>92</v>
      </c>
      <c r="J55" s="207">
        <v>92</v>
      </c>
      <c r="K55" s="89">
        <v>1</v>
      </c>
      <c r="L55" s="82">
        <v>1</v>
      </c>
      <c r="M55" s="82">
        <v>1</v>
      </c>
      <c r="N55" s="82">
        <v>1</v>
      </c>
      <c r="O55" s="82">
        <v>1</v>
      </c>
      <c r="P55" s="83">
        <v>1</v>
      </c>
      <c r="Q55" s="430" t="s">
        <v>2011</v>
      </c>
      <c r="R55" s="633" t="s">
        <v>2011</v>
      </c>
    </row>
    <row r="56" spans="1:18" ht="38.25">
      <c r="A56" s="5069" t="s">
        <v>875</v>
      </c>
      <c r="B56" s="1844" t="s">
        <v>38</v>
      </c>
      <c r="C56" s="1816" t="s">
        <v>826</v>
      </c>
      <c r="D56" s="529" t="s">
        <v>792</v>
      </c>
      <c r="E56" s="367">
        <v>54</v>
      </c>
      <c r="F56" s="201">
        <v>66</v>
      </c>
      <c r="G56" s="201">
        <v>66</v>
      </c>
      <c r="H56" s="201">
        <v>66</v>
      </c>
      <c r="I56" s="201">
        <v>66</v>
      </c>
      <c r="J56" s="202">
        <v>66</v>
      </c>
      <c r="K56" s="87">
        <v>1</v>
      </c>
      <c r="L56" s="79">
        <v>1</v>
      </c>
      <c r="M56" s="79">
        <v>1</v>
      </c>
      <c r="N56" s="79">
        <v>1</v>
      </c>
      <c r="O56" s="79">
        <v>1</v>
      </c>
      <c r="P56" s="80">
        <v>1</v>
      </c>
      <c r="Q56" s="428" t="s">
        <v>2011</v>
      </c>
      <c r="R56" s="80" t="s">
        <v>2011</v>
      </c>
    </row>
    <row r="57" spans="1:18" ht="39" thickBot="1">
      <c r="A57" s="5070"/>
      <c r="B57" s="1845" t="s">
        <v>335</v>
      </c>
      <c r="C57" s="1822" t="s">
        <v>825</v>
      </c>
      <c r="D57" s="531" t="s">
        <v>792</v>
      </c>
      <c r="E57" s="368">
        <v>54</v>
      </c>
      <c r="F57" s="206">
        <v>66</v>
      </c>
      <c r="G57" s="206">
        <v>66</v>
      </c>
      <c r="H57" s="206">
        <v>66</v>
      </c>
      <c r="I57" s="206">
        <v>66</v>
      </c>
      <c r="J57" s="207">
        <v>66</v>
      </c>
      <c r="K57" s="89">
        <v>1</v>
      </c>
      <c r="L57" s="82">
        <v>1</v>
      </c>
      <c r="M57" s="82">
        <v>1</v>
      </c>
      <c r="N57" s="82">
        <v>1</v>
      </c>
      <c r="O57" s="82">
        <v>1</v>
      </c>
      <c r="P57" s="83">
        <v>1</v>
      </c>
      <c r="Q57" s="434" t="s">
        <v>2011</v>
      </c>
      <c r="R57" s="633" t="s">
        <v>2011</v>
      </c>
    </row>
    <row r="58" spans="1:18" ht="51">
      <c r="A58" s="5069" t="s">
        <v>874</v>
      </c>
      <c r="B58" s="1829" t="s">
        <v>30</v>
      </c>
      <c r="C58" s="1823" t="s">
        <v>815</v>
      </c>
      <c r="D58" s="529" t="s">
        <v>816</v>
      </c>
      <c r="E58" s="367">
        <v>3981061</v>
      </c>
      <c r="F58" s="201">
        <v>20281755.974964477</v>
      </c>
      <c r="G58" s="201">
        <v>15985627.328254107</v>
      </c>
      <c r="H58" s="201">
        <v>12242667.815705061</v>
      </c>
      <c r="I58" s="201">
        <v>9030038.1911410354</v>
      </c>
      <c r="J58" s="202">
        <v>7640554</v>
      </c>
      <c r="K58" s="87">
        <v>2</v>
      </c>
      <c r="L58" s="79">
        <v>2</v>
      </c>
      <c r="M58" s="79">
        <v>2</v>
      </c>
      <c r="N58" s="79">
        <v>2</v>
      </c>
      <c r="O58" s="79">
        <v>2</v>
      </c>
      <c r="P58" s="80">
        <v>2</v>
      </c>
      <c r="Q58" s="642" t="s">
        <v>2012</v>
      </c>
      <c r="R58" s="80" t="s">
        <v>2012</v>
      </c>
    </row>
    <row r="59" spans="1:18" ht="38.25">
      <c r="A59" s="5071"/>
      <c r="B59" s="3913" t="s">
        <v>32</v>
      </c>
      <c r="C59" s="1818" t="s">
        <v>821</v>
      </c>
      <c r="D59" s="530" t="s">
        <v>792</v>
      </c>
      <c r="E59" s="366">
        <v>2837</v>
      </c>
      <c r="F59" s="203">
        <v>2563</v>
      </c>
      <c r="G59" s="203">
        <v>2289</v>
      </c>
      <c r="H59" s="203">
        <v>2013</v>
      </c>
      <c r="I59" s="203">
        <v>1741</v>
      </c>
      <c r="J59" s="204">
        <v>1470</v>
      </c>
      <c r="K59" s="88">
        <v>1</v>
      </c>
      <c r="L59" s="78">
        <v>1</v>
      </c>
      <c r="M59" s="78">
        <v>1</v>
      </c>
      <c r="N59" s="78">
        <v>1</v>
      </c>
      <c r="O59" s="78">
        <v>1</v>
      </c>
      <c r="P59" s="81">
        <v>1</v>
      </c>
      <c r="Q59" s="432" t="s">
        <v>2012</v>
      </c>
      <c r="R59" s="81" t="s">
        <v>2012</v>
      </c>
    </row>
    <row r="60" spans="1:18" ht="38.25">
      <c r="A60" s="5071"/>
      <c r="B60" s="3913" t="s">
        <v>39</v>
      </c>
      <c r="C60" s="1824" t="s">
        <v>827</v>
      </c>
      <c r="D60" s="530" t="s">
        <v>792</v>
      </c>
      <c r="E60" s="1007">
        <f>'8. Ремонтна програма'!D48</f>
        <v>707</v>
      </c>
      <c r="F60" s="1846">
        <f>'8. Ремонтна програма'!E48</f>
        <v>727</v>
      </c>
      <c r="G60" s="1847">
        <f>'8. Ремонтна програма'!F48</f>
        <v>721</v>
      </c>
      <c r="H60" s="1847">
        <f>'8. Ремонтна програма'!G48</f>
        <v>721</v>
      </c>
      <c r="I60" s="1847">
        <f>'8. Ремонтна програма'!H48</f>
        <v>701</v>
      </c>
      <c r="J60" s="1821">
        <f>'8. Ремонтна програма'!I48</f>
        <v>660</v>
      </c>
      <c r="K60" s="88">
        <v>2</v>
      </c>
      <c r="L60" s="78">
        <v>2</v>
      </c>
      <c r="M60" s="78">
        <v>2</v>
      </c>
      <c r="N60" s="78">
        <v>2</v>
      </c>
      <c r="O60" s="78">
        <v>2</v>
      </c>
      <c r="P60" s="81">
        <v>2</v>
      </c>
      <c r="Q60" s="432" t="s">
        <v>2012</v>
      </c>
      <c r="R60" s="81" t="s">
        <v>2012</v>
      </c>
    </row>
    <row r="61" spans="1:18" ht="38.25">
      <c r="A61" s="5071"/>
      <c r="B61" s="3913" t="s">
        <v>40</v>
      </c>
      <c r="C61" s="1824" t="s">
        <v>829</v>
      </c>
      <c r="D61" s="530" t="s">
        <v>792</v>
      </c>
      <c r="E61" s="1007">
        <f>'8. Ремонтна програма'!D49</f>
        <v>129</v>
      </c>
      <c r="F61" s="1846">
        <f>'8. Ремонтна програма'!E49</f>
        <v>109</v>
      </c>
      <c r="G61" s="1847">
        <f>'8. Ремонтна програма'!F49</f>
        <v>109</v>
      </c>
      <c r="H61" s="1847">
        <f>'8. Ремонтна програма'!G49</f>
        <v>109</v>
      </c>
      <c r="I61" s="1847">
        <f>'8. Ремонтна програма'!H49</f>
        <v>109</v>
      </c>
      <c r="J61" s="1821">
        <f>'8. Ремонтна програма'!I49</f>
        <v>109</v>
      </c>
      <c r="K61" s="88">
        <v>2</v>
      </c>
      <c r="L61" s="78">
        <v>2</v>
      </c>
      <c r="M61" s="78">
        <v>2</v>
      </c>
      <c r="N61" s="78">
        <v>2</v>
      </c>
      <c r="O61" s="78">
        <v>2</v>
      </c>
      <c r="P61" s="81">
        <v>2</v>
      </c>
      <c r="Q61" s="432" t="s">
        <v>2012</v>
      </c>
      <c r="R61" s="81" t="s">
        <v>2012</v>
      </c>
    </row>
    <row r="62" spans="1:18" ht="39" thickBot="1">
      <c r="A62" s="5070"/>
      <c r="B62" s="1828" t="s">
        <v>41</v>
      </c>
      <c r="C62" s="1825" t="s">
        <v>828</v>
      </c>
      <c r="D62" s="531" t="s">
        <v>792</v>
      </c>
      <c r="E62" s="368">
        <v>10</v>
      </c>
      <c r="F62" s="206">
        <v>4</v>
      </c>
      <c r="G62" s="206">
        <v>2</v>
      </c>
      <c r="H62" s="206">
        <v>0</v>
      </c>
      <c r="I62" s="206">
        <v>0</v>
      </c>
      <c r="J62" s="207">
        <v>0</v>
      </c>
      <c r="K62" s="89">
        <v>2</v>
      </c>
      <c r="L62" s="82">
        <v>2</v>
      </c>
      <c r="M62" s="82">
        <v>2</v>
      </c>
      <c r="N62" s="82">
        <v>2</v>
      </c>
      <c r="O62" s="82">
        <v>2</v>
      </c>
      <c r="P62" s="83">
        <v>2</v>
      </c>
      <c r="Q62" s="138" t="s">
        <v>2012</v>
      </c>
      <c r="R62" s="139" t="s">
        <v>2012</v>
      </c>
    </row>
    <row r="63" spans="1:18" ht="63.75">
      <c r="A63" s="5069" t="s">
        <v>879</v>
      </c>
      <c r="B63" s="1829" t="s">
        <v>44</v>
      </c>
      <c r="C63" s="1823" t="s">
        <v>817</v>
      </c>
      <c r="D63" s="529" t="s">
        <v>1052</v>
      </c>
      <c r="E63" s="369">
        <f>'4. Отчет и прогн. потребление'!D9</f>
        <v>26840866.98</v>
      </c>
      <c r="F63" s="309">
        <f>'4. Отчет и прогн. потребление'!E9</f>
        <v>22574258.29352463</v>
      </c>
      <c r="G63" s="309">
        <f>'4. Отчет и прогн. потребление'!F9</f>
        <v>16090453.515435454</v>
      </c>
      <c r="H63" s="309">
        <f>'4. Отчет и прогн. потребление'!G9</f>
        <v>13347149.172197709</v>
      </c>
      <c r="I63" s="309">
        <f>'4. Отчет и прогн. потребление'!H9</f>
        <v>11713844.828960024</v>
      </c>
      <c r="J63" s="310">
        <f>'4. Отчет и прогн. потребление'!I9</f>
        <v>10606612.383868609</v>
      </c>
      <c r="K63" s="108">
        <v>1</v>
      </c>
      <c r="L63" s="79">
        <v>1</v>
      </c>
      <c r="M63" s="79">
        <v>1</v>
      </c>
      <c r="N63" s="79">
        <v>1</v>
      </c>
      <c r="O63" s="79">
        <v>1</v>
      </c>
      <c r="P63" s="80">
        <v>1</v>
      </c>
      <c r="Q63" s="433" t="s">
        <v>2013</v>
      </c>
      <c r="R63" s="80" t="s">
        <v>2021</v>
      </c>
    </row>
    <row r="64" spans="1:18" ht="51">
      <c r="A64" s="5071"/>
      <c r="B64" s="1832" t="s">
        <v>790</v>
      </c>
      <c r="C64" s="1824" t="s">
        <v>819</v>
      </c>
      <c r="D64" s="530" t="s">
        <v>1052</v>
      </c>
      <c r="E64" s="370">
        <f>'4. Отчет и прогн. потребление'!D20</f>
        <v>5203167</v>
      </c>
      <c r="F64" s="313">
        <f>'4. Отчет и прогн. потребление'!E20</f>
        <v>5622674.666666667</v>
      </c>
      <c r="G64" s="313">
        <f>'4. Отчет и прогн. потребление'!F20</f>
        <v>5599116.7078386834</v>
      </c>
      <c r="H64" s="313">
        <f>'4. Отчет и прогн. потребление'!G20</f>
        <v>5536584.7838621326</v>
      </c>
      <c r="I64" s="313">
        <f>'4. Отчет и прогн. потребление'!H20</f>
        <v>5480754.2598855821</v>
      </c>
      <c r="J64" s="314">
        <f>'4. Отчет и прогн. потребление'!I20</f>
        <v>5443689.8026957856</v>
      </c>
      <c r="K64" s="109">
        <v>1</v>
      </c>
      <c r="L64" s="78">
        <v>1</v>
      </c>
      <c r="M64" s="78">
        <v>1</v>
      </c>
      <c r="N64" s="78">
        <v>1</v>
      </c>
      <c r="O64" s="78">
        <v>1</v>
      </c>
      <c r="P64" s="81">
        <v>1</v>
      </c>
      <c r="Q64" s="432" t="s">
        <v>2024</v>
      </c>
      <c r="R64" s="81" t="s">
        <v>2024</v>
      </c>
    </row>
    <row r="65" spans="1:18" ht="89.25">
      <c r="A65" s="5071"/>
      <c r="B65" s="1832" t="s">
        <v>791</v>
      </c>
      <c r="C65" s="1824" t="s">
        <v>818</v>
      </c>
      <c r="D65" s="530" t="s">
        <v>1052</v>
      </c>
      <c r="E65" s="371">
        <f>'4. Отчет и прогн. потребление'!D43</f>
        <v>21637699.980000004</v>
      </c>
      <c r="F65" s="313">
        <f>'4. Отчет и прогн. потребление'!E43</f>
        <v>16951583.626857962</v>
      </c>
      <c r="G65" s="313">
        <f>'4. Отчет и прогн. потребление'!F43</f>
        <v>10491336.807596769</v>
      </c>
      <c r="H65" s="313">
        <f>'4. Отчет и прогн. потребление'!G43</f>
        <v>7810564.3883355763</v>
      </c>
      <c r="I65" s="313">
        <f>'4. Отчет и прогн. потребление'!H43</f>
        <v>6233090.5690744407</v>
      </c>
      <c r="J65" s="314">
        <f>'4. Отчет и прогн. потребление'!I43</f>
        <v>5162922.581172823</v>
      </c>
      <c r="K65" s="109">
        <v>2</v>
      </c>
      <c r="L65" s="78">
        <v>2</v>
      </c>
      <c r="M65" s="78">
        <v>2</v>
      </c>
      <c r="N65" s="78">
        <v>2</v>
      </c>
      <c r="O65" s="78">
        <v>2</v>
      </c>
      <c r="P65" s="81">
        <v>2</v>
      </c>
      <c r="Q65" s="432" t="s">
        <v>2022</v>
      </c>
      <c r="R65" s="81" t="s">
        <v>2014</v>
      </c>
    </row>
    <row r="66" spans="1:18" ht="26.25" thickBot="1">
      <c r="A66" s="5071"/>
      <c r="B66" s="1848" t="s">
        <v>46</v>
      </c>
      <c r="C66" s="1849" t="s">
        <v>834</v>
      </c>
      <c r="D66" s="539" t="s">
        <v>1052</v>
      </c>
      <c r="E66" s="368">
        <v>9043783</v>
      </c>
      <c r="F66" s="206">
        <v>10449044</v>
      </c>
      <c r="G66" s="206">
        <v>10377606</v>
      </c>
      <c r="H66" s="206">
        <v>10256166</v>
      </c>
      <c r="I66" s="206">
        <v>10134727</v>
      </c>
      <c r="J66" s="207">
        <v>10014702</v>
      </c>
      <c r="K66" s="140">
        <v>2</v>
      </c>
      <c r="L66" s="145">
        <v>2</v>
      </c>
      <c r="M66" s="145">
        <v>2</v>
      </c>
      <c r="N66" s="145">
        <v>2</v>
      </c>
      <c r="O66" s="145">
        <v>2</v>
      </c>
      <c r="P66" s="83">
        <v>2</v>
      </c>
      <c r="Q66" s="638" t="s">
        <v>2014</v>
      </c>
      <c r="R66" s="83" t="s">
        <v>2014</v>
      </c>
    </row>
    <row r="67" spans="1:18" ht="38.25">
      <c r="A67" s="5072" t="s">
        <v>913</v>
      </c>
      <c r="B67" s="1850"/>
      <c r="C67" s="1816" t="s">
        <v>909</v>
      </c>
      <c r="D67" s="529" t="s">
        <v>792</v>
      </c>
      <c r="E67" s="367">
        <v>23</v>
      </c>
      <c r="F67" s="201">
        <v>64</v>
      </c>
      <c r="G67" s="201">
        <v>95</v>
      </c>
      <c r="H67" s="201">
        <v>125</v>
      </c>
      <c r="I67" s="201">
        <v>145</v>
      </c>
      <c r="J67" s="202">
        <v>145</v>
      </c>
      <c r="K67" s="87">
        <v>1</v>
      </c>
      <c r="L67" s="79">
        <v>1</v>
      </c>
      <c r="M67" s="79">
        <v>1</v>
      </c>
      <c r="N67" s="79">
        <v>1</v>
      </c>
      <c r="O67" s="79">
        <v>1</v>
      </c>
      <c r="P67" s="143">
        <v>1</v>
      </c>
      <c r="Q67" s="433" t="s">
        <v>2015</v>
      </c>
      <c r="R67" s="80" t="s">
        <v>2015</v>
      </c>
    </row>
    <row r="68" spans="1:18" ht="76.5">
      <c r="A68" s="5073"/>
      <c r="B68" s="1851"/>
      <c r="C68" s="1818" t="s">
        <v>997</v>
      </c>
      <c r="D68" s="530" t="s">
        <v>174</v>
      </c>
      <c r="E68" s="372">
        <v>0.78</v>
      </c>
      <c r="F68" s="213">
        <v>0.84</v>
      </c>
      <c r="G68" s="213">
        <v>0.96</v>
      </c>
      <c r="H68" s="213">
        <v>0.98</v>
      </c>
      <c r="I68" s="213">
        <v>1</v>
      </c>
      <c r="J68" s="214">
        <v>1</v>
      </c>
      <c r="K68" s="88">
        <v>1</v>
      </c>
      <c r="L68" s="78">
        <v>1</v>
      </c>
      <c r="M68" s="78">
        <v>1</v>
      </c>
      <c r="N68" s="78">
        <v>1</v>
      </c>
      <c r="O68" s="78">
        <v>1</v>
      </c>
      <c r="P68" s="144">
        <v>1</v>
      </c>
      <c r="Q68" s="432" t="s">
        <v>2016</v>
      </c>
      <c r="R68" s="81" t="s">
        <v>2016</v>
      </c>
    </row>
    <row r="69" spans="1:18" ht="76.5">
      <c r="A69" s="5073"/>
      <c r="B69" s="1851"/>
      <c r="C69" s="1818" t="s">
        <v>998</v>
      </c>
      <c r="D69" s="530" t="s">
        <v>174</v>
      </c>
      <c r="E69" s="372">
        <v>0</v>
      </c>
      <c r="F69" s="213">
        <v>0</v>
      </c>
      <c r="G69" s="213">
        <v>0</v>
      </c>
      <c r="H69" s="213">
        <v>0</v>
      </c>
      <c r="I69" s="213">
        <v>0</v>
      </c>
      <c r="J69" s="214">
        <v>0</v>
      </c>
      <c r="K69" s="88">
        <v>1</v>
      </c>
      <c r="L69" s="78">
        <v>1</v>
      </c>
      <c r="M69" s="78">
        <v>1</v>
      </c>
      <c r="N69" s="78">
        <v>1</v>
      </c>
      <c r="O69" s="78">
        <v>1</v>
      </c>
      <c r="P69" s="144">
        <v>1</v>
      </c>
      <c r="Q69" s="432" t="s">
        <v>2016</v>
      </c>
      <c r="R69" s="81" t="s">
        <v>2016</v>
      </c>
    </row>
    <row r="70" spans="1:18" ht="76.5">
      <c r="A70" s="5073"/>
      <c r="B70" s="1851"/>
      <c r="C70" s="1818" t="s">
        <v>995</v>
      </c>
      <c r="D70" s="530" t="s">
        <v>174</v>
      </c>
      <c r="E70" s="372">
        <v>0.22</v>
      </c>
      <c r="F70" s="213">
        <v>0.16</v>
      </c>
      <c r="G70" s="213">
        <v>0.04</v>
      </c>
      <c r="H70" s="213">
        <v>0.02</v>
      </c>
      <c r="I70" s="213">
        <v>0</v>
      </c>
      <c r="J70" s="214">
        <v>0</v>
      </c>
      <c r="K70" s="88">
        <v>1</v>
      </c>
      <c r="L70" s="78">
        <v>1</v>
      </c>
      <c r="M70" s="78">
        <v>1</v>
      </c>
      <c r="N70" s="78">
        <v>1</v>
      </c>
      <c r="O70" s="78">
        <v>1</v>
      </c>
      <c r="P70" s="144">
        <v>1</v>
      </c>
      <c r="Q70" s="432" t="s">
        <v>2016</v>
      </c>
      <c r="R70" s="81" t="s">
        <v>2016</v>
      </c>
    </row>
    <row r="71" spans="1:18">
      <c r="A71" s="5073"/>
      <c r="B71" s="1852"/>
      <c r="C71" s="1853" t="s">
        <v>996</v>
      </c>
      <c r="D71" s="540" t="s">
        <v>174</v>
      </c>
      <c r="E71" s="373">
        <f>SUM(E68:E70)</f>
        <v>1</v>
      </c>
      <c r="F71" s="319">
        <f t="shared" ref="F71:J71" si="9">SUM(F68:F70)</f>
        <v>1</v>
      </c>
      <c r="G71" s="319">
        <f t="shared" si="9"/>
        <v>1</v>
      </c>
      <c r="H71" s="319">
        <f t="shared" si="9"/>
        <v>1</v>
      </c>
      <c r="I71" s="319">
        <f t="shared" si="9"/>
        <v>1</v>
      </c>
      <c r="J71" s="320">
        <f t="shared" si="9"/>
        <v>1</v>
      </c>
      <c r="K71" s="1004"/>
      <c r="L71" s="1854"/>
      <c r="M71" s="1854"/>
      <c r="N71" s="1854"/>
      <c r="O71" s="1854"/>
      <c r="P71" s="1855"/>
      <c r="Q71" s="1856"/>
      <c r="R71" s="1857"/>
    </row>
    <row r="72" spans="1:18" ht="25.5">
      <c r="A72" s="5073"/>
      <c r="B72" s="1851"/>
      <c r="C72" s="1818" t="s">
        <v>910</v>
      </c>
      <c r="D72" s="530" t="s">
        <v>792</v>
      </c>
      <c r="E72" s="366">
        <v>74</v>
      </c>
      <c r="F72" s="203">
        <v>79</v>
      </c>
      <c r="G72" s="203">
        <v>85</v>
      </c>
      <c r="H72" s="203">
        <v>95</v>
      </c>
      <c r="I72" s="203">
        <v>110</v>
      </c>
      <c r="J72" s="204">
        <v>128</v>
      </c>
      <c r="K72" s="88">
        <v>2</v>
      </c>
      <c r="L72" s="78">
        <v>2</v>
      </c>
      <c r="M72" s="78">
        <v>2</v>
      </c>
      <c r="N72" s="78">
        <v>2</v>
      </c>
      <c r="O72" s="78">
        <v>2</v>
      </c>
      <c r="P72" s="144">
        <v>2</v>
      </c>
      <c r="Q72" s="432" t="s">
        <v>2023</v>
      </c>
      <c r="R72" s="81" t="s">
        <v>2014</v>
      </c>
    </row>
    <row r="73" spans="1:18" ht="63.75">
      <c r="A73" s="5073"/>
      <c r="B73" s="3915" t="s">
        <v>750</v>
      </c>
      <c r="C73" s="1818" t="s">
        <v>1011</v>
      </c>
      <c r="D73" s="530" t="s">
        <v>792</v>
      </c>
      <c r="E73" s="366">
        <v>76</v>
      </c>
      <c r="F73" s="203">
        <v>79</v>
      </c>
      <c r="G73" s="203">
        <v>85</v>
      </c>
      <c r="H73" s="203">
        <v>95</v>
      </c>
      <c r="I73" s="203">
        <v>110</v>
      </c>
      <c r="J73" s="204">
        <v>128</v>
      </c>
      <c r="K73" s="88">
        <v>2</v>
      </c>
      <c r="L73" s="78">
        <v>2</v>
      </c>
      <c r="M73" s="78">
        <v>2</v>
      </c>
      <c r="N73" s="78">
        <v>2</v>
      </c>
      <c r="O73" s="78">
        <v>2</v>
      </c>
      <c r="P73" s="144">
        <v>2</v>
      </c>
      <c r="Q73" s="432" t="s">
        <v>2023</v>
      </c>
      <c r="R73" s="81" t="s">
        <v>2014</v>
      </c>
    </row>
    <row r="74" spans="1:18" ht="51">
      <c r="A74" s="5073"/>
      <c r="B74" s="3915" t="s">
        <v>847</v>
      </c>
      <c r="C74" s="1818" t="s">
        <v>855</v>
      </c>
      <c r="D74" s="530" t="s">
        <v>792</v>
      </c>
      <c r="E74" s="366">
        <v>4418</v>
      </c>
      <c r="F74" s="203">
        <v>4548</v>
      </c>
      <c r="G74" s="203">
        <v>5778</v>
      </c>
      <c r="H74" s="203">
        <v>7021</v>
      </c>
      <c r="I74" s="203">
        <v>8521</v>
      </c>
      <c r="J74" s="204">
        <v>10337</v>
      </c>
      <c r="K74" s="88">
        <v>2</v>
      </c>
      <c r="L74" s="78">
        <v>2</v>
      </c>
      <c r="M74" s="78">
        <v>2</v>
      </c>
      <c r="N74" s="78">
        <v>2</v>
      </c>
      <c r="O74" s="78">
        <v>2</v>
      </c>
      <c r="P74" s="144">
        <v>2</v>
      </c>
      <c r="Q74" s="432" t="s">
        <v>2024</v>
      </c>
      <c r="R74" s="81" t="s">
        <v>2024</v>
      </c>
    </row>
    <row r="75" spans="1:18" ht="38.25">
      <c r="A75" s="5073"/>
      <c r="B75" s="3915" t="s">
        <v>853</v>
      </c>
      <c r="C75" s="1818" t="s">
        <v>854</v>
      </c>
      <c r="D75" s="530" t="s">
        <v>792</v>
      </c>
      <c r="E75" s="366">
        <v>60260</v>
      </c>
      <c r="F75" s="203">
        <v>60267</v>
      </c>
      <c r="G75" s="203">
        <v>60272</v>
      </c>
      <c r="H75" s="203">
        <v>60279</v>
      </c>
      <c r="I75" s="203">
        <v>60290</v>
      </c>
      <c r="J75" s="204">
        <v>60304</v>
      </c>
      <c r="K75" s="88">
        <v>2</v>
      </c>
      <c r="L75" s="78">
        <v>2</v>
      </c>
      <c r="M75" s="78">
        <v>2</v>
      </c>
      <c r="N75" s="78">
        <v>2</v>
      </c>
      <c r="O75" s="78">
        <v>2</v>
      </c>
      <c r="P75" s="144">
        <v>2</v>
      </c>
      <c r="Q75" s="432" t="s">
        <v>2024</v>
      </c>
      <c r="R75" s="81" t="s">
        <v>2024</v>
      </c>
    </row>
    <row r="76" spans="1:18" ht="25.5">
      <c r="A76" s="5073"/>
      <c r="B76" s="3915"/>
      <c r="C76" s="1818" t="s">
        <v>911</v>
      </c>
      <c r="D76" s="530" t="s">
        <v>792</v>
      </c>
      <c r="E76" s="366">
        <v>0</v>
      </c>
      <c r="F76" s="203">
        <v>0</v>
      </c>
      <c r="G76" s="203">
        <v>0</v>
      </c>
      <c r="H76" s="203">
        <v>3</v>
      </c>
      <c r="I76" s="203">
        <v>3</v>
      </c>
      <c r="J76" s="203">
        <v>3</v>
      </c>
      <c r="K76" s="88">
        <v>1</v>
      </c>
      <c r="L76" s="78">
        <v>1</v>
      </c>
      <c r="M76" s="78">
        <v>1</v>
      </c>
      <c r="N76" s="78">
        <v>1</v>
      </c>
      <c r="O76" s="78">
        <v>1</v>
      </c>
      <c r="P76" s="144">
        <v>1</v>
      </c>
      <c r="Q76" s="432" t="s">
        <v>2014</v>
      </c>
      <c r="R76" s="81" t="s">
        <v>2014</v>
      </c>
    </row>
    <row r="77" spans="1:18" ht="17.25" customHeight="1" thickBot="1">
      <c r="A77" s="5074"/>
      <c r="B77" s="1858"/>
      <c r="C77" s="1822" t="s">
        <v>912</v>
      </c>
      <c r="D77" s="4411" t="s">
        <v>792</v>
      </c>
      <c r="E77" s="368">
        <v>0</v>
      </c>
      <c r="F77" s="206">
        <v>0</v>
      </c>
      <c r="G77" s="206">
        <v>0</v>
      </c>
      <c r="H77" s="206">
        <v>2</v>
      </c>
      <c r="I77" s="206">
        <v>2</v>
      </c>
      <c r="J77" s="207">
        <v>2</v>
      </c>
      <c r="K77" s="89">
        <v>1</v>
      </c>
      <c r="L77" s="82">
        <v>1</v>
      </c>
      <c r="M77" s="82">
        <v>1</v>
      </c>
      <c r="N77" s="82">
        <v>1</v>
      </c>
      <c r="O77" s="82">
        <v>1</v>
      </c>
      <c r="P77" s="145">
        <v>1</v>
      </c>
      <c r="Q77" s="638" t="s">
        <v>2014</v>
      </c>
      <c r="R77" s="83" t="s">
        <v>2014</v>
      </c>
    </row>
    <row r="78" spans="1:18" ht="15" customHeight="1">
      <c r="A78" s="5071" t="s">
        <v>877</v>
      </c>
      <c r="B78" s="3916" t="s">
        <v>49</v>
      </c>
      <c r="C78" s="1859" t="s">
        <v>835</v>
      </c>
      <c r="D78" s="532" t="s">
        <v>820</v>
      </c>
      <c r="E78" s="4867">
        <v>6.4359999999999999</v>
      </c>
      <c r="F78" s="4865">
        <v>13.669499999999999</v>
      </c>
      <c r="G78" s="4863">
        <v>13.85</v>
      </c>
      <c r="H78" s="4864">
        <v>14.2</v>
      </c>
      <c r="I78" s="4864">
        <v>14.95</v>
      </c>
      <c r="J78" s="4866">
        <v>16.579999999999998</v>
      </c>
      <c r="K78" s="141">
        <v>1</v>
      </c>
      <c r="L78" s="138">
        <v>1</v>
      </c>
      <c r="M78" s="138">
        <v>1</v>
      </c>
      <c r="N78" s="138">
        <v>1</v>
      </c>
      <c r="O78" s="138">
        <v>1</v>
      </c>
      <c r="P78" s="139">
        <v>1</v>
      </c>
      <c r="Q78" s="138" t="s">
        <v>2026</v>
      </c>
      <c r="R78" s="139" t="s">
        <v>2014</v>
      </c>
    </row>
    <row r="79" spans="1:18" ht="64.5" thickBot="1">
      <c r="A79" s="5070"/>
      <c r="B79" s="3914" t="s">
        <v>845</v>
      </c>
      <c r="C79" s="1822" t="s">
        <v>876</v>
      </c>
      <c r="D79" s="531" t="s">
        <v>820</v>
      </c>
      <c r="E79" s="368">
        <v>0.44</v>
      </c>
      <c r="F79" s="206">
        <v>2</v>
      </c>
      <c r="G79" s="206">
        <v>5</v>
      </c>
      <c r="H79" s="206">
        <v>8.5</v>
      </c>
      <c r="I79" s="206">
        <v>12</v>
      </c>
      <c r="J79" s="207">
        <v>18.559999999999999</v>
      </c>
      <c r="K79" s="89">
        <v>2</v>
      </c>
      <c r="L79" s="82">
        <v>2</v>
      </c>
      <c r="M79" s="82">
        <v>2</v>
      </c>
      <c r="N79" s="82">
        <v>2</v>
      </c>
      <c r="O79" s="82">
        <v>2</v>
      </c>
      <c r="P79" s="83">
        <v>2</v>
      </c>
      <c r="Q79" s="86" t="s">
        <v>2026</v>
      </c>
      <c r="R79" s="83" t="s">
        <v>2014</v>
      </c>
    </row>
    <row r="80" spans="1:18" ht="25.5">
      <c r="A80" s="5069" t="s">
        <v>878</v>
      </c>
      <c r="B80" s="1844" t="s">
        <v>43</v>
      </c>
      <c r="C80" s="1816" t="s">
        <v>832</v>
      </c>
      <c r="D80" s="529" t="s">
        <v>353</v>
      </c>
      <c r="E80" s="375">
        <f>'6. Ел.Енергия'!C14</f>
        <v>7782227</v>
      </c>
      <c r="F80" s="315">
        <f>'6. Ел.Енергия'!D14</f>
        <v>6550075</v>
      </c>
      <c r="G80" s="315">
        <f>'6. Ел.Енергия'!E14</f>
        <v>4600123</v>
      </c>
      <c r="H80" s="315">
        <f>'6. Ел.Енергия'!F14</f>
        <v>3800012</v>
      </c>
      <c r="I80" s="315">
        <f>'6. Ел.Енергия'!G14</f>
        <v>3321020</v>
      </c>
      <c r="J80" s="316">
        <f>'6. Ел.Енергия'!H14</f>
        <v>3010132</v>
      </c>
      <c r="K80" s="87">
        <v>1</v>
      </c>
      <c r="L80" s="84">
        <v>1</v>
      </c>
      <c r="M80" s="84">
        <v>1</v>
      </c>
      <c r="N80" s="84">
        <v>1</v>
      </c>
      <c r="O80" s="84">
        <v>1</v>
      </c>
      <c r="P80" s="80">
        <v>1</v>
      </c>
      <c r="Q80" s="433" t="s">
        <v>2017</v>
      </c>
      <c r="R80" s="80" t="s">
        <v>2017</v>
      </c>
    </row>
    <row r="81" spans="1:18" ht="39" thickBot="1">
      <c r="A81" s="5070"/>
      <c r="B81" s="1845" t="s">
        <v>45</v>
      </c>
      <c r="C81" s="1822" t="s">
        <v>1000</v>
      </c>
      <c r="D81" s="531" t="s">
        <v>353</v>
      </c>
      <c r="E81" s="376">
        <f>'6. Ел.Енергия'!C37</f>
        <v>1123765</v>
      </c>
      <c r="F81" s="317">
        <f>'6. Ел.Енергия'!D37</f>
        <v>1020393</v>
      </c>
      <c r="G81" s="317">
        <f>'6. Ел.Енергия'!E37</f>
        <v>978207</v>
      </c>
      <c r="H81" s="317">
        <f>'6. Ел.Енергия'!F37</f>
        <v>2474753</v>
      </c>
      <c r="I81" s="317">
        <f>'6. Ел.Енергия'!G37</f>
        <v>2288213</v>
      </c>
      <c r="J81" s="318">
        <f>'6. Ел.Енергия'!H37</f>
        <v>2205846</v>
      </c>
      <c r="K81" s="89">
        <v>1</v>
      </c>
      <c r="L81" s="86">
        <v>1</v>
      </c>
      <c r="M81" s="86">
        <v>1</v>
      </c>
      <c r="N81" s="86">
        <v>1</v>
      </c>
      <c r="O81" s="86">
        <v>1</v>
      </c>
      <c r="P81" s="83">
        <v>1</v>
      </c>
      <c r="Q81" s="142" t="s">
        <v>2017</v>
      </c>
      <c r="R81" s="139" t="s">
        <v>2017</v>
      </c>
    </row>
    <row r="82" spans="1:18" ht="51">
      <c r="A82" s="5069" t="s">
        <v>880</v>
      </c>
      <c r="B82" s="1844" t="s">
        <v>47</v>
      </c>
      <c r="C82" s="1816" t="s">
        <v>833</v>
      </c>
      <c r="D82" s="529" t="s">
        <v>601</v>
      </c>
      <c r="E82" s="367">
        <v>0</v>
      </c>
      <c r="F82" s="309">
        <f>'7. Утайки от ПСОВ'!E17+'7. Утайки от ПСОВ'!F16</f>
        <v>0</v>
      </c>
      <c r="G82" s="309">
        <f>'7. Утайки от ПСОВ'!F17+'7. Утайки от ПСОВ'!G16</f>
        <v>4</v>
      </c>
      <c r="H82" s="309">
        <f>'7. Утайки от ПСОВ'!G17+'7. Утайки от ПСОВ'!H16</f>
        <v>10</v>
      </c>
      <c r="I82" s="309">
        <f>'7. Утайки от ПСОВ'!H17+'7. Утайки от ПСОВ'!I16</f>
        <v>105</v>
      </c>
      <c r="J82" s="310">
        <f>'7. Утайки от ПСОВ'!I17+'7. Утайки от ПСОВ'!J16</f>
        <v>119</v>
      </c>
      <c r="K82" s="87">
        <v>1</v>
      </c>
      <c r="L82" s="79">
        <v>1</v>
      </c>
      <c r="M82" s="79">
        <v>1</v>
      </c>
      <c r="N82" s="79">
        <v>1</v>
      </c>
      <c r="O82" s="79">
        <v>1</v>
      </c>
      <c r="P82" s="80">
        <v>1</v>
      </c>
      <c r="Q82" s="79" t="s">
        <v>2014</v>
      </c>
      <c r="R82" s="80" t="s">
        <v>2014</v>
      </c>
    </row>
    <row r="83" spans="1:18" ht="39" thickBot="1">
      <c r="A83" s="5070"/>
      <c r="B83" s="1845" t="s">
        <v>48</v>
      </c>
      <c r="C83" s="1822" t="s">
        <v>843</v>
      </c>
      <c r="D83" s="531" t="s">
        <v>601</v>
      </c>
      <c r="E83" s="4857">
        <v>7.21</v>
      </c>
      <c r="F83" s="311">
        <f>'7. Утайки от ПСОВ'!E12</f>
        <v>5</v>
      </c>
      <c r="G83" s="311">
        <f>'7. Утайки от ПСОВ'!F12</f>
        <v>9.57</v>
      </c>
      <c r="H83" s="311">
        <f>'7. Утайки от ПСОВ'!G12</f>
        <v>10</v>
      </c>
      <c r="I83" s="311">
        <f>'7. Утайки от ПСОВ'!H12</f>
        <v>112</v>
      </c>
      <c r="J83" s="312">
        <f>'7. Утайки от ПСОВ'!I12</f>
        <v>119</v>
      </c>
      <c r="K83" s="89">
        <v>1</v>
      </c>
      <c r="L83" s="82">
        <v>1</v>
      </c>
      <c r="M83" s="82">
        <v>1</v>
      </c>
      <c r="N83" s="82">
        <v>1</v>
      </c>
      <c r="O83" s="82">
        <v>1</v>
      </c>
      <c r="P83" s="83">
        <v>1</v>
      </c>
      <c r="Q83" s="82" t="s">
        <v>2014</v>
      </c>
      <c r="R83" s="83" t="s">
        <v>2014</v>
      </c>
    </row>
    <row r="84" spans="1:18" ht="38.25">
      <c r="A84" s="5069" t="s">
        <v>881</v>
      </c>
      <c r="B84" s="1844" t="s">
        <v>51</v>
      </c>
      <c r="C84" s="1823" t="s">
        <v>837</v>
      </c>
      <c r="D84" s="529" t="s">
        <v>836</v>
      </c>
      <c r="E84" s="366">
        <v>7119650</v>
      </c>
      <c r="F84" s="309">
        <f>'16. Необходими приходи'!D11*1000</f>
        <v>11363153.820030687</v>
      </c>
      <c r="G84" s="309">
        <f>'16. Необходими приходи'!E11*1000</f>
        <v>11546717.218043922</v>
      </c>
      <c r="H84" s="309">
        <f>'16. Необходими приходи'!F11*1000</f>
        <v>12054796.792497927</v>
      </c>
      <c r="I84" s="309">
        <f>'16. Необходими приходи'!G11*1000</f>
        <v>12794181.633611979</v>
      </c>
      <c r="J84" s="310">
        <f>'16. Необходими приходи'!H11*1000</f>
        <v>13000476.898989836</v>
      </c>
      <c r="K84" s="87">
        <v>1</v>
      </c>
      <c r="L84" s="79">
        <v>1</v>
      </c>
      <c r="M84" s="79">
        <v>1</v>
      </c>
      <c r="N84" s="79">
        <v>1</v>
      </c>
      <c r="O84" s="79">
        <v>1</v>
      </c>
      <c r="P84" s="80">
        <v>1</v>
      </c>
      <c r="Q84" s="433" t="s">
        <v>2018</v>
      </c>
      <c r="R84" s="80" t="s">
        <v>2018</v>
      </c>
    </row>
    <row r="85" spans="1:18" ht="38.25">
      <c r="A85" s="5071"/>
      <c r="B85" s="1832" t="s">
        <v>52</v>
      </c>
      <c r="C85" s="1824" t="s">
        <v>838</v>
      </c>
      <c r="D85" s="530" t="s">
        <v>836</v>
      </c>
      <c r="E85" s="370">
        <f>'12. Разходи'!C88*1000</f>
        <v>11436093</v>
      </c>
      <c r="F85" s="313">
        <f>'12. Разходи'!D88*1000</f>
        <v>10758772.272327445</v>
      </c>
      <c r="G85" s="313">
        <f>'12. Разходи'!E88*1000</f>
        <v>10774357.426347239</v>
      </c>
      <c r="H85" s="313">
        <f>'12. Разходи'!F88*1000</f>
        <v>11258326.140755124</v>
      </c>
      <c r="I85" s="313">
        <f>'12. Разходи'!G88*1000</f>
        <v>11986882.838469725</v>
      </c>
      <c r="J85" s="314">
        <f>'12. Разходи'!H88*1000</f>
        <v>12188304.267918859</v>
      </c>
      <c r="K85" s="88">
        <v>1</v>
      </c>
      <c r="L85" s="78">
        <v>1</v>
      </c>
      <c r="M85" s="78">
        <v>1</v>
      </c>
      <c r="N85" s="78">
        <v>1</v>
      </c>
      <c r="O85" s="78">
        <v>1</v>
      </c>
      <c r="P85" s="81">
        <v>1</v>
      </c>
      <c r="Q85" s="432" t="s">
        <v>2018</v>
      </c>
      <c r="R85" s="81" t="s">
        <v>2018</v>
      </c>
    </row>
    <row r="86" spans="1:18" ht="38.25">
      <c r="A86" s="5071"/>
      <c r="B86" s="1827" t="s">
        <v>54</v>
      </c>
      <c r="C86" s="1824" t="s">
        <v>839</v>
      </c>
      <c r="D86" s="530" t="s">
        <v>836</v>
      </c>
      <c r="E86" s="366">
        <v>680630</v>
      </c>
      <c r="F86" s="313">
        <f>'16. Необходими приходи'!D17*1000</f>
        <v>813340.46933206124</v>
      </c>
      <c r="G86" s="313">
        <f>'16. Необходими приходи'!E17*1000</f>
        <v>1149630.994378513</v>
      </c>
      <c r="H86" s="313">
        <f>'16. Необходими приходи'!F17*1000</f>
        <v>1480575.5694675059</v>
      </c>
      <c r="I86" s="313">
        <f>'16. Необходими приходи'!G17*1000</f>
        <v>1720706.2247168696</v>
      </c>
      <c r="J86" s="314">
        <f>'16. Необходими приходи'!H17*1000</f>
        <v>1753862.0658060659</v>
      </c>
      <c r="K86" s="88">
        <v>1</v>
      </c>
      <c r="L86" s="78">
        <v>1</v>
      </c>
      <c r="M86" s="78">
        <v>1</v>
      </c>
      <c r="N86" s="78">
        <v>1</v>
      </c>
      <c r="O86" s="78">
        <v>1</v>
      </c>
      <c r="P86" s="81">
        <v>1</v>
      </c>
      <c r="Q86" s="432" t="s">
        <v>2018</v>
      </c>
      <c r="R86" s="81" t="s">
        <v>2018</v>
      </c>
    </row>
    <row r="87" spans="1:18" ht="38.25">
      <c r="A87" s="5071"/>
      <c r="B87" s="1832" t="s">
        <v>55</v>
      </c>
      <c r="C87" s="1824" t="s">
        <v>840</v>
      </c>
      <c r="D87" s="530" t="s">
        <v>836</v>
      </c>
      <c r="E87" s="370">
        <f>'12. Разходи'!K88*1000</f>
        <v>460875.00000000006</v>
      </c>
      <c r="F87" s="313">
        <f>'12. Разходи'!L88*1000</f>
        <v>696802.38381462859</v>
      </c>
      <c r="G87" s="313">
        <f>'12. Разходи'!M88*1000</f>
        <v>787274.24856464018</v>
      </c>
      <c r="H87" s="313">
        <f>'12. Разходи'!N88*1000</f>
        <v>1113625.1684045021</v>
      </c>
      <c r="I87" s="313">
        <f>'12. Разходи'!O88*1000</f>
        <v>1357782.9176987435</v>
      </c>
      <c r="J87" s="314">
        <f>'12. Разходи'!P88*1000</f>
        <v>1393985.3830056149</v>
      </c>
      <c r="K87" s="88">
        <v>1</v>
      </c>
      <c r="L87" s="78">
        <v>1</v>
      </c>
      <c r="M87" s="78">
        <v>1</v>
      </c>
      <c r="N87" s="78">
        <v>1</v>
      </c>
      <c r="O87" s="78">
        <v>1</v>
      </c>
      <c r="P87" s="81">
        <v>1</v>
      </c>
      <c r="Q87" s="432" t="s">
        <v>2018</v>
      </c>
      <c r="R87" s="81" t="s">
        <v>2018</v>
      </c>
    </row>
    <row r="88" spans="1:18" ht="38.25">
      <c r="A88" s="5071"/>
      <c r="B88" s="1827" t="s">
        <v>57</v>
      </c>
      <c r="C88" s="1824" t="s">
        <v>841</v>
      </c>
      <c r="D88" s="530" t="s">
        <v>836</v>
      </c>
      <c r="E88" s="366">
        <v>1060576</v>
      </c>
      <c r="F88" s="313">
        <f>'16. Необходими приходи'!D25*1000</f>
        <v>1774317.4472151559</v>
      </c>
      <c r="G88" s="313">
        <f>'16. Необходими приходи'!E25*1000</f>
        <v>2098694.9667977546</v>
      </c>
      <c r="H88" s="313">
        <f>'16. Необходими приходи'!F25*1000</f>
        <v>2404590.9849566054</v>
      </c>
      <c r="I88" s="313">
        <f>'16. Необходими приходи'!G25*1000</f>
        <v>2549022.1950763147</v>
      </c>
      <c r="J88" s="314">
        <f>'16. Необходими приходи'!H25*1000</f>
        <v>2584826.3016184629</v>
      </c>
      <c r="K88" s="88">
        <v>1</v>
      </c>
      <c r="L88" s="78">
        <v>1</v>
      </c>
      <c r="M88" s="78">
        <v>1</v>
      </c>
      <c r="N88" s="78">
        <v>1</v>
      </c>
      <c r="O88" s="78">
        <v>1</v>
      </c>
      <c r="P88" s="81">
        <v>1</v>
      </c>
      <c r="Q88" s="432" t="s">
        <v>2018</v>
      </c>
      <c r="R88" s="81" t="s">
        <v>2018</v>
      </c>
    </row>
    <row r="89" spans="1:18" ht="38.25">
      <c r="A89" s="5071"/>
      <c r="B89" s="1832" t="s">
        <v>58</v>
      </c>
      <c r="C89" s="1824" t="s">
        <v>842</v>
      </c>
      <c r="D89" s="530" t="s">
        <v>836</v>
      </c>
      <c r="E89" s="370">
        <f>'12. Разходи'!S88*1000</f>
        <v>1402461.0000000002</v>
      </c>
      <c r="F89" s="313">
        <f>'12. Разходи'!T88*1000</f>
        <v>1643310.4249504453</v>
      </c>
      <c r="G89" s="313">
        <f>'12. Разходи'!U88*1000</f>
        <v>1871000.8091472678</v>
      </c>
      <c r="H89" s="313">
        <f>'12. Разходи'!V88*1000</f>
        <v>2173206.1900318814</v>
      </c>
      <c r="I89" s="313">
        <f>'12. Разходи'!W88*1000</f>
        <v>2323564.9603032307</v>
      </c>
      <c r="J89" s="314">
        <f>'12. Разходи'!X88*1000</f>
        <v>2365563.7879345445</v>
      </c>
      <c r="K89" s="88">
        <v>1</v>
      </c>
      <c r="L89" s="78">
        <v>1</v>
      </c>
      <c r="M89" s="78">
        <v>1</v>
      </c>
      <c r="N89" s="78">
        <v>1</v>
      </c>
      <c r="O89" s="78">
        <v>1</v>
      </c>
      <c r="P89" s="81">
        <v>1</v>
      </c>
      <c r="Q89" s="432" t="s">
        <v>2018</v>
      </c>
      <c r="R89" s="81" t="s">
        <v>2018</v>
      </c>
    </row>
    <row r="90" spans="1:18" ht="38.25">
      <c r="A90" s="5071"/>
      <c r="B90" s="1832" t="s">
        <v>59</v>
      </c>
      <c r="C90" s="1860" t="s">
        <v>848</v>
      </c>
      <c r="D90" s="530" t="s">
        <v>846</v>
      </c>
      <c r="E90" s="1007">
        <f>(('14. ОПР'!B10*1.2)+'14. ОПР'!B11)*1000</f>
        <v>10768400</v>
      </c>
      <c r="F90" s="1819">
        <f>(('14. ОПР'!C10*1.2)+'14. ОПР'!C11)*1000</f>
        <v>17075857.397789605</v>
      </c>
      <c r="G90" s="1820">
        <f>(('14. ОПР'!D10*1.2)+'14. ОПР'!D11)*1000</f>
        <v>18172422.575252544</v>
      </c>
      <c r="H90" s="1820">
        <f>(('14. ОПР'!E10*1.2)+'14. ОПР'!E11)*1000</f>
        <v>19542861.767986014</v>
      </c>
      <c r="I90" s="1820">
        <f>(('14. ОПР'!F10*1.2)+'14. ОПР'!F11)*1000</f>
        <v>20888593.187488094</v>
      </c>
      <c r="J90" s="1821">
        <f>(('14. ОПР'!G10*1.2)+'14. ОПР'!G11)*1000</f>
        <v>21215873.952374637</v>
      </c>
      <c r="K90" s="88">
        <v>1</v>
      </c>
      <c r="L90" s="78">
        <v>1</v>
      </c>
      <c r="M90" s="78">
        <v>1</v>
      </c>
      <c r="N90" s="78">
        <v>1</v>
      </c>
      <c r="O90" s="78">
        <v>1</v>
      </c>
      <c r="P90" s="81">
        <v>1</v>
      </c>
      <c r="Q90" s="432" t="s">
        <v>2018</v>
      </c>
      <c r="R90" s="81" t="s">
        <v>2018</v>
      </c>
    </row>
    <row r="91" spans="1:18" ht="38.25">
      <c r="A91" s="5071"/>
      <c r="B91" s="1832" t="s">
        <v>60</v>
      </c>
      <c r="C91" s="1818" t="s">
        <v>849</v>
      </c>
      <c r="D91" s="530" t="s">
        <v>846</v>
      </c>
      <c r="E91" s="366">
        <v>3531000</v>
      </c>
      <c r="F91" s="205">
        <v>4370000</v>
      </c>
      <c r="G91" s="205">
        <v>3930000</v>
      </c>
      <c r="H91" s="205">
        <v>3543000</v>
      </c>
      <c r="I91" s="205">
        <v>3098000</v>
      </c>
      <c r="J91" s="205">
        <v>2490000</v>
      </c>
      <c r="K91" s="88">
        <v>1</v>
      </c>
      <c r="L91" s="78">
        <v>1</v>
      </c>
      <c r="M91" s="78">
        <v>1</v>
      </c>
      <c r="N91" s="78">
        <v>1</v>
      </c>
      <c r="O91" s="78">
        <v>1</v>
      </c>
      <c r="P91" s="81">
        <v>1</v>
      </c>
      <c r="Q91" s="432" t="s">
        <v>2018</v>
      </c>
      <c r="R91" s="81" t="s">
        <v>2018</v>
      </c>
    </row>
    <row r="92" spans="1:18" ht="39" thickBot="1">
      <c r="A92" s="5070"/>
      <c r="B92" s="1828" t="s">
        <v>61</v>
      </c>
      <c r="C92" s="1822" t="s">
        <v>850</v>
      </c>
      <c r="D92" s="531" t="s">
        <v>846</v>
      </c>
      <c r="E92" s="368">
        <v>3125000</v>
      </c>
      <c r="F92" s="212">
        <v>3531000</v>
      </c>
      <c r="G92" s="212">
        <v>4370000</v>
      </c>
      <c r="H92" s="212">
        <v>3930000</v>
      </c>
      <c r="I92" s="212">
        <v>3543000</v>
      </c>
      <c r="J92" s="212">
        <v>3740000</v>
      </c>
      <c r="K92" s="89">
        <v>1</v>
      </c>
      <c r="L92" s="82">
        <v>1</v>
      </c>
      <c r="M92" s="82">
        <v>1</v>
      </c>
      <c r="N92" s="82">
        <v>1</v>
      </c>
      <c r="O92" s="82">
        <v>1</v>
      </c>
      <c r="P92" s="83">
        <v>1</v>
      </c>
      <c r="Q92" s="638" t="s">
        <v>2018</v>
      </c>
      <c r="R92" s="83" t="s">
        <v>2018</v>
      </c>
    </row>
    <row r="93" spans="1:18" ht="25.5">
      <c r="A93" s="5069" t="s">
        <v>883</v>
      </c>
      <c r="B93" s="1861" t="s">
        <v>62</v>
      </c>
      <c r="C93" s="1862" t="s">
        <v>905</v>
      </c>
      <c r="D93" s="529" t="s">
        <v>792</v>
      </c>
      <c r="E93" s="4456">
        <f>SUM(E94:E96)</f>
        <v>117</v>
      </c>
      <c r="F93" s="4457">
        <f t="shared" ref="F93:J93" si="10">SUM(F94:F96)</f>
        <v>104</v>
      </c>
      <c r="G93" s="4457">
        <f t="shared" si="10"/>
        <v>91</v>
      </c>
      <c r="H93" s="4457">
        <f t="shared" si="10"/>
        <v>78</v>
      </c>
      <c r="I93" s="4457">
        <f t="shared" si="10"/>
        <v>66</v>
      </c>
      <c r="J93" s="4458">
        <f t="shared" si="10"/>
        <v>55</v>
      </c>
      <c r="K93" s="87">
        <v>2</v>
      </c>
      <c r="L93" s="79">
        <v>2</v>
      </c>
      <c r="M93" s="79">
        <v>2</v>
      </c>
      <c r="N93" s="79">
        <v>2</v>
      </c>
      <c r="O93" s="79">
        <v>2</v>
      </c>
      <c r="P93" s="80">
        <v>2</v>
      </c>
      <c r="Q93" s="433" t="s">
        <v>2014</v>
      </c>
      <c r="R93" s="80" t="s">
        <v>2014</v>
      </c>
    </row>
    <row r="94" spans="1:18" ht="25.5">
      <c r="A94" s="5071"/>
      <c r="B94" s="1832" t="s">
        <v>63</v>
      </c>
      <c r="C94" s="1818" t="s">
        <v>904</v>
      </c>
      <c r="D94" s="530" t="s">
        <v>792</v>
      </c>
      <c r="E94" s="366">
        <v>68</v>
      </c>
      <c r="F94" s="203">
        <v>61</v>
      </c>
      <c r="G94" s="203">
        <v>54</v>
      </c>
      <c r="H94" s="203">
        <v>47</v>
      </c>
      <c r="I94" s="203">
        <v>40</v>
      </c>
      <c r="J94" s="204">
        <v>32</v>
      </c>
      <c r="K94" s="88">
        <v>2</v>
      </c>
      <c r="L94" s="78">
        <v>2</v>
      </c>
      <c r="M94" s="78">
        <v>2</v>
      </c>
      <c r="N94" s="78">
        <v>2</v>
      </c>
      <c r="O94" s="78">
        <v>2</v>
      </c>
      <c r="P94" s="81">
        <v>2</v>
      </c>
      <c r="Q94" s="432" t="s">
        <v>2014</v>
      </c>
      <c r="R94" s="81" t="s">
        <v>2014</v>
      </c>
    </row>
    <row r="95" spans="1:18" ht="25.5">
      <c r="A95" s="5071"/>
      <c r="B95" s="1832" t="s">
        <v>64</v>
      </c>
      <c r="C95" s="1818" t="s">
        <v>903</v>
      </c>
      <c r="D95" s="530" t="s">
        <v>792</v>
      </c>
      <c r="E95" s="366">
        <v>16</v>
      </c>
      <c r="F95" s="203">
        <v>13</v>
      </c>
      <c r="G95" s="203">
        <v>10</v>
      </c>
      <c r="H95" s="203">
        <v>7</v>
      </c>
      <c r="I95" s="203">
        <v>5</v>
      </c>
      <c r="J95" s="204">
        <v>3</v>
      </c>
      <c r="K95" s="88">
        <v>2</v>
      </c>
      <c r="L95" s="78">
        <v>2</v>
      </c>
      <c r="M95" s="78">
        <v>2</v>
      </c>
      <c r="N95" s="78">
        <v>2</v>
      </c>
      <c r="O95" s="78">
        <v>2</v>
      </c>
      <c r="P95" s="81">
        <v>2</v>
      </c>
      <c r="Q95" s="432" t="s">
        <v>2014</v>
      </c>
      <c r="R95" s="81" t="s">
        <v>2014</v>
      </c>
    </row>
    <row r="96" spans="1:18" ht="39" thickBot="1">
      <c r="A96" s="5070"/>
      <c r="B96" s="1845" t="s">
        <v>65</v>
      </c>
      <c r="C96" s="1822" t="s">
        <v>902</v>
      </c>
      <c r="D96" s="531" t="s">
        <v>792</v>
      </c>
      <c r="E96" s="368">
        <v>33</v>
      </c>
      <c r="F96" s="206">
        <v>30</v>
      </c>
      <c r="G96" s="206">
        <v>27</v>
      </c>
      <c r="H96" s="206">
        <v>24</v>
      </c>
      <c r="I96" s="206">
        <v>21</v>
      </c>
      <c r="J96" s="207">
        <v>20</v>
      </c>
      <c r="K96" s="89">
        <v>2</v>
      </c>
      <c r="L96" s="82">
        <v>2</v>
      </c>
      <c r="M96" s="82">
        <v>2</v>
      </c>
      <c r="N96" s="82">
        <v>2</v>
      </c>
      <c r="O96" s="82">
        <v>2</v>
      </c>
      <c r="P96" s="83">
        <v>2</v>
      </c>
      <c r="Q96" s="638" t="s">
        <v>2014</v>
      </c>
      <c r="R96" s="83" t="s">
        <v>2014</v>
      </c>
    </row>
    <row r="97" spans="1:18" ht="25.5">
      <c r="A97" s="5069" t="s">
        <v>882</v>
      </c>
      <c r="B97" s="1861" t="s">
        <v>66</v>
      </c>
      <c r="C97" s="1862" t="s">
        <v>1001</v>
      </c>
      <c r="D97" s="529" t="s">
        <v>792</v>
      </c>
      <c r="E97" s="4456">
        <f t="shared" ref="E97:J97" si="11">E98+E103+E108</f>
        <v>205</v>
      </c>
      <c r="F97" s="4457">
        <f t="shared" si="11"/>
        <v>173</v>
      </c>
      <c r="G97" s="4457">
        <f t="shared" si="11"/>
        <v>143</v>
      </c>
      <c r="H97" s="4457">
        <f t="shared" si="11"/>
        <v>113</v>
      </c>
      <c r="I97" s="4457">
        <f t="shared" si="11"/>
        <v>83</v>
      </c>
      <c r="J97" s="4458">
        <f t="shared" si="11"/>
        <v>55</v>
      </c>
      <c r="K97" s="87">
        <v>2</v>
      </c>
      <c r="L97" s="79">
        <v>2</v>
      </c>
      <c r="M97" s="79">
        <v>2</v>
      </c>
      <c r="N97" s="79">
        <v>2</v>
      </c>
      <c r="O97" s="79">
        <v>2</v>
      </c>
      <c r="P97" s="80">
        <v>2</v>
      </c>
      <c r="Q97" s="433" t="s">
        <v>2014</v>
      </c>
      <c r="R97" s="80" t="s">
        <v>2014</v>
      </c>
    </row>
    <row r="98" spans="1:18" ht="25.5">
      <c r="A98" s="5071"/>
      <c r="B98" s="1863" t="s">
        <v>67</v>
      </c>
      <c r="C98" s="1864" t="s">
        <v>900</v>
      </c>
      <c r="D98" s="530" t="s">
        <v>792</v>
      </c>
      <c r="E98" s="4459">
        <f>SUM(E99:E102)</f>
        <v>146</v>
      </c>
      <c r="F98" s="4460">
        <f t="shared" ref="F98:J98" si="12">SUM(F99:F102)</f>
        <v>122</v>
      </c>
      <c r="G98" s="4460">
        <f t="shared" si="12"/>
        <v>99</v>
      </c>
      <c r="H98" s="4460">
        <f t="shared" si="12"/>
        <v>76</v>
      </c>
      <c r="I98" s="4460">
        <f t="shared" si="12"/>
        <v>53</v>
      </c>
      <c r="J98" s="4461">
        <f t="shared" si="12"/>
        <v>32</v>
      </c>
      <c r="K98" s="88">
        <v>2</v>
      </c>
      <c r="L98" s="78">
        <v>2</v>
      </c>
      <c r="M98" s="78">
        <v>2</v>
      </c>
      <c r="N98" s="78">
        <v>2</v>
      </c>
      <c r="O98" s="78">
        <v>2</v>
      </c>
      <c r="P98" s="81">
        <v>2</v>
      </c>
      <c r="Q98" s="432" t="s">
        <v>2014</v>
      </c>
      <c r="R98" s="81" t="s">
        <v>2014</v>
      </c>
    </row>
    <row r="99" spans="1:18" ht="25.5">
      <c r="A99" s="5071"/>
      <c r="B99" s="1827" t="s">
        <v>34</v>
      </c>
      <c r="C99" s="1865" t="s">
        <v>901</v>
      </c>
      <c r="D99" s="530" t="s">
        <v>792</v>
      </c>
      <c r="E99" s="366">
        <v>21</v>
      </c>
      <c r="F99" s="203">
        <v>17</v>
      </c>
      <c r="G99" s="203">
        <v>12</v>
      </c>
      <c r="H99" s="203">
        <v>7</v>
      </c>
      <c r="I99" s="203">
        <v>3</v>
      </c>
      <c r="J99" s="204">
        <v>0</v>
      </c>
      <c r="K99" s="88">
        <v>2</v>
      </c>
      <c r="L99" s="78">
        <v>2</v>
      </c>
      <c r="M99" s="78">
        <v>2</v>
      </c>
      <c r="N99" s="78">
        <v>2</v>
      </c>
      <c r="O99" s="78">
        <v>2</v>
      </c>
      <c r="P99" s="81">
        <v>2</v>
      </c>
      <c r="Q99" s="432" t="s">
        <v>2014</v>
      </c>
      <c r="R99" s="81" t="s">
        <v>2014</v>
      </c>
    </row>
    <row r="100" spans="1:18" ht="25.5">
      <c r="A100" s="5071"/>
      <c r="B100" s="1832" t="s">
        <v>68</v>
      </c>
      <c r="C100" s="1818" t="s">
        <v>899</v>
      </c>
      <c r="D100" s="530" t="s">
        <v>792</v>
      </c>
      <c r="E100" s="366">
        <v>49</v>
      </c>
      <c r="F100" s="203">
        <v>42</v>
      </c>
      <c r="G100" s="203">
        <v>36</v>
      </c>
      <c r="H100" s="203">
        <v>30</v>
      </c>
      <c r="I100" s="203">
        <v>23</v>
      </c>
      <c r="J100" s="204">
        <v>18</v>
      </c>
      <c r="K100" s="88">
        <v>2</v>
      </c>
      <c r="L100" s="78">
        <v>2</v>
      </c>
      <c r="M100" s="78">
        <v>2</v>
      </c>
      <c r="N100" s="78">
        <v>2</v>
      </c>
      <c r="O100" s="78">
        <v>2</v>
      </c>
      <c r="P100" s="81">
        <v>2</v>
      </c>
      <c r="Q100" s="432" t="s">
        <v>2014</v>
      </c>
      <c r="R100" s="81" t="s">
        <v>2014</v>
      </c>
    </row>
    <row r="101" spans="1:18" ht="25.5">
      <c r="A101" s="5071"/>
      <c r="B101" s="1832" t="s">
        <v>69</v>
      </c>
      <c r="C101" s="1818" t="s">
        <v>1002</v>
      </c>
      <c r="D101" s="530" t="s">
        <v>792</v>
      </c>
      <c r="E101" s="366">
        <v>0</v>
      </c>
      <c r="F101" s="203">
        <v>0</v>
      </c>
      <c r="G101" s="203">
        <v>0</v>
      </c>
      <c r="H101" s="203">
        <v>0</v>
      </c>
      <c r="I101" s="203">
        <v>0</v>
      </c>
      <c r="J101" s="204">
        <v>0</v>
      </c>
      <c r="K101" s="88">
        <v>2</v>
      </c>
      <c r="L101" s="78">
        <v>2</v>
      </c>
      <c r="M101" s="78">
        <v>2</v>
      </c>
      <c r="N101" s="78">
        <v>2</v>
      </c>
      <c r="O101" s="78">
        <v>2</v>
      </c>
      <c r="P101" s="81">
        <v>2</v>
      </c>
      <c r="Q101" s="432" t="s">
        <v>2014</v>
      </c>
      <c r="R101" s="81" t="s">
        <v>2014</v>
      </c>
    </row>
    <row r="102" spans="1:18" ht="25.5">
      <c r="A102" s="5071"/>
      <c r="B102" s="1832" t="s">
        <v>70</v>
      </c>
      <c r="C102" s="1818" t="s">
        <v>898</v>
      </c>
      <c r="D102" s="530" t="s">
        <v>792</v>
      </c>
      <c r="E102" s="366">
        <v>76</v>
      </c>
      <c r="F102" s="203">
        <v>63</v>
      </c>
      <c r="G102" s="203">
        <v>51</v>
      </c>
      <c r="H102" s="203">
        <v>39</v>
      </c>
      <c r="I102" s="203">
        <v>27</v>
      </c>
      <c r="J102" s="204">
        <v>14</v>
      </c>
      <c r="K102" s="88">
        <v>2</v>
      </c>
      <c r="L102" s="78">
        <v>2</v>
      </c>
      <c r="M102" s="78">
        <v>2</v>
      </c>
      <c r="N102" s="78">
        <v>2</v>
      </c>
      <c r="O102" s="78">
        <v>2</v>
      </c>
      <c r="P102" s="81">
        <v>2</v>
      </c>
      <c r="Q102" s="432" t="s">
        <v>2014</v>
      </c>
      <c r="R102" s="81" t="s">
        <v>2014</v>
      </c>
    </row>
    <row r="103" spans="1:18" ht="38.25">
      <c r="A103" s="5071"/>
      <c r="B103" s="1863" t="s">
        <v>71</v>
      </c>
      <c r="C103" s="1864" t="s">
        <v>897</v>
      </c>
      <c r="D103" s="530" t="s">
        <v>792</v>
      </c>
      <c r="E103" s="4459">
        <f>SUM(E104:E107)</f>
        <v>17</v>
      </c>
      <c r="F103" s="4460">
        <f t="shared" ref="F103:J103" si="13">SUM(F104:F107)</f>
        <v>13</v>
      </c>
      <c r="G103" s="4460">
        <f t="shared" si="13"/>
        <v>10</v>
      </c>
      <c r="H103" s="4460">
        <f t="shared" si="13"/>
        <v>7</v>
      </c>
      <c r="I103" s="4460">
        <f t="shared" si="13"/>
        <v>4</v>
      </c>
      <c r="J103" s="4461">
        <f t="shared" si="13"/>
        <v>3</v>
      </c>
      <c r="K103" s="88">
        <v>2</v>
      </c>
      <c r="L103" s="78">
        <v>2</v>
      </c>
      <c r="M103" s="78">
        <v>2</v>
      </c>
      <c r="N103" s="78">
        <v>2</v>
      </c>
      <c r="O103" s="78">
        <v>2</v>
      </c>
      <c r="P103" s="81">
        <v>2</v>
      </c>
      <c r="Q103" s="432" t="s">
        <v>2014</v>
      </c>
      <c r="R103" s="81" t="s">
        <v>2014</v>
      </c>
    </row>
    <row r="104" spans="1:18" ht="25.5">
      <c r="A104" s="5071"/>
      <c r="B104" s="1832" t="s">
        <v>72</v>
      </c>
      <c r="C104" s="1818" t="s">
        <v>896</v>
      </c>
      <c r="D104" s="530" t="s">
        <v>792</v>
      </c>
      <c r="E104" s="366">
        <v>14</v>
      </c>
      <c r="F104" s="203">
        <v>11</v>
      </c>
      <c r="G104" s="203">
        <v>8</v>
      </c>
      <c r="H104" s="203">
        <v>5</v>
      </c>
      <c r="I104" s="203">
        <v>2</v>
      </c>
      <c r="J104" s="204">
        <v>1</v>
      </c>
      <c r="K104" s="88">
        <v>2</v>
      </c>
      <c r="L104" s="78">
        <v>2</v>
      </c>
      <c r="M104" s="78">
        <v>2</v>
      </c>
      <c r="N104" s="78">
        <v>2</v>
      </c>
      <c r="O104" s="78">
        <v>2</v>
      </c>
      <c r="P104" s="81">
        <v>2</v>
      </c>
      <c r="Q104" s="432" t="s">
        <v>2014</v>
      </c>
      <c r="R104" s="81" t="s">
        <v>2014</v>
      </c>
    </row>
    <row r="105" spans="1:18" ht="25.5">
      <c r="A105" s="5071"/>
      <c r="B105" s="1832" t="s">
        <v>73</v>
      </c>
      <c r="C105" s="1818" t="s">
        <v>895</v>
      </c>
      <c r="D105" s="530" t="s">
        <v>792</v>
      </c>
      <c r="E105" s="366">
        <v>1</v>
      </c>
      <c r="F105" s="203">
        <v>0</v>
      </c>
      <c r="G105" s="203">
        <v>0</v>
      </c>
      <c r="H105" s="203">
        <v>0</v>
      </c>
      <c r="I105" s="203">
        <v>0</v>
      </c>
      <c r="J105" s="204">
        <v>0</v>
      </c>
      <c r="K105" s="88">
        <v>2</v>
      </c>
      <c r="L105" s="78">
        <v>2</v>
      </c>
      <c r="M105" s="78">
        <v>2</v>
      </c>
      <c r="N105" s="78">
        <v>2</v>
      </c>
      <c r="O105" s="78">
        <v>2</v>
      </c>
      <c r="P105" s="81">
        <v>2</v>
      </c>
      <c r="Q105" s="432" t="s">
        <v>2014</v>
      </c>
      <c r="R105" s="81" t="s">
        <v>2014</v>
      </c>
    </row>
    <row r="106" spans="1:18" ht="25.5">
      <c r="A106" s="5071"/>
      <c r="B106" s="1832" t="s">
        <v>74</v>
      </c>
      <c r="C106" s="1818" t="s">
        <v>894</v>
      </c>
      <c r="D106" s="530" t="s">
        <v>792</v>
      </c>
      <c r="E106" s="366">
        <v>0</v>
      </c>
      <c r="F106" s="203">
        <v>0</v>
      </c>
      <c r="G106" s="203">
        <v>0</v>
      </c>
      <c r="H106" s="203">
        <v>0</v>
      </c>
      <c r="I106" s="203">
        <v>0</v>
      </c>
      <c r="J106" s="204">
        <v>0</v>
      </c>
      <c r="K106" s="88">
        <v>2</v>
      </c>
      <c r="L106" s="78">
        <v>2</v>
      </c>
      <c r="M106" s="78">
        <v>2</v>
      </c>
      <c r="N106" s="78">
        <v>2</v>
      </c>
      <c r="O106" s="78">
        <v>2</v>
      </c>
      <c r="P106" s="81">
        <v>2</v>
      </c>
      <c r="Q106" s="432" t="s">
        <v>2014</v>
      </c>
      <c r="R106" s="81" t="s">
        <v>2014</v>
      </c>
    </row>
    <row r="107" spans="1:18" ht="25.5">
      <c r="A107" s="5071"/>
      <c r="B107" s="1832" t="s">
        <v>75</v>
      </c>
      <c r="C107" s="1818" t="s">
        <v>893</v>
      </c>
      <c r="D107" s="530" t="s">
        <v>792</v>
      </c>
      <c r="E107" s="366">
        <v>2</v>
      </c>
      <c r="F107" s="203">
        <v>2</v>
      </c>
      <c r="G107" s="203">
        <v>2</v>
      </c>
      <c r="H107" s="203">
        <v>2</v>
      </c>
      <c r="I107" s="203">
        <v>2</v>
      </c>
      <c r="J107" s="204">
        <v>2</v>
      </c>
      <c r="K107" s="88">
        <v>2</v>
      </c>
      <c r="L107" s="78">
        <v>2</v>
      </c>
      <c r="M107" s="78">
        <v>2</v>
      </c>
      <c r="N107" s="78">
        <v>2</v>
      </c>
      <c r="O107" s="78">
        <v>2</v>
      </c>
      <c r="P107" s="81">
        <v>2</v>
      </c>
      <c r="Q107" s="432" t="s">
        <v>2014</v>
      </c>
      <c r="R107" s="81" t="s">
        <v>2014</v>
      </c>
    </row>
    <row r="108" spans="1:18" ht="51.75" thickBot="1">
      <c r="A108" s="5070"/>
      <c r="B108" s="1866" t="s">
        <v>76</v>
      </c>
      <c r="C108" s="1867" t="s">
        <v>892</v>
      </c>
      <c r="D108" s="531" t="s">
        <v>792</v>
      </c>
      <c r="E108" s="368">
        <v>42</v>
      </c>
      <c r="F108" s="206">
        <v>38</v>
      </c>
      <c r="G108" s="206">
        <v>34</v>
      </c>
      <c r="H108" s="206">
        <v>30</v>
      </c>
      <c r="I108" s="206">
        <v>26</v>
      </c>
      <c r="J108" s="207">
        <v>20</v>
      </c>
      <c r="K108" s="89">
        <v>2</v>
      </c>
      <c r="L108" s="82">
        <v>2</v>
      </c>
      <c r="M108" s="82">
        <v>2</v>
      </c>
      <c r="N108" s="82">
        <v>2</v>
      </c>
      <c r="O108" s="82">
        <v>2</v>
      </c>
      <c r="P108" s="83">
        <v>2</v>
      </c>
      <c r="Q108" s="638" t="s">
        <v>2014</v>
      </c>
      <c r="R108" s="83" t="s">
        <v>2014</v>
      </c>
    </row>
    <row r="109" spans="1:18" ht="51">
      <c r="A109" s="5069" t="s">
        <v>884</v>
      </c>
      <c r="B109" s="3912" t="s">
        <v>77</v>
      </c>
      <c r="C109" s="1816" t="s">
        <v>889</v>
      </c>
      <c r="D109" s="529" t="s">
        <v>792</v>
      </c>
      <c r="E109" s="367">
        <v>0</v>
      </c>
      <c r="F109" s="201">
        <v>3</v>
      </c>
      <c r="G109" s="201">
        <v>5</v>
      </c>
      <c r="H109" s="201">
        <v>7</v>
      </c>
      <c r="I109" s="201">
        <v>11</v>
      </c>
      <c r="J109" s="202">
        <v>14</v>
      </c>
      <c r="K109" s="87">
        <v>1</v>
      </c>
      <c r="L109" s="79">
        <v>1</v>
      </c>
      <c r="M109" s="79">
        <v>1</v>
      </c>
      <c r="N109" s="79">
        <v>1</v>
      </c>
      <c r="O109" s="79">
        <v>1</v>
      </c>
      <c r="P109" s="80">
        <v>1</v>
      </c>
      <c r="Q109" s="433" t="s">
        <v>2014</v>
      </c>
      <c r="R109" s="80" t="s">
        <v>2014</v>
      </c>
    </row>
    <row r="110" spans="1:18" ht="51">
      <c r="A110" s="5071"/>
      <c r="B110" s="3913" t="s">
        <v>78</v>
      </c>
      <c r="C110" s="1818" t="s">
        <v>890</v>
      </c>
      <c r="D110" s="530" t="s">
        <v>792</v>
      </c>
      <c r="E110" s="366">
        <v>0</v>
      </c>
      <c r="F110" s="203">
        <v>3</v>
      </c>
      <c r="G110" s="203">
        <v>5</v>
      </c>
      <c r="H110" s="203">
        <v>7</v>
      </c>
      <c r="I110" s="203">
        <v>11</v>
      </c>
      <c r="J110" s="204">
        <v>14</v>
      </c>
      <c r="K110" s="88">
        <v>1</v>
      </c>
      <c r="L110" s="78">
        <v>1</v>
      </c>
      <c r="M110" s="78">
        <v>1</v>
      </c>
      <c r="N110" s="78">
        <v>1</v>
      </c>
      <c r="O110" s="78">
        <v>1</v>
      </c>
      <c r="P110" s="81">
        <v>1</v>
      </c>
      <c r="Q110" s="432" t="s">
        <v>2014</v>
      </c>
      <c r="R110" s="81" t="s">
        <v>2014</v>
      </c>
    </row>
    <row r="111" spans="1:18" ht="51">
      <c r="A111" s="5071"/>
      <c r="B111" s="3913" t="s">
        <v>79</v>
      </c>
      <c r="C111" s="1818" t="s">
        <v>891</v>
      </c>
      <c r="D111" s="530" t="s">
        <v>792</v>
      </c>
      <c r="E111" s="366">
        <v>0</v>
      </c>
      <c r="F111" s="203">
        <v>2</v>
      </c>
      <c r="G111" s="203">
        <v>4</v>
      </c>
      <c r="H111" s="203">
        <v>5</v>
      </c>
      <c r="I111" s="203">
        <v>7</v>
      </c>
      <c r="J111" s="204">
        <v>10</v>
      </c>
      <c r="K111" s="88">
        <v>1</v>
      </c>
      <c r="L111" s="78">
        <v>1</v>
      </c>
      <c r="M111" s="78">
        <v>1</v>
      </c>
      <c r="N111" s="78">
        <v>1</v>
      </c>
      <c r="O111" s="78">
        <v>1</v>
      </c>
      <c r="P111" s="81">
        <v>1</v>
      </c>
      <c r="Q111" s="432" t="s">
        <v>2014</v>
      </c>
      <c r="R111" s="81" t="s">
        <v>2014</v>
      </c>
    </row>
    <row r="112" spans="1:18" ht="51.75" thickBot="1">
      <c r="A112" s="5070"/>
      <c r="B112" s="3914" t="s">
        <v>80</v>
      </c>
      <c r="C112" s="1822" t="s">
        <v>888</v>
      </c>
      <c r="D112" s="531" t="s">
        <v>792</v>
      </c>
      <c r="E112" s="368">
        <v>0</v>
      </c>
      <c r="F112" s="206">
        <v>2</v>
      </c>
      <c r="G112" s="206">
        <v>4</v>
      </c>
      <c r="H112" s="206">
        <v>5</v>
      </c>
      <c r="I112" s="206">
        <v>7</v>
      </c>
      <c r="J112" s="207">
        <v>10</v>
      </c>
      <c r="K112" s="89">
        <v>1</v>
      </c>
      <c r="L112" s="82">
        <v>1</v>
      </c>
      <c r="M112" s="82">
        <v>1</v>
      </c>
      <c r="N112" s="82">
        <v>1</v>
      </c>
      <c r="O112" s="82">
        <v>1</v>
      </c>
      <c r="P112" s="83">
        <v>1</v>
      </c>
      <c r="Q112" s="638" t="s">
        <v>2014</v>
      </c>
      <c r="R112" s="83" t="s">
        <v>2014</v>
      </c>
    </row>
    <row r="113" spans="1:18" ht="38.25">
      <c r="A113" s="5069" t="s">
        <v>885</v>
      </c>
      <c r="B113" s="3912" t="s">
        <v>81</v>
      </c>
      <c r="C113" s="1816" t="s">
        <v>886</v>
      </c>
      <c r="D113" s="529" t="s">
        <v>792</v>
      </c>
      <c r="E113" s="375">
        <f>'5. Персонал'!C14+'5. Персонал'!U14+'5. Персонал'!AA14</f>
        <v>268</v>
      </c>
      <c r="F113" s="315">
        <f>'5. Персонал'!D14+'5. Персонал'!V14+'5. Персонал'!AB14</f>
        <v>265</v>
      </c>
      <c r="G113" s="315">
        <f>'5. Персонал'!E14+'5. Персонал'!W14+'5. Персонал'!AC14</f>
        <v>265</v>
      </c>
      <c r="H113" s="315">
        <f>'5. Персонал'!F14+'5. Персонал'!X14+'5. Персонал'!AD14</f>
        <v>265</v>
      </c>
      <c r="I113" s="315">
        <f>'5. Персонал'!G14+'5. Персонал'!Y14+'5. Персонал'!AE14</f>
        <v>265</v>
      </c>
      <c r="J113" s="316">
        <f>'5. Персонал'!H14+'5. Персонал'!Z14+'5. Персонал'!AF14</f>
        <v>231</v>
      </c>
      <c r="K113" s="87">
        <v>1</v>
      </c>
      <c r="L113" s="79">
        <v>1</v>
      </c>
      <c r="M113" s="79">
        <v>1</v>
      </c>
      <c r="N113" s="79">
        <v>1</v>
      </c>
      <c r="O113" s="79">
        <v>1</v>
      </c>
      <c r="P113" s="80">
        <v>1</v>
      </c>
      <c r="Q113" s="433" t="s">
        <v>2019</v>
      </c>
      <c r="R113" s="80" t="s">
        <v>2019</v>
      </c>
    </row>
    <row r="114" spans="1:18" ht="39" thickBot="1">
      <c r="A114" s="5070"/>
      <c r="B114" s="3914" t="s">
        <v>83</v>
      </c>
      <c r="C114" s="1822" t="s">
        <v>887</v>
      </c>
      <c r="D114" s="531" t="s">
        <v>792</v>
      </c>
      <c r="E114" s="377">
        <f>'5. Персонал'!I14+'5. Персонал'!O14</f>
        <v>50</v>
      </c>
      <c r="F114" s="311">
        <f>'5. Персонал'!J14+'5. Персонал'!P14</f>
        <v>50</v>
      </c>
      <c r="G114" s="311">
        <f>'5. Персонал'!K14+'5. Персонал'!Q14</f>
        <v>50</v>
      </c>
      <c r="H114" s="311">
        <f>'5. Персонал'!L14+'5. Персонал'!R14</f>
        <v>50</v>
      </c>
      <c r="I114" s="311">
        <f>'5. Персонал'!M14+'5. Персонал'!S14</f>
        <v>50</v>
      </c>
      <c r="J114" s="312">
        <f>'5. Персонал'!N14+'5. Персонал'!T14</f>
        <v>53</v>
      </c>
      <c r="K114" s="89">
        <v>1</v>
      </c>
      <c r="L114" s="82">
        <v>1</v>
      </c>
      <c r="M114" s="82">
        <v>1</v>
      </c>
      <c r="N114" s="82">
        <v>1</v>
      </c>
      <c r="O114" s="82">
        <v>1</v>
      </c>
      <c r="P114" s="83">
        <v>1</v>
      </c>
      <c r="Q114" s="638" t="s">
        <v>2019</v>
      </c>
      <c r="R114" s="83" t="s">
        <v>2019</v>
      </c>
    </row>
    <row r="115" spans="1:18" s="4462" customFormat="1" ht="18.75" customHeight="1" thickBot="1">
      <c r="A115" s="5075" t="s">
        <v>1117</v>
      </c>
      <c r="B115" s="5076"/>
      <c r="C115" s="5076"/>
      <c r="D115" s="5076"/>
      <c r="E115" s="5076"/>
      <c r="F115" s="5076"/>
      <c r="G115" s="5076"/>
      <c r="H115" s="5076"/>
      <c r="I115" s="5076"/>
      <c r="J115" s="5076"/>
      <c r="K115" s="5076"/>
      <c r="L115" s="5076"/>
      <c r="M115" s="5076"/>
      <c r="N115" s="5076"/>
      <c r="O115" s="5076"/>
      <c r="P115" s="5076"/>
      <c r="Q115" s="5076"/>
      <c r="R115" s="5077"/>
    </row>
    <row r="116" spans="1:18" s="4462" customFormat="1" ht="51.75" thickBot="1">
      <c r="A116" s="1868" t="s">
        <v>860</v>
      </c>
      <c r="B116" s="1869" t="s">
        <v>35</v>
      </c>
      <c r="C116" s="1870" t="s">
        <v>1118</v>
      </c>
      <c r="D116" s="541" t="s">
        <v>792</v>
      </c>
      <c r="E116" s="367">
        <v>2</v>
      </c>
      <c r="F116" s="201">
        <v>2</v>
      </c>
      <c r="G116" s="201">
        <v>2</v>
      </c>
      <c r="H116" s="201">
        <v>2</v>
      </c>
      <c r="I116" s="201">
        <v>2</v>
      </c>
      <c r="J116" s="202">
        <v>2</v>
      </c>
      <c r="K116" s="87">
        <v>1</v>
      </c>
      <c r="L116" s="79">
        <v>1</v>
      </c>
      <c r="M116" s="79">
        <v>1</v>
      </c>
      <c r="N116" s="79">
        <v>1</v>
      </c>
      <c r="O116" s="79">
        <v>1</v>
      </c>
      <c r="P116" s="80">
        <v>1</v>
      </c>
      <c r="Q116" s="84" t="s">
        <v>2025</v>
      </c>
      <c r="R116" s="80" t="s">
        <v>2025</v>
      </c>
    </row>
    <row r="117" spans="1:18" s="4462" customFormat="1" ht="51.75" thickBot="1">
      <c r="A117" s="1868" t="s">
        <v>867</v>
      </c>
      <c r="B117" s="1869"/>
      <c r="C117" s="1870" t="s">
        <v>863</v>
      </c>
      <c r="D117" s="541" t="s">
        <v>792</v>
      </c>
      <c r="E117" s="367">
        <v>1</v>
      </c>
      <c r="F117" s="201">
        <v>1</v>
      </c>
      <c r="G117" s="201">
        <v>1</v>
      </c>
      <c r="H117" s="201">
        <v>1</v>
      </c>
      <c r="I117" s="201">
        <v>1</v>
      </c>
      <c r="J117" s="202">
        <v>1</v>
      </c>
      <c r="K117" s="87">
        <v>1</v>
      </c>
      <c r="L117" s="79">
        <v>1</v>
      </c>
      <c r="M117" s="79">
        <v>1</v>
      </c>
      <c r="N117" s="79">
        <v>1</v>
      </c>
      <c r="O117" s="79">
        <v>1</v>
      </c>
      <c r="P117" s="80">
        <v>1</v>
      </c>
      <c r="Q117" s="84" t="s">
        <v>2025</v>
      </c>
      <c r="R117" s="80" t="s">
        <v>2025</v>
      </c>
    </row>
    <row r="118" spans="1:18" s="4462" customFormat="1" ht="15.75">
      <c r="A118" s="5081" t="s">
        <v>1119</v>
      </c>
      <c r="B118" s="1871"/>
      <c r="C118" s="1872" t="s">
        <v>1014</v>
      </c>
      <c r="D118" s="542" t="s">
        <v>792</v>
      </c>
      <c r="E118" s="484">
        <v>1</v>
      </c>
      <c r="F118" s="485">
        <v>1</v>
      </c>
      <c r="G118" s="485">
        <v>1</v>
      </c>
      <c r="H118" s="485">
        <v>1</v>
      </c>
      <c r="I118" s="485">
        <v>1</v>
      </c>
      <c r="J118" s="486">
        <v>1</v>
      </c>
      <c r="K118" s="484">
        <v>1</v>
      </c>
      <c r="L118" s="485">
        <v>1</v>
      </c>
      <c r="M118" s="485">
        <v>1</v>
      </c>
      <c r="N118" s="485">
        <v>1</v>
      </c>
      <c r="O118" s="485">
        <v>1</v>
      </c>
      <c r="P118" s="486">
        <v>1</v>
      </c>
      <c r="Q118" s="485" t="s">
        <v>2009</v>
      </c>
      <c r="R118" s="486" t="s">
        <v>2010</v>
      </c>
    </row>
    <row r="119" spans="1:18" s="4462" customFormat="1" ht="38.25">
      <c r="A119" s="5088"/>
      <c r="B119" s="1873"/>
      <c r="C119" s="1874" t="s">
        <v>909</v>
      </c>
      <c r="D119" s="543" t="s">
        <v>792</v>
      </c>
      <c r="E119" s="487">
        <v>1</v>
      </c>
      <c r="F119" s="488">
        <v>1</v>
      </c>
      <c r="G119" s="488">
        <v>1</v>
      </c>
      <c r="H119" s="488">
        <v>1</v>
      </c>
      <c r="I119" s="488">
        <v>1</v>
      </c>
      <c r="J119" s="489">
        <v>1</v>
      </c>
      <c r="K119" s="487">
        <v>1</v>
      </c>
      <c r="L119" s="488">
        <v>1</v>
      </c>
      <c r="M119" s="488">
        <v>1</v>
      </c>
      <c r="N119" s="488">
        <v>1</v>
      </c>
      <c r="O119" s="488">
        <v>1</v>
      </c>
      <c r="P119" s="489">
        <v>1</v>
      </c>
      <c r="Q119" s="488" t="s">
        <v>2015</v>
      </c>
      <c r="R119" s="489" t="s">
        <v>2015</v>
      </c>
    </row>
    <row r="120" spans="1:18" s="4462" customFormat="1" ht="15.75">
      <c r="A120" s="5088"/>
      <c r="B120" s="1873"/>
      <c r="C120" s="1875" t="s">
        <v>870</v>
      </c>
      <c r="D120" s="543" t="s">
        <v>792</v>
      </c>
      <c r="E120" s="490">
        <v>0</v>
      </c>
      <c r="F120" s="491">
        <v>0</v>
      </c>
      <c r="G120" s="491">
        <v>0</v>
      </c>
      <c r="H120" s="491">
        <v>0</v>
      </c>
      <c r="I120" s="491">
        <v>0</v>
      </c>
      <c r="J120" s="492">
        <v>0</v>
      </c>
      <c r="K120" s="490"/>
      <c r="L120" s="491"/>
      <c r="M120" s="491"/>
      <c r="N120" s="491"/>
      <c r="O120" s="491"/>
      <c r="P120" s="492"/>
      <c r="Q120" s="491" t="s">
        <v>2009</v>
      </c>
      <c r="R120" s="492" t="s">
        <v>2010</v>
      </c>
    </row>
    <row r="121" spans="1:18" s="4462" customFormat="1" ht="15.75">
      <c r="A121" s="5088"/>
      <c r="B121" s="1876"/>
      <c r="C121" s="1875" t="s">
        <v>871</v>
      </c>
      <c r="D121" s="543" t="s">
        <v>792</v>
      </c>
      <c r="E121" s="487">
        <v>0</v>
      </c>
      <c r="F121" s="488">
        <v>0</v>
      </c>
      <c r="G121" s="488">
        <v>0</v>
      </c>
      <c r="H121" s="488">
        <v>0</v>
      </c>
      <c r="I121" s="488">
        <v>0</v>
      </c>
      <c r="J121" s="489">
        <v>0</v>
      </c>
      <c r="K121" s="487"/>
      <c r="L121" s="488"/>
      <c r="M121" s="488"/>
      <c r="N121" s="488"/>
      <c r="O121" s="488"/>
      <c r="P121" s="489"/>
      <c r="Q121" s="488" t="s">
        <v>2009</v>
      </c>
      <c r="R121" s="489" t="s">
        <v>2010</v>
      </c>
    </row>
    <row r="122" spans="1:18" s="4462" customFormat="1" ht="51">
      <c r="A122" s="5088"/>
      <c r="B122" s="1877" t="s">
        <v>33</v>
      </c>
      <c r="C122" s="1874" t="s">
        <v>822</v>
      </c>
      <c r="D122" s="543" t="s">
        <v>820</v>
      </c>
      <c r="E122" s="487">
        <v>1</v>
      </c>
      <c r="F122" s="494">
        <v>1</v>
      </c>
      <c r="G122" s="493">
        <v>1</v>
      </c>
      <c r="H122" s="494">
        <v>1</v>
      </c>
      <c r="I122" s="493">
        <v>1</v>
      </c>
      <c r="J122" s="495">
        <v>1</v>
      </c>
      <c r="K122" s="487">
        <v>1</v>
      </c>
      <c r="L122" s="496">
        <v>1</v>
      </c>
      <c r="M122" s="496">
        <v>1</v>
      </c>
      <c r="N122" s="494">
        <v>1</v>
      </c>
      <c r="O122" s="493">
        <v>1</v>
      </c>
      <c r="P122" s="495">
        <v>1</v>
      </c>
      <c r="Q122" s="493" t="s">
        <v>2026</v>
      </c>
      <c r="R122" s="495" t="s">
        <v>2010</v>
      </c>
    </row>
    <row r="123" spans="1:18" s="4462" customFormat="1" ht="76.5">
      <c r="A123" s="5088"/>
      <c r="B123" s="1877" t="s">
        <v>31</v>
      </c>
      <c r="C123" s="1874" t="s">
        <v>1120</v>
      </c>
      <c r="D123" s="543" t="s">
        <v>820</v>
      </c>
      <c r="E123" s="490">
        <v>1</v>
      </c>
      <c r="F123" s="491">
        <v>1</v>
      </c>
      <c r="G123" s="491">
        <v>1</v>
      </c>
      <c r="H123" s="491">
        <v>1</v>
      </c>
      <c r="I123" s="491">
        <v>1</v>
      </c>
      <c r="J123" s="492">
        <v>1</v>
      </c>
      <c r="K123" s="490">
        <v>1</v>
      </c>
      <c r="L123" s="491">
        <v>1</v>
      </c>
      <c r="M123" s="491">
        <v>1</v>
      </c>
      <c r="N123" s="491">
        <v>1</v>
      </c>
      <c r="O123" s="491">
        <v>1</v>
      </c>
      <c r="P123" s="492">
        <v>1</v>
      </c>
      <c r="Q123" s="491" t="s">
        <v>2026</v>
      </c>
      <c r="R123" s="492" t="s">
        <v>2010</v>
      </c>
    </row>
    <row r="124" spans="1:18" s="4462" customFormat="1" ht="38.25">
      <c r="A124" s="5088"/>
      <c r="B124" s="1877" t="s">
        <v>82</v>
      </c>
      <c r="C124" s="1878" t="s">
        <v>907</v>
      </c>
      <c r="D124" s="543" t="s">
        <v>792</v>
      </c>
      <c r="E124" s="487">
        <v>2</v>
      </c>
      <c r="F124" s="488">
        <v>2</v>
      </c>
      <c r="G124" s="488">
        <v>2</v>
      </c>
      <c r="H124" s="488">
        <v>2</v>
      </c>
      <c r="I124" s="488">
        <v>2</v>
      </c>
      <c r="J124" s="489">
        <v>2</v>
      </c>
      <c r="K124" s="487">
        <v>1</v>
      </c>
      <c r="L124" s="488">
        <v>1</v>
      </c>
      <c r="M124" s="488">
        <v>1</v>
      </c>
      <c r="N124" s="488">
        <v>1</v>
      </c>
      <c r="O124" s="488">
        <v>1</v>
      </c>
      <c r="P124" s="489">
        <v>1</v>
      </c>
      <c r="Q124" s="488" t="s">
        <v>2024</v>
      </c>
      <c r="R124" s="489" t="s">
        <v>2010</v>
      </c>
    </row>
    <row r="125" spans="1:18" s="4462" customFormat="1" ht="39" thickBot="1">
      <c r="A125" s="5082"/>
      <c r="B125" s="1879" t="s">
        <v>851</v>
      </c>
      <c r="C125" s="1880" t="s">
        <v>852</v>
      </c>
      <c r="D125" s="544" t="s">
        <v>792</v>
      </c>
      <c r="E125" s="487">
        <v>2</v>
      </c>
      <c r="F125" s="488">
        <v>2</v>
      </c>
      <c r="G125" s="488">
        <v>2</v>
      </c>
      <c r="H125" s="488">
        <v>2</v>
      </c>
      <c r="I125" s="488">
        <v>2</v>
      </c>
      <c r="J125" s="489">
        <v>2</v>
      </c>
      <c r="K125" s="487">
        <v>1</v>
      </c>
      <c r="L125" s="488">
        <v>1</v>
      </c>
      <c r="M125" s="488">
        <v>1</v>
      </c>
      <c r="N125" s="488">
        <v>1</v>
      </c>
      <c r="O125" s="488">
        <v>1</v>
      </c>
      <c r="P125" s="489">
        <v>1</v>
      </c>
      <c r="Q125" s="488" t="s">
        <v>2024</v>
      </c>
      <c r="R125" s="489" t="s">
        <v>2010</v>
      </c>
    </row>
    <row r="126" spans="1:18" s="4462" customFormat="1" ht="39" thickBot="1">
      <c r="A126" s="4413" t="s">
        <v>1121</v>
      </c>
      <c r="B126" s="1881" t="s">
        <v>32</v>
      </c>
      <c r="C126" s="1882" t="s">
        <v>821</v>
      </c>
      <c r="D126" s="545" t="s">
        <v>792</v>
      </c>
      <c r="E126" s="497">
        <v>0</v>
      </c>
      <c r="F126" s="499">
        <v>0</v>
      </c>
      <c r="G126" s="500">
        <v>0</v>
      </c>
      <c r="H126" s="501">
        <v>0</v>
      </c>
      <c r="I126" s="499">
        <v>0</v>
      </c>
      <c r="J126" s="502">
        <v>0</v>
      </c>
      <c r="K126" s="497">
        <v>1</v>
      </c>
      <c r="L126" s="499">
        <v>1</v>
      </c>
      <c r="M126" s="500">
        <v>1</v>
      </c>
      <c r="N126" s="501">
        <v>1</v>
      </c>
      <c r="O126" s="499">
        <v>1</v>
      </c>
      <c r="P126" s="502">
        <v>1</v>
      </c>
      <c r="Q126" s="498" t="s">
        <v>2012</v>
      </c>
      <c r="R126" s="503" t="s">
        <v>2012</v>
      </c>
    </row>
    <row r="127" spans="1:18" s="4462" customFormat="1" ht="63.75">
      <c r="A127" s="5081" t="s">
        <v>879</v>
      </c>
      <c r="B127" s="1869" t="s">
        <v>44</v>
      </c>
      <c r="C127" s="1870" t="s">
        <v>817</v>
      </c>
      <c r="D127" s="542" t="s">
        <v>1052</v>
      </c>
      <c r="E127" s="546">
        <f>'4. Отчет и прогн. потребление'!D62</f>
        <v>236289</v>
      </c>
      <c r="F127" s="547">
        <f>'4. Отчет и прогн. потребление'!E62</f>
        <v>1363303.8333333333</v>
      </c>
      <c r="G127" s="547">
        <f>'4. Отчет и прогн. потребление'!F62</f>
        <v>1347534.8263202687</v>
      </c>
      <c r="H127" s="547">
        <f>'4. Отчет и прогн. потребление'!G62</f>
        <v>1331765.8193072043</v>
      </c>
      <c r="I127" s="547">
        <f>'4. Отчет и прогн. потребление'!H62</f>
        <v>1315996.81229414</v>
      </c>
      <c r="J127" s="611">
        <f>'4. Отчет и прогн. потребление'!I62</f>
        <v>1300411.6316967113</v>
      </c>
      <c r="K127" s="1896">
        <v>1</v>
      </c>
      <c r="L127" s="1897">
        <v>1</v>
      </c>
      <c r="M127" s="1898">
        <v>1</v>
      </c>
      <c r="N127" s="1899">
        <v>1</v>
      </c>
      <c r="O127" s="1897">
        <v>1</v>
      </c>
      <c r="P127" s="1900">
        <v>1</v>
      </c>
      <c r="Q127" s="485" t="s">
        <v>2013</v>
      </c>
      <c r="R127" s="486" t="s">
        <v>2021</v>
      </c>
    </row>
    <row r="128" spans="1:18" s="4462" customFormat="1" ht="51">
      <c r="A128" s="5088"/>
      <c r="B128" s="1877" t="s">
        <v>790</v>
      </c>
      <c r="C128" s="1883" t="s">
        <v>819</v>
      </c>
      <c r="D128" s="543" t="s">
        <v>1052</v>
      </c>
      <c r="E128" s="548">
        <f>'4. Отчет и прогн. потребление'!D69</f>
        <v>236289</v>
      </c>
      <c r="F128" s="549">
        <f>'4. Отчет и прогн. потребление'!E69</f>
        <v>1363303.8333333333</v>
      </c>
      <c r="G128" s="549">
        <f>'4. Отчет и прогн. потребление'!F69</f>
        <v>1347534.8263202687</v>
      </c>
      <c r="H128" s="549">
        <f>'4. Отчет и прогн. потребление'!G69</f>
        <v>1331765.8193072043</v>
      </c>
      <c r="I128" s="549">
        <f>'4. Отчет и прогн. потребление'!H69</f>
        <v>1315996.81229414</v>
      </c>
      <c r="J128" s="612">
        <f>'4. Отчет и прогн. потребление'!I69</f>
        <v>1300411.6316967113</v>
      </c>
      <c r="K128" s="1901">
        <v>1</v>
      </c>
      <c r="L128" s="1902">
        <v>1</v>
      </c>
      <c r="M128" s="1903">
        <v>1</v>
      </c>
      <c r="N128" s="1904">
        <v>1</v>
      </c>
      <c r="O128" s="1902">
        <v>1</v>
      </c>
      <c r="P128" s="1905">
        <v>1</v>
      </c>
      <c r="Q128" s="488" t="s">
        <v>2024</v>
      </c>
      <c r="R128" s="489" t="s">
        <v>2024</v>
      </c>
    </row>
    <row r="129" spans="1:18" s="4462" customFormat="1" ht="90" thickBot="1">
      <c r="A129" s="5082"/>
      <c r="B129" s="1877" t="s">
        <v>791</v>
      </c>
      <c r="C129" s="1884" t="s">
        <v>818</v>
      </c>
      <c r="D129" s="544" t="s">
        <v>1052</v>
      </c>
      <c r="E129" s="550">
        <f>'4. Отчет и прогн. потребление'!D88</f>
        <v>0</v>
      </c>
      <c r="F129" s="551">
        <f>'4. Отчет и прогн. потребление'!E88</f>
        <v>0</v>
      </c>
      <c r="G129" s="551">
        <f>'4. Отчет и прогн. потребление'!F88</f>
        <v>0</v>
      </c>
      <c r="H129" s="551">
        <f>'4. Отчет и прогн. потребление'!G88</f>
        <v>0</v>
      </c>
      <c r="I129" s="551">
        <f>'4. Отчет и прогн. потребление'!H88</f>
        <v>0</v>
      </c>
      <c r="J129" s="613">
        <f>'4. Отчет и прогн. потребление'!I88</f>
        <v>0</v>
      </c>
      <c r="K129" s="1906">
        <v>1</v>
      </c>
      <c r="L129" s="1907">
        <v>1</v>
      </c>
      <c r="M129" s="1907">
        <v>1</v>
      </c>
      <c r="N129" s="1907">
        <v>1</v>
      </c>
      <c r="O129" s="1908">
        <v>1</v>
      </c>
      <c r="P129" s="1909">
        <v>1</v>
      </c>
      <c r="Q129" s="488" t="s">
        <v>2022</v>
      </c>
      <c r="R129" s="489" t="s">
        <v>2014</v>
      </c>
    </row>
    <row r="130" spans="1:18" s="4462" customFormat="1" ht="25.5">
      <c r="A130" s="5081" t="s">
        <v>877</v>
      </c>
      <c r="B130" s="1885" t="s">
        <v>49</v>
      </c>
      <c r="C130" s="1885" t="s">
        <v>835</v>
      </c>
      <c r="D130" s="545" t="s">
        <v>820</v>
      </c>
      <c r="E130" s="952">
        <v>0</v>
      </c>
      <c r="F130" s="504">
        <v>0</v>
      </c>
      <c r="G130" s="506">
        <v>0</v>
      </c>
      <c r="H130" s="507">
        <v>0</v>
      </c>
      <c r="I130" s="505">
        <v>0</v>
      </c>
      <c r="J130" s="508">
        <v>0</v>
      </c>
      <c r="K130" s="486">
        <v>1</v>
      </c>
      <c r="L130" s="510">
        <v>1</v>
      </c>
      <c r="M130" s="485">
        <v>1</v>
      </c>
      <c r="N130" s="485">
        <v>1</v>
      </c>
      <c r="O130" s="511">
        <v>1</v>
      </c>
      <c r="P130" s="512">
        <v>1</v>
      </c>
      <c r="Q130" s="509" t="s">
        <v>2026</v>
      </c>
      <c r="R130" s="486" t="s">
        <v>2014</v>
      </c>
    </row>
    <row r="131" spans="1:18" s="4462" customFormat="1" ht="64.5" thickBot="1">
      <c r="A131" s="5082"/>
      <c r="B131" s="1880" t="s">
        <v>845</v>
      </c>
      <c r="C131" s="1886" t="s">
        <v>876</v>
      </c>
      <c r="D131" s="544" t="s">
        <v>820</v>
      </c>
      <c r="E131" s="552">
        <v>0</v>
      </c>
      <c r="F131" s="513">
        <v>0</v>
      </c>
      <c r="G131" s="514">
        <v>0</v>
      </c>
      <c r="H131" s="515">
        <v>0</v>
      </c>
      <c r="I131" s="513">
        <v>0</v>
      </c>
      <c r="J131" s="516">
        <v>0</v>
      </c>
      <c r="K131" s="516">
        <v>1</v>
      </c>
      <c r="L131" s="518">
        <v>1</v>
      </c>
      <c r="M131" s="513">
        <v>1</v>
      </c>
      <c r="N131" s="513">
        <v>1</v>
      </c>
      <c r="O131" s="519">
        <v>1</v>
      </c>
      <c r="P131" s="520">
        <v>1</v>
      </c>
      <c r="Q131" s="521" t="s">
        <v>2026</v>
      </c>
      <c r="R131" s="522" t="s">
        <v>2014</v>
      </c>
    </row>
    <row r="132" spans="1:18" s="4462" customFormat="1" ht="38.25">
      <c r="A132" s="5081" t="s">
        <v>1122</v>
      </c>
      <c r="B132" s="1885" t="s">
        <v>51</v>
      </c>
      <c r="C132" s="1870" t="s">
        <v>837</v>
      </c>
      <c r="D132" s="542" t="s">
        <v>836</v>
      </c>
      <c r="E132" s="374">
        <v>30954</v>
      </c>
      <c r="F132" s="309">
        <f>'16. Необходими приходи'!D36*1000</f>
        <v>179069.42824676601</v>
      </c>
      <c r="G132" s="309">
        <f>'16. Необходими приходи'!E36*1000</f>
        <v>248642.30015693256</v>
      </c>
      <c r="H132" s="309">
        <f>'16. Необходими приходи'!F36*1000</f>
        <v>245754.79306630572</v>
      </c>
      <c r="I132" s="309">
        <f>'16. Необходими приходи'!G36*1000</f>
        <v>243250.93616825054</v>
      </c>
      <c r="J132" s="309">
        <f>'16. Необходими приходи'!H36*1000</f>
        <v>240729.69389783175</v>
      </c>
      <c r="K132" s="523">
        <v>1</v>
      </c>
      <c r="L132" s="524">
        <v>1</v>
      </c>
      <c r="M132" s="1910">
        <v>1</v>
      </c>
      <c r="N132" s="525">
        <v>1</v>
      </c>
      <c r="O132" s="525">
        <v>1</v>
      </c>
      <c r="P132" s="526">
        <v>1</v>
      </c>
      <c r="Q132" s="509" t="s">
        <v>2018</v>
      </c>
      <c r="R132" s="486" t="s">
        <v>2018</v>
      </c>
    </row>
    <row r="133" spans="1:18" s="4462" customFormat="1" ht="39" thickBot="1">
      <c r="A133" s="5082"/>
      <c r="B133" s="1880" t="s">
        <v>52</v>
      </c>
      <c r="C133" s="1887" t="s">
        <v>838</v>
      </c>
      <c r="D133" s="544" t="s">
        <v>836</v>
      </c>
      <c r="E133" s="377">
        <f>'12. Разходи'!AA88*1000</f>
        <v>28377.999999999996</v>
      </c>
      <c r="F133" s="953">
        <f>'12. Разходи'!AB88*1000</f>
        <v>176144.88261600005</v>
      </c>
      <c r="G133" s="311">
        <f>'12. Разходи'!AC88*1000</f>
        <v>244742.29233600001</v>
      </c>
      <c r="H133" s="954">
        <f>'12. Разходи'!AD88*1000</f>
        <v>241966.675178</v>
      </c>
      <c r="I133" s="954">
        <f>'12. Разходи'!AE88*1000</f>
        <v>239516.43779600001</v>
      </c>
      <c r="J133" s="312">
        <f>'12. Разходи'!AF88*1000</f>
        <v>237049.05646600004</v>
      </c>
      <c r="K133" s="1519">
        <v>1</v>
      </c>
      <c r="L133" s="1518">
        <v>1</v>
      </c>
      <c r="M133" s="1911">
        <v>1</v>
      </c>
      <c r="N133" s="527">
        <v>1</v>
      </c>
      <c r="O133" s="527">
        <v>1</v>
      </c>
      <c r="P133" s="528">
        <v>1</v>
      </c>
      <c r="Q133" s="517" t="s">
        <v>2018</v>
      </c>
      <c r="R133" s="522" t="s">
        <v>2018</v>
      </c>
    </row>
    <row r="135" spans="1:18">
      <c r="D135" s="378"/>
    </row>
    <row r="136" spans="1:18">
      <c r="A136" s="1888" t="str">
        <f>'Приложение '!B81</f>
        <v>Дата: 24 юни 2021 година</v>
      </c>
      <c r="C136" s="5091"/>
      <c r="D136" s="5091"/>
      <c r="E136" s="5091"/>
      <c r="J136" s="1889" t="str">
        <f>'Приложение '!C81</f>
        <v xml:space="preserve">Гл. счетоводител/Фин.директор: </v>
      </c>
      <c r="K136" s="4420" t="str">
        <f>'Приложение '!D81</f>
        <v>..............................................</v>
      </c>
      <c r="L136" s="1811"/>
      <c r="M136" s="1811"/>
    </row>
    <row r="137" spans="1:18" ht="13.5">
      <c r="J137" s="1889"/>
      <c r="K137" s="1890" t="str">
        <f>'Приложение '!D82</f>
        <v>(подпис)</v>
      </c>
      <c r="L137" s="1811"/>
      <c r="M137" s="1811"/>
    </row>
    <row r="138" spans="1:18">
      <c r="C138" s="1891"/>
      <c r="J138" s="1889"/>
      <c r="K138" s="4420"/>
      <c r="L138" s="1811"/>
      <c r="M138" s="1811"/>
    </row>
    <row r="139" spans="1:18">
      <c r="D139" s="1892"/>
      <c r="J139" s="1889"/>
      <c r="K139" s="4420"/>
      <c r="L139" s="1811"/>
      <c r="M139" s="1811"/>
    </row>
    <row r="140" spans="1:18">
      <c r="A140" s="1893" t="s">
        <v>561</v>
      </c>
      <c r="J140" s="1889" t="str">
        <f>'Приложение '!C85</f>
        <v xml:space="preserve">Управител/Изп.директор: </v>
      </c>
      <c r="K140" s="4420" t="str">
        <f>'Приложение '!D85</f>
        <v>.............................................</v>
      </c>
      <c r="L140" s="1811"/>
      <c r="M140" s="1811"/>
    </row>
    <row r="141" spans="1:18" ht="13.5">
      <c r="A141" s="4422" t="s">
        <v>192</v>
      </c>
      <c r="K141" s="1890" t="str">
        <f>'Приложение '!D86</f>
        <v>(подпис и печат)</v>
      </c>
      <c r="L141" s="1811"/>
      <c r="M141" s="1811"/>
    </row>
    <row r="142" spans="1:18">
      <c r="A142" s="4422" t="s">
        <v>1495</v>
      </c>
      <c r="K142" s="1895"/>
      <c r="L142" s="1811"/>
      <c r="M142" s="1811"/>
    </row>
    <row r="143" spans="1:18">
      <c r="A143" s="4422" t="s">
        <v>1358</v>
      </c>
    </row>
    <row r="144" spans="1:18">
      <c r="A144" s="4419" t="s">
        <v>1446</v>
      </c>
    </row>
    <row r="145" spans="3:18" s="4463" customFormat="1" ht="15.75">
      <c r="D145" s="4464"/>
      <c r="E145" s="4465"/>
      <c r="F145" s="4466"/>
      <c r="G145" s="4467"/>
      <c r="H145" s="4466"/>
      <c r="I145" s="4468"/>
      <c r="J145" s="4465"/>
      <c r="K145" s="4465"/>
      <c r="L145" s="4465"/>
      <c r="M145" s="4465"/>
      <c r="N145" s="4465"/>
      <c r="O145" s="4465"/>
      <c r="P145" s="4465"/>
      <c r="Q145" s="4465"/>
      <c r="R145" s="4465"/>
    </row>
    <row r="146" spans="3:18" s="2229" customFormat="1" ht="12">
      <c r="C146" s="4469"/>
      <c r="D146" s="2235"/>
      <c r="E146" s="4470"/>
      <c r="F146" s="2231"/>
      <c r="G146" s="2231"/>
      <c r="H146" s="2230"/>
      <c r="I146" s="2230"/>
      <c r="J146" s="2230"/>
      <c r="K146" s="2230"/>
      <c r="L146" s="2230"/>
      <c r="M146" s="2230"/>
      <c r="N146" s="2230"/>
      <c r="O146" s="2230"/>
      <c r="P146" s="2230"/>
      <c r="Q146" s="2230"/>
      <c r="R146" s="2230"/>
    </row>
  </sheetData>
  <sheetProtection password="EB75" sheet="1" objects="1" scenarios="1" formatCells="0" formatColumns="0" formatRows="0"/>
  <mergeCells count="37">
    <mergeCell ref="C136:E136"/>
    <mergeCell ref="D7:D8"/>
    <mergeCell ref="C7:C8"/>
    <mergeCell ref="B7:B8"/>
    <mergeCell ref="E7:J7"/>
    <mergeCell ref="A132:A133"/>
    <mergeCell ref="Q7:R7"/>
    <mergeCell ref="K7:P7"/>
    <mergeCell ref="A34:A43"/>
    <mergeCell ref="A44:A53"/>
    <mergeCell ref="A17:A20"/>
    <mergeCell ref="A21:A33"/>
    <mergeCell ref="A97:A108"/>
    <mergeCell ref="A93:A96"/>
    <mergeCell ref="A109:A112"/>
    <mergeCell ref="A115:R115"/>
    <mergeCell ref="A118:A125"/>
    <mergeCell ref="A127:A129"/>
    <mergeCell ref="A130:A131"/>
    <mergeCell ref="A113:A114"/>
    <mergeCell ref="A7:A8"/>
    <mergeCell ref="A10:A13"/>
    <mergeCell ref="A14:A16"/>
    <mergeCell ref="A9:R9"/>
    <mergeCell ref="A2:R2"/>
    <mergeCell ref="A3:R3"/>
    <mergeCell ref="A4:R4"/>
    <mergeCell ref="A5:R5"/>
    <mergeCell ref="A54:A55"/>
    <mergeCell ref="A80:A81"/>
    <mergeCell ref="A63:A66"/>
    <mergeCell ref="A82:A83"/>
    <mergeCell ref="A84:A92"/>
    <mergeCell ref="A58:A62"/>
    <mergeCell ref="A56:A57"/>
    <mergeCell ref="A78:A79"/>
    <mergeCell ref="A67:A77"/>
  </mergeCells>
  <conditionalFormatting sqref="B72:B73 B67:B70">
    <cfRule type="duplicateValues" dxfId="329" priority="71"/>
  </conditionalFormatting>
  <conditionalFormatting sqref="A7">
    <cfRule type="duplicateValues" dxfId="328" priority="70"/>
  </conditionalFormatting>
  <conditionalFormatting sqref="B99">
    <cfRule type="duplicateValues" dxfId="327" priority="69"/>
  </conditionalFormatting>
  <conditionalFormatting sqref="B100:B114 B66 B7 B28:B63 B78:B98 B74:B76 B10:B26 B71">
    <cfRule type="duplicateValues" dxfId="326" priority="72"/>
  </conditionalFormatting>
  <conditionalFormatting sqref="B122:B123">
    <cfRule type="duplicateValues" dxfId="325" priority="68"/>
  </conditionalFormatting>
  <conditionalFormatting sqref="B127:B129">
    <cfRule type="duplicateValues" dxfId="324" priority="67"/>
  </conditionalFormatting>
  <conditionalFormatting sqref="B126">
    <cfRule type="duplicateValues" dxfId="323" priority="66"/>
  </conditionalFormatting>
  <conditionalFormatting sqref="B130:B131">
    <cfRule type="duplicateValues" dxfId="322" priority="65"/>
  </conditionalFormatting>
  <conditionalFormatting sqref="B132:B133">
    <cfRule type="duplicateValues" dxfId="321" priority="64"/>
  </conditionalFormatting>
  <conditionalFormatting sqref="B116">
    <cfRule type="duplicateValues" dxfId="320" priority="63"/>
  </conditionalFormatting>
  <conditionalFormatting sqref="B117">
    <cfRule type="duplicateValues" dxfId="319" priority="62"/>
  </conditionalFormatting>
  <conditionalFormatting sqref="B124:B125">
    <cfRule type="duplicateValues" dxfId="318" priority="61"/>
  </conditionalFormatting>
  <conditionalFormatting sqref="E10">
    <cfRule type="cellIs" dxfId="317" priority="60" operator="greaterThan">
      <formula>$E$13</formula>
    </cfRule>
  </conditionalFormatting>
  <conditionalFormatting sqref="F10">
    <cfRule type="cellIs" dxfId="316" priority="59" operator="greaterThan">
      <formula>$F$13</formula>
    </cfRule>
  </conditionalFormatting>
  <conditionalFormatting sqref="G10">
    <cfRule type="cellIs" dxfId="315" priority="58" operator="greaterThan">
      <formula>$G$13</formula>
    </cfRule>
  </conditionalFormatting>
  <conditionalFormatting sqref="H10">
    <cfRule type="cellIs" dxfId="314" priority="57" operator="greaterThan">
      <formula>$H$13</formula>
    </cfRule>
  </conditionalFormatting>
  <conditionalFormatting sqref="I10">
    <cfRule type="cellIs" dxfId="313" priority="56" operator="greaterThan">
      <formula>$I$13</formula>
    </cfRule>
  </conditionalFormatting>
  <conditionalFormatting sqref="J10">
    <cfRule type="cellIs" dxfId="312" priority="55" operator="greaterThan">
      <formula>$J$13</formula>
    </cfRule>
  </conditionalFormatting>
  <conditionalFormatting sqref="E11">
    <cfRule type="cellIs" dxfId="311" priority="54" operator="greaterThan">
      <formula>$E$13</formula>
    </cfRule>
  </conditionalFormatting>
  <conditionalFormatting sqref="F11">
    <cfRule type="cellIs" dxfId="310" priority="53" operator="greaterThan">
      <formula>$F$13</formula>
    </cfRule>
  </conditionalFormatting>
  <conditionalFormatting sqref="G11">
    <cfRule type="cellIs" dxfId="309" priority="52" operator="greaterThan">
      <formula>$G$13</formula>
    </cfRule>
  </conditionalFormatting>
  <conditionalFormatting sqref="H11">
    <cfRule type="cellIs" dxfId="308" priority="51" operator="greaterThan">
      <formula>$H$13</formula>
    </cfRule>
  </conditionalFormatting>
  <conditionalFormatting sqref="I11">
    <cfRule type="cellIs" dxfId="307" priority="50" operator="greaterThan">
      <formula>$I$13</formula>
    </cfRule>
  </conditionalFormatting>
  <conditionalFormatting sqref="J11">
    <cfRule type="cellIs" dxfId="306" priority="49" operator="greaterThan">
      <formula>$J$13</formula>
    </cfRule>
  </conditionalFormatting>
  <conditionalFormatting sqref="E12">
    <cfRule type="cellIs" dxfId="305" priority="48" operator="greaterThan">
      <formula>$E$13</formula>
    </cfRule>
  </conditionalFormatting>
  <conditionalFormatting sqref="F12">
    <cfRule type="cellIs" dxfId="304" priority="47" operator="greaterThan">
      <formula>$F$13</formula>
    </cfRule>
  </conditionalFormatting>
  <conditionalFormatting sqref="G12">
    <cfRule type="cellIs" dxfId="303" priority="46" operator="greaterThan">
      <formula>$G$13</formula>
    </cfRule>
  </conditionalFormatting>
  <conditionalFormatting sqref="H12">
    <cfRule type="cellIs" dxfId="302" priority="45" operator="greaterThan">
      <formula>$H$13</formula>
    </cfRule>
  </conditionalFormatting>
  <conditionalFormatting sqref="I12">
    <cfRule type="cellIs" dxfId="301" priority="44" operator="greaterThan">
      <formula>$I$13</formula>
    </cfRule>
  </conditionalFormatting>
  <conditionalFormatting sqref="J12">
    <cfRule type="cellIs" dxfId="300" priority="43" operator="greaterThan">
      <formula>$J$13</formula>
    </cfRule>
  </conditionalFormatting>
  <conditionalFormatting sqref="E26">
    <cfRule type="cellIs" dxfId="299" priority="42" operator="greaterThan">
      <formula>$E$25</formula>
    </cfRule>
  </conditionalFormatting>
  <conditionalFormatting sqref="F26">
    <cfRule type="cellIs" dxfId="298" priority="41" operator="greaterThan">
      <formula>$F$25</formula>
    </cfRule>
  </conditionalFormatting>
  <conditionalFormatting sqref="G26">
    <cfRule type="cellIs" dxfId="297" priority="40" operator="greaterThan">
      <formula>$G$25</formula>
    </cfRule>
  </conditionalFormatting>
  <conditionalFormatting sqref="H26">
    <cfRule type="cellIs" dxfId="296" priority="39" operator="greaterThan">
      <formula>$H$25</formula>
    </cfRule>
  </conditionalFormatting>
  <conditionalFormatting sqref="I26">
    <cfRule type="cellIs" dxfId="295" priority="38" operator="greaterThan">
      <formula>$I$25</formula>
    </cfRule>
  </conditionalFormatting>
  <conditionalFormatting sqref="J26">
    <cfRule type="cellIs" dxfId="294" priority="37" operator="greaterThan">
      <formula>$J$25</formula>
    </cfRule>
  </conditionalFormatting>
  <conditionalFormatting sqref="E27">
    <cfRule type="cellIs" dxfId="293" priority="36" operator="lessThan">
      <formula>$E$17</formula>
    </cfRule>
  </conditionalFormatting>
  <conditionalFormatting sqref="F27">
    <cfRule type="cellIs" dxfId="292" priority="35" operator="lessThan">
      <formula>$F$17</formula>
    </cfRule>
  </conditionalFormatting>
  <conditionalFormatting sqref="G27">
    <cfRule type="cellIs" dxfId="291" priority="34" operator="lessThan">
      <formula>$G$17</formula>
    </cfRule>
  </conditionalFormatting>
  <conditionalFormatting sqref="H27">
    <cfRule type="cellIs" dxfId="290" priority="33" operator="lessThan">
      <formula>$H$17</formula>
    </cfRule>
  </conditionalFormatting>
  <conditionalFormatting sqref="I27">
    <cfRule type="cellIs" dxfId="289" priority="32" operator="lessThan">
      <formula>$I$17</formula>
    </cfRule>
  </conditionalFormatting>
  <conditionalFormatting sqref="J27">
    <cfRule type="cellIs" dxfId="288" priority="31" operator="lessThan">
      <formula>$J$17</formula>
    </cfRule>
  </conditionalFormatting>
  <conditionalFormatting sqref="E29">
    <cfRule type="cellIs" dxfId="287" priority="30" operator="equal">
      <formula>$E$28</formula>
    </cfRule>
  </conditionalFormatting>
  <conditionalFormatting sqref="F29">
    <cfRule type="cellIs" dxfId="286" priority="29" operator="equal">
      <formula>$F$28</formula>
    </cfRule>
  </conditionalFormatting>
  <conditionalFormatting sqref="G29">
    <cfRule type="cellIs" dxfId="285" priority="28" operator="equal">
      <formula>$G$28</formula>
    </cfRule>
  </conditionalFormatting>
  <conditionalFormatting sqref="H29">
    <cfRule type="cellIs" dxfId="284" priority="27" operator="equal">
      <formula>$H$28</formula>
    </cfRule>
  </conditionalFormatting>
  <conditionalFormatting sqref="I29">
    <cfRule type="cellIs" dxfId="283" priority="26" operator="equal">
      <formula>$I$28</formula>
    </cfRule>
  </conditionalFormatting>
  <conditionalFormatting sqref="J29">
    <cfRule type="cellIs" dxfId="282" priority="25" operator="equal">
      <formula>$J$28</formula>
    </cfRule>
  </conditionalFormatting>
  <conditionalFormatting sqref="E123">
    <cfRule type="cellIs" dxfId="281" priority="24" operator="greaterThan">
      <formula>$E$122</formula>
    </cfRule>
  </conditionalFormatting>
  <conditionalFormatting sqref="F123">
    <cfRule type="cellIs" dxfId="280" priority="23" operator="greaterThan">
      <formula>$F$122</formula>
    </cfRule>
  </conditionalFormatting>
  <conditionalFormatting sqref="G123">
    <cfRule type="cellIs" dxfId="279" priority="22" operator="greaterThan">
      <formula>$G$122</formula>
    </cfRule>
  </conditionalFormatting>
  <conditionalFormatting sqref="H123">
    <cfRule type="cellIs" dxfId="278" priority="21" operator="greaterThan">
      <formula>$H$122</formula>
    </cfRule>
  </conditionalFormatting>
  <conditionalFormatting sqref="I123">
    <cfRule type="cellIs" dxfId="277" priority="20" operator="greaterThan">
      <formula>$I$122</formula>
    </cfRule>
  </conditionalFormatting>
  <conditionalFormatting sqref="J123">
    <cfRule type="cellIs" dxfId="276" priority="19" operator="greaterThan">
      <formula>$J$122</formula>
    </cfRule>
  </conditionalFormatting>
  <conditionalFormatting sqref="E14">
    <cfRule type="cellIs" dxfId="275" priority="18" operator="greaterThanOrEqual">
      <formula>$E$10</formula>
    </cfRule>
  </conditionalFormatting>
  <conditionalFormatting sqref="F14">
    <cfRule type="cellIs" dxfId="274" priority="17" operator="greaterThanOrEqual">
      <formula>$F$10</formula>
    </cfRule>
  </conditionalFormatting>
  <conditionalFormatting sqref="G14">
    <cfRule type="cellIs" dxfId="273" priority="16" operator="greaterThanOrEqual">
      <formula>$G$10</formula>
    </cfRule>
  </conditionalFormatting>
  <conditionalFormatting sqref="H14">
    <cfRule type="cellIs" dxfId="272" priority="15" operator="greaterThanOrEqual">
      <formula>$H$10</formula>
    </cfRule>
  </conditionalFormatting>
  <conditionalFormatting sqref="I14">
    <cfRule type="cellIs" dxfId="271" priority="14" operator="greaterThanOrEqual">
      <formula>$I$10</formula>
    </cfRule>
  </conditionalFormatting>
  <conditionalFormatting sqref="J14">
    <cfRule type="cellIs" dxfId="270" priority="13" operator="greaterThanOrEqual">
      <formula>$J$10</formula>
    </cfRule>
  </conditionalFormatting>
  <conditionalFormatting sqref="E15">
    <cfRule type="cellIs" dxfId="269" priority="12" operator="greaterThanOrEqual">
      <formula>$E$11</formula>
    </cfRule>
  </conditionalFormatting>
  <conditionalFormatting sqref="F15">
    <cfRule type="cellIs" dxfId="268" priority="11" operator="greaterThanOrEqual">
      <formula>$F$11</formula>
    </cfRule>
  </conditionalFormatting>
  <conditionalFormatting sqref="G15">
    <cfRule type="cellIs" dxfId="267" priority="10" operator="greaterThanOrEqual">
      <formula>$G$11</formula>
    </cfRule>
  </conditionalFormatting>
  <conditionalFormatting sqref="H15">
    <cfRule type="cellIs" dxfId="266" priority="9" operator="greaterThanOrEqual">
      <formula>$H$11</formula>
    </cfRule>
  </conditionalFormatting>
  <conditionalFormatting sqref="I15">
    <cfRule type="cellIs" dxfId="265" priority="8" operator="greaterThanOrEqual">
      <formula>$I$11</formula>
    </cfRule>
  </conditionalFormatting>
  <conditionalFormatting sqref="J15">
    <cfRule type="cellIs" dxfId="264" priority="7" operator="greaterThanOrEqual">
      <formula>$J$11</formula>
    </cfRule>
  </conditionalFormatting>
  <conditionalFormatting sqref="E16">
    <cfRule type="cellIs" dxfId="263" priority="6" operator="greaterThanOrEqual">
      <formula>$E$12</formula>
    </cfRule>
  </conditionalFormatting>
  <conditionalFormatting sqref="F16">
    <cfRule type="cellIs" dxfId="262" priority="5" operator="greaterThanOrEqual">
      <formula>$F$12</formula>
    </cfRule>
  </conditionalFormatting>
  <conditionalFormatting sqref="G16">
    <cfRule type="cellIs" dxfId="261" priority="4" operator="greaterThanOrEqual">
      <formula>$G$12</formula>
    </cfRule>
  </conditionalFormatting>
  <conditionalFormatting sqref="H16">
    <cfRule type="cellIs" dxfId="260" priority="3" operator="greaterThanOrEqual">
      <formula>$H$12</formula>
    </cfRule>
  </conditionalFormatting>
  <conditionalFormatting sqref="I16">
    <cfRule type="cellIs" dxfId="259" priority="2" operator="greaterThanOrEqual">
      <formula>$I$12</formula>
    </cfRule>
  </conditionalFormatting>
  <conditionalFormatting sqref="J16">
    <cfRule type="cellIs" dxfId="258" priority="1" operator="greaterThanOrEqual">
      <formula>$J$12</formula>
    </cfRule>
  </conditionalFormatting>
  <printOptions horizontalCentered="1"/>
  <pageMargins left="0" right="0" top="0.74803149606299213" bottom="0.27559055118110237" header="0.39370078740157483" footer="0.11811023622047245"/>
  <pageSetup paperSize="9" scale="56" fitToHeight="4" orientation="landscape" r:id="rId1"/>
  <headerFooter alignWithMargins="0">
    <oddFooter>&amp;C&amp;A&amp;RСтр. &amp;P от &amp;N</oddFooter>
  </headerFooter>
  <rowBreaks count="4" manualBreakCount="4">
    <brk id="30" max="17" man="1"/>
    <brk id="48" max="17" man="1"/>
    <brk id="70" max="17" man="1"/>
    <brk id="96" max="1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W173"/>
  <sheetViews>
    <sheetView zoomScaleNormal="100" workbookViewId="0">
      <selection activeCell="C82" sqref="C82"/>
    </sheetView>
  </sheetViews>
  <sheetFormatPr defaultRowHeight="15.75" customHeight="1"/>
  <cols>
    <col min="1" max="1" width="37.5703125" customWidth="1"/>
    <col min="2" max="7" width="9.140625" style="1444"/>
    <col min="8" max="8" width="3.7109375" customWidth="1"/>
    <col min="9" max="9" width="37.5703125" customWidth="1"/>
    <col min="18" max="18" width="4.5703125" customWidth="1"/>
    <col min="19" max="19" width="37.5703125" style="1436" customWidth="1"/>
    <col min="20" max="27" width="9.140625" style="1444"/>
    <col min="28" max="28" width="3.5703125" customWidth="1"/>
    <col min="29" max="29" width="37.5703125" customWidth="1"/>
    <col min="30" max="30" width="9" style="198" customWidth="1"/>
    <col min="36" max="36" width="4.140625" customWidth="1"/>
    <col min="37" max="37" width="37.5703125" customWidth="1"/>
    <col min="38" max="42" width="9.140625" style="1444"/>
    <col min="44" max="44" width="37.5703125" customWidth="1"/>
  </cols>
  <sheetData>
    <row r="1" spans="1:49" ht="15.75" customHeight="1">
      <c r="A1" s="4034" t="s">
        <v>1749</v>
      </c>
      <c r="B1" s="3577"/>
      <c r="C1" s="3577"/>
      <c r="D1" s="3577"/>
      <c r="E1" s="3577"/>
      <c r="F1" s="3577"/>
      <c r="G1" s="3577"/>
      <c r="H1" s="3685"/>
      <c r="I1" s="4034" t="s">
        <v>1017</v>
      </c>
      <c r="J1" s="3685"/>
      <c r="K1" s="3685"/>
      <c r="L1" s="3685"/>
      <c r="M1" s="3685"/>
      <c r="N1" s="3685"/>
      <c r="O1" s="3685"/>
      <c r="P1" s="3685"/>
      <c r="Q1" s="3685"/>
      <c r="R1" s="3685"/>
      <c r="S1" s="4099" t="s">
        <v>1768</v>
      </c>
      <c r="T1" s="3577"/>
      <c r="U1" s="3577"/>
      <c r="V1" s="3577"/>
      <c r="W1" s="3577"/>
      <c r="X1" s="3577"/>
      <c r="Y1" s="3577"/>
      <c r="Z1" s="3577"/>
      <c r="AA1" s="3577"/>
      <c r="AB1" s="3685"/>
      <c r="AC1" s="4099" t="s">
        <v>1786</v>
      </c>
      <c r="AD1" s="4145"/>
      <c r="AE1" s="3685"/>
      <c r="AF1" s="3685"/>
      <c r="AG1" s="3685"/>
      <c r="AH1" s="3685"/>
      <c r="AI1" s="3685"/>
      <c r="AJ1" s="3685"/>
      <c r="AK1" s="4099" t="s">
        <v>1790</v>
      </c>
      <c r="AL1" s="3577"/>
      <c r="AM1" s="3577"/>
      <c r="AN1" s="3577"/>
      <c r="AO1" s="3577"/>
      <c r="AP1" s="3577"/>
      <c r="AQ1" s="3685"/>
      <c r="AR1" s="3685"/>
      <c r="AS1" s="3685"/>
      <c r="AT1" s="3685"/>
      <c r="AU1" s="3685"/>
      <c r="AV1" s="3685"/>
      <c r="AW1" s="3685"/>
    </row>
    <row r="2" spans="1:49" ht="15.75" customHeight="1">
      <c r="A2" s="4146" t="s">
        <v>212</v>
      </c>
      <c r="B2" s="3577"/>
      <c r="C2" s="3577"/>
      <c r="D2" s="3577"/>
      <c r="E2" s="3577"/>
      <c r="F2" s="3577"/>
      <c r="G2" s="4147" t="s">
        <v>1727</v>
      </c>
      <c r="H2" s="3685"/>
      <c r="I2" s="4148" t="s">
        <v>1725</v>
      </c>
      <c r="J2" s="3685"/>
      <c r="K2" s="3685"/>
      <c r="L2" s="3685"/>
      <c r="M2" s="3685"/>
      <c r="N2" s="3685"/>
      <c r="O2" s="4147" t="s">
        <v>1727</v>
      </c>
      <c r="P2" s="3685"/>
      <c r="Q2" s="3685"/>
      <c r="R2" s="3685"/>
      <c r="S2" s="1769" t="s">
        <v>1777</v>
      </c>
      <c r="T2" s="3577"/>
      <c r="U2" s="3577"/>
      <c r="V2" s="3577"/>
      <c r="W2" s="3577"/>
      <c r="X2" s="3577"/>
      <c r="Y2" s="3577"/>
      <c r="Z2" s="3577"/>
      <c r="AA2" s="4147"/>
      <c r="AB2" s="3685"/>
      <c r="AC2" s="3685"/>
      <c r="AD2" s="3686"/>
      <c r="AE2" s="3685"/>
      <c r="AF2" s="3685"/>
      <c r="AG2" s="3685"/>
      <c r="AH2" s="3685"/>
      <c r="AI2" s="3685"/>
      <c r="AJ2" s="3685"/>
      <c r="AK2" s="1769" t="s">
        <v>310</v>
      </c>
      <c r="AL2" s="3577"/>
      <c r="AM2" s="3577"/>
      <c r="AN2" s="3577"/>
      <c r="AO2" s="3577"/>
      <c r="AP2" s="3577"/>
      <c r="AQ2" s="3685"/>
      <c r="AR2" s="1769" t="s">
        <v>1795</v>
      </c>
      <c r="AS2" s="3577"/>
      <c r="AT2" s="3577"/>
      <c r="AU2" s="3577"/>
      <c r="AV2" s="3577"/>
      <c r="AW2" s="3577"/>
    </row>
    <row r="3" spans="1:49" ht="12.75" customHeight="1">
      <c r="A3" s="5694" t="s">
        <v>90</v>
      </c>
      <c r="B3" s="5685" t="s">
        <v>215</v>
      </c>
      <c r="C3" s="5685"/>
      <c r="D3" s="5685"/>
      <c r="E3" s="5685"/>
      <c r="F3" s="5685"/>
      <c r="G3" s="5685"/>
      <c r="H3" s="3685"/>
      <c r="I3" s="4149" t="s">
        <v>1570</v>
      </c>
      <c r="J3" s="4143" t="s">
        <v>1072</v>
      </c>
      <c r="K3" s="4143" t="s">
        <v>1073</v>
      </c>
      <c r="L3" s="4143" t="s">
        <v>1074</v>
      </c>
      <c r="M3" s="4143" t="s">
        <v>1075</v>
      </c>
      <c r="N3" s="4143" t="s">
        <v>1076</v>
      </c>
      <c r="O3" s="4150" t="s">
        <v>1686</v>
      </c>
      <c r="P3" s="3685"/>
      <c r="Q3" s="3685"/>
      <c r="R3" s="3685"/>
      <c r="S3" s="5685" t="s">
        <v>1760</v>
      </c>
      <c r="T3" s="5685" t="s">
        <v>212</v>
      </c>
      <c r="U3" s="5685"/>
      <c r="V3" s="5685"/>
      <c r="W3" s="5685"/>
      <c r="X3" s="5685"/>
      <c r="Y3" s="5685"/>
      <c r="Z3" s="5691" t="s">
        <v>1762</v>
      </c>
      <c r="AA3" s="5691" t="s">
        <v>1763</v>
      </c>
      <c r="AB3" s="3685"/>
      <c r="AC3" s="4151" t="s">
        <v>1781</v>
      </c>
      <c r="AD3" s="3957" t="s">
        <v>119</v>
      </c>
      <c r="AE3" s="4003" t="s">
        <v>1072</v>
      </c>
      <c r="AF3" s="4003" t="s">
        <v>1073</v>
      </c>
      <c r="AG3" s="4003" t="s">
        <v>1074</v>
      </c>
      <c r="AH3" s="4003" t="s">
        <v>1075</v>
      </c>
      <c r="AI3" s="4003" t="s">
        <v>1076</v>
      </c>
      <c r="AJ3" s="3685"/>
      <c r="AK3" s="5682" t="s">
        <v>1788</v>
      </c>
      <c r="AL3" s="5683" t="str">
        <f>T3</f>
        <v>Доставяне на вода на потребителите</v>
      </c>
      <c r="AM3" s="5684"/>
      <c r="AN3" s="5684"/>
      <c r="AO3" s="5684"/>
      <c r="AP3" s="5684"/>
      <c r="AQ3" s="3685"/>
      <c r="AR3" s="5674" t="s">
        <v>1789</v>
      </c>
      <c r="AS3" s="5676" t="s">
        <v>215</v>
      </c>
      <c r="AT3" s="5677"/>
      <c r="AU3" s="5677"/>
      <c r="AV3" s="5677"/>
      <c r="AW3" s="5678"/>
    </row>
    <row r="4" spans="1:49" ht="15.75" customHeight="1">
      <c r="A4" s="5694"/>
      <c r="B4" s="4143" t="s">
        <v>119</v>
      </c>
      <c r="C4" s="4143" t="s">
        <v>1072</v>
      </c>
      <c r="D4" s="4143" t="s">
        <v>1073</v>
      </c>
      <c r="E4" s="4143" t="s">
        <v>1074</v>
      </c>
      <c r="F4" s="4143" t="s">
        <v>1075</v>
      </c>
      <c r="G4" s="4143" t="s">
        <v>1076</v>
      </c>
      <c r="H4" s="3685"/>
      <c r="I4" s="4152" t="str">
        <f>I27</f>
        <v>Доставяне на вода на потребителите</v>
      </c>
      <c r="J4" s="4153"/>
      <c r="K4" s="4153"/>
      <c r="L4" s="4153"/>
      <c r="M4" s="4153"/>
      <c r="N4" s="4153"/>
      <c r="O4" s="4093">
        <f>SUM(J4:N4)</f>
        <v>0</v>
      </c>
      <c r="P4" s="3685"/>
      <c r="Q4" s="3685"/>
      <c r="R4" s="3685"/>
      <c r="S4" s="5685"/>
      <c r="T4" s="3993" t="s">
        <v>119</v>
      </c>
      <c r="U4" s="4143" t="s">
        <v>1072</v>
      </c>
      <c r="V4" s="4143" t="s">
        <v>1073</v>
      </c>
      <c r="W4" s="4143" t="s">
        <v>1074</v>
      </c>
      <c r="X4" s="4143" t="s">
        <v>1075</v>
      </c>
      <c r="Y4" s="4143" t="s">
        <v>1076</v>
      </c>
      <c r="Z4" s="5691"/>
      <c r="AA4" s="5691"/>
      <c r="AB4" s="3685"/>
      <c r="AC4" s="4154" t="s">
        <v>1782</v>
      </c>
      <c r="AD4" s="4155">
        <f>'14. ОПР'!B9</f>
        <v>10301</v>
      </c>
      <c r="AE4" s="4155">
        <f>'14. ОПР'!C9</f>
        <v>18220.804164824669</v>
      </c>
      <c r="AF4" s="4155">
        <f>'14. ОПР'!D9</f>
        <v>22002.443479377122</v>
      </c>
      <c r="AG4" s="4155">
        <f>'14. ОПР'!E9</f>
        <v>17587.818139988343</v>
      </c>
      <c r="AH4" s="4155">
        <f>'14. ОПР'!F9</f>
        <v>18503.060989573416</v>
      </c>
      <c r="AI4" s="4155">
        <f>'14. ОПР'!G9</f>
        <v>18777.194960312198</v>
      </c>
      <c r="AJ4" s="3685"/>
      <c r="AK4" s="5682"/>
      <c r="AL4" s="4007" t="s">
        <v>1072</v>
      </c>
      <c r="AM4" s="4007" t="s">
        <v>1073</v>
      </c>
      <c r="AN4" s="4007" t="s">
        <v>1074</v>
      </c>
      <c r="AO4" s="4007" t="s">
        <v>1075</v>
      </c>
      <c r="AP4" s="4007" t="s">
        <v>1076</v>
      </c>
      <c r="AQ4" s="3685"/>
      <c r="AR4" s="5675"/>
      <c r="AS4" s="4010" t="str">
        <f>AL36</f>
        <v>2022 г.</v>
      </c>
      <c r="AT4" s="4010" t="str">
        <f>AM36</f>
        <v>2023 г.</v>
      </c>
      <c r="AU4" s="4010" t="str">
        <f>AN36</f>
        <v>2024 г.</v>
      </c>
      <c r="AV4" s="4010" t="str">
        <f>AO36</f>
        <v>2025 г.</v>
      </c>
      <c r="AW4" s="4010" t="str">
        <f>AP36</f>
        <v>2026 г.</v>
      </c>
    </row>
    <row r="5" spans="1:49" ht="15.75" customHeight="1">
      <c r="A5" s="5696" t="s">
        <v>1750</v>
      </c>
      <c r="B5" s="5696"/>
      <c r="C5" s="5696"/>
      <c r="D5" s="5696"/>
      <c r="E5" s="5696"/>
      <c r="F5" s="5696"/>
      <c r="G5" s="5696"/>
      <c r="H5" s="3685"/>
      <c r="I5" s="4152" t="str">
        <f>I30</f>
        <v>Отвеждане на отпадъчните води</v>
      </c>
      <c r="J5" s="4153"/>
      <c r="K5" s="4153"/>
      <c r="L5" s="4153"/>
      <c r="M5" s="4153"/>
      <c r="N5" s="4153"/>
      <c r="O5" s="4093">
        <f>SUM(J5:N5)</f>
        <v>0</v>
      </c>
      <c r="P5" s="3685"/>
      <c r="Q5" s="3685"/>
      <c r="R5" s="3685"/>
      <c r="S5" s="4156" t="s">
        <v>231</v>
      </c>
      <c r="T5" s="4157">
        <f>'12. Разходи'!C11</f>
        <v>3781.6379999999999</v>
      </c>
      <c r="U5" s="4157">
        <f>'12. Разходи'!D11</f>
        <v>3359.6793358316327</v>
      </c>
      <c r="V5" s="4157">
        <f>'12. Разходи'!E11</f>
        <v>2631.3140938286688</v>
      </c>
      <c r="W5" s="4157">
        <f>'12. Разходи'!F11</f>
        <v>2332.2694554728359</v>
      </c>
      <c r="X5" s="4157">
        <f>'12. Разходи'!G11</f>
        <v>2153.2443084428146</v>
      </c>
      <c r="Y5" s="4157">
        <f>'12. Разходи'!H11</f>
        <v>2037.0486936729039</v>
      </c>
      <c r="Z5" s="4105">
        <f>IFERROR((U5-T5)/T5,0)</f>
        <v>-0.11158092450106732</v>
      </c>
      <c r="AA5" s="4105">
        <f>IFERROR((Y5-T5)/T5,0)</f>
        <v>-0.46133165213780275</v>
      </c>
      <c r="AB5" s="3685"/>
      <c r="AC5" s="4000" t="s">
        <v>500</v>
      </c>
      <c r="AD5" s="4005">
        <f>'14. ОПР'!B16</f>
        <v>0</v>
      </c>
      <c r="AE5" s="4005">
        <f>'14. ОПР'!C16</f>
        <v>0</v>
      </c>
      <c r="AF5" s="4005">
        <f>'14. ОПР'!D16</f>
        <v>0</v>
      </c>
      <c r="AG5" s="4005">
        <f>'14. ОПР'!E16</f>
        <v>0</v>
      </c>
      <c r="AH5" s="4005">
        <f>'14. ОПР'!F16</f>
        <v>0</v>
      </c>
      <c r="AI5" s="4005">
        <f>'14. ОПР'!G16</f>
        <v>0</v>
      </c>
      <c r="AJ5" s="3685"/>
      <c r="AK5" s="4006" t="s">
        <v>553</v>
      </c>
      <c r="AL5" s="4158">
        <f>'17. РБА'!C10</f>
        <v>7171.4211796246645</v>
      </c>
      <c r="AM5" s="4158">
        <f>'17. РБА'!D10</f>
        <v>8953.861179624666</v>
      </c>
      <c r="AN5" s="4158">
        <f>'17. РБА'!E10</f>
        <v>11273.292512958</v>
      </c>
      <c r="AO5" s="4158">
        <f>'17. РБА'!F10</f>
        <v>11904.292512958</v>
      </c>
      <c r="AP5" s="4158">
        <f>'17. РБА'!G10</f>
        <v>12379.292512958</v>
      </c>
      <c r="AQ5" s="3685"/>
      <c r="AR5" s="4159" t="s">
        <v>299</v>
      </c>
      <c r="AS5" s="3699">
        <f>'16. Необходими приходи'!D9</f>
        <v>604.38154770324206</v>
      </c>
      <c r="AT5" s="3699">
        <f>'16. Необходими приходи'!E9</f>
        <v>772.35979169668337</v>
      </c>
      <c r="AU5" s="3699">
        <f>'16. Необходими приходи'!F9</f>
        <v>796.47065174280442</v>
      </c>
      <c r="AV5" s="3699">
        <f>'16. Необходими приходи'!G9</f>
        <v>807.29879514225468</v>
      </c>
      <c r="AW5" s="3699">
        <f>'16. Необходими приходи'!H9</f>
        <v>812.17263107097847</v>
      </c>
    </row>
    <row r="6" spans="1:49" ht="15.75" customHeight="1">
      <c r="A6" s="4160" t="s">
        <v>339</v>
      </c>
      <c r="B6" s="4093">
        <f>'11. Амортиз. план'!E10</f>
        <v>4147</v>
      </c>
      <c r="C6" s="4093">
        <f>'11. Амортиз. план'!G10</f>
        <v>4801.5038427167128</v>
      </c>
      <c r="D6" s="4093">
        <f>'11. Амортиз. план'!H10</f>
        <v>5025.1705093833798</v>
      </c>
      <c r="E6" s="4093">
        <f>'11. Амортиз. план'!I10</f>
        <v>5258.0038427167128</v>
      </c>
      <c r="F6" s="4093">
        <f>'11. Амортиз. план'!J10</f>
        <v>5484.3371760500459</v>
      </c>
      <c r="G6" s="4093">
        <f>'11. Амортиз. план'!K10</f>
        <v>5736.5038427167128</v>
      </c>
      <c r="H6" s="3685"/>
      <c r="I6" s="4152" t="str">
        <f>I33</f>
        <v>Пречистване на отпадъчните води</v>
      </c>
      <c r="J6" s="4153"/>
      <c r="K6" s="4153"/>
      <c r="L6" s="4153"/>
      <c r="M6" s="4153"/>
      <c r="N6" s="4153"/>
      <c r="O6" s="4093">
        <f>SUM(J6:N6)</f>
        <v>0</v>
      </c>
      <c r="P6" s="3685"/>
      <c r="Q6" s="3685"/>
      <c r="R6" s="3685"/>
      <c r="S6" s="4161" t="s">
        <v>244</v>
      </c>
      <c r="T6" s="4089">
        <f>'12. Разходи'!C29</f>
        <v>2287</v>
      </c>
      <c r="U6" s="4089">
        <f>'12. Разходи'!D29</f>
        <v>1776.2269999999999</v>
      </c>
      <c r="V6" s="4089">
        <f>'12. Разходи'!E29</f>
        <v>1941.58</v>
      </c>
      <c r="W6" s="4089">
        <f>'12. Разходи'!F29</f>
        <v>1942.48</v>
      </c>
      <c r="X6" s="4089">
        <f>'12. Разходи'!G29</f>
        <v>1954.48</v>
      </c>
      <c r="Y6" s="4089">
        <f>'12. Разходи'!H29</f>
        <v>1977.48</v>
      </c>
      <c r="Z6" s="4105">
        <f t="shared" ref="Z6:Z21" si="0">IFERROR((U6-T6)/T6,0)</f>
        <v>-0.22333756012243119</v>
      </c>
      <c r="AA6" s="4105">
        <f t="shared" ref="AA6:AA21" si="1">IFERROR((Y6-T6)/T6,0)</f>
        <v>-0.13533887188456492</v>
      </c>
      <c r="AB6" s="3685"/>
      <c r="AC6" s="4162" t="s">
        <v>495</v>
      </c>
      <c r="AD6" s="4163">
        <f t="shared" ref="AD6:AI6" si="2">AD4+AD5</f>
        <v>10301</v>
      </c>
      <c r="AE6" s="4163">
        <f t="shared" si="2"/>
        <v>18220.804164824669</v>
      </c>
      <c r="AF6" s="4163">
        <f t="shared" si="2"/>
        <v>22002.443479377122</v>
      </c>
      <c r="AG6" s="4163">
        <f t="shared" si="2"/>
        <v>17587.818139988343</v>
      </c>
      <c r="AH6" s="4163">
        <f t="shared" si="2"/>
        <v>18503.060989573416</v>
      </c>
      <c r="AI6" s="4163">
        <f t="shared" si="2"/>
        <v>18777.194960312198</v>
      </c>
      <c r="AJ6" s="3685"/>
      <c r="AK6" s="4006" t="s">
        <v>554</v>
      </c>
      <c r="AL6" s="4164">
        <f>'17. РБА'!C13</f>
        <v>3571.762452728165</v>
      </c>
      <c r="AM6" s="4164">
        <f>'17. РБА'!D13</f>
        <v>3928.5103892239781</v>
      </c>
      <c r="AN6" s="4164">
        <f>'17. РБА'!E13</f>
        <v>4347.7246514338394</v>
      </c>
      <c r="AO6" s="4164">
        <f>'17. РБА'!F13</f>
        <v>4810.5083532721692</v>
      </c>
      <c r="AP6" s="4164">
        <f>'17. РБА'!G13</f>
        <v>5283.3899867198797</v>
      </c>
      <c r="AQ6" s="3685"/>
      <c r="AR6" s="4159" t="s">
        <v>301</v>
      </c>
      <c r="AS6" s="3699">
        <f>'16. Необходими приходи'!D10</f>
        <v>10758.772272327446</v>
      </c>
      <c r="AT6" s="3699">
        <f>'16. Необходими приходи'!E10</f>
        <v>10774.357426347238</v>
      </c>
      <c r="AU6" s="3699">
        <f>'16. Необходими приходи'!F10</f>
        <v>11258.326140755124</v>
      </c>
      <c r="AV6" s="3699">
        <f>'16. Необходими приходи'!G10</f>
        <v>11986.882838469724</v>
      </c>
      <c r="AW6" s="3699">
        <f>'16. Необходими приходи'!H10</f>
        <v>12188.304267918858</v>
      </c>
    </row>
    <row r="7" spans="1:49" ht="15.75" customHeight="1">
      <c r="A7" s="4165" t="s">
        <v>223</v>
      </c>
      <c r="B7" s="4166">
        <f>'11. Амортиз. план'!E35</f>
        <v>159</v>
      </c>
      <c r="C7" s="4166">
        <f>'11. Амортиз. план'!G35</f>
        <v>213.39525527353666</v>
      </c>
      <c r="D7" s="4166">
        <f>'11. Амортиз. план'!H35</f>
        <v>223.18882332827764</v>
      </c>
      <c r="E7" s="4166">
        <f>'11. Амортиз. план'!I35</f>
        <v>232.61737966001067</v>
      </c>
      <c r="F7" s="4166">
        <f>'11. Амортиз. план'!J35</f>
        <v>226.31924198805223</v>
      </c>
      <c r="G7" s="4166">
        <f>'11. Амортиз. план'!K35</f>
        <v>251.67713596568362</v>
      </c>
      <c r="H7" s="3685"/>
      <c r="I7" s="4167" t="s">
        <v>1036</v>
      </c>
      <c r="J7" s="4168">
        <f t="shared" ref="J7:O7" si="3">SUM(J4:J6)</f>
        <v>0</v>
      </c>
      <c r="K7" s="4168">
        <f t="shared" si="3"/>
        <v>0</v>
      </c>
      <c r="L7" s="4168">
        <f t="shared" si="3"/>
        <v>0</v>
      </c>
      <c r="M7" s="4168">
        <f t="shared" si="3"/>
        <v>0</v>
      </c>
      <c r="N7" s="4168">
        <f t="shared" si="3"/>
        <v>0</v>
      </c>
      <c r="O7" s="4168">
        <f t="shared" si="3"/>
        <v>0</v>
      </c>
      <c r="P7" s="3685"/>
      <c r="Q7" s="3685"/>
      <c r="R7" s="3685"/>
      <c r="S7" s="4161" t="s">
        <v>451</v>
      </c>
      <c r="T7" s="4089">
        <f>'12. Разходи'!C55</f>
        <v>634.44000000000005</v>
      </c>
      <c r="U7" s="4089">
        <f>'12. Разходи'!D55</f>
        <v>581.72793649581229</v>
      </c>
      <c r="V7" s="4089">
        <f>'12. Разходи'!E55</f>
        <v>608.5542622098601</v>
      </c>
      <c r="W7" s="4089">
        <f>'12. Разходи'!F55</f>
        <v>668.73370183833208</v>
      </c>
      <c r="X7" s="4089">
        <f>'12. Разходи'!G55</f>
        <v>702.6816334477096</v>
      </c>
      <c r="Y7" s="4089">
        <f>'12. Разходи'!H55</f>
        <v>728.04332656858128</v>
      </c>
      <c r="Z7" s="4105">
        <f t="shared" si="0"/>
        <v>-8.3084394906039596E-2</v>
      </c>
      <c r="AA7" s="4105">
        <f t="shared" si="1"/>
        <v>0.14753692479758718</v>
      </c>
      <c r="AB7" s="3685"/>
      <c r="AC7" s="4154" t="s">
        <v>1783</v>
      </c>
      <c r="AD7" s="4155">
        <f>'14. ОПР'!B22</f>
        <v>14607.198358</v>
      </c>
      <c r="AE7" s="4155">
        <f>'14. ОПР'!C22</f>
        <v>17263.88732170852</v>
      </c>
      <c r="AF7" s="4155">
        <f>'14. ОПР'!D22</f>
        <v>20560.524134395149</v>
      </c>
      <c r="AG7" s="4155">
        <f>'14. ОПР'!E22</f>
        <v>16140.955532369504</v>
      </c>
      <c r="AH7" s="4155">
        <f>'14. ОПР'!F22</f>
        <v>17087.748512267699</v>
      </c>
      <c r="AI7" s="4155">
        <f>'14. ОПР'!G22</f>
        <v>17399.993853325013</v>
      </c>
      <c r="AJ7" s="3685"/>
      <c r="AK7" s="4006" t="s">
        <v>555</v>
      </c>
      <c r="AL7" s="4158">
        <f>'17. РБА'!C16</f>
        <v>0</v>
      </c>
      <c r="AM7" s="4158">
        <f>'17. РБА'!D16</f>
        <v>0</v>
      </c>
      <c r="AN7" s="4158">
        <f>'17. РБА'!E16</f>
        <v>0</v>
      </c>
      <c r="AO7" s="4158">
        <f>'17. РБА'!F16</f>
        <v>0</v>
      </c>
      <c r="AP7" s="4158">
        <f>'17. РБА'!G16</f>
        <v>0</v>
      </c>
      <c r="AQ7" s="3685"/>
      <c r="AR7" s="4106" t="s">
        <v>302</v>
      </c>
      <c r="AS7" s="4107">
        <f t="shared" ref="AS7:AW7" si="4">AS5+AS6</f>
        <v>11363.153820030688</v>
      </c>
      <c r="AT7" s="4107">
        <f t="shared" si="4"/>
        <v>11546.717218043921</v>
      </c>
      <c r="AU7" s="4107">
        <f t="shared" si="4"/>
        <v>12054.796792497928</v>
      </c>
      <c r="AV7" s="4107">
        <f t="shared" si="4"/>
        <v>12794.181633611979</v>
      </c>
      <c r="AW7" s="4107">
        <f t="shared" si="4"/>
        <v>13000.476898989837</v>
      </c>
    </row>
    <row r="8" spans="1:49" ht="15.75" customHeight="1">
      <c r="A8" s="4103" t="s">
        <v>225</v>
      </c>
      <c r="B8" s="4089">
        <f>'11. Амортиз. план'!E60</f>
        <v>3100.6</v>
      </c>
      <c r="C8" s="4089">
        <f>'11. Амортиз. план'!G60</f>
        <v>3499.1146207887487</v>
      </c>
      <c r="D8" s="4089">
        <f>'11. Амортиз. план'!H60</f>
        <v>3722.3034441170275</v>
      </c>
      <c r="E8" s="4089">
        <f>'11. Амортиз. план'!I60</f>
        <v>3954.9208237770363</v>
      </c>
      <c r="F8" s="4089">
        <f>'11. Амортиз. план'!J60</f>
        <v>4181.2400657650896</v>
      </c>
      <c r="G8" s="4089">
        <f>'11. Амортиз. план'!K60</f>
        <v>4432.9172017307728</v>
      </c>
      <c r="H8" s="3685"/>
      <c r="I8" s="4169" t="s">
        <v>1835</v>
      </c>
      <c r="J8" s="4169"/>
      <c r="K8" s="4169"/>
      <c r="L8" s="4169"/>
      <c r="M8" s="4169"/>
      <c r="N8" s="4169"/>
      <c r="O8" s="4147" t="s">
        <v>1727</v>
      </c>
      <c r="P8" s="3685"/>
      <c r="Q8" s="3685"/>
      <c r="R8" s="3685"/>
      <c r="S8" s="4170" t="s">
        <v>452</v>
      </c>
      <c r="T8" s="4166">
        <f>'12. Разходи'!C56</f>
        <v>159</v>
      </c>
      <c r="U8" s="4166">
        <f>'12. Разходи'!D56</f>
        <v>213.39525527353666</v>
      </c>
      <c r="V8" s="4166">
        <f>'12. Разходи'!E56</f>
        <v>223.18882332827764</v>
      </c>
      <c r="W8" s="4166">
        <f>'12. Разходи'!F56</f>
        <v>232.61737966001067</v>
      </c>
      <c r="X8" s="4166">
        <f>'12. Разходи'!G56</f>
        <v>226.31924198805223</v>
      </c>
      <c r="Y8" s="4166">
        <f>'12. Разходи'!H56</f>
        <v>251.67713596568362</v>
      </c>
      <c r="Z8" s="4105">
        <f t="shared" si="0"/>
        <v>0.34210852373293499</v>
      </c>
      <c r="AA8" s="4105">
        <f t="shared" si="1"/>
        <v>0.5828750689665636</v>
      </c>
      <c r="AB8" s="3685"/>
      <c r="AC8" s="4001" t="s">
        <v>514</v>
      </c>
      <c r="AD8" s="4005">
        <f>'14. ОПР'!B34</f>
        <v>359</v>
      </c>
      <c r="AE8" s="4005">
        <f>'14. ОПР'!C34</f>
        <v>399</v>
      </c>
      <c r="AF8" s="4005">
        <f>'14. ОПР'!D34</f>
        <v>478</v>
      </c>
      <c r="AG8" s="4005">
        <f>'14. ОПР'!E34</f>
        <v>521</v>
      </c>
      <c r="AH8" s="4005">
        <f>'14. ОПР'!F34</f>
        <v>499</v>
      </c>
      <c r="AI8" s="4005">
        <f>'14. ОПР'!G34</f>
        <v>473</v>
      </c>
      <c r="AJ8" s="3685"/>
      <c r="AK8" s="4006" t="s">
        <v>334</v>
      </c>
      <c r="AL8" s="4158">
        <f>'17. РБА'!C19</f>
        <v>1782.44</v>
      </c>
      <c r="AM8" s="4158">
        <f>'17. РБА'!D19</f>
        <v>2319.4313333333334</v>
      </c>
      <c r="AN8" s="4158">
        <f>'17. РБА'!E19</f>
        <v>631</v>
      </c>
      <c r="AO8" s="4158">
        <f>'17. РБА'!F19</f>
        <v>475</v>
      </c>
      <c r="AP8" s="4158">
        <f>'17. РБА'!G19</f>
        <v>500.83333333333331</v>
      </c>
      <c r="AQ8" s="3685"/>
      <c r="AR8" s="5674" t="s">
        <v>1789</v>
      </c>
      <c r="AS8" s="5676" t="s">
        <v>178</v>
      </c>
      <c r="AT8" s="5677"/>
      <c r="AU8" s="5677"/>
      <c r="AV8" s="5677"/>
      <c r="AW8" s="5678"/>
    </row>
    <row r="9" spans="1:49" ht="15.75" customHeight="1">
      <c r="A9" s="4103" t="s">
        <v>227</v>
      </c>
      <c r="B9" s="4089">
        <f>'11. Амортиз. план'!E85</f>
        <v>1046.3999999999999</v>
      </c>
      <c r="C9" s="4089">
        <f>'11. Амортиз. план'!G85</f>
        <v>1302.3892219279642</v>
      </c>
      <c r="D9" s="4089">
        <f>'11. Амортиз. план'!H85</f>
        <v>1302.8670652663525</v>
      </c>
      <c r="E9" s="4089">
        <f>'11. Амортиз. план'!I85</f>
        <v>1303.0830189396756</v>
      </c>
      <c r="F9" s="4089">
        <f>'11. Амортиз. план'!J85</f>
        <v>1303.0971102849564</v>
      </c>
      <c r="G9" s="4089">
        <f>'11. Амортиз. план'!K85</f>
        <v>1303.5866409859395</v>
      </c>
      <c r="H9" s="3685"/>
      <c r="I9" s="4149" t="s">
        <v>1570</v>
      </c>
      <c r="J9" s="4362" t="s">
        <v>1072</v>
      </c>
      <c r="K9" s="4362" t="s">
        <v>1073</v>
      </c>
      <c r="L9" s="4362" t="s">
        <v>1074</v>
      </c>
      <c r="M9" s="4362" t="s">
        <v>1075</v>
      </c>
      <c r="N9" s="4362" t="s">
        <v>1076</v>
      </c>
      <c r="O9" s="4150" t="s">
        <v>1686</v>
      </c>
      <c r="P9" s="3685"/>
      <c r="Q9" s="3685"/>
      <c r="R9" s="3685"/>
      <c r="S9" s="4170" t="s">
        <v>744</v>
      </c>
      <c r="T9" s="4166">
        <f>'12. Разходи'!C57</f>
        <v>79</v>
      </c>
      <c r="U9" s="4166">
        <f>'12. Разходи'!D57</f>
        <v>143.35268122227566</v>
      </c>
      <c r="V9" s="4166">
        <f>'12. Разходи'!E57</f>
        <v>196.0254388815824</v>
      </c>
      <c r="W9" s="4166">
        <f>'12. Разходи'!F57</f>
        <v>230.16632217832139</v>
      </c>
      <c r="X9" s="4166">
        <f>'12. Разходи'!G57</f>
        <v>246.56239145965728</v>
      </c>
      <c r="Y9" s="4166">
        <f>'12. Разходи'!H57</f>
        <v>251.6861906028976</v>
      </c>
      <c r="Z9" s="4105">
        <f t="shared" si="0"/>
        <v>0.81459090154779323</v>
      </c>
      <c r="AA9" s="4105">
        <f t="shared" si="1"/>
        <v>2.1859011468721214</v>
      </c>
      <c r="AB9" s="3685"/>
      <c r="AC9" s="4162" t="s">
        <v>505</v>
      </c>
      <c r="AD9" s="4163">
        <f t="shared" ref="AD9:AI9" si="5">AD7+AD8</f>
        <v>14966.198358</v>
      </c>
      <c r="AE9" s="4163">
        <f t="shared" si="5"/>
        <v>17662.88732170852</v>
      </c>
      <c r="AF9" s="4163">
        <f t="shared" si="5"/>
        <v>21038.524134395149</v>
      </c>
      <c r="AG9" s="4163">
        <f t="shared" si="5"/>
        <v>16661.955532369502</v>
      </c>
      <c r="AH9" s="4163">
        <f t="shared" si="5"/>
        <v>17586.748512267699</v>
      </c>
      <c r="AI9" s="4163">
        <f t="shared" si="5"/>
        <v>17872.993853325013</v>
      </c>
      <c r="AJ9" s="3685"/>
      <c r="AK9" s="4006" t="s">
        <v>311</v>
      </c>
      <c r="AL9" s="4158">
        <f>'17. РБА'!C20</f>
        <v>1672.9387949312274</v>
      </c>
      <c r="AM9" s="4158">
        <f>'17. РБА'!D20</f>
        <v>1671.0909310910758</v>
      </c>
      <c r="AN9" s="4158">
        <f>'17. РБА'!E20</f>
        <v>1740.754921465774</v>
      </c>
      <c r="AO9" s="4158">
        <f>'17. РБА'!F20</f>
        <v>1854.9371843871807</v>
      </c>
      <c r="AP9" s="4158">
        <f>'17. РБА'!G20</f>
        <v>1883.8785109068951</v>
      </c>
      <c r="AQ9" s="3685"/>
      <c r="AR9" s="5675"/>
      <c r="AS9" s="4010" t="str">
        <f>AS4</f>
        <v>2022 г.</v>
      </c>
      <c r="AT9" s="4010" t="str">
        <f t="shared" ref="AT9:AW9" si="6">AT4</f>
        <v>2023 г.</v>
      </c>
      <c r="AU9" s="4010" t="str">
        <f t="shared" si="6"/>
        <v>2024 г.</v>
      </c>
      <c r="AV9" s="4010" t="str">
        <f t="shared" si="6"/>
        <v>2025 г.</v>
      </c>
      <c r="AW9" s="4010" t="str">
        <f t="shared" si="6"/>
        <v>2026 г.</v>
      </c>
    </row>
    <row r="10" spans="1:49" ht="15.75" customHeight="1">
      <c r="A10" s="5696" t="s">
        <v>1751</v>
      </c>
      <c r="B10" s="5696"/>
      <c r="C10" s="5696"/>
      <c r="D10" s="5696"/>
      <c r="E10" s="5696"/>
      <c r="F10" s="5696"/>
      <c r="G10" s="5696"/>
      <c r="H10" s="3685"/>
      <c r="I10" s="4152" t="s">
        <v>212</v>
      </c>
      <c r="J10" s="4153">
        <f>J28</f>
        <v>1569.1066666666668</v>
      </c>
      <c r="K10" s="4153">
        <f t="shared" ref="K10:N10" si="7">K28</f>
        <v>2095.7646666666669</v>
      </c>
      <c r="L10" s="4153">
        <f t="shared" si="7"/>
        <v>398.16666666666663</v>
      </c>
      <c r="M10" s="4153">
        <f t="shared" si="7"/>
        <v>248.66666666666666</v>
      </c>
      <c r="N10" s="4153">
        <f t="shared" si="7"/>
        <v>248.66666666666666</v>
      </c>
      <c r="O10" s="4093">
        <f>SUM(J10:N10)</f>
        <v>4560.3713333333335</v>
      </c>
      <c r="P10" s="3685"/>
      <c r="Q10" s="3685"/>
      <c r="R10" s="3685"/>
      <c r="S10" s="4170" t="s">
        <v>745</v>
      </c>
      <c r="T10" s="4166">
        <f>'12. Разходи'!C58</f>
        <v>396.44</v>
      </c>
      <c r="U10" s="4166">
        <f>'12. Разходи'!D58</f>
        <v>224.98</v>
      </c>
      <c r="V10" s="4166">
        <f>'12. Разходи'!E58</f>
        <v>189.34</v>
      </c>
      <c r="W10" s="4166">
        <f>'12. Разходи'!F58</f>
        <v>205.95</v>
      </c>
      <c r="X10" s="4166">
        <f>'12. Разходи'!G58</f>
        <v>229.8</v>
      </c>
      <c r="Y10" s="4166">
        <f>'12. Разходи'!H58</f>
        <v>224.68</v>
      </c>
      <c r="Z10" s="4105">
        <f t="shared" si="0"/>
        <v>-0.43249924326505906</v>
      </c>
      <c r="AA10" s="4105">
        <f t="shared" si="1"/>
        <v>-0.43325597820603368</v>
      </c>
      <c r="AB10" s="3685"/>
      <c r="AC10" s="4000" t="s">
        <v>519</v>
      </c>
      <c r="AD10" s="4155">
        <f t="shared" ref="AD10:AI10" si="8">AD4-AD7</f>
        <v>-4306.1983579999996</v>
      </c>
      <c r="AE10" s="4155">
        <f t="shared" si="8"/>
        <v>956.91684311614881</v>
      </c>
      <c r="AF10" s="4155">
        <f t="shared" si="8"/>
        <v>1441.9193449819722</v>
      </c>
      <c r="AG10" s="4155">
        <f t="shared" si="8"/>
        <v>1446.8626076188393</v>
      </c>
      <c r="AH10" s="4155">
        <f t="shared" si="8"/>
        <v>1415.312477305717</v>
      </c>
      <c r="AI10" s="4155">
        <f t="shared" si="8"/>
        <v>1377.2011069871842</v>
      </c>
      <c r="AJ10" s="3685"/>
      <c r="AK10" s="4008" t="s">
        <v>310</v>
      </c>
      <c r="AL10" s="4009">
        <f t="shared" ref="AL10:AP10" si="9">AL5-AL6+AL7+AL8+AL9</f>
        <v>7055.0375218277277</v>
      </c>
      <c r="AM10" s="4009">
        <f t="shared" si="9"/>
        <v>9015.8730548250969</v>
      </c>
      <c r="AN10" s="4009">
        <f t="shared" si="9"/>
        <v>9297.3227829899351</v>
      </c>
      <c r="AO10" s="4009">
        <f t="shared" si="9"/>
        <v>9423.721344073012</v>
      </c>
      <c r="AP10" s="4009">
        <f t="shared" si="9"/>
        <v>9480.6143704783481</v>
      </c>
      <c r="AQ10" s="3685"/>
      <c r="AR10" s="4159" t="s">
        <v>299</v>
      </c>
      <c r="AS10" s="3699">
        <f>'16. Необходими приходи'!D15</f>
        <v>116.53808551743269</v>
      </c>
      <c r="AT10" s="3699">
        <f>'16. Необходими приходи'!E15</f>
        <v>362.35674581387281</v>
      </c>
      <c r="AU10" s="3699">
        <f>'16. Необходими приходи'!F15</f>
        <v>366.95040106300382</v>
      </c>
      <c r="AV10" s="3699">
        <f>'16. Необходими приходи'!G15</f>
        <v>362.92330701812602</v>
      </c>
      <c r="AW10" s="3699">
        <f>'16. Необходими приходи'!H15</f>
        <v>359.87668280045102</v>
      </c>
    </row>
    <row r="11" spans="1:49" ht="15.75" customHeight="1">
      <c r="A11" s="4160" t="s">
        <v>339</v>
      </c>
      <c r="B11" s="4093">
        <f>'11. Амортиз. план'!E111</f>
        <v>2028</v>
      </c>
      <c r="C11" s="4093">
        <f>'11. Амортиз. план'!G111</f>
        <v>4152.3573369079531</v>
      </c>
      <c r="D11" s="4093">
        <f>'11. Амортиз. план'!H111</f>
        <v>6248.1220035746201</v>
      </c>
      <c r="E11" s="4093">
        <f>'11. Амортиз. план'!I111</f>
        <v>6646.288670241287</v>
      </c>
      <c r="F11" s="4093">
        <f>'11. Амортиз. план'!J111</f>
        <v>6894.9553369079531</v>
      </c>
      <c r="G11" s="4093">
        <f>'11. Амортиз. план'!K111</f>
        <v>7143.6220035746201</v>
      </c>
      <c r="H11" s="3685"/>
      <c r="I11" s="4152" t="s">
        <v>213</v>
      </c>
      <c r="J11" s="4153">
        <f>J31</f>
        <v>537.21566666666661</v>
      </c>
      <c r="K11" s="4153">
        <f t="shared" ref="K11:N11" si="10">K31</f>
        <v>2864.6016666666669</v>
      </c>
      <c r="L11" s="4153">
        <f t="shared" si="10"/>
        <v>57.266666666666666</v>
      </c>
      <c r="M11" s="4153">
        <f t="shared" si="10"/>
        <v>51.566666666666677</v>
      </c>
      <c r="N11" s="4153">
        <f t="shared" si="10"/>
        <v>52.966666666666654</v>
      </c>
      <c r="O11" s="4093">
        <f>SUM(J11:N11)</f>
        <v>3563.6173333333336</v>
      </c>
      <c r="P11" s="3685"/>
      <c r="Q11" s="3685"/>
      <c r="R11" s="3685"/>
      <c r="S11" s="4161" t="s">
        <v>453</v>
      </c>
      <c r="T11" s="4089">
        <f>'12. Разходи'!C59</f>
        <v>3077.788</v>
      </c>
      <c r="U11" s="4089">
        <f>'12. Разходи'!D59</f>
        <v>3439.25</v>
      </c>
      <c r="V11" s="4089">
        <f>'12. Разходи'!E59</f>
        <v>3956.4</v>
      </c>
      <c r="W11" s="4089">
        <f>'12. Разходи'!F59</f>
        <v>4550.2</v>
      </c>
      <c r="X11" s="4089">
        <f>'12. Разходи'!G59</f>
        <v>5232.5</v>
      </c>
      <c r="Y11" s="4089">
        <f>'12. Разходи'!H59</f>
        <v>5282.7</v>
      </c>
      <c r="Z11" s="4105">
        <f t="shared" si="0"/>
        <v>0.117442137015285</v>
      </c>
      <c r="AA11" s="4105">
        <f t="shared" si="1"/>
        <v>0.71639502135949573</v>
      </c>
      <c r="AB11" s="3685"/>
      <c r="AC11" s="4000" t="s">
        <v>520</v>
      </c>
      <c r="AD11" s="4155">
        <f t="shared" ref="AD11:AI11" si="11">AD6-AD9</f>
        <v>-4665.1983579999996</v>
      </c>
      <c r="AE11" s="4155">
        <f t="shared" si="11"/>
        <v>557.91684311614881</v>
      </c>
      <c r="AF11" s="4155">
        <f t="shared" si="11"/>
        <v>963.91934498197224</v>
      </c>
      <c r="AG11" s="4155">
        <f t="shared" si="11"/>
        <v>925.86260761884114</v>
      </c>
      <c r="AH11" s="4155">
        <f t="shared" si="11"/>
        <v>916.31247730571704</v>
      </c>
      <c r="AI11" s="4155">
        <f t="shared" si="11"/>
        <v>904.20110698718418</v>
      </c>
      <c r="AJ11" s="3685"/>
      <c r="AK11" s="5682" t="s">
        <v>1788</v>
      </c>
      <c r="AL11" s="5683" t="str">
        <f>T24</f>
        <v>Отвеждане на отпадъчните води</v>
      </c>
      <c r="AM11" s="5684"/>
      <c r="AN11" s="5684"/>
      <c r="AO11" s="5684"/>
      <c r="AP11" s="5684"/>
      <c r="AQ11" s="3685"/>
      <c r="AR11" s="4159" t="s">
        <v>301</v>
      </c>
      <c r="AS11" s="3699">
        <f>'16. Необходими приходи'!D16</f>
        <v>696.80238381462857</v>
      </c>
      <c r="AT11" s="3699">
        <f>'16. Необходими приходи'!E16</f>
        <v>787.27424856464017</v>
      </c>
      <c r="AU11" s="3699">
        <f>'16. Необходими приходи'!F16</f>
        <v>1113.6251684045021</v>
      </c>
      <c r="AV11" s="3699">
        <f>'16. Необходими приходи'!G16</f>
        <v>1357.7829176987436</v>
      </c>
      <c r="AW11" s="3699">
        <f>'16. Необходими приходи'!H16</f>
        <v>1393.9853830056149</v>
      </c>
    </row>
    <row r="12" spans="1:49" ht="15.75" customHeight="1">
      <c r="A12" s="4165" t="s">
        <v>223</v>
      </c>
      <c r="B12" s="4166">
        <f>'11. Амортиз. план'!E131</f>
        <v>79</v>
      </c>
      <c r="C12" s="4166">
        <f>'11. Амортиз. план'!G131</f>
        <v>143.35268122227566</v>
      </c>
      <c r="D12" s="4166">
        <f>'11. Амортиз. план'!H131</f>
        <v>196.0254388815824</v>
      </c>
      <c r="E12" s="4166">
        <f>'11. Амортиз. план'!I131</f>
        <v>230.16632217832139</v>
      </c>
      <c r="F12" s="4166">
        <f>'11. Амортиз. план'!J131</f>
        <v>246.56239145965728</v>
      </c>
      <c r="G12" s="4166">
        <f>'11. Амортиз. план'!K131</f>
        <v>251.6861906028976</v>
      </c>
      <c r="H12" s="3685"/>
      <c r="I12" s="4152" t="s">
        <v>214</v>
      </c>
      <c r="J12" s="4153">
        <f>J34</f>
        <v>1112.6006666666667</v>
      </c>
      <c r="K12" s="4153">
        <f t="shared" ref="K12:N12" si="12">K34</f>
        <v>1126.3916666666667</v>
      </c>
      <c r="L12" s="4153">
        <f t="shared" si="12"/>
        <v>74.666666666666671</v>
      </c>
      <c r="M12" s="4153">
        <f t="shared" si="12"/>
        <v>23.666666666666668</v>
      </c>
      <c r="N12" s="4153">
        <f t="shared" si="12"/>
        <v>23.666666666666664</v>
      </c>
      <c r="O12" s="4093">
        <f>SUM(J12:N12)</f>
        <v>2360.9923333333331</v>
      </c>
      <c r="P12" s="3685"/>
      <c r="Q12" s="3685"/>
      <c r="R12" s="3685"/>
      <c r="S12" s="4161" t="s">
        <v>454</v>
      </c>
      <c r="T12" s="4089">
        <f>'12. Разходи'!C63</f>
        <v>937.22699999999998</v>
      </c>
      <c r="U12" s="4089">
        <f>'12. Разходи'!D63</f>
        <v>1059</v>
      </c>
      <c r="V12" s="4089">
        <f>'12. Разходи'!E63</f>
        <v>1223</v>
      </c>
      <c r="W12" s="4089">
        <f>'12. Разходи'!F63</f>
        <v>1406</v>
      </c>
      <c r="X12" s="4089">
        <f>'12. Разходи'!G63</f>
        <v>1617</v>
      </c>
      <c r="Y12" s="4089">
        <f>'12. Разходи'!H63</f>
        <v>1858</v>
      </c>
      <c r="Z12" s="4105">
        <f t="shared" si="0"/>
        <v>0.12992903533508962</v>
      </c>
      <c r="AA12" s="4105">
        <f t="shared" si="1"/>
        <v>0.98244395434617238</v>
      </c>
      <c r="AB12" s="3685"/>
      <c r="AC12" s="4002"/>
      <c r="AD12" s="4004"/>
      <c r="AE12" s="4178"/>
      <c r="AF12" s="4178"/>
      <c r="AG12" s="4178"/>
      <c r="AH12" s="4178"/>
      <c r="AI12" s="4178"/>
      <c r="AJ12" s="3685"/>
      <c r="AK12" s="5682"/>
      <c r="AL12" s="4007" t="s">
        <v>1072</v>
      </c>
      <c r="AM12" s="4007" t="s">
        <v>1073</v>
      </c>
      <c r="AN12" s="4007" t="s">
        <v>1074</v>
      </c>
      <c r="AO12" s="4007" t="s">
        <v>1075</v>
      </c>
      <c r="AP12" s="4007" t="s">
        <v>1076</v>
      </c>
      <c r="AQ12" s="3685"/>
      <c r="AR12" s="4106" t="s">
        <v>302</v>
      </c>
      <c r="AS12" s="4107">
        <f>AS10+AS11</f>
        <v>813.34046933206128</v>
      </c>
      <c r="AT12" s="4107">
        <f>AT10+AT11</f>
        <v>1149.6309943785129</v>
      </c>
      <c r="AU12" s="4107">
        <f>AU10+AU11</f>
        <v>1480.5755694675058</v>
      </c>
      <c r="AV12" s="4107">
        <f>AV10+AV11</f>
        <v>1720.7062247168697</v>
      </c>
      <c r="AW12" s="4107">
        <f>AW10+AW11</f>
        <v>1753.8620658060659</v>
      </c>
    </row>
    <row r="13" spans="1:49" ht="15.75" customHeight="1">
      <c r="A13" s="4103" t="s">
        <v>225</v>
      </c>
      <c r="B13" s="4089">
        <f>'11. Амортиз. план'!E151</f>
        <v>180.2</v>
      </c>
      <c r="C13" s="4089">
        <f>'11. Амортиз. план'!G151</f>
        <v>429.39576843522951</v>
      </c>
      <c r="D13" s="4089">
        <f>'11. Амортиз. план'!H151</f>
        <v>625.421207316812</v>
      </c>
      <c r="E13" s="4089">
        <f>'11. Амортиз. план'!I151</f>
        <v>855.58752949513314</v>
      </c>
      <c r="F13" s="4089">
        <f>'11. Амортиз. план'!J151</f>
        <v>1102.1499209547906</v>
      </c>
      <c r="G13" s="4089">
        <f>'11. Амортиз. план'!K151</f>
        <v>1353.8361115576879</v>
      </c>
      <c r="H13" s="3685"/>
      <c r="I13" s="4152" t="s">
        <v>1037</v>
      </c>
      <c r="J13" s="4153">
        <f>J37</f>
        <v>0</v>
      </c>
      <c r="K13" s="4153">
        <f t="shared" ref="K13:N13" si="13">K37</f>
        <v>0</v>
      </c>
      <c r="L13" s="4153">
        <f t="shared" si="13"/>
        <v>0</v>
      </c>
      <c r="M13" s="4153">
        <f t="shared" si="13"/>
        <v>0</v>
      </c>
      <c r="N13" s="4153">
        <f t="shared" si="13"/>
        <v>0</v>
      </c>
      <c r="O13" s="4093">
        <f t="shared" ref="O13:O14" si="14">SUM(J13:N13)</f>
        <v>0</v>
      </c>
      <c r="P13" s="3685"/>
      <c r="Q13" s="3685"/>
      <c r="R13" s="3685"/>
      <c r="S13" s="4161" t="s">
        <v>455</v>
      </c>
      <c r="T13" s="4089">
        <f>'12. Разходи'!C70</f>
        <v>670</v>
      </c>
      <c r="U13" s="4089">
        <f>'12. Разходи'!D70</f>
        <v>491.88799999999998</v>
      </c>
      <c r="V13" s="4089">
        <f>'12. Разходи'!E70</f>
        <v>362.50907030870906</v>
      </c>
      <c r="W13" s="4089">
        <f>'12. Разходи'!F70</f>
        <v>307.64298344395417</v>
      </c>
      <c r="X13" s="4089">
        <f>'12. Разходи'!G70</f>
        <v>275.97689657920051</v>
      </c>
      <c r="Y13" s="4089">
        <f>'12. Разходи'!H70</f>
        <v>253.83224767737221</v>
      </c>
      <c r="Z13" s="4105">
        <f t="shared" si="0"/>
        <v>-0.26583880597014931</v>
      </c>
      <c r="AA13" s="4105">
        <f t="shared" si="1"/>
        <v>-0.62114589898899675</v>
      </c>
      <c r="AB13" s="3685"/>
      <c r="AC13" s="4151" t="s">
        <v>1784</v>
      </c>
      <c r="AD13" s="3957" t="s">
        <v>119</v>
      </c>
      <c r="AE13" s="4003" t="s">
        <v>1072</v>
      </c>
      <c r="AF13" s="4003" t="s">
        <v>1073</v>
      </c>
      <c r="AG13" s="4003" t="s">
        <v>1074</v>
      </c>
      <c r="AH13" s="4003" t="s">
        <v>1075</v>
      </c>
      <c r="AI13" s="4003" t="s">
        <v>1076</v>
      </c>
      <c r="AJ13" s="3685"/>
      <c r="AK13" s="4006" t="s">
        <v>553</v>
      </c>
      <c r="AL13" s="4158">
        <f>'17. РБА'!C24</f>
        <v>1682.8627345844511</v>
      </c>
      <c r="AM13" s="4158">
        <f>'17. РБА'!D24</f>
        <v>2294.4117345844506</v>
      </c>
      <c r="AN13" s="4158">
        <f>'17. РБА'!E24</f>
        <v>5242.180067917785</v>
      </c>
      <c r="AO13" s="4158">
        <f>'17. РБА'!F24</f>
        <v>5387.2800679177844</v>
      </c>
      <c r="AP13" s="4158">
        <f>'17. РБА'!G24</f>
        <v>5508.6800679177841</v>
      </c>
      <c r="AQ13" s="3685"/>
      <c r="AR13" s="5674" t="s">
        <v>1789</v>
      </c>
      <c r="AS13" s="5676" t="s">
        <v>188</v>
      </c>
      <c r="AT13" s="5677"/>
      <c r="AU13" s="5677"/>
      <c r="AV13" s="5677"/>
      <c r="AW13" s="5678"/>
    </row>
    <row r="14" spans="1:49" ht="15.75" customHeight="1">
      <c r="A14" s="4103" t="s">
        <v>227</v>
      </c>
      <c r="B14" s="4089">
        <f>'11. Амортиз. план'!E171</f>
        <v>1847.8</v>
      </c>
      <c r="C14" s="4089">
        <f>'11. Амортиз. план'!G171</f>
        <v>3722.9615684727241</v>
      </c>
      <c r="D14" s="4089">
        <f>'11. Амортиз. план'!H171</f>
        <v>5622.7007962578082</v>
      </c>
      <c r="E14" s="4089">
        <f>'11. Амортиз. план'!I171</f>
        <v>5790.7011407461532</v>
      </c>
      <c r="F14" s="4089">
        <f>'11. Амортиз. план'!J171</f>
        <v>5792.8054159531621</v>
      </c>
      <c r="G14" s="4089">
        <f>'11. Амортиз. план'!K171</f>
        <v>5789.785892016931</v>
      </c>
      <c r="H14" s="3685"/>
      <c r="I14" s="4152" t="s">
        <v>1102</v>
      </c>
      <c r="J14" s="4153">
        <f>J40</f>
        <v>0</v>
      </c>
      <c r="K14" s="4153">
        <f t="shared" ref="K14:N14" si="15">K40</f>
        <v>0</v>
      </c>
      <c r="L14" s="4153">
        <f t="shared" si="15"/>
        <v>0</v>
      </c>
      <c r="M14" s="4153">
        <f t="shared" si="15"/>
        <v>0</v>
      </c>
      <c r="N14" s="4153">
        <f t="shared" si="15"/>
        <v>0</v>
      </c>
      <c r="O14" s="4093">
        <f t="shared" si="14"/>
        <v>0</v>
      </c>
      <c r="P14" s="3685"/>
      <c r="Q14" s="3685"/>
      <c r="R14" s="3685"/>
      <c r="S14" s="4161" t="s">
        <v>272</v>
      </c>
      <c r="T14" s="4089">
        <f>'12. Разходи'!C76</f>
        <v>48</v>
      </c>
      <c r="U14" s="4089">
        <f>'12. Разходи'!D76</f>
        <v>51</v>
      </c>
      <c r="V14" s="4089">
        <f>'12. Разходи'!E76</f>
        <v>51</v>
      </c>
      <c r="W14" s="4089">
        <f>'12. Разходи'!F76</f>
        <v>51</v>
      </c>
      <c r="X14" s="4089">
        <f>'12. Разходи'!G76</f>
        <v>51</v>
      </c>
      <c r="Y14" s="4089">
        <f>'12. Разходи'!H76</f>
        <v>51.2</v>
      </c>
      <c r="Z14" s="4105">
        <f t="shared" si="0"/>
        <v>6.25E-2</v>
      </c>
      <c r="AA14" s="4105">
        <f t="shared" si="1"/>
        <v>6.6666666666666721E-2</v>
      </c>
      <c r="AB14" s="3685"/>
      <c r="AC14" s="4179" t="s">
        <v>1785</v>
      </c>
      <c r="AD14" s="4180">
        <f>IFERROR(AD10/AD7,0)</f>
        <v>-0.29479974547217686</v>
      </c>
      <c r="AE14" s="4180">
        <f t="shared" ref="AE14:AI14" si="16">IFERROR(AE10/AE7,0)</f>
        <v>5.5428816539648706E-2</v>
      </c>
      <c r="AF14" s="4180">
        <f t="shared" si="16"/>
        <v>7.0130476030512479E-2</v>
      </c>
      <c r="AG14" s="4180">
        <f t="shared" si="16"/>
        <v>8.963921650841937E-2</v>
      </c>
      <c r="AH14" s="4180">
        <f t="shared" si="16"/>
        <v>8.282615326938074E-2</v>
      </c>
      <c r="AI14" s="4180">
        <f t="shared" si="16"/>
        <v>7.9149516867444814E-2</v>
      </c>
      <c r="AJ14" s="3685"/>
      <c r="AK14" s="4006" t="s">
        <v>554</v>
      </c>
      <c r="AL14" s="4164">
        <f>'17. РБА'!C27</f>
        <v>1032.5600460647688</v>
      </c>
      <c r="AM14" s="4164">
        <f>'17. РБА'!D27</f>
        <v>1119.1724298793984</v>
      </c>
      <c r="AN14" s="4164">
        <f>'17. РБА'!E27</f>
        <v>1255.777678444038</v>
      </c>
      <c r="AO14" s="4164">
        <f>'17. РБА'!F27</f>
        <v>1432.4271062905409</v>
      </c>
      <c r="AP14" s="4164">
        <f>'17. РБА'!G27</f>
        <v>1592.9742834312838</v>
      </c>
      <c r="AQ14" s="3685"/>
      <c r="AR14" s="5675"/>
      <c r="AS14" s="4010" t="str">
        <f>AS9</f>
        <v>2022 г.</v>
      </c>
      <c r="AT14" s="4010" t="str">
        <f t="shared" ref="AT14:AW14" si="17">AT9</f>
        <v>2023 г.</v>
      </c>
      <c r="AU14" s="4010" t="str">
        <f t="shared" si="17"/>
        <v>2024 г.</v>
      </c>
      <c r="AV14" s="4010" t="str">
        <f t="shared" si="17"/>
        <v>2025 г.</v>
      </c>
      <c r="AW14" s="4010" t="str">
        <f t="shared" si="17"/>
        <v>2026 г.</v>
      </c>
    </row>
    <row r="15" spans="1:49" ht="15.75" customHeight="1">
      <c r="A15" s="5696" t="s">
        <v>1752</v>
      </c>
      <c r="B15" s="5696"/>
      <c r="C15" s="5696"/>
      <c r="D15" s="5696"/>
      <c r="E15" s="5696"/>
      <c r="F15" s="5696"/>
      <c r="G15" s="5696"/>
      <c r="H15" s="3685"/>
      <c r="I15" s="4167" t="s">
        <v>1036</v>
      </c>
      <c r="J15" s="4168">
        <f>SUM(J10:J14)</f>
        <v>3218.9230000000002</v>
      </c>
      <c r="K15" s="4168">
        <f t="shared" ref="K15:O15" si="18">SUM(K10:K14)</f>
        <v>6086.7579999999998</v>
      </c>
      <c r="L15" s="4168">
        <f t="shared" si="18"/>
        <v>530.09999999999991</v>
      </c>
      <c r="M15" s="4168">
        <f t="shared" si="18"/>
        <v>323.90000000000003</v>
      </c>
      <c r="N15" s="4168">
        <f t="shared" si="18"/>
        <v>325.3</v>
      </c>
      <c r="O15" s="4168">
        <f t="shared" si="18"/>
        <v>10484.981</v>
      </c>
      <c r="P15" s="3685"/>
      <c r="Q15" s="3685"/>
      <c r="R15" s="3685"/>
      <c r="S15" s="4181" t="s">
        <v>282</v>
      </c>
      <c r="T15" s="4182">
        <f>SUM(T5:T7,T11:T14)</f>
        <v>11436.093000000001</v>
      </c>
      <c r="U15" s="4182">
        <f t="shared" ref="U15:Y15" si="19">SUM(U5:U7,U11:U14)</f>
        <v>10758.772272327446</v>
      </c>
      <c r="V15" s="4182">
        <f t="shared" si="19"/>
        <v>10774.357426347238</v>
      </c>
      <c r="W15" s="4182">
        <f t="shared" si="19"/>
        <v>11258.326140755124</v>
      </c>
      <c r="X15" s="4182">
        <f t="shared" si="19"/>
        <v>11986.882838469724</v>
      </c>
      <c r="Y15" s="4182">
        <f t="shared" si="19"/>
        <v>12188.304267918858</v>
      </c>
      <c r="Z15" s="4183">
        <f t="shared" si="0"/>
        <v>-5.9226584435134899E-2</v>
      </c>
      <c r="AA15" s="4183">
        <f t="shared" si="1"/>
        <v>6.5775196819303369E-2</v>
      </c>
      <c r="AB15" s="3685"/>
      <c r="AC15" s="4184" t="s">
        <v>1787</v>
      </c>
      <c r="AD15" s="4185"/>
      <c r="AE15" s="4186"/>
      <c r="AF15" s="4186"/>
      <c r="AG15" s="4186"/>
      <c r="AH15" s="4186"/>
      <c r="AI15" s="4186"/>
      <c r="AJ15" s="3685"/>
      <c r="AK15" s="4006" t="s">
        <v>555</v>
      </c>
      <c r="AL15" s="4158">
        <f>'17. РБА'!C30</f>
        <v>0</v>
      </c>
      <c r="AM15" s="4158">
        <f>'17. РБА'!D30</f>
        <v>0</v>
      </c>
      <c r="AN15" s="4158">
        <f>'17. РБА'!E30</f>
        <v>0</v>
      </c>
      <c r="AO15" s="4158">
        <f>'17. РБА'!F30</f>
        <v>0</v>
      </c>
      <c r="AP15" s="4158">
        <f>'17. РБА'!G30</f>
        <v>0</v>
      </c>
      <c r="AQ15" s="3685"/>
      <c r="AR15" s="4159" t="s">
        <v>299</v>
      </c>
      <c r="AS15" s="3699">
        <f>'16. Необходими приходи'!D23</f>
        <v>131.00702226471051</v>
      </c>
      <c r="AT15" s="3699">
        <f>'16. Необходими приходи'!E23</f>
        <v>227.69415765048677</v>
      </c>
      <c r="AU15" s="3699">
        <f>'16. Необходими приходи'!F23</f>
        <v>231.38479492472422</v>
      </c>
      <c r="AV15" s="3699">
        <f>'16. Необходими приходи'!G23</f>
        <v>225.45723477308402</v>
      </c>
      <c r="AW15" s="3699">
        <f>'16. Необходими приходи'!H23</f>
        <v>219.26251368391851</v>
      </c>
    </row>
    <row r="16" spans="1:49" ht="15.75" customHeight="1">
      <c r="A16" s="4160" t="s">
        <v>339</v>
      </c>
      <c r="B16" s="4093">
        <f>'11. Амортиз. план'!E192</f>
        <v>20647.598000000002</v>
      </c>
      <c r="C16" s="4093">
        <f>'11. Амортиз. план'!G192</f>
        <v>20647.598000000002</v>
      </c>
      <c r="D16" s="4093">
        <f>'11. Амортиз. план'!H192</f>
        <v>20647.598000000002</v>
      </c>
      <c r="E16" s="4093">
        <f>'11. Амортиз. план'!I192</f>
        <v>46813.426999999996</v>
      </c>
      <c r="F16" s="4093">
        <f>'11. Амортиз. план'!J192</f>
        <v>46813.426999999996</v>
      </c>
      <c r="G16" s="4093">
        <f>'11. Амортиз. план'!K192</f>
        <v>46813.426999999996</v>
      </c>
      <c r="H16" s="3685"/>
      <c r="I16" s="4194" t="s">
        <v>1491</v>
      </c>
      <c r="J16" s="4274">
        <f>J7-J15</f>
        <v>-3218.9230000000002</v>
      </c>
      <c r="K16" s="4274">
        <f t="shared" ref="K16:O16" si="20">K7-K15</f>
        <v>-6086.7579999999998</v>
      </c>
      <c r="L16" s="4274">
        <f t="shared" si="20"/>
        <v>-530.09999999999991</v>
      </c>
      <c r="M16" s="4274">
        <f t="shared" si="20"/>
        <v>-323.90000000000003</v>
      </c>
      <c r="N16" s="4274">
        <f t="shared" si="20"/>
        <v>-325.3</v>
      </c>
      <c r="O16" s="4274">
        <f t="shared" si="20"/>
        <v>-10484.981</v>
      </c>
      <c r="P16" s="4275"/>
      <c r="Q16" s="4275"/>
      <c r="R16" s="3685"/>
      <c r="S16" s="4187" t="s">
        <v>1766</v>
      </c>
      <c r="T16" s="4188"/>
      <c r="U16" s="4187">
        <f>U15-$T15</f>
        <v>-677.32072767255522</v>
      </c>
      <c r="V16" s="4187">
        <f t="shared" ref="V16:Y16" si="21">V15-$T15</f>
        <v>-661.73557365276247</v>
      </c>
      <c r="W16" s="4187">
        <f t="shared" si="21"/>
        <v>-177.7668592448772</v>
      </c>
      <c r="X16" s="4187">
        <f t="shared" si="21"/>
        <v>550.78983846972369</v>
      </c>
      <c r="Y16" s="4187">
        <f t="shared" si="21"/>
        <v>752.21126791885763</v>
      </c>
      <c r="Z16" s="4105">
        <f t="shared" si="0"/>
        <v>0</v>
      </c>
      <c r="AA16" s="4105">
        <f t="shared" si="1"/>
        <v>0</v>
      </c>
      <c r="AB16" s="3685"/>
      <c r="AC16" s="4151" t="s">
        <v>1784</v>
      </c>
      <c r="AD16" s="3957" t="s">
        <v>119</v>
      </c>
      <c r="AE16" s="4003" t="s">
        <v>1072</v>
      </c>
      <c r="AF16" s="4003" t="s">
        <v>1073</v>
      </c>
      <c r="AG16" s="4003" t="s">
        <v>1074</v>
      </c>
      <c r="AH16" s="4003" t="s">
        <v>1075</v>
      </c>
      <c r="AI16" s="4003" t="s">
        <v>1076</v>
      </c>
      <c r="AJ16" s="3685"/>
      <c r="AK16" s="4006" t="s">
        <v>334</v>
      </c>
      <c r="AL16" s="4158">
        <f>'17. РБА'!C33</f>
        <v>611.54899999999998</v>
      </c>
      <c r="AM16" s="4158">
        <f>'17. РБА'!D33</f>
        <v>2947.7683333333334</v>
      </c>
      <c r="AN16" s="4158">
        <f>'17. РБА'!E33</f>
        <v>145.1</v>
      </c>
      <c r="AO16" s="4158">
        <f>'17. РБА'!F33</f>
        <v>121.4</v>
      </c>
      <c r="AP16" s="4158">
        <f>'17. РБА'!G33</f>
        <v>118.63333333333333</v>
      </c>
      <c r="AQ16" s="3685"/>
      <c r="AR16" s="4159" t="s">
        <v>301</v>
      </c>
      <c r="AS16" s="3699">
        <f>'16. Необходими приходи'!D24</f>
        <v>1643.3104249504454</v>
      </c>
      <c r="AT16" s="3699">
        <f>'16. Необходими приходи'!E24</f>
        <v>1871.0008091472678</v>
      </c>
      <c r="AU16" s="3699">
        <f>'16. Необходими приходи'!F24</f>
        <v>2173.2061900318813</v>
      </c>
      <c r="AV16" s="3699">
        <f>'16. Необходими приходи'!G24</f>
        <v>2323.5649603032307</v>
      </c>
      <c r="AW16" s="3699">
        <f>'16. Необходими приходи'!H24</f>
        <v>2365.5637879345445</v>
      </c>
    </row>
    <row r="17" spans="1:49" ht="15.75" customHeight="1">
      <c r="A17" s="4165" t="s">
        <v>223</v>
      </c>
      <c r="B17" s="4166">
        <f>'11. Амортиз. план'!E214</f>
        <v>370.29900000000004</v>
      </c>
      <c r="C17" s="4166">
        <f>'11. Амортиз. план'!G214</f>
        <v>367.29900000000004</v>
      </c>
      <c r="D17" s="4166">
        <f>'11. Амортиз. план'!H214</f>
        <v>354.29900000000004</v>
      </c>
      <c r="E17" s="4166">
        <f>'11. Амортиз. план'!I214</f>
        <v>947.87132000000008</v>
      </c>
      <c r="F17" s="4166">
        <f>'11. Амортиз. план'!J214</f>
        <v>944.87132000000008</v>
      </c>
      <c r="G17" s="4166">
        <f>'11. Амортиз. план'!K214</f>
        <v>944.87132000000008</v>
      </c>
      <c r="H17" s="3685"/>
      <c r="I17" s="4169" t="s">
        <v>1836</v>
      </c>
      <c r="J17" s="4274"/>
      <c r="K17" s="4274"/>
      <c r="L17" s="4274"/>
      <c r="M17" s="4274"/>
      <c r="N17" s="4274"/>
      <c r="O17" s="4274"/>
      <c r="P17" s="4275"/>
      <c r="Q17" s="4147" t="s">
        <v>1727</v>
      </c>
      <c r="R17" s="3685"/>
      <c r="S17" s="4161" t="s">
        <v>1764</v>
      </c>
      <c r="T17" s="4089">
        <f>'12. Разходи'!C92</f>
        <v>6438</v>
      </c>
      <c r="U17" s="4089">
        <f>'12. Разходи'!D92</f>
        <v>7475</v>
      </c>
      <c r="V17" s="4089">
        <f>'12. Разходи'!E92</f>
        <v>7518</v>
      </c>
      <c r="W17" s="4089">
        <f>'12. Разходи'!F92</f>
        <v>7769</v>
      </c>
      <c r="X17" s="4089">
        <f>'12. Разходи'!G92</f>
        <v>8192</v>
      </c>
      <c r="Y17" s="4089">
        <f>'12. Разходи'!H92</f>
        <v>8340</v>
      </c>
      <c r="Z17" s="4105">
        <f t="shared" si="0"/>
        <v>0.16107486797141971</v>
      </c>
      <c r="AA17" s="4105">
        <f t="shared" si="1"/>
        <v>0.29543336439888163</v>
      </c>
      <c r="AB17" s="3685"/>
      <c r="AC17" s="4189" t="s">
        <v>551</v>
      </c>
      <c r="AD17" s="4190">
        <f>'15. ОПП'!B45</f>
        <v>1322</v>
      </c>
      <c r="AE17" s="4190">
        <f>'15. ОПП'!C45</f>
        <v>5386</v>
      </c>
      <c r="AF17" s="4190">
        <f>'15. ОПП'!D45</f>
        <v>8317.2305131161484</v>
      </c>
      <c r="AG17" s="4190">
        <f>'15. ОПП'!E45</f>
        <v>14026.005853786508</v>
      </c>
      <c r="AH17" s="4190">
        <f>'15. ОПП'!F45</f>
        <v>16407.64230690715</v>
      </c>
      <c r="AI17" s="4190">
        <f>'15. ОПП'!G45</f>
        <v>19314.479303450978</v>
      </c>
      <c r="AJ17" s="3685"/>
      <c r="AK17" s="4006" t="s">
        <v>311</v>
      </c>
      <c r="AL17" s="4158">
        <f>'17. РБА'!C34</f>
        <v>98.515068493150679</v>
      </c>
      <c r="AM17" s="4158">
        <f>'17. РБА'!D34</f>
        <v>106.83764383561643</v>
      </c>
      <c r="AN17" s="4158">
        <f>'17. РБА'!E34</f>
        <v>151.96532721501373</v>
      </c>
      <c r="AO17" s="4158">
        <f>'17. РБА'!F34</f>
        <v>160.20587516021919</v>
      </c>
      <c r="AP17" s="4158">
        <f>'17. РБА'!G34</f>
        <v>166.55601214652057</v>
      </c>
      <c r="AQ17" s="3685"/>
      <c r="AR17" s="4106" t="s">
        <v>302</v>
      </c>
      <c r="AS17" s="4107">
        <f>AS15+AS16</f>
        <v>1774.3174472151559</v>
      </c>
      <c r="AT17" s="4107">
        <f>AT15+AT16</f>
        <v>2098.6949667977547</v>
      </c>
      <c r="AU17" s="4107">
        <f>AU15+AU16</f>
        <v>2404.5909849566056</v>
      </c>
      <c r="AV17" s="4107">
        <f>AV15+AV16</f>
        <v>2549.0221950763148</v>
      </c>
      <c r="AW17" s="4107">
        <f>AW15+AW16</f>
        <v>2584.8263016184628</v>
      </c>
    </row>
    <row r="18" spans="1:49" ht="15.75" customHeight="1">
      <c r="A18" s="4103" t="s">
        <v>225</v>
      </c>
      <c r="B18" s="4089">
        <f>'11. Амортиз. план'!E236</f>
        <v>10126.906999999999</v>
      </c>
      <c r="C18" s="4089">
        <f>'11. Амортиз. план'!G236</f>
        <v>10864.505000000001</v>
      </c>
      <c r="D18" s="4089">
        <f>'11. Амортиз. план'!H236</f>
        <v>11218.804</v>
      </c>
      <c r="E18" s="4089">
        <f>'11. Амортиз. план'!I236</f>
        <v>12166.67532</v>
      </c>
      <c r="F18" s="4089">
        <f>'11. Амортиз. план'!J236</f>
        <v>13111.54664</v>
      </c>
      <c r="G18" s="4089">
        <f>'11. Амортиз. план'!K236</f>
        <v>14056.417959999999</v>
      </c>
      <c r="H18" s="3685"/>
      <c r="I18" s="4149" t="s">
        <v>1570</v>
      </c>
      <c r="J18" s="4362" t="s">
        <v>1072</v>
      </c>
      <c r="K18" s="4362" t="s">
        <v>1073</v>
      </c>
      <c r="L18" s="4362" t="s">
        <v>1074</v>
      </c>
      <c r="M18" s="4362" t="s">
        <v>1075</v>
      </c>
      <c r="N18" s="4362" t="s">
        <v>1076</v>
      </c>
      <c r="O18" s="4150" t="s">
        <v>1686</v>
      </c>
      <c r="P18" s="4363" t="s">
        <v>1833</v>
      </c>
      <c r="Q18" s="4363" t="s">
        <v>1834</v>
      </c>
      <c r="R18" s="3685"/>
      <c r="S18" s="4161" t="s">
        <v>1767</v>
      </c>
      <c r="T18" s="4089">
        <f>'12. Разходи'!C93</f>
        <v>4363.6530000000002</v>
      </c>
      <c r="U18" s="4089">
        <f>'12. Разходи'!D93</f>
        <v>2702.0443358316334</v>
      </c>
      <c r="V18" s="4089">
        <f>'12. Разходи'!E93</f>
        <v>2647.8031641373782</v>
      </c>
      <c r="W18" s="4089">
        <f>'12. Разходи'!F93</f>
        <v>2820.5924389167922</v>
      </c>
      <c r="X18" s="4089">
        <f>'12. Разходи'!G93</f>
        <v>3092.2012050220146</v>
      </c>
      <c r="Y18" s="4089">
        <f>'12. Разходи'!H93</f>
        <v>3120.2609413502778</v>
      </c>
      <c r="Z18" s="4105">
        <f t="shared" si="0"/>
        <v>-0.38078386713342394</v>
      </c>
      <c r="AA18" s="4105">
        <f t="shared" si="1"/>
        <v>-0.28494292709565183</v>
      </c>
      <c r="AB18" s="3685"/>
      <c r="AC18" s="4189" t="s">
        <v>552</v>
      </c>
      <c r="AD18" s="4190">
        <f>'15. ОПП'!B46</f>
        <v>-4950.0753580000001</v>
      </c>
      <c r="AE18" s="4190">
        <f>'15. ОПП'!C46</f>
        <v>8317.2305131161484</v>
      </c>
      <c r="AF18" s="4190">
        <f>'15. ОПП'!D46</f>
        <v>14026.005853786508</v>
      </c>
      <c r="AG18" s="4190">
        <f>'15. ОПП'!E46</f>
        <v>16407.64230690715</v>
      </c>
      <c r="AH18" s="4190">
        <f>'15. ОПП'!F46</f>
        <v>19314.479303450978</v>
      </c>
      <c r="AI18" s="4190">
        <f>'15. ОПП'!G46</f>
        <v>22196.121942707585</v>
      </c>
      <c r="AJ18" s="3685"/>
      <c r="AK18" s="4008" t="s">
        <v>310</v>
      </c>
      <c r="AL18" s="4009">
        <f t="shared" ref="AL18:AP18" si="22">AL13-AL14+AL15+AL16+AL17</f>
        <v>1360.366757012833</v>
      </c>
      <c r="AM18" s="4009">
        <f t="shared" si="22"/>
        <v>4229.8452818740016</v>
      </c>
      <c r="AN18" s="4009">
        <f t="shared" si="22"/>
        <v>4283.4677166887604</v>
      </c>
      <c r="AO18" s="4009">
        <f t="shared" si="22"/>
        <v>4236.458836787463</v>
      </c>
      <c r="AP18" s="4009">
        <f t="shared" si="22"/>
        <v>4200.895129966354</v>
      </c>
      <c r="AQ18" s="3685"/>
      <c r="AR18" s="5674" t="s">
        <v>1789</v>
      </c>
      <c r="AS18" s="5679" t="str">
        <f>AL27</f>
        <v>Доставяне на вода с непитейни качества</v>
      </c>
      <c r="AT18" s="5680"/>
      <c r="AU18" s="5680"/>
      <c r="AV18" s="5680"/>
      <c r="AW18" s="5681"/>
    </row>
    <row r="19" spans="1:49" ht="15.75" customHeight="1">
      <c r="A19" s="4103" t="s">
        <v>227</v>
      </c>
      <c r="B19" s="4089">
        <f>'11. Амортиз. план'!E258</f>
        <v>10520.691000000001</v>
      </c>
      <c r="C19" s="4089">
        <f>'11. Амортиз. план'!G258</f>
        <v>9783.0930000000008</v>
      </c>
      <c r="D19" s="4089">
        <f>'11. Амортиз. план'!H258</f>
        <v>9428.7939999999999</v>
      </c>
      <c r="E19" s="4089">
        <f>'11. Амортиз. план'!I258</f>
        <v>34646.751679999994</v>
      </c>
      <c r="F19" s="4089">
        <f>'11. Амортиз. план'!J258</f>
        <v>33701.880360000003</v>
      </c>
      <c r="G19" s="4089">
        <f>'11. Амортиз. план'!K258</f>
        <v>32757.009039999997</v>
      </c>
      <c r="H19" s="3685"/>
      <c r="I19" s="4152" t="s">
        <v>212</v>
      </c>
      <c r="J19" s="4153">
        <f>J27</f>
        <v>1782.44</v>
      </c>
      <c r="K19" s="4153">
        <f t="shared" ref="K19:N19" si="23">K27</f>
        <v>2319.4313333333334</v>
      </c>
      <c r="L19" s="4153">
        <f t="shared" si="23"/>
        <v>631</v>
      </c>
      <c r="M19" s="4153">
        <f t="shared" si="23"/>
        <v>475</v>
      </c>
      <c r="N19" s="4153">
        <f t="shared" si="23"/>
        <v>500.83333333333331</v>
      </c>
      <c r="O19" s="4093">
        <f>SUM(J19:N19)</f>
        <v>5708.7046666666665</v>
      </c>
      <c r="P19" s="4399">
        <f>O28</f>
        <v>4560.3713333333335</v>
      </c>
      <c r="Q19" s="4399">
        <f>O29</f>
        <v>1148.3333333333335</v>
      </c>
      <c r="R19" s="3685"/>
      <c r="S19" s="4176" t="s">
        <v>1765</v>
      </c>
      <c r="T19" s="4166">
        <f>'12. Разходи'!C94</f>
        <v>3074</v>
      </c>
      <c r="U19" s="4166">
        <f>'12. Разходи'!D94</f>
        <v>1304</v>
      </c>
      <c r="V19" s="4166">
        <f>'12. Разходи'!E94</f>
        <v>1516</v>
      </c>
      <c r="W19" s="4166">
        <f>'12. Разходи'!F94</f>
        <v>1317</v>
      </c>
      <c r="X19" s="4166">
        <f>'12. Разходи'!G94</f>
        <v>1279</v>
      </c>
      <c r="Y19" s="4166">
        <f>'12. Разходи'!H94</f>
        <v>1332</v>
      </c>
      <c r="Z19" s="4105">
        <f t="shared" si="0"/>
        <v>-0.57579700715679893</v>
      </c>
      <c r="AA19" s="4105">
        <f t="shared" si="1"/>
        <v>-0.5666883539362394</v>
      </c>
      <c r="AB19" s="3685"/>
      <c r="AC19" s="3685"/>
      <c r="AD19" s="3686"/>
      <c r="AE19" s="3685"/>
      <c r="AF19" s="3685"/>
      <c r="AG19" s="3685"/>
      <c r="AH19" s="3685"/>
      <c r="AI19" s="3685"/>
      <c r="AJ19" s="3685"/>
      <c r="AK19" s="5682" t="s">
        <v>1788</v>
      </c>
      <c r="AL19" s="5683" t="str">
        <f>T45</f>
        <v>Пречистване на отпадъчните води</v>
      </c>
      <c r="AM19" s="5684"/>
      <c r="AN19" s="5684"/>
      <c r="AO19" s="5684"/>
      <c r="AP19" s="5684"/>
      <c r="AQ19" s="3685"/>
      <c r="AR19" s="5675"/>
      <c r="AS19" s="4010" t="str">
        <f>AS14</f>
        <v>2022 г.</v>
      </c>
      <c r="AT19" s="4010" t="str">
        <f t="shared" ref="AT19:AW19" si="24">AT14</f>
        <v>2023 г.</v>
      </c>
      <c r="AU19" s="4010" t="str">
        <f t="shared" si="24"/>
        <v>2024 г.</v>
      </c>
      <c r="AV19" s="4010" t="str">
        <f t="shared" si="24"/>
        <v>2025 г.</v>
      </c>
      <c r="AW19" s="4010" t="str">
        <f t="shared" si="24"/>
        <v>2026 г.</v>
      </c>
    </row>
    <row r="20" spans="1:49" ht="15.75" customHeight="1">
      <c r="A20" s="4146" t="s">
        <v>178</v>
      </c>
      <c r="B20" s="3685"/>
      <c r="C20" s="3685"/>
      <c r="D20" s="3685"/>
      <c r="E20" s="3685"/>
      <c r="F20" s="3685"/>
      <c r="G20" s="4147" t="s">
        <v>1727</v>
      </c>
      <c r="H20" s="3685"/>
      <c r="I20" s="4152" t="s">
        <v>213</v>
      </c>
      <c r="J20" s="4153">
        <f>J30</f>
        <v>611.54899999999998</v>
      </c>
      <c r="K20" s="4153">
        <f t="shared" ref="K20:N20" si="25">K30</f>
        <v>2947.7683333333334</v>
      </c>
      <c r="L20" s="4153">
        <f t="shared" si="25"/>
        <v>145.1</v>
      </c>
      <c r="M20" s="4153">
        <f t="shared" si="25"/>
        <v>121.4</v>
      </c>
      <c r="N20" s="4153">
        <f t="shared" si="25"/>
        <v>118.63333333333333</v>
      </c>
      <c r="O20" s="4093">
        <f>SUM(J20:N20)</f>
        <v>3944.4506666666666</v>
      </c>
      <c r="P20" s="4399">
        <f>O31</f>
        <v>3563.6173333333336</v>
      </c>
      <c r="Q20" s="4399">
        <f>O32</f>
        <v>380.83333333333331</v>
      </c>
      <c r="R20" s="3685"/>
      <c r="S20" s="4161" t="s">
        <v>1769</v>
      </c>
      <c r="T20" s="4089">
        <f>'12. Разходи'!C90</f>
        <v>1904.0797599999999</v>
      </c>
      <c r="U20" s="4089">
        <f>'12. Разходи'!D90</f>
        <v>2104.62</v>
      </c>
      <c r="V20" s="4089">
        <f>'12. Разходи'!E90</f>
        <v>2152.62</v>
      </c>
      <c r="W20" s="4089">
        <f>'12. Разходи'!F90</f>
        <v>2213.62</v>
      </c>
      <c r="X20" s="4089">
        <f>'12. Разходи'!G90</f>
        <v>2285.62</v>
      </c>
      <c r="Y20" s="4089">
        <f>'12. Разходи'!H90</f>
        <v>2285.62</v>
      </c>
      <c r="Z20" s="4105">
        <f t="shared" si="0"/>
        <v>0.10532134431175302</v>
      </c>
      <c r="AA20" s="4105">
        <f t="shared" si="1"/>
        <v>0.20038038742662759</v>
      </c>
      <c r="AB20" s="3685"/>
      <c r="AC20" s="3685"/>
      <c r="AD20" s="3686"/>
      <c r="AE20" s="3685"/>
      <c r="AF20" s="3685"/>
      <c r="AG20" s="3685"/>
      <c r="AH20" s="3685"/>
      <c r="AI20" s="3685"/>
      <c r="AJ20" s="3685"/>
      <c r="AK20" s="5682"/>
      <c r="AL20" s="4007" t="s">
        <v>1072</v>
      </c>
      <c r="AM20" s="4007" t="s">
        <v>1073</v>
      </c>
      <c r="AN20" s="4007" t="s">
        <v>1074</v>
      </c>
      <c r="AO20" s="4007" t="s">
        <v>1075</v>
      </c>
      <c r="AP20" s="4007" t="s">
        <v>1076</v>
      </c>
      <c r="AQ20" s="3685"/>
      <c r="AR20" s="4159" t="s">
        <v>299</v>
      </c>
      <c r="AS20" s="3699">
        <f>'16. Необходими приходи'!D34</f>
        <v>2.9245456307659548</v>
      </c>
      <c r="AT20" s="3699">
        <f>'16. Необходими приходи'!E34</f>
        <v>3.90000782093253</v>
      </c>
      <c r="AU20" s="3699">
        <f>'16. Необходими приходи'!F34</f>
        <v>3.7881178883057172</v>
      </c>
      <c r="AV20" s="3699">
        <f>'16. Необходими приходи'!G34</f>
        <v>3.7344983722505205</v>
      </c>
      <c r="AW20" s="3699">
        <f>'16. Необходими приходи'!H34</f>
        <v>3.6806374318317081</v>
      </c>
    </row>
    <row r="21" spans="1:49" ht="15.75" customHeight="1">
      <c r="A21" s="5694" t="s">
        <v>90</v>
      </c>
      <c r="B21" s="5685" t="s">
        <v>178</v>
      </c>
      <c r="C21" s="5685"/>
      <c r="D21" s="5685"/>
      <c r="E21" s="5685"/>
      <c r="F21" s="5685"/>
      <c r="G21" s="5685"/>
      <c r="H21" s="3685"/>
      <c r="I21" s="4152" t="s">
        <v>214</v>
      </c>
      <c r="J21" s="4153">
        <f>J33</f>
        <v>1127.934</v>
      </c>
      <c r="K21" s="4153">
        <f t="shared" ref="K21:N21" si="26">K33</f>
        <v>1143.4583333333333</v>
      </c>
      <c r="L21" s="4153">
        <f t="shared" si="26"/>
        <v>92</v>
      </c>
      <c r="M21" s="4153">
        <f t="shared" si="26"/>
        <v>38.5</v>
      </c>
      <c r="N21" s="4153">
        <f t="shared" si="26"/>
        <v>38.833333333333329</v>
      </c>
      <c r="O21" s="4093">
        <f>SUM(J21:N21)</f>
        <v>2440.7256666666667</v>
      </c>
      <c r="P21" s="4399">
        <f>O34</f>
        <v>2360.9923333333331</v>
      </c>
      <c r="Q21" s="4399">
        <f>O35</f>
        <v>79.733333333333334</v>
      </c>
      <c r="R21" s="3685"/>
      <c r="S21" s="4161" t="s">
        <v>1252</v>
      </c>
      <c r="T21" s="4089">
        <f>'12. Разходи'!C89</f>
        <v>3826.6379999999999</v>
      </c>
      <c r="U21" s="4089">
        <f>'12. Разходи'!D89</f>
        <v>3282.8933358316326</v>
      </c>
      <c r="V21" s="4089">
        <f>'12. Разходи'!E89</f>
        <v>2467.2231641373778</v>
      </c>
      <c r="W21" s="4089">
        <f>'12. Разходи'!F89</f>
        <v>2114.2124389167898</v>
      </c>
      <c r="X21" s="4089">
        <f>'12. Разходи'!G89</f>
        <v>1915.521205022015</v>
      </c>
      <c r="Y21" s="4089">
        <f>'12. Разходи'!H89</f>
        <v>1800.1809413502758</v>
      </c>
      <c r="Z21" s="4105">
        <f t="shared" si="0"/>
        <v>-0.14209461782597865</v>
      </c>
      <c r="AA21" s="4105">
        <f t="shared" si="1"/>
        <v>-0.52956591625592075</v>
      </c>
      <c r="AB21" s="3685"/>
      <c r="AC21" s="3685"/>
      <c r="AD21" s="3686"/>
      <c r="AE21" s="3685"/>
      <c r="AF21" s="3685"/>
      <c r="AG21" s="3685"/>
      <c r="AH21" s="3685"/>
      <c r="AI21" s="3685"/>
      <c r="AJ21" s="3685"/>
      <c r="AK21" s="4006" t="s">
        <v>553</v>
      </c>
      <c r="AL21" s="4158">
        <f>'17. РБА'!C38</f>
        <v>426.73608579088483</v>
      </c>
      <c r="AM21" s="4158">
        <f>'17. РБА'!D38</f>
        <v>1554.6700857908845</v>
      </c>
      <c r="AN21" s="4158">
        <f>'17. РБА'!E38</f>
        <v>2698.1284191242175</v>
      </c>
      <c r="AO21" s="4158">
        <f>'17. РБА'!F38</f>
        <v>2790.128419124218</v>
      </c>
      <c r="AP21" s="4158">
        <f>'17. РБА'!G38</f>
        <v>2828.6284191242175</v>
      </c>
      <c r="AQ21" s="3685"/>
      <c r="AR21" s="4159" t="s">
        <v>301</v>
      </c>
      <c r="AS21" s="3699">
        <f>'16. Необходими приходи'!D35</f>
        <v>176.14488261600005</v>
      </c>
      <c r="AT21" s="3699">
        <f>'16. Необходими приходи'!E35</f>
        <v>244.74229233600002</v>
      </c>
      <c r="AU21" s="3699">
        <f>'16. Необходими приходи'!F35</f>
        <v>241.966675178</v>
      </c>
      <c r="AV21" s="3699">
        <f>'16. Необходими приходи'!G35</f>
        <v>239.51643779600002</v>
      </c>
      <c r="AW21" s="3699">
        <f>'16. Необходими приходи'!H35</f>
        <v>237.04905646600002</v>
      </c>
    </row>
    <row r="22" spans="1:49" ht="15.75" customHeight="1">
      <c r="A22" s="5694"/>
      <c r="B22" s="4143" t="s">
        <v>119</v>
      </c>
      <c r="C22" s="4143" t="s">
        <v>1072</v>
      </c>
      <c r="D22" s="4143" t="s">
        <v>1073</v>
      </c>
      <c r="E22" s="4143" t="s">
        <v>1074</v>
      </c>
      <c r="F22" s="4143" t="s">
        <v>1075</v>
      </c>
      <c r="G22" s="4143" t="s">
        <v>1076</v>
      </c>
      <c r="H22" s="3685"/>
      <c r="I22" s="4152" t="s">
        <v>1037</v>
      </c>
      <c r="J22" s="4153">
        <f>J36</f>
        <v>1</v>
      </c>
      <c r="K22" s="4153">
        <f t="shared" ref="K22:N22" si="27">K36</f>
        <v>1</v>
      </c>
      <c r="L22" s="4153">
        <f t="shared" si="27"/>
        <v>0</v>
      </c>
      <c r="M22" s="4153">
        <f t="shared" si="27"/>
        <v>0</v>
      </c>
      <c r="N22" s="4153">
        <f t="shared" si="27"/>
        <v>0</v>
      </c>
      <c r="O22" s="4093">
        <f t="shared" ref="O22:O23" si="28">SUM(J22:N22)</f>
        <v>2</v>
      </c>
      <c r="P22" s="4399">
        <f>O37</f>
        <v>0</v>
      </c>
      <c r="Q22" s="4399">
        <f>O38</f>
        <v>2</v>
      </c>
      <c r="R22" s="3685"/>
      <c r="S22" s="3551"/>
      <c r="T22" s="3685"/>
      <c r="U22" s="3685"/>
      <c r="V22" s="3685"/>
      <c r="W22" s="3685"/>
      <c r="X22" s="3685"/>
      <c r="Y22" s="3685"/>
      <c r="Z22" s="3685"/>
      <c r="AA22" s="3685"/>
      <c r="AB22" s="3685"/>
      <c r="AC22" s="3685"/>
      <c r="AD22" s="3686"/>
      <c r="AE22" s="3685"/>
      <c r="AF22" s="3685"/>
      <c r="AG22" s="3685"/>
      <c r="AH22" s="3685"/>
      <c r="AI22" s="3685"/>
      <c r="AJ22" s="3685"/>
      <c r="AK22" s="4006" t="s">
        <v>554</v>
      </c>
      <c r="AL22" s="4158">
        <f>'17. РБА'!C41</f>
        <v>288.21513120706584</v>
      </c>
      <c r="AM22" s="4158">
        <f>'17. РБА'!D41</f>
        <v>332.18535089662481</v>
      </c>
      <c r="AN22" s="4158">
        <f>'17. РБА'!E41</f>
        <v>426.79339012212472</v>
      </c>
      <c r="AO22" s="4158">
        <f>'17. РБА'!F41</f>
        <v>545.43291043729073</v>
      </c>
      <c r="AP22" s="4158">
        <f>'17. РБА'!G41</f>
        <v>663.41174984883799</v>
      </c>
      <c r="AQ22" s="3685"/>
      <c r="AR22" s="4106" t="s">
        <v>302</v>
      </c>
      <c r="AS22" s="4107">
        <f>AS20+AS21</f>
        <v>179.06942824676599</v>
      </c>
      <c r="AT22" s="4107">
        <f>AT20+AT21</f>
        <v>248.64230015693255</v>
      </c>
      <c r="AU22" s="4107">
        <f>AU20+AU21</f>
        <v>245.75479306630572</v>
      </c>
      <c r="AV22" s="4107">
        <f>AV20+AV21</f>
        <v>243.25093616825055</v>
      </c>
      <c r="AW22" s="4107">
        <f>AW20+AW21</f>
        <v>240.72969389783174</v>
      </c>
    </row>
    <row r="23" spans="1:49" ht="15.75" customHeight="1">
      <c r="A23" s="5696" t="s">
        <v>1750</v>
      </c>
      <c r="B23" s="5696"/>
      <c r="C23" s="5696"/>
      <c r="D23" s="5696"/>
      <c r="E23" s="5696"/>
      <c r="F23" s="5696"/>
      <c r="G23" s="5696"/>
      <c r="H23" s="3685"/>
      <c r="I23" s="4152" t="s">
        <v>1102</v>
      </c>
      <c r="J23" s="4153">
        <f>J39</f>
        <v>0</v>
      </c>
      <c r="K23" s="4153">
        <f t="shared" ref="K23:N23" si="29">K39</f>
        <v>0</v>
      </c>
      <c r="L23" s="4153">
        <f t="shared" si="29"/>
        <v>0</v>
      </c>
      <c r="M23" s="4153">
        <f t="shared" si="29"/>
        <v>0</v>
      </c>
      <c r="N23" s="4153">
        <f t="shared" si="29"/>
        <v>0</v>
      </c>
      <c r="O23" s="4093">
        <f t="shared" si="28"/>
        <v>0</v>
      </c>
      <c r="P23" s="4399">
        <f>O40</f>
        <v>0</v>
      </c>
      <c r="Q23" s="4399">
        <f>O41</f>
        <v>0</v>
      </c>
      <c r="R23" s="3685"/>
      <c r="S23" s="1769" t="s">
        <v>1778</v>
      </c>
      <c r="T23" s="3685"/>
      <c r="U23" s="3685"/>
      <c r="V23" s="3685"/>
      <c r="W23" s="3685"/>
      <c r="X23" s="3685"/>
      <c r="Y23" s="3685"/>
      <c r="Z23" s="3685"/>
      <c r="AA23" s="3685"/>
      <c r="AB23" s="3685"/>
      <c r="AC23" s="3685"/>
      <c r="AD23" s="3686"/>
      <c r="AE23" s="3685"/>
      <c r="AF23" s="3685"/>
      <c r="AG23" s="3685"/>
      <c r="AH23" s="3685"/>
      <c r="AI23" s="3685"/>
      <c r="AJ23" s="3685"/>
      <c r="AK23" s="4006" t="s">
        <v>555</v>
      </c>
      <c r="AL23" s="4158">
        <f>'17. РБА'!C44</f>
        <v>0</v>
      </c>
      <c r="AM23" s="4158">
        <f>'17. РБА'!D44</f>
        <v>0</v>
      </c>
      <c r="AN23" s="4158">
        <f>'17. РБА'!E44</f>
        <v>0</v>
      </c>
      <c r="AO23" s="4158">
        <f>'17. РБА'!F44</f>
        <v>0</v>
      </c>
      <c r="AP23" s="4158">
        <f>'17. РБА'!G44</f>
        <v>0</v>
      </c>
      <c r="AQ23" s="3685"/>
      <c r="AR23" s="5674" t="s">
        <v>1789</v>
      </c>
      <c r="AS23" s="5679" t="str">
        <f>AL35</f>
        <v>Доставяне на вода на друг ВиК оператор</v>
      </c>
      <c r="AT23" s="5680"/>
      <c r="AU23" s="5680"/>
      <c r="AV23" s="5680"/>
      <c r="AW23" s="5681"/>
    </row>
    <row r="24" spans="1:49" ht="15.75" customHeight="1">
      <c r="A24" s="4160" t="s">
        <v>339</v>
      </c>
      <c r="B24" s="4093">
        <f>'11. Амортиз. план'!L10</f>
        <v>1414</v>
      </c>
      <c r="C24" s="4093">
        <f>'11. Амортиз. план'!N10</f>
        <v>1504.3649687220734</v>
      </c>
      <c r="D24" s="4093">
        <f>'11. Амортиз. план'!O10</f>
        <v>1587.5316353887401</v>
      </c>
      <c r="E24" s="4093">
        <f>'11. Амортиз. план'!P10</f>
        <v>1675.3649687220736</v>
      </c>
      <c r="F24" s="4093">
        <f>'11. Амортиз. план'!Q10</f>
        <v>1745.1983020554062</v>
      </c>
      <c r="G24" s="4093">
        <f>'11. Амортиз. план'!R10</f>
        <v>1810.8649687220732</v>
      </c>
      <c r="H24" s="3685"/>
      <c r="I24" s="4167" t="s">
        <v>1036</v>
      </c>
      <c r="J24" s="4168">
        <f>SUM(J19:J23)</f>
        <v>3522.9229999999998</v>
      </c>
      <c r="K24" s="4168">
        <f t="shared" ref="K24" si="30">SUM(K19:K23)</f>
        <v>6411.6580000000004</v>
      </c>
      <c r="L24" s="4168">
        <f t="shared" ref="L24" si="31">SUM(L19:L23)</f>
        <v>868.1</v>
      </c>
      <c r="M24" s="4168">
        <f t="shared" ref="M24" si="32">SUM(M19:M23)</f>
        <v>634.9</v>
      </c>
      <c r="N24" s="4168">
        <f t="shared" ref="N24" si="33">SUM(N19:N23)</f>
        <v>658.30000000000007</v>
      </c>
      <c r="O24" s="4168">
        <f t="shared" ref="O24" si="34">SUM(O19:O23)</f>
        <v>12095.880999999999</v>
      </c>
      <c r="P24" s="4400">
        <f>O43</f>
        <v>10484.981</v>
      </c>
      <c r="Q24" s="4400">
        <f>O44</f>
        <v>1610.9</v>
      </c>
      <c r="R24" s="3685"/>
      <c r="S24" s="5685" t="s">
        <v>1760</v>
      </c>
      <c r="T24" s="5685" t="s">
        <v>213</v>
      </c>
      <c r="U24" s="5685"/>
      <c r="V24" s="5685"/>
      <c r="W24" s="5685"/>
      <c r="X24" s="5685"/>
      <c r="Y24" s="5685"/>
      <c r="Z24" s="5691" t="s">
        <v>1762</v>
      </c>
      <c r="AA24" s="5691" t="s">
        <v>1763</v>
      </c>
      <c r="AB24" s="3685"/>
      <c r="AC24" s="3685"/>
      <c r="AD24" s="3686"/>
      <c r="AE24" s="3685"/>
      <c r="AF24" s="3685"/>
      <c r="AG24" s="3685"/>
      <c r="AH24" s="3685"/>
      <c r="AI24" s="3685"/>
      <c r="AJ24" s="3685"/>
      <c r="AK24" s="4006" t="s">
        <v>334</v>
      </c>
      <c r="AL24" s="4191">
        <f>'17. РБА'!C47</f>
        <v>1127.934</v>
      </c>
      <c r="AM24" s="4191">
        <f>'17. РБА'!D47</f>
        <v>1143.4583333333333</v>
      </c>
      <c r="AN24" s="4191">
        <f>'17. РБА'!E47</f>
        <v>92</v>
      </c>
      <c r="AO24" s="4191">
        <f>'17. РБА'!F47</f>
        <v>38.5</v>
      </c>
      <c r="AP24" s="4191">
        <f>'17. РБА'!G47</f>
        <v>38.833333333333329</v>
      </c>
      <c r="AQ24" s="3685"/>
      <c r="AR24" s="5675"/>
      <c r="AS24" s="4010" t="str">
        <f>AS19</f>
        <v>2022 г.</v>
      </c>
      <c r="AT24" s="4010" t="str">
        <f t="shared" ref="AT24:AW24" si="35">AT19</f>
        <v>2023 г.</v>
      </c>
      <c r="AU24" s="4010" t="str">
        <f t="shared" si="35"/>
        <v>2024 г.</v>
      </c>
      <c r="AV24" s="4010" t="str">
        <f t="shared" si="35"/>
        <v>2025 г.</v>
      </c>
      <c r="AW24" s="4010" t="str">
        <f t="shared" si="35"/>
        <v>2026 г.</v>
      </c>
    </row>
    <row r="25" spans="1:49" ht="15.75" customHeight="1">
      <c r="A25" s="4165" t="s">
        <v>223</v>
      </c>
      <c r="B25" s="4166">
        <f>'11. Амортиз. план'!L35</f>
        <v>68</v>
      </c>
      <c r="C25" s="4166">
        <f>'11. Амортиз. план'!N35</f>
        <v>74.824565818604697</v>
      </c>
      <c r="D25" s="4166">
        <f>'11. Амортиз. план'!O35</f>
        <v>83.180832090129371</v>
      </c>
      <c r="E25" s="4166">
        <f>'11. Амортиз. план'!P35</f>
        <v>88.288973128729907</v>
      </c>
      <c r="F25" s="4166">
        <f>'11. Амортиз. план'!Q35</f>
        <v>69.917408864166049</v>
      </c>
      <c r="G25" s="4166">
        <f>'11. Амортиз. план'!R35</f>
        <v>66.095684364645464</v>
      </c>
      <c r="H25" s="3685"/>
      <c r="I25" s="4148" t="s">
        <v>1726</v>
      </c>
      <c r="J25" s="4171"/>
      <c r="K25" s="4171"/>
      <c r="L25" s="4171"/>
      <c r="M25" s="4171"/>
      <c r="N25" s="4171"/>
      <c r="O25" s="4171"/>
      <c r="P25" s="4147" t="s">
        <v>1727</v>
      </c>
      <c r="Q25" s="4147"/>
      <c r="R25" s="3685"/>
      <c r="S25" s="5685"/>
      <c r="T25" s="3993" t="str">
        <f t="shared" ref="T25:Y25" si="36">T4</f>
        <v>2020 г.</v>
      </c>
      <c r="U25" s="3993" t="str">
        <f t="shared" si="36"/>
        <v>2022 г.</v>
      </c>
      <c r="V25" s="3993" t="str">
        <f t="shared" si="36"/>
        <v>2023 г.</v>
      </c>
      <c r="W25" s="3993" t="str">
        <f t="shared" si="36"/>
        <v>2024 г.</v>
      </c>
      <c r="X25" s="3993" t="str">
        <f t="shared" si="36"/>
        <v>2025 г.</v>
      </c>
      <c r="Y25" s="3993" t="str">
        <f t="shared" si="36"/>
        <v>2026 г.</v>
      </c>
      <c r="Z25" s="5691"/>
      <c r="AA25" s="5691"/>
      <c r="AB25" s="3685"/>
      <c r="AC25" s="3685"/>
      <c r="AD25" s="3686"/>
      <c r="AE25" s="3685"/>
      <c r="AF25" s="3685"/>
      <c r="AG25" s="3685"/>
      <c r="AH25" s="3685"/>
      <c r="AI25" s="3685"/>
      <c r="AJ25" s="3685"/>
      <c r="AK25" s="4006" t="s">
        <v>311</v>
      </c>
      <c r="AL25" s="4158">
        <f>'17. РБА'!C48</f>
        <v>262.8098967552142</v>
      </c>
      <c r="AM25" s="4158">
        <f>'17. РБА'!D48</f>
        <v>291.96538683645502</v>
      </c>
      <c r="AN25" s="4158">
        <f>'17. РБА'!E48</f>
        <v>337.65479502192579</v>
      </c>
      <c r="AO25" s="4158">
        <f>'17. РБА'!F48</f>
        <v>348.60100617397541</v>
      </c>
      <c r="AP25" s="4158">
        <f>'17. РБА'!G48</f>
        <v>355.43459292340941</v>
      </c>
      <c r="AQ25" s="3685"/>
      <c r="AR25" s="4159" t="s">
        <v>299</v>
      </c>
      <c r="AS25" s="3699">
        <f>'16. Необходими приходи'!D40</f>
        <v>0</v>
      </c>
      <c r="AT25" s="3699">
        <f>'16. Необходими приходи'!E40</f>
        <v>0</v>
      </c>
      <c r="AU25" s="3699">
        <f>'16. Необходими приходи'!F40</f>
        <v>0</v>
      </c>
      <c r="AV25" s="3699">
        <f>'16. Необходими приходи'!G40</f>
        <v>0</v>
      </c>
      <c r="AW25" s="3699">
        <f>'16. Необходими приходи'!H40</f>
        <v>0</v>
      </c>
    </row>
    <row r="26" spans="1:49" ht="15.75" customHeight="1">
      <c r="A26" s="4103" t="s">
        <v>225</v>
      </c>
      <c r="B26" s="4089">
        <f>'11. Амортиз. план'!L60</f>
        <v>948</v>
      </c>
      <c r="C26" s="4089">
        <f>'11. Амортиз. план'!N60</f>
        <v>1096.022538222923</v>
      </c>
      <c r="D26" s="4089">
        <f>'11. Амортиз. план'!O60</f>
        <v>1179.2033703130519</v>
      </c>
      <c r="E26" s="4089">
        <f>'11. Амортиз. план'!P60</f>
        <v>1267.4923434417826</v>
      </c>
      <c r="F26" s="4089">
        <f>'11. Амортиз. план'!Q60</f>
        <v>1337.4097523059481</v>
      </c>
      <c r="G26" s="4089">
        <f>'11. Амортиз. план'!R60</f>
        <v>1403.5054366705931</v>
      </c>
      <c r="H26" s="3685"/>
      <c r="I26" s="4172" t="s">
        <v>1570</v>
      </c>
      <c r="J26" s="4172" t="s">
        <v>1072</v>
      </c>
      <c r="K26" s="4172" t="s">
        <v>1073</v>
      </c>
      <c r="L26" s="4172" t="s">
        <v>1074</v>
      </c>
      <c r="M26" s="4172" t="s">
        <v>1075</v>
      </c>
      <c r="N26" s="4172" t="s">
        <v>1076</v>
      </c>
      <c r="O26" s="4173" t="s">
        <v>1686</v>
      </c>
      <c r="P26" s="4173" t="s">
        <v>1687</v>
      </c>
      <c r="Q26" s="4275"/>
      <c r="R26" s="3685"/>
      <c r="S26" s="4161" t="s">
        <v>231</v>
      </c>
      <c r="T26" s="4089">
        <f>'12. Разходи'!K11</f>
        <v>48.750000000000014</v>
      </c>
      <c r="U26" s="4089">
        <f>'12. Разходи'!L11</f>
        <v>107.99999999999999</v>
      </c>
      <c r="V26" s="4089">
        <f>'12. Разходи'!M11</f>
        <v>107.99999999999999</v>
      </c>
      <c r="W26" s="4089">
        <f>'12. Разходи'!N11</f>
        <v>334.306740558</v>
      </c>
      <c r="X26" s="4089">
        <f>'12. Разходи'!O11</f>
        <v>334.306740558</v>
      </c>
      <c r="Y26" s="4089">
        <f>'12. Разходи'!P11</f>
        <v>334.306740558</v>
      </c>
      <c r="Z26" s="4105">
        <f>IFERROR((U26-T26)/T26,0)</f>
        <v>1.2153846153846144</v>
      </c>
      <c r="AA26" s="4105">
        <f>IFERROR((Y26-T26)/T26,0)</f>
        <v>5.8575741652923057</v>
      </c>
      <c r="AB26" s="3685"/>
      <c r="AC26" s="3685"/>
      <c r="AD26" s="3686"/>
      <c r="AE26" s="3685"/>
      <c r="AF26" s="3685"/>
      <c r="AG26" s="3685"/>
      <c r="AH26" s="3685"/>
      <c r="AI26" s="3685"/>
      <c r="AJ26" s="3685"/>
      <c r="AK26" s="4008" t="s">
        <v>310</v>
      </c>
      <c r="AL26" s="4009">
        <f t="shared" ref="AL26:AP26" si="37">AL21-AL22+AL23+AL24+AL25</f>
        <v>1529.2648513390332</v>
      </c>
      <c r="AM26" s="4009">
        <f t="shared" si="37"/>
        <v>2657.9084550640478</v>
      </c>
      <c r="AN26" s="4009">
        <f t="shared" si="37"/>
        <v>2700.9898240240182</v>
      </c>
      <c r="AO26" s="4009">
        <f t="shared" si="37"/>
        <v>2631.7965148609028</v>
      </c>
      <c r="AP26" s="4009">
        <f t="shared" si="37"/>
        <v>2559.4845955321225</v>
      </c>
      <c r="AQ26" s="3685"/>
      <c r="AR26" s="4159" t="s">
        <v>301</v>
      </c>
      <c r="AS26" s="3699">
        <f>'16. Необходими приходи'!D41</f>
        <v>0</v>
      </c>
      <c r="AT26" s="3699">
        <f>'16. Необходими приходи'!E41</f>
        <v>0</v>
      </c>
      <c r="AU26" s="3699">
        <f>'16. Необходими приходи'!F41</f>
        <v>0</v>
      </c>
      <c r="AV26" s="3699">
        <f>'16. Необходими приходи'!G41</f>
        <v>0</v>
      </c>
      <c r="AW26" s="3699">
        <f>'16. Необходими приходи'!H41</f>
        <v>0</v>
      </c>
    </row>
    <row r="27" spans="1:49" ht="15.75" customHeight="1">
      <c r="A27" s="4103" t="s">
        <v>227</v>
      </c>
      <c r="B27" s="4089">
        <f>'11. Амортиз. план'!L85</f>
        <v>466</v>
      </c>
      <c r="C27" s="4089">
        <f>'11. Амортиз. план'!N85</f>
        <v>408.34243049915057</v>
      </c>
      <c r="D27" s="4089">
        <f>'11. Амортиз. план'!O85</f>
        <v>408.3282650756878</v>
      </c>
      <c r="E27" s="4089">
        <f>'11. Амортиз. план'!P85</f>
        <v>407.87262528029112</v>
      </c>
      <c r="F27" s="4089">
        <f>'11. Амортиз. план'!Q85</f>
        <v>407.78854974945847</v>
      </c>
      <c r="G27" s="4089">
        <f>'11. Амортиз. план'!R85</f>
        <v>407.35953205147962</v>
      </c>
      <c r="H27" s="3685"/>
      <c r="I27" s="4174" t="str">
        <f>'9.Инвестиционна програма'!E140</f>
        <v>Доставяне на вода на потребителите</v>
      </c>
      <c r="J27" s="4093">
        <f>SUM(J28:J29)</f>
        <v>1782.44</v>
      </c>
      <c r="K27" s="4093">
        <f t="shared" ref="K27:N27" si="38">SUM(K28:K29)</f>
        <v>2319.4313333333334</v>
      </c>
      <c r="L27" s="4093">
        <f t="shared" si="38"/>
        <v>631</v>
      </c>
      <c r="M27" s="4093">
        <f t="shared" si="38"/>
        <v>475</v>
      </c>
      <c r="N27" s="4093">
        <f t="shared" si="38"/>
        <v>500.83333333333331</v>
      </c>
      <c r="O27" s="4093">
        <f>SUM(J27:N27)</f>
        <v>5708.7046666666665</v>
      </c>
      <c r="P27" s="4122">
        <f t="shared" ref="P27:P44" si="39">IFERROR(O27/$O$42,0)</f>
        <v>0.4719544336346122</v>
      </c>
      <c r="Q27" s="4129"/>
      <c r="R27" s="3685"/>
      <c r="S27" s="4161" t="s">
        <v>244</v>
      </c>
      <c r="T27" s="4089">
        <f>'12. Разходи'!K29</f>
        <v>48.69</v>
      </c>
      <c r="U27" s="4089">
        <f>'12. Разходи'!L29</f>
        <v>212.95000000000002</v>
      </c>
      <c r="V27" s="4089">
        <f>'12. Разходи'!M29</f>
        <v>227.07899999999998</v>
      </c>
      <c r="W27" s="4089">
        <f>'12. Разходи'!N29</f>
        <v>229.429</v>
      </c>
      <c r="X27" s="4089">
        <f>'12. Разходи'!O29</f>
        <v>229.429</v>
      </c>
      <c r="Y27" s="4089">
        <f>'12. Разходи'!P29</f>
        <v>229.429</v>
      </c>
      <c r="Z27" s="4105">
        <f t="shared" ref="Z27:Z42" si="40">IFERROR((U27-T27)/T27,0)</f>
        <v>3.3735880057506682</v>
      </c>
      <c r="AA27" s="4105">
        <f t="shared" ref="AA27:AA42" si="41">IFERROR((Y27-T27)/T27,0)</f>
        <v>3.7120353255288565</v>
      </c>
      <c r="AB27" s="3685"/>
      <c r="AC27" s="3685"/>
      <c r="AD27" s="3686"/>
      <c r="AE27" s="3685"/>
      <c r="AF27" s="3685"/>
      <c r="AG27" s="3685"/>
      <c r="AH27" s="3685"/>
      <c r="AI27" s="3685"/>
      <c r="AJ27" s="3685"/>
      <c r="AK27" s="5682" t="s">
        <v>1788</v>
      </c>
      <c r="AL27" s="5683" t="str">
        <f>T76</f>
        <v>Доставяне на вода с непитейни качества</v>
      </c>
      <c r="AM27" s="5684"/>
      <c r="AN27" s="5684"/>
      <c r="AO27" s="5684"/>
      <c r="AP27" s="5684"/>
      <c r="AQ27" s="3685"/>
      <c r="AR27" s="4106" t="s">
        <v>302</v>
      </c>
      <c r="AS27" s="4107">
        <f>AS25+AS26</f>
        <v>0</v>
      </c>
      <c r="AT27" s="4107">
        <f>AT25+AT26</f>
        <v>0</v>
      </c>
      <c r="AU27" s="4107">
        <f>AU25+AU26</f>
        <v>0</v>
      </c>
      <c r="AV27" s="4107">
        <f>AV25+AV26</f>
        <v>0</v>
      </c>
      <c r="AW27" s="4107">
        <f>AW25+AW26</f>
        <v>0</v>
      </c>
    </row>
    <row r="28" spans="1:49" ht="15.75" customHeight="1">
      <c r="A28" s="5696" t="s">
        <v>1751</v>
      </c>
      <c r="B28" s="5696"/>
      <c r="C28" s="5696"/>
      <c r="D28" s="5696"/>
      <c r="E28" s="5696"/>
      <c r="F28" s="5696"/>
      <c r="G28" s="5696"/>
      <c r="H28" s="3685"/>
      <c r="I28" s="4175" t="s">
        <v>1708</v>
      </c>
      <c r="J28" s="4176">
        <f>'9.Инвестиционна програма'!H153</f>
        <v>1569.1066666666668</v>
      </c>
      <c r="K28" s="4176">
        <f>'9.Инвестиционна програма'!I153</f>
        <v>2095.7646666666669</v>
      </c>
      <c r="L28" s="4176">
        <f>'9.Инвестиционна програма'!J153</f>
        <v>398.16666666666663</v>
      </c>
      <c r="M28" s="4176">
        <f>'9.Инвестиционна програма'!K153</f>
        <v>248.66666666666666</v>
      </c>
      <c r="N28" s="4176">
        <f>'9.Инвестиционна програма'!L153</f>
        <v>248.66666666666666</v>
      </c>
      <c r="O28" s="4176">
        <f t="shared" ref="O28:O41" si="42">SUM(J28:N28)</f>
        <v>4560.3713333333335</v>
      </c>
      <c r="P28" s="4177">
        <f t="shared" si="39"/>
        <v>0.37701853493212556</v>
      </c>
      <c r="Q28" s="4395"/>
      <c r="R28" s="3685"/>
      <c r="S28" s="4161" t="s">
        <v>451</v>
      </c>
      <c r="T28" s="4089">
        <f>'12. Разходи'!K55</f>
        <v>109.28999999999999</v>
      </c>
      <c r="U28" s="4089">
        <f>'12. Разходи'!L55</f>
        <v>97.502383814628615</v>
      </c>
      <c r="V28" s="4089">
        <f>'12. Разходи'!M55</f>
        <v>137.3452485646402</v>
      </c>
      <c r="W28" s="4089">
        <f>'12. Разходи'!N55</f>
        <v>189.169427846502</v>
      </c>
      <c r="X28" s="4089">
        <f>'12. Разходи'!O55</f>
        <v>383.19717714074352</v>
      </c>
      <c r="Y28" s="4089">
        <f>'12. Разходи'!P55</f>
        <v>380.7696424476149</v>
      </c>
      <c r="Z28" s="4105">
        <f t="shared" si="40"/>
        <v>-0.10785631059906101</v>
      </c>
      <c r="AA28" s="4105">
        <f t="shared" si="41"/>
        <v>2.4840300342905564</v>
      </c>
      <c r="AB28" s="3685"/>
      <c r="AC28" s="3685"/>
      <c r="AD28" s="3686"/>
      <c r="AE28" s="3685"/>
      <c r="AF28" s="3685"/>
      <c r="AG28" s="3685"/>
      <c r="AH28" s="3685"/>
      <c r="AI28" s="3685"/>
      <c r="AJ28" s="3685"/>
      <c r="AK28" s="5682"/>
      <c r="AL28" s="4007" t="s">
        <v>1072</v>
      </c>
      <c r="AM28" s="4007" t="s">
        <v>1073</v>
      </c>
      <c r="AN28" s="4007" t="s">
        <v>1074</v>
      </c>
      <c r="AO28" s="4007" t="s">
        <v>1075</v>
      </c>
      <c r="AP28" s="4007" t="s">
        <v>1076</v>
      </c>
      <c r="AQ28" s="3685"/>
      <c r="AR28" s="3577"/>
      <c r="AS28" s="3685"/>
      <c r="AT28" s="3685"/>
      <c r="AU28" s="3685"/>
      <c r="AV28" s="3685"/>
      <c r="AW28" s="3685"/>
    </row>
    <row r="29" spans="1:49" ht="15.75" customHeight="1">
      <c r="A29" s="4160" t="s">
        <v>339</v>
      </c>
      <c r="B29" s="4093">
        <f>'11. Амортиз. план'!L111</f>
        <v>151</v>
      </c>
      <c r="C29" s="4093">
        <f>'11. Амортиз. план'!N111</f>
        <v>790.04676586237713</v>
      </c>
      <c r="D29" s="4093">
        <f>'11. Амортиз. план'!O111</f>
        <v>3654.6484325290444</v>
      </c>
      <c r="E29" s="4093">
        <f>'11. Амортиз. план'!P111</f>
        <v>3711.9150991957108</v>
      </c>
      <c r="F29" s="4093">
        <f>'11. Амортиз. план'!Q111</f>
        <v>3763.4817658623779</v>
      </c>
      <c r="G29" s="4093">
        <f>'11. Амортиз. план'!R111</f>
        <v>3816.4484325290446</v>
      </c>
      <c r="H29" s="3685"/>
      <c r="I29" s="4175" t="s">
        <v>1709</v>
      </c>
      <c r="J29" s="4176">
        <f>'9.Инвестиционна програма'!H147</f>
        <v>213.33333333333334</v>
      </c>
      <c r="K29" s="4176">
        <f>'9.Инвестиционна програма'!I147</f>
        <v>223.66666666666666</v>
      </c>
      <c r="L29" s="4176">
        <f>'9.Инвестиционна програма'!J147</f>
        <v>232.83333333333334</v>
      </c>
      <c r="M29" s="4176">
        <f>'9.Инвестиционна програма'!K147</f>
        <v>226.33333333333334</v>
      </c>
      <c r="N29" s="4176">
        <f>'9.Инвестиционна програма'!L147</f>
        <v>252.16666666666666</v>
      </c>
      <c r="O29" s="4176">
        <f t="shared" si="42"/>
        <v>1148.3333333333335</v>
      </c>
      <c r="P29" s="4177">
        <f t="shared" si="39"/>
        <v>9.4935898702486698E-2</v>
      </c>
      <c r="Q29" s="4395"/>
      <c r="R29" s="3685"/>
      <c r="S29" s="4170" t="s">
        <v>452</v>
      </c>
      <c r="T29" s="4166">
        <f>'12. Разходи'!K56</f>
        <v>68</v>
      </c>
      <c r="U29" s="4166">
        <f>'12. Разходи'!L56</f>
        <v>74.824565818604697</v>
      </c>
      <c r="V29" s="4166">
        <f>'12. Разходи'!M56</f>
        <v>83.180832090129371</v>
      </c>
      <c r="W29" s="4166">
        <f>'12. Разходи'!N56</f>
        <v>88.288973128729907</v>
      </c>
      <c r="X29" s="4166">
        <f>'12. Разходи'!O56</f>
        <v>69.917408864166049</v>
      </c>
      <c r="Y29" s="4166">
        <f>'12. Разходи'!P56</f>
        <v>66.095684364645464</v>
      </c>
      <c r="Z29" s="4105">
        <f t="shared" si="40"/>
        <v>0.10036126203830437</v>
      </c>
      <c r="AA29" s="4105">
        <f t="shared" si="41"/>
        <v>-2.800464169639023E-2</v>
      </c>
      <c r="AB29" s="3685"/>
      <c r="AC29" s="3685"/>
      <c r="AD29" s="3686"/>
      <c r="AE29" s="3685"/>
      <c r="AF29" s="3685"/>
      <c r="AG29" s="3685"/>
      <c r="AH29" s="3685"/>
      <c r="AI29" s="3685"/>
      <c r="AJ29" s="3685"/>
      <c r="AK29" s="4006" t="s">
        <v>553</v>
      </c>
      <c r="AL29" s="4158">
        <f>'17. РБА'!C52</f>
        <v>11.700000000000001</v>
      </c>
      <c r="AM29" s="4158">
        <f>'17. РБА'!D52</f>
        <v>12.699999999999998</v>
      </c>
      <c r="AN29" s="4158">
        <f>'17. РБА'!E52</f>
        <v>13.699999999999998</v>
      </c>
      <c r="AO29" s="4158">
        <f>'17. РБА'!F52</f>
        <v>13.699999999999998</v>
      </c>
      <c r="AP29" s="4158">
        <f>'17. РБА'!G52</f>
        <v>13.699999999999998</v>
      </c>
      <c r="AQ29" s="3685"/>
      <c r="AR29" s="3577"/>
      <c r="AS29" s="3685"/>
      <c r="AT29" s="3685"/>
      <c r="AU29" s="3685"/>
      <c r="AV29" s="3685"/>
      <c r="AW29" s="3685"/>
    </row>
    <row r="30" spans="1:49" ht="15.75" customHeight="1">
      <c r="A30" s="4165" t="s">
        <v>223</v>
      </c>
      <c r="B30" s="4166">
        <f>'11. Амортиз. план'!L131</f>
        <v>3</v>
      </c>
      <c r="C30" s="4166">
        <f>'11. Амортиз. план'!N131</f>
        <v>11.787817996023918</v>
      </c>
      <c r="D30" s="4166">
        <f>'11. Амортиз. план'!O131</f>
        <v>53.424416474510835</v>
      </c>
      <c r="E30" s="4166">
        <f>'11. Амортиз. план'!P131</f>
        <v>88.360454717772086</v>
      </c>
      <c r="F30" s="4166">
        <f>'11. Амортиз. план'!Q131</f>
        <v>90.629768276577451</v>
      </c>
      <c r="G30" s="4166">
        <f>'11. Амортиз. план'!R131</f>
        <v>92.563958082969421</v>
      </c>
      <c r="H30" s="3685"/>
      <c r="I30" s="4174" t="str">
        <f>'9.Инвестиционна програма'!E141</f>
        <v>Отвеждане на отпадъчните води</v>
      </c>
      <c r="J30" s="4093">
        <f>SUM(J31:J32)</f>
        <v>611.54899999999998</v>
      </c>
      <c r="K30" s="4093">
        <f t="shared" ref="K30" si="43">SUM(K31:K32)</f>
        <v>2947.7683333333334</v>
      </c>
      <c r="L30" s="4093">
        <f t="shared" ref="L30" si="44">SUM(L31:L32)</f>
        <v>145.1</v>
      </c>
      <c r="M30" s="4093">
        <f t="shared" ref="M30" si="45">SUM(M31:M32)</f>
        <v>121.4</v>
      </c>
      <c r="N30" s="4093">
        <f t="shared" ref="N30" si="46">SUM(N31:N32)</f>
        <v>118.63333333333333</v>
      </c>
      <c r="O30" s="4093">
        <f t="shared" ref="O30:O39" si="47">SUM(J30:N30)</f>
        <v>3944.4506666666666</v>
      </c>
      <c r="P30" s="4122">
        <f t="shared" si="39"/>
        <v>0.32609866670039717</v>
      </c>
      <c r="Q30" s="4129"/>
      <c r="R30" s="3685"/>
      <c r="S30" s="4170" t="s">
        <v>744</v>
      </c>
      <c r="T30" s="4166">
        <f>'12. Разходи'!K57</f>
        <v>3</v>
      </c>
      <c r="U30" s="4166">
        <f>'12. Разходи'!L57</f>
        <v>11.787817996023918</v>
      </c>
      <c r="V30" s="4166">
        <f>'12. Разходи'!M57</f>
        <v>53.424416474510835</v>
      </c>
      <c r="W30" s="4166">
        <f>'12. Разходи'!N57</f>
        <v>88.360454717772086</v>
      </c>
      <c r="X30" s="4166">
        <f>'12. Разходи'!O57</f>
        <v>90.629768276577451</v>
      </c>
      <c r="Y30" s="4166">
        <f>'12. Разходи'!P57</f>
        <v>92.563958082969421</v>
      </c>
      <c r="Z30" s="4105">
        <f t="shared" si="40"/>
        <v>2.9292726653413061</v>
      </c>
      <c r="AA30" s="4105">
        <f t="shared" si="41"/>
        <v>29.854652694323139</v>
      </c>
      <c r="AB30" s="3685"/>
      <c r="AC30" s="3685"/>
      <c r="AD30" s="3686"/>
      <c r="AE30" s="3685"/>
      <c r="AF30" s="3685"/>
      <c r="AG30" s="3685"/>
      <c r="AH30" s="3685"/>
      <c r="AI30" s="3685"/>
      <c r="AJ30" s="3685"/>
      <c r="AK30" s="4006" t="s">
        <v>554</v>
      </c>
      <c r="AL30" s="4158">
        <f>'17. РБА'!C55</f>
        <v>7.3731300000000015</v>
      </c>
      <c r="AM30" s="4158">
        <f>'17. РБА'!D55</f>
        <v>8.2462599999999995</v>
      </c>
      <c r="AN30" s="4158">
        <f>'17. РБА'!E55</f>
        <v>9.2193900000000006</v>
      </c>
      <c r="AO30" s="4158">
        <f>'17. РБА'!F55</f>
        <v>9.44252</v>
      </c>
      <c r="AP30" s="4158">
        <f>'17. РБА'!G55</f>
        <v>9.6656499999999994</v>
      </c>
      <c r="AQ30" s="3685"/>
      <c r="AR30" s="3577"/>
      <c r="AS30" s="3685"/>
      <c r="AT30" s="3685"/>
      <c r="AU30" s="3685"/>
      <c r="AV30" s="3685"/>
      <c r="AW30" s="3685"/>
    </row>
    <row r="31" spans="1:49" ht="18.75" customHeight="1">
      <c r="A31" s="4103" t="s">
        <v>225</v>
      </c>
      <c r="B31" s="4089">
        <f>'11. Амортиз. план'!L151</f>
        <v>7</v>
      </c>
      <c r="C31" s="4089">
        <f>'11. Амортиз. план'!N151</f>
        <v>23.149891656475344</v>
      </c>
      <c r="D31" s="4089">
        <f>'11. Амортиз. план'!O151</f>
        <v>76.574308130986168</v>
      </c>
      <c r="E31" s="4089">
        <f>'11. Амортиз. план'!P151</f>
        <v>164.93476284875825</v>
      </c>
      <c r="F31" s="4089">
        <f>'11. Амортиз. план'!Q151</f>
        <v>255.56453112533572</v>
      </c>
      <c r="G31" s="4089">
        <f>'11. Амортиз. план'!R151</f>
        <v>348.12848920830515</v>
      </c>
      <c r="H31" s="3685"/>
      <c r="I31" s="4175" t="s">
        <v>1708</v>
      </c>
      <c r="J31" s="4176">
        <f>'9.Инвестиционна програма'!H154</f>
        <v>537.21566666666661</v>
      </c>
      <c r="K31" s="4176">
        <f>'9.Инвестиционна програма'!I154</f>
        <v>2864.6016666666669</v>
      </c>
      <c r="L31" s="4176">
        <f>'9.Инвестиционна програма'!J154</f>
        <v>57.266666666666666</v>
      </c>
      <c r="M31" s="4176">
        <f>'9.Инвестиционна програма'!K154</f>
        <v>51.566666666666677</v>
      </c>
      <c r="N31" s="4176">
        <f>'9.Инвестиционна програма'!L154</f>
        <v>52.966666666666654</v>
      </c>
      <c r="O31" s="4176">
        <f t="shared" si="42"/>
        <v>3563.6173333333336</v>
      </c>
      <c r="P31" s="4177">
        <f t="shared" si="39"/>
        <v>0.29461411974318646</v>
      </c>
      <c r="Q31" s="4395"/>
      <c r="R31" s="3685"/>
      <c r="S31" s="4170" t="s">
        <v>745</v>
      </c>
      <c r="T31" s="4166">
        <f>'12. Разходи'!K58</f>
        <v>38.29</v>
      </c>
      <c r="U31" s="4166">
        <f>'12. Разходи'!L58</f>
        <v>10.89</v>
      </c>
      <c r="V31" s="4166">
        <f>'12. Разходи'!M58</f>
        <v>0.74</v>
      </c>
      <c r="W31" s="4166">
        <f>'12. Разходи'!N58</f>
        <v>12.52</v>
      </c>
      <c r="X31" s="4166">
        <f>'12. Разходи'!O58</f>
        <v>222.65</v>
      </c>
      <c r="Y31" s="4166">
        <f>'12. Разходи'!P58</f>
        <v>222.11</v>
      </c>
      <c r="Z31" s="4105">
        <f t="shared" si="40"/>
        <v>-0.71559153826064248</v>
      </c>
      <c r="AA31" s="4105">
        <f t="shared" si="41"/>
        <v>4.8007312614259607</v>
      </c>
      <c r="AB31" s="3685"/>
      <c r="AC31" s="3685"/>
      <c r="AD31" s="3686"/>
      <c r="AE31" s="3685"/>
      <c r="AF31" s="3685"/>
      <c r="AG31" s="3685"/>
      <c r="AH31" s="3685"/>
      <c r="AI31" s="3685"/>
      <c r="AJ31" s="3685"/>
      <c r="AK31" s="4006" t="s">
        <v>555</v>
      </c>
      <c r="AL31" s="4158">
        <f>'17. РБА'!C58</f>
        <v>0</v>
      </c>
      <c r="AM31" s="4158">
        <f>'17. РБА'!D58</f>
        <v>0</v>
      </c>
      <c r="AN31" s="4158">
        <f>'17. РБА'!E58</f>
        <v>0</v>
      </c>
      <c r="AO31" s="4158">
        <f>'17. РБА'!F58</f>
        <v>0</v>
      </c>
      <c r="AP31" s="4158">
        <f>'17. РБА'!G58</f>
        <v>0</v>
      </c>
      <c r="AQ31" s="3685"/>
      <c r="AR31" s="3577"/>
      <c r="AS31" s="3685"/>
      <c r="AT31" s="3685"/>
      <c r="AU31" s="3685"/>
      <c r="AV31" s="3685"/>
      <c r="AW31" s="3685"/>
    </row>
    <row r="32" spans="1:49" ht="15.75" customHeight="1">
      <c r="A32" s="4103" t="s">
        <v>227</v>
      </c>
      <c r="B32" s="4089">
        <f>'11. Амортиз. план'!L171</f>
        <v>144</v>
      </c>
      <c r="C32" s="4089">
        <f>'11. Амортиз. план'!N171</f>
        <v>766.89687420590178</v>
      </c>
      <c r="D32" s="4089">
        <f>'11. Амортиз. план'!O171</f>
        <v>3578.0741243980588</v>
      </c>
      <c r="E32" s="4089">
        <f>'11. Амортиз. план'!P171</f>
        <v>3546.9803363469528</v>
      </c>
      <c r="F32" s="4089">
        <f>'11. Амортиз. план'!Q171</f>
        <v>3507.9172347370422</v>
      </c>
      <c r="G32" s="4089">
        <f>'11. Амортиз. план'!R171</f>
        <v>3468.3199433207396</v>
      </c>
      <c r="H32" s="3685"/>
      <c r="I32" s="4175" t="s">
        <v>1709</v>
      </c>
      <c r="J32" s="4176">
        <f>'9.Инвестиционна програма'!H148</f>
        <v>74.333333333333343</v>
      </c>
      <c r="K32" s="4176">
        <f>'9.Инвестиционна програма'!I148</f>
        <v>83.166666666666657</v>
      </c>
      <c r="L32" s="4176">
        <f>'9.Инвестиционна програма'!J148</f>
        <v>87.833333333333329</v>
      </c>
      <c r="M32" s="4176">
        <f>'9.Инвестиционна програма'!K148</f>
        <v>69.833333333333329</v>
      </c>
      <c r="N32" s="4176">
        <f>'9.Инвестиционна програма'!L148</f>
        <v>65.666666666666671</v>
      </c>
      <c r="O32" s="4176">
        <f t="shared" si="42"/>
        <v>380.83333333333331</v>
      </c>
      <c r="P32" s="4177">
        <f t="shared" si="39"/>
        <v>3.148454695721075E-2</v>
      </c>
      <c r="Q32" s="4395"/>
      <c r="R32" s="3685"/>
      <c r="S32" s="4161" t="s">
        <v>453</v>
      </c>
      <c r="T32" s="4089">
        <f>'12. Разходи'!K59</f>
        <v>171.16200000000001</v>
      </c>
      <c r="U32" s="4089">
        <f>'12. Разходи'!L59</f>
        <v>185.35</v>
      </c>
      <c r="V32" s="4089">
        <f>'12. Разходи'!M59</f>
        <v>212.85</v>
      </c>
      <c r="W32" s="4089">
        <f>'12. Разходи'!N59</f>
        <v>244.92000000000002</v>
      </c>
      <c r="X32" s="4089">
        <f>'12. Разходи'!O59</f>
        <v>281.25</v>
      </c>
      <c r="Y32" s="4089">
        <f>'12. Разходи'!P59</f>
        <v>303.96000000000004</v>
      </c>
      <c r="Z32" s="4105">
        <f t="shared" si="40"/>
        <v>8.2892230752152865E-2</v>
      </c>
      <c r="AA32" s="4105">
        <f t="shared" si="41"/>
        <v>0.775861464577418</v>
      </c>
      <c r="AB32" s="3685"/>
      <c r="AC32" s="3685"/>
      <c r="AD32" s="3686"/>
      <c r="AE32" s="3685"/>
      <c r="AF32" s="3685"/>
      <c r="AG32" s="3685"/>
      <c r="AH32" s="3685"/>
      <c r="AI32" s="3685"/>
      <c r="AJ32" s="3685"/>
      <c r="AK32" s="4006" t="s">
        <v>334</v>
      </c>
      <c r="AL32" s="4191">
        <f>'17. РБА'!C61</f>
        <v>1</v>
      </c>
      <c r="AM32" s="4191">
        <f>'17. РБА'!D61</f>
        <v>1</v>
      </c>
      <c r="AN32" s="4191">
        <f>'17. РБА'!E61</f>
        <v>0</v>
      </c>
      <c r="AO32" s="4191">
        <f>'17. РБА'!F61</f>
        <v>0</v>
      </c>
      <c r="AP32" s="4191">
        <f>'17. РБА'!G61</f>
        <v>0</v>
      </c>
      <c r="AQ32" s="3685"/>
      <c r="AR32" s="3577"/>
      <c r="AS32" s="3685"/>
      <c r="AT32" s="3685"/>
      <c r="AU32" s="3685"/>
      <c r="AV32" s="3685"/>
      <c r="AW32" s="3685"/>
    </row>
    <row r="33" spans="1:49" ht="15.75" customHeight="1">
      <c r="A33" s="5696" t="s">
        <v>1752</v>
      </c>
      <c r="B33" s="5696"/>
      <c r="C33" s="5696"/>
      <c r="D33" s="5696"/>
      <c r="E33" s="5696"/>
      <c r="F33" s="5696"/>
      <c r="G33" s="5696"/>
      <c r="H33" s="3685"/>
      <c r="I33" s="4174" t="str">
        <f>'9.Инвестиционна програма'!E142</f>
        <v>Пречистване на отпадъчните води</v>
      </c>
      <c r="J33" s="4093">
        <f>SUM(J34:J35)</f>
        <v>1127.934</v>
      </c>
      <c r="K33" s="4093">
        <f t="shared" ref="K33" si="48">SUM(K34:K35)</f>
        <v>1143.4583333333333</v>
      </c>
      <c r="L33" s="4093">
        <f t="shared" ref="L33" si="49">SUM(L34:L35)</f>
        <v>92</v>
      </c>
      <c r="M33" s="4093">
        <f t="shared" ref="M33" si="50">SUM(M34:M35)</f>
        <v>38.5</v>
      </c>
      <c r="N33" s="4093">
        <f t="shared" ref="N33" si="51">SUM(N34:N35)</f>
        <v>38.833333333333329</v>
      </c>
      <c r="O33" s="4093">
        <f t="shared" si="47"/>
        <v>2440.7256666666667</v>
      </c>
      <c r="P33" s="4122">
        <f t="shared" si="39"/>
        <v>0.20178155412298343</v>
      </c>
      <c r="Q33" s="4129"/>
      <c r="R33" s="3685"/>
      <c r="S33" s="4161" t="s">
        <v>454</v>
      </c>
      <c r="T33" s="4089">
        <f>'12. Разходи'!K63</f>
        <v>67</v>
      </c>
      <c r="U33" s="4089">
        <f>'12. Разходи'!L63</f>
        <v>74.5</v>
      </c>
      <c r="V33" s="4089">
        <f>'12. Разходи'!M63</f>
        <v>83.5</v>
      </c>
      <c r="W33" s="4089">
        <f>'12. Разходи'!N63</f>
        <v>97.5</v>
      </c>
      <c r="X33" s="4089">
        <f>'12. Разходи'!O63</f>
        <v>111.5</v>
      </c>
      <c r="Y33" s="4089">
        <f>'12. Разходи'!P63</f>
        <v>127.5</v>
      </c>
      <c r="Z33" s="4105">
        <f t="shared" si="40"/>
        <v>0.11194029850746269</v>
      </c>
      <c r="AA33" s="4105">
        <f t="shared" si="41"/>
        <v>0.90298507462686572</v>
      </c>
      <c r="AB33" s="3685"/>
      <c r="AC33" s="3685"/>
      <c r="AD33" s="3686"/>
      <c r="AE33" s="3685"/>
      <c r="AF33" s="3685"/>
      <c r="AG33" s="3685"/>
      <c r="AH33" s="3685"/>
      <c r="AI33" s="3685"/>
      <c r="AJ33" s="3685"/>
      <c r="AK33" s="4006" t="s">
        <v>311</v>
      </c>
      <c r="AL33" s="4158">
        <f>'17. РБА'!C62</f>
        <v>28.811794950575351</v>
      </c>
      <c r="AM33" s="4158">
        <f>'17. РБА'!D62</f>
        <v>40.071643123726034</v>
      </c>
      <c r="AN33" s="4158">
        <f>'17. РБА'!E62</f>
        <v>39.738664960767125</v>
      </c>
      <c r="AO33" s="4158">
        <f>'17. РБА'!F62</f>
        <v>39.3358862130411</v>
      </c>
      <c r="AP33" s="4158">
        <f>'17. РБА'!G62</f>
        <v>38.9302892820822</v>
      </c>
      <c r="AQ33" s="3685"/>
      <c r="AR33" s="3577"/>
      <c r="AS33" s="3685"/>
      <c r="AT33" s="3685"/>
      <c r="AU33" s="3685"/>
      <c r="AV33" s="3685"/>
      <c r="AW33" s="3685"/>
    </row>
    <row r="34" spans="1:49" ht="12.75" customHeight="1">
      <c r="A34" s="4160" t="s">
        <v>339</v>
      </c>
      <c r="B34" s="4093">
        <f>'11. Амортиз. план'!L192</f>
        <v>36750.383000000002</v>
      </c>
      <c r="C34" s="4093">
        <f>'11. Амортиз. план'!N192</f>
        <v>36750.383000000002</v>
      </c>
      <c r="D34" s="4093">
        <f>'11. Амортиз. план'!O192</f>
        <v>36750.383000000002</v>
      </c>
      <c r="E34" s="4093">
        <f>'11. Амортиз. план'!P192</f>
        <v>67520.58</v>
      </c>
      <c r="F34" s="4093">
        <f>'11. Амортиз. план'!Q192</f>
        <v>67520.58</v>
      </c>
      <c r="G34" s="4093">
        <f>'11. Амортиз. план'!R192</f>
        <v>67520.58</v>
      </c>
      <c r="H34" s="3685"/>
      <c r="I34" s="4175" t="s">
        <v>1708</v>
      </c>
      <c r="J34" s="4176">
        <f>'9.Инвестиционна програма'!H155</f>
        <v>1112.6006666666667</v>
      </c>
      <c r="K34" s="4176">
        <f>'9.Инвестиционна програма'!I155</f>
        <v>1126.3916666666667</v>
      </c>
      <c r="L34" s="4176">
        <f>'9.Инвестиционна програма'!J155</f>
        <v>74.666666666666671</v>
      </c>
      <c r="M34" s="4176">
        <f>'9.Инвестиционна програма'!K155</f>
        <v>23.666666666666668</v>
      </c>
      <c r="N34" s="4176">
        <f>'9.Инвестиционна програма'!L155</f>
        <v>23.666666666666664</v>
      </c>
      <c r="O34" s="4176">
        <f t="shared" si="42"/>
        <v>2360.9923333333331</v>
      </c>
      <c r="P34" s="4177">
        <f t="shared" si="39"/>
        <v>0.19518977851496169</v>
      </c>
      <c r="Q34" s="4395"/>
      <c r="R34" s="3685"/>
      <c r="S34" s="4161" t="s">
        <v>455</v>
      </c>
      <c r="T34" s="4089">
        <f>'12. Разходи'!K70</f>
        <v>9</v>
      </c>
      <c r="U34" s="4089">
        <f>'12. Разходи'!L70</f>
        <v>9.3999999999999986</v>
      </c>
      <c r="V34" s="4089">
        <f>'12. Разходи'!M70</f>
        <v>9.3999999999999986</v>
      </c>
      <c r="W34" s="4089">
        <f>'12. Разходи'!N70</f>
        <v>9.3999999999999986</v>
      </c>
      <c r="X34" s="4089">
        <f>'12. Разходи'!O70</f>
        <v>9.3999999999999986</v>
      </c>
      <c r="Y34" s="4089">
        <f>'12. Разходи'!P70</f>
        <v>9.3999999999999986</v>
      </c>
      <c r="Z34" s="4105">
        <f t="shared" si="40"/>
        <v>4.4444444444444287E-2</v>
      </c>
      <c r="AA34" s="4105">
        <f t="shared" si="41"/>
        <v>4.4444444444444287E-2</v>
      </c>
      <c r="AB34" s="3685"/>
      <c r="AC34" s="3685"/>
      <c r="AD34" s="3686"/>
      <c r="AE34" s="3685"/>
      <c r="AF34" s="3685"/>
      <c r="AG34" s="3685"/>
      <c r="AH34" s="3685"/>
      <c r="AI34" s="3685"/>
      <c r="AJ34" s="3685"/>
      <c r="AK34" s="4008" t="s">
        <v>310</v>
      </c>
      <c r="AL34" s="4009">
        <f t="shared" ref="AL34:AP34" si="52">AL29-AL30+AL31+AL32+AL33</f>
        <v>34.138664950575347</v>
      </c>
      <c r="AM34" s="4009">
        <f t="shared" si="52"/>
        <v>45.52538312372603</v>
      </c>
      <c r="AN34" s="4009">
        <f t="shared" si="52"/>
        <v>44.219274960767123</v>
      </c>
      <c r="AO34" s="4009">
        <f t="shared" si="52"/>
        <v>43.593366213041094</v>
      </c>
      <c r="AP34" s="4009">
        <f t="shared" si="52"/>
        <v>42.964639282082196</v>
      </c>
      <c r="AQ34" s="3685"/>
      <c r="AR34" s="3577"/>
      <c r="AS34" s="3685"/>
      <c r="AT34" s="3685"/>
      <c r="AU34" s="3685"/>
      <c r="AV34" s="3685"/>
      <c r="AW34" s="3685"/>
    </row>
    <row r="35" spans="1:49" ht="15.75" customHeight="1">
      <c r="A35" s="4165" t="s">
        <v>223</v>
      </c>
      <c r="B35" s="4166">
        <f>'11. Амортиз. план'!L214</f>
        <v>713.31399999999996</v>
      </c>
      <c r="C35" s="4166">
        <f>'11. Амортиз. план'!N214</f>
        <v>713.31399999999996</v>
      </c>
      <c r="D35" s="4166">
        <f>'11. Амортиз. план'!O214</f>
        <v>713.31399999999996</v>
      </c>
      <c r="E35" s="4166">
        <f>'11. Амортиз. план'!P214</f>
        <v>1666.96036</v>
      </c>
      <c r="F35" s="4166">
        <f>'11. Амортиз. план'!Q214</f>
        <v>1666.96036</v>
      </c>
      <c r="G35" s="4166">
        <f>'11. Амортиз. план'!R214</f>
        <v>1666.96036</v>
      </c>
      <c r="H35" s="3685"/>
      <c r="I35" s="4175" t="s">
        <v>1709</v>
      </c>
      <c r="J35" s="4176">
        <f>'9.Инвестиционна програма'!H149</f>
        <v>15.333333333333337</v>
      </c>
      <c r="K35" s="4176">
        <f>'9.Инвестиционна програма'!I149</f>
        <v>17.066666666666663</v>
      </c>
      <c r="L35" s="4176">
        <f>'9.Инвестиционна програма'!J149</f>
        <v>17.333333333333332</v>
      </c>
      <c r="M35" s="4176">
        <f>'9.Инвестиционна програма'!K149</f>
        <v>14.833333333333332</v>
      </c>
      <c r="N35" s="4176">
        <f>'9.Инвестиционна програма'!L149</f>
        <v>15.166666666666666</v>
      </c>
      <c r="O35" s="4176">
        <f t="shared" si="42"/>
        <v>79.733333333333334</v>
      </c>
      <c r="P35" s="4177">
        <f t="shared" si="39"/>
        <v>6.5917756080217174E-3</v>
      </c>
      <c r="Q35" s="4395"/>
      <c r="R35" s="3685"/>
      <c r="S35" s="4161" t="s">
        <v>272</v>
      </c>
      <c r="T35" s="4089">
        <f>'12. Разходи'!K76</f>
        <v>6.9830000000000005</v>
      </c>
      <c r="U35" s="4089">
        <f>'12. Разходи'!L76</f>
        <v>9.1</v>
      </c>
      <c r="V35" s="4089">
        <f>'12. Разходи'!M76</f>
        <v>9.1</v>
      </c>
      <c r="W35" s="4089">
        <f>'12. Разходи'!N76</f>
        <v>8.9</v>
      </c>
      <c r="X35" s="4089">
        <f>'12. Разходи'!O76</f>
        <v>8.6999999999999993</v>
      </c>
      <c r="Y35" s="4089">
        <f>'12. Разходи'!P76</f>
        <v>8.6199999999999992</v>
      </c>
      <c r="Z35" s="4105">
        <f t="shared" si="40"/>
        <v>0.30316482887011298</v>
      </c>
      <c r="AA35" s="4105">
        <f t="shared" si="41"/>
        <v>0.2344264642703707</v>
      </c>
      <c r="AB35" s="3685"/>
      <c r="AC35" s="3685"/>
      <c r="AD35" s="3686"/>
      <c r="AE35" s="3685"/>
      <c r="AF35" s="3685"/>
      <c r="AG35" s="3685"/>
      <c r="AH35" s="3685"/>
      <c r="AI35" s="3685"/>
      <c r="AJ35" s="3685"/>
      <c r="AK35" s="5682" t="s">
        <v>1788</v>
      </c>
      <c r="AL35" s="5683" t="str">
        <f>T97</f>
        <v>Доставяне на вода на друг ВиК оператор</v>
      </c>
      <c r="AM35" s="5684"/>
      <c r="AN35" s="5684"/>
      <c r="AO35" s="5684"/>
      <c r="AP35" s="5684"/>
      <c r="AQ35" s="3685"/>
      <c r="AR35" s="3577"/>
      <c r="AS35" s="3685"/>
      <c r="AT35" s="3685"/>
      <c r="AU35" s="3685"/>
      <c r="AV35" s="3685"/>
      <c r="AW35" s="3685"/>
    </row>
    <row r="36" spans="1:49" ht="15.75" customHeight="1">
      <c r="A36" s="4103" t="s">
        <v>225</v>
      </c>
      <c r="B36" s="4089">
        <f>'11. Амортиз. план'!L236</f>
        <v>8471.5689999999995</v>
      </c>
      <c r="C36" s="4089">
        <f>'11. Амортиз. план'!N236</f>
        <v>9898.1970000000001</v>
      </c>
      <c r="D36" s="4089">
        <f>'11. Амортиз. план'!O236</f>
        <v>10611.511</v>
      </c>
      <c r="E36" s="4089">
        <f>'11. Амортиз. план'!P236</f>
        <v>12278.471360000001</v>
      </c>
      <c r="F36" s="4089">
        <f>'11. Амортиз. план'!Q236</f>
        <v>13945.431719999999</v>
      </c>
      <c r="G36" s="4089">
        <f>'11. Амортиз. план'!R236</f>
        <v>15612.39208</v>
      </c>
      <c r="H36" s="3685"/>
      <c r="I36" s="4174" t="str">
        <f>'9.Инвестиционна програма'!E143</f>
        <v>Доставяне на вода с непитейни качества</v>
      </c>
      <c r="J36" s="4093">
        <f>SUM(J37:J38)</f>
        <v>1</v>
      </c>
      <c r="K36" s="4093">
        <f t="shared" ref="K36" si="53">SUM(K37:K38)</f>
        <v>1</v>
      </c>
      <c r="L36" s="4093">
        <f t="shared" ref="L36" si="54">SUM(L37:L38)</f>
        <v>0</v>
      </c>
      <c r="M36" s="4093">
        <f t="shared" ref="M36" si="55">SUM(M37:M38)</f>
        <v>0</v>
      </c>
      <c r="N36" s="4093">
        <f t="shared" ref="N36" si="56">SUM(N37:N38)</f>
        <v>0</v>
      </c>
      <c r="O36" s="4093">
        <f t="shared" si="47"/>
        <v>2</v>
      </c>
      <c r="P36" s="4122">
        <f t="shared" si="39"/>
        <v>1.653455420072337E-4</v>
      </c>
      <c r="Q36" s="4129"/>
      <c r="R36" s="3685"/>
      <c r="S36" s="4181" t="s">
        <v>282</v>
      </c>
      <c r="T36" s="4182">
        <f>SUM(T26:T28,T32:T35)</f>
        <v>460.87500000000006</v>
      </c>
      <c r="U36" s="4182">
        <f t="shared" ref="U36" si="57">SUM(U26:U28,U32:U35)</f>
        <v>696.80238381462857</v>
      </c>
      <c r="V36" s="4182">
        <f t="shared" ref="V36" si="58">SUM(V26:V28,V32:V35)</f>
        <v>787.27424856464017</v>
      </c>
      <c r="W36" s="4182">
        <f t="shared" ref="W36" si="59">SUM(W26:W28,W32:W35)</f>
        <v>1113.6251684045021</v>
      </c>
      <c r="X36" s="4182">
        <f t="shared" ref="X36" si="60">SUM(X26:X28,X32:X35)</f>
        <v>1357.7829176987436</v>
      </c>
      <c r="Y36" s="4182">
        <f t="shared" ref="Y36" si="61">SUM(Y26:Y28,Y32:Y35)</f>
        <v>1393.9853830056149</v>
      </c>
      <c r="Z36" s="4183">
        <f t="shared" si="40"/>
        <v>0.51191187158042528</v>
      </c>
      <c r="AA36" s="4183">
        <f t="shared" si="41"/>
        <v>2.0246495969744829</v>
      </c>
      <c r="AB36" s="3685"/>
      <c r="AC36" s="3685"/>
      <c r="AD36" s="3686"/>
      <c r="AE36" s="3685"/>
      <c r="AF36" s="3685"/>
      <c r="AG36" s="3685"/>
      <c r="AH36" s="3685"/>
      <c r="AI36" s="3685"/>
      <c r="AJ36" s="3685"/>
      <c r="AK36" s="5682"/>
      <c r="AL36" s="4007" t="s">
        <v>1072</v>
      </c>
      <c r="AM36" s="4007" t="s">
        <v>1073</v>
      </c>
      <c r="AN36" s="4007" t="s">
        <v>1074</v>
      </c>
      <c r="AO36" s="4007" t="s">
        <v>1075</v>
      </c>
      <c r="AP36" s="4007" t="s">
        <v>1076</v>
      </c>
      <c r="AQ36" s="3685"/>
      <c r="AR36" s="3577"/>
      <c r="AS36" s="3685"/>
      <c r="AT36" s="3685"/>
      <c r="AU36" s="3685"/>
      <c r="AV36" s="3685"/>
      <c r="AW36" s="3685"/>
    </row>
    <row r="37" spans="1:49" ht="15.75" customHeight="1">
      <c r="A37" s="4103" t="s">
        <v>227</v>
      </c>
      <c r="B37" s="4089">
        <f>'11. Амортиз. план'!L258</f>
        <v>28278.814000000002</v>
      </c>
      <c r="C37" s="4089">
        <f>'11. Амортиз. план'!N258</f>
        <v>26852.186000000002</v>
      </c>
      <c r="D37" s="4089">
        <f>'11. Амортиз. план'!O258</f>
        <v>26138.872000000003</v>
      </c>
      <c r="E37" s="4089">
        <f>'11. Амортиз. план'!P258</f>
        <v>55242.108639999999</v>
      </c>
      <c r="F37" s="4089">
        <f>'11. Амортиз. план'!Q258</f>
        <v>53575.148280000001</v>
      </c>
      <c r="G37" s="4089">
        <f>'11. Амортиз. план'!R258</f>
        <v>51908.187920000004</v>
      </c>
      <c r="H37" s="3685"/>
      <c r="I37" s="4175" t="s">
        <v>1708</v>
      </c>
      <c r="J37" s="4176">
        <f>'9.Инвестиционна програма'!H156</f>
        <v>0</v>
      </c>
      <c r="K37" s="4176">
        <f>'9.Инвестиционна програма'!I156</f>
        <v>0</v>
      </c>
      <c r="L37" s="4176">
        <f>'9.Инвестиционна програма'!J156</f>
        <v>0</v>
      </c>
      <c r="M37" s="4176">
        <f>'9.Инвестиционна програма'!K156</f>
        <v>0</v>
      </c>
      <c r="N37" s="4176">
        <f>'9.Инвестиционна програма'!L156</f>
        <v>0</v>
      </c>
      <c r="O37" s="4176">
        <f t="shared" si="42"/>
        <v>0</v>
      </c>
      <c r="P37" s="4177">
        <f t="shared" si="39"/>
        <v>0</v>
      </c>
      <c r="Q37" s="4395"/>
      <c r="R37" s="3685"/>
      <c r="S37" s="4187" t="s">
        <v>1766</v>
      </c>
      <c r="T37" s="4188"/>
      <c r="U37" s="4187">
        <f>U36-$T36</f>
        <v>235.92738381462851</v>
      </c>
      <c r="V37" s="4187">
        <f t="shared" ref="V37" si="62">V36-$T36</f>
        <v>326.39924856464012</v>
      </c>
      <c r="W37" s="4187">
        <f t="shared" ref="W37" si="63">W36-$T36</f>
        <v>652.75016840450212</v>
      </c>
      <c r="X37" s="4187">
        <f t="shared" ref="X37" si="64">X36-$T36</f>
        <v>896.90791769874363</v>
      </c>
      <c r="Y37" s="4187">
        <f t="shared" ref="Y37" si="65">Y36-$T36</f>
        <v>933.11038300561495</v>
      </c>
      <c r="Z37" s="4105">
        <f t="shared" si="40"/>
        <v>0</v>
      </c>
      <c r="AA37" s="4105">
        <f t="shared" si="41"/>
        <v>0</v>
      </c>
      <c r="AB37" s="3685"/>
      <c r="AC37" s="3685"/>
      <c r="AD37" s="3686"/>
      <c r="AE37" s="3685"/>
      <c r="AF37" s="3685"/>
      <c r="AG37" s="3685"/>
      <c r="AH37" s="3685"/>
      <c r="AI37" s="3685"/>
      <c r="AJ37" s="3685"/>
      <c r="AK37" s="4006" t="s">
        <v>553</v>
      </c>
      <c r="AL37" s="4158">
        <f>'17. РБА'!C66</f>
        <v>0</v>
      </c>
      <c r="AM37" s="4158">
        <f>'17. РБА'!D66</f>
        <v>0</v>
      </c>
      <c r="AN37" s="4158">
        <f>'17. РБА'!E66</f>
        <v>0</v>
      </c>
      <c r="AO37" s="4158">
        <f>'17. РБА'!F66</f>
        <v>0</v>
      </c>
      <c r="AP37" s="4158">
        <f>'17. РБА'!G66</f>
        <v>0</v>
      </c>
      <c r="AQ37" s="3685"/>
      <c r="AR37" s="3577"/>
      <c r="AS37" s="3685"/>
      <c r="AT37" s="3685"/>
      <c r="AU37" s="3685"/>
      <c r="AV37" s="3685"/>
      <c r="AW37" s="3685"/>
    </row>
    <row r="38" spans="1:49" ht="15.75" customHeight="1">
      <c r="A38" s="4146" t="s">
        <v>188</v>
      </c>
      <c r="B38" s="3685"/>
      <c r="C38" s="3685"/>
      <c r="D38" s="3685"/>
      <c r="E38" s="3685"/>
      <c r="F38" s="3685"/>
      <c r="G38" s="4147" t="s">
        <v>1727</v>
      </c>
      <c r="H38" s="3685"/>
      <c r="I38" s="4175" t="s">
        <v>1709</v>
      </c>
      <c r="J38" s="4176">
        <f>'9.Инвестиционна програма'!H150</f>
        <v>1</v>
      </c>
      <c r="K38" s="4176">
        <f>'9.Инвестиционна програма'!I150</f>
        <v>1</v>
      </c>
      <c r="L38" s="4176">
        <f>'9.Инвестиционна програма'!J150</f>
        <v>0</v>
      </c>
      <c r="M38" s="4176">
        <f>'9.Инвестиционна програма'!K150</f>
        <v>0</v>
      </c>
      <c r="N38" s="4176">
        <f>'9.Инвестиционна програма'!L150</f>
        <v>0</v>
      </c>
      <c r="O38" s="4176">
        <f t="shared" si="42"/>
        <v>2</v>
      </c>
      <c r="P38" s="4177">
        <f t="shared" si="39"/>
        <v>1.653455420072337E-4</v>
      </c>
      <c r="Q38" s="4395"/>
      <c r="R38" s="3685"/>
      <c r="S38" s="4161" t="s">
        <v>1764</v>
      </c>
      <c r="T38" s="4089">
        <f>'12. Разходи'!K92</f>
        <v>250</v>
      </c>
      <c r="U38" s="4089">
        <f>'12. Разходи'!L92</f>
        <v>252</v>
      </c>
      <c r="V38" s="4089">
        <f>'12. Разходи'!M92</f>
        <v>326</v>
      </c>
      <c r="W38" s="4089">
        <f>'12. Разходи'!N92</f>
        <v>584</v>
      </c>
      <c r="X38" s="4089">
        <f>'12. Разходи'!O92</f>
        <v>601</v>
      </c>
      <c r="Y38" s="4089">
        <f>'12. Разходи'!P92</f>
        <v>636</v>
      </c>
      <c r="Z38" s="4105">
        <f t="shared" si="40"/>
        <v>8.0000000000000002E-3</v>
      </c>
      <c r="AA38" s="4105">
        <f t="shared" si="41"/>
        <v>1.544</v>
      </c>
      <c r="AB38" s="3685"/>
      <c r="AC38" s="3685"/>
      <c r="AD38" s="3686"/>
      <c r="AE38" s="3685"/>
      <c r="AF38" s="3685"/>
      <c r="AG38" s="3685"/>
      <c r="AH38" s="3685"/>
      <c r="AI38" s="3685"/>
      <c r="AJ38" s="3685"/>
      <c r="AK38" s="4006" t="s">
        <v>554</v>
      </c>
      <c r="AL38" s="4158">
        <f>'17. РБА'!C69</f>
        <v>0</v>
      </c>
      <c r="AM38" s="4158">
        <f>'17. РБА'!D69</f>
        <v>0</v>
      </c>
      <c r="AN38" s="4158">
        <f>'17. РБА'!E69</f>
        <v>0</v>
      </c>
      <c r="AO38" s="4158">
        <f>'17. РБА'!F69</f>
        <v>0</v>
      </c>
      <c r="AP38" s="4158">
        <f>'17. РБА'!G69</f>
        <v>0</v>
      </c>
      <c r="AQ38" s="3685"/>
      <c r="AR38" s="3577"/>
      <c r="AS38" s="3685"/>
      <c r="AT38" s="3685"/>
      <c r="AU38" s="3685"/>
      <c r="AV38" s="3685"/>
      <c r="AW38" s="3685"/>
    </row>
    <row r="39" spans="1:49" ht="15.75" customHeight="1">
      <c r="A39" s="5694" t="s">
        <v>90</v>
      </c>
      <c r="B39" s="5685" t="s">
        <v>188</v>
      </c>
      <c r="C39" s="5685"/>
      <c r="D39" s="5685"/>
      <c r="E39" s="5685"/>
      <c r="F39" s="5685"/>
      <c r="G39" s="5685"/>
      <c r="H39" s="3685"/>
      <c r="I39" s="4174" t="str">
        <f>'9.Инвестиционна програма'!E144</f>
        <v>Доставяне на вода на друг ВиК оператор</v>
      </c>
      <c r="J39" s="4093">
        <f>SUM(J40:J41)</f>
        <v>0</v>
      </c>
      <c r="K39" s="4093">
        <f t="shared" ref="K39" si="66">SUM(K40:K41)</f>
        <v>0</v>
      </c>
      <c r="L39" s="4093">
        <f t="shared" ref="L39" si="67">SUM(L40:L41)</f>
        <v>0</v>
      </c>
      <c r="M39" s="4093">
        <f t="shared" ref="M39" si="68">SUM(M40:M41)</f>
        <v>0</v>
      </c>
      <c r="N39" s="4093">
        <f t="shared" ref="N39" si="69">SUM(N40:N41)</f>
        <v>0</v>
      </c>
      <c r="O39" s="4093">
        <f t="shared" si="47"/>
        <v>0</v>
      </c>
      <c r="P39" s="4122">
        <f t="shared" si="39"/>
        <v>0</v>
      </c>
      <c r="Q39" s="4129"/>
      <c r="R39" s="3685"/>
      <c r="S39" s="4161" t="s">
        <v>1767</v>
      </c>
      <c r="T39" s="4089">
        <f>'12. Разходи'!K93</f>
        <v>101.58500000000004</v>
      </c>
      <c r="U39" s="4089">
        <f>'12. Разходи'!L93</f>
        <v>347.29999999999995</v>
      </c>
      <c r="V39" s="4089">
        <f>'12. Разходи'!M93</f>
        <v>323.92899999999997</v>
      </c>
      <c r="W39" s="4089">
        <f>'12. Разходи'!N93</f>
        <v>340.45574055800012</v>
      </c>
      <c r="X39" s="4089">
        <f>'12. Разходи'!O93</f>
        <v>373.58574055800011</v>
      </c>
      <c r="Y39" s="4089">
        <f>'12. Разходи'!P93</f>
        <v>377.21574055800011</v>
      </c>
      <c r="Z39" s="4105">
        <f t="shared" si="40"/>
        <v>2.4188118324555772</v>
      </c>
      <c r="AA39" s="4105">
        <f t="shared" si="41"/>
        <v>2.7133015756066348</v>
      </c>
      <c r="AB39" s="3685"/>
      <c r="AC39" s="3685"/>
      <c r="AD39" s="3686"/>
      <c r="AE39" s="3685"/>
      <c r="AF39" s="3685"/>
      <c r="AG39" s="3685"/>
      <c r="AH39" s="3685"/>
      <c r="AI39" s="3685"/>
      <c r="AJ39" s="3685"/>
      <c r="AK39" s="4006" t="s">
        <v>555</v>
      </c>
      <c r="AL39" s="4158">
        <f>'17. РБА'!C72</f>
        <v>0</v>
      </c>
      <c r="AM39" s="4158">
        <f>'17. РБА'!D72</f>
        <v>0</v>
      </c>
      <c r="AN39" s="4158">
        <f>'17. РБА'!E72</f>
        <v>0</v>
      </c>
      <c r="AO39" s="4158">
        <f>'17. РБА'!F72</f>
        <v>0</v>
      </c>
      <c r="AP39" s="4158">
        <f>'17. РБА'!G72</f>
        <v>0</v>
      </c>
      <c r="AQ39" s="3685"/>
      <c r="AR39" s="3577"/>
      <c r="AS39" s="3685"/>
      <c r="AT39" s="3685"/>
      <c r="AU39" s="3685"/>
      <c r="AV39" s="3685"/>
      <c r="AW39" s="3685"/>
    </row>
    <row r="40" spans="1:49" ht="13.5" customHeight="1">
      <c r="A40" s="5694"/>
      <c r="B40" s="4197" t="str">
        <f t="shared" ref="B40:G40" si="70">B22</f>
        <v>2020 г.</v>
      </c>
      <c r="C40" s="4197" t="str">
        <f>C22</f>
        <v>2022 г.</v>
      </c>
      <c r="D40" s="4197" t="str">
        <f t="shared" si="70"/>
        <v>2023 г.</v>
      </c>
      <c r="E40" s="4197" t="str">
        <f t="shared" si="70"/>
        <v>2024 г.</v>
      </c>
      <c r="F40" s="4197" t="str">
        <f t="shared" si="70"/>
        <v>2025 г.</v>
      </c>
      <c r="G40" s="4197" t="str">
        <f t="shared" si="70"/>
        <v>2026 г.</v>
      </c>
      <c r="H40" s="3685"/>
      <c r="I40" s="4175" t="s">
        <v>1708</v>
      </c>
      <c r="J40" s="4176">
        <f>'9.Инвестиционна програма'!H157</f>
        <v>0</v>
      </c>
      <c r="K40" s="4176">
        <f>'9.Инвестиционна програма'!I157</f>
        <v>0</v>
      </c>
      <c r="L40" s="4176">
        <f>'9.Инвестиционна програма'!J157</f>
        <v>0</v>
      </c>
      <c r="M40" s="4176">
        <f>'9.Инвестиционна програма'!K157</f>
        <v>0</v>
      </c>
      <c r="N40" s="4176">
        <f>'9.Инвестиционна програма'!L157</f>
        <v>0</v>
      </c>
      <c r="O40" s="4176">
        <f t="shared" si="42"/>
        <v>0</v>
      </c>
      <c r="P40" s="4177">
        <f t="shared" si="39"/>
        <v>0</v>
      </c>
      <c r="Q40" s="4395"/>
      <c r="R40" s="3685"/>
      <c r="S40" s="4176" t="s">
        <v>1765</v>
      </c>
      <c r="T40" s="4089">
        <f>'12. Разходи'!K94</f>
        <v>120</v>
      </c>
      <c r="U40" s="4089">
        <f>'12. Разходи'!L94</f>
        <v>44</v>
      </c>
      <c r="V40" s="4089">
        <f>'12. Разходи'!M94</f>
        <v>66</v>
      </c>
      <c r="W40" s="4089">
        <f>'12. Разходи'!N94</f>
        <v>99</v>
      </c>
      <c r="X40" s="4089">
        <f>'12. Разходи'!O94</f>
        <v>94</v>
      </c>
      <c r="Y40" s="4089">
        <f>'12. Разходи'!P94</f>
        <v>102</v>
      </c>
      <c r="Z40" s="4105">
        <f t="shared" si="40"/>
        <v>-0.6333333333333333</v>
      </c>
      <c r="AA40" s="4105">
        <f t="shared" si="41"/>
        <v>-0.15</v>
      </c>
      <c r="AB40" s="3685"/>
      <c r="AC40" s="3685"/>
      <c r="AD40" s="3686"/>
      <c r="AE40" s="3685"/>
      <c r="AF40" s="3685"/>
      <c r="AG40" s="3685"/>
      <c r="AH40" s="3685"/>
      <c r="AI40" s="3685"/>
      <c r="AJ40" s="3685"/>
      <c r="AK40" s="4006" t="s">
        <v>334</v>
      </c>
      <c r="AL40" s="4191">
        <f>'17. РБА'!C75</f>
        <v>0</v>
      </c>
      <c r="AM40" s="4191">
        <f>'17. РБА'!D75</f>
        <v>0</v>
      </c>
      <c r="AN40" s="4191">
        <f>'17. РБА'!E75</f>
        <v>0</v>
      </c>
      <c r="AO40" s="4191">
        <f>'17. РБА'!F75</f>
        <v>0</v>
      </c>
      <c r="AP40" s="4191">
        <f>'17. РБА'!G75</f>
        <v>0</v>
      </c>
      <c r="AQ40" s="3685"/>
      <c r="AR40" s="3577"/>
      <c r="AS40" s="3685"/>
      <c r="AT40" s="3685"/>
      <c r="AU40" s="3685"/>
      <c r="AV40" s="3685"/>
      <c r="AW40" s="3685"/>
    </row>
    <row r="41" spans="1:49" ht="15.75" customHeight="1">
      <c r="A41" s="5697" t="s">
        <v>1750</v>
      </c>
      <c r="B41" s="5698"/>
      <c r="C41" s="5698"/>
      <c r="D41" s="5698"/>
      <c r="E41" s="5698"/>
      <c r="F41" s="5698"/>
      <c r="G41" s="5699"/>
      <c r="H41" s="3685"/>
      <c r="I41" s="4175" t="s">
        <v>1709</v>
      </c>
      <c r="J41" s="4176">
        <f>'9.Инвестиционна програма'!H151</f>
        <v>0</v>
      </c>
      <c r="K41" s="4176">
        <f>'9.Инвестиционна програма'!I151</f>
        <v>0</v>
      </c>
      <c r="L41" s="4176">
        <f>'9.Инвестиционна програма'!J151</f>
        <v>0</v>
      </c>
      <c r="M41" s="4176">
        <f>'9.Инвестиционна програма'!K151</f>
        <v>0</v>
      </c>
      <c r="N41" s="4176">
        <f>'9.Инвестиционна програма'!L151</f>
        <v>0</v>
      </c>
      <c r="O41" s="4176">
        <f t="shared" si="42"/>
        <v>0</v>
      </c>
      <c r="P41" s="4177">
        <f t="shared" si="39"/>
        <v>0</v>
      </c>
      <c r="Q41" s="4395"/>
      <c r="R41" s="3685"/>
      <c r="S41" s="4161" t="s">
        <v>1769</v>
      </c>
      <c r="T41" s="4089">
        <f>'12. Разходи'!K90</f>
        <v>94.536370000000005</v>
      </c>
      <c r="U41" s="4089">
        <f>'12. Разходи'!L90</f>
        <v>297.55500000000001</v>
      </c>
      <c r="V41" s="4089">
        <f>'12. Разходи'!M90</f>
        <v>303.55500000000001</v>
      </c>
      <c r="W41" s="4089">
        <f>'12. Разходи'!N90</f>
        <v>307.55500000000001</v>
      </c>
      <c r="X41" s="4089">
        <f>'12. Разходи'!O90</f>
        <v>313.55500000000001</v>
      </c>
      <c r="Y41" s="4089">
        <f>'12. Разходи'!P90</f>
        <v>317.55500000000001</v>
      </c>
      <c r="Z41" s="4105">
        <f t="shared" si="40"/>
        <v>2.1475187803381917</v>
      </c>
      <c r="AA41" s="4105">
        <f t="shared" si="41"/>
        <v>2.3590775698284161</v>
      </c>
      <c r="AB41" s="3685"/>
      <c r="AC41" s="3685"/>
      <c r="AD41" s="3686"/>
      <c r="AE41" s="3685"/>
      <c r="AF41" s="3685"/>
      <c r="AG41" s="3685"/>
      <c r="AH41" s="3685"/>
      <c r="AI41" s="3685"/>
      <c r="AJ41" s="3685"/>
      <c r="AK41" s="4006" t="s">
        <v>311</v>
      </c>
      <c r="AL41" s="4158">
        <f>'17. РБА'!C76</f>
        <v>0</v>
      </c>
      <c r="AM41" s="4158">
        <f>'17. РБА'!D76</f>
        <v>0</v>
      </c>
      <c r="AN41" s="4158">
        <f>'17. РБА'!E76</f>
        <v>0</v>
      </c>
      <c r="AO41" s="4158">
        <f>'17. РБА'!F76</f>
        <v>0</v>
      </c>
      <c r="AP41" s="4158">
        <f>'17. РБА'!G76</f>
        <v>0</v>
      </c>
      <c r="AQ41" s="3685"/>
      <c r="AR41" s="3577"/>
      <c r="AS41" s="3685"/>
      <c r="AT41" s="3685"/>
      <c r="AU41" s="3685"/>
      <c r="AV41" s="3685"/>
      <c r="AW41" s="3685"/>
    </row>
    <row r="42" spans="1:49" ht="15.75" customHeight="1">
      <c r="A42" s="4160" t="s">
        <v>339</v>
      </c>
      <c r="B42" s="4093">
        <f>'11. Амортиз. план'!S10</f>
        <v>377.52000000000004</v>
      </c>
      <c r="C42" s="4093">
        <f>'11. Амортиз. план'!U10</f>
        <v>393.65118856121541</v>
      </c>
      <c r="D42" s="4093">
        <f>'11. Амортиз. план'!V10</f>
        <v>410.7178552278819</v>
      </c>
      <c r="E42" s="4093">
        <f>'11. Амортиз. план'!W10</f>
        <v>428.05118856121538</v>
      </c>
      <c r="F42" s="4093">
        <f>'11. Амортиз. план'!X10</f>
        <v>442.8845218945487</v>
      </c>
      <c r="G42" s="4093">
        <f>'11. Амортиз. план'!Y10</f>
        <v>458.0511885612155</v>
      </c>
      <c r="H42" s="3685"/>
      <c r="I42" s="4167" t="s">
        <v>1036</v>
      </c>
      <c r="J42" s="4168">
        <f>SUM(J27,J30,J33,J36,J39)</f>
        <v>3522.9229999999998</v>
      </c>
      <c r="K42" s="4168">
        <f t="shared" ref="K42:N42" si="71">SUM(K27,K30,K33,K36,K39)</f>
        <v>6411.6580000000004</v>
      </c>
      <c r="L42" s="4168">
        <f t="shared" si="71"/>
        <v>868.1</v>
      </c>
      <c r="M42" s="4168">
        <f t="shared" si="71"/>
        <v>634.9</v>
      </c>
      <c r="N42" s="4168">
        <f t="shared" si="71"/>
        <v>658.30000000000007</v>
      </c>
      <c r="O42" s="4168">
        <f>SUM(O27,O30,O33,O36,O39)</f>
        <v>12095.880999999999</v>
      </c>
      <c r="P42" s="4122">
        <f t="shared" si="39"/>
        <v>1</v>
      </c>
      <c r="Q42" s="4129"/>
      <c r="R42" s="3685"/>
      <c r="S42" s="4161" t="s">
        <v>1252</v>
      </c>
      <c r="T42" s="4089">
        <f>'12. Разходи'!K89</f>
        <v>6.3</v>
      </c>
      <c r="U42" s="4089">
        <f>'12. Разходи'!L89</f>
        <v>6.3999999999999995</v>
      </c>
      <c r="V42" s="4089">
        <f>'12. Разходи'!M89</f>
        <v>6.3999999999999995</v>
      </c>
      <c r="W42" s="4089">
        <f>'12. Разходи'!N89</f>
        <v>232.70674055800001</v>
      </c>
      <c r="X42" s="4089">
        <f>'12. Разходи'!O89</f>
        <v>232.70674055800001</v>
      </c>
      <c r="Y42" s="4089">
        <f>'12. Разходи'!P89</f>
        <v>232.70674055800001</v>
      </c>
      <c r="Z42" s="4105">
        <f t="shared" si="40"/>
        <v>1.5873015873015817E-2</v>
      </c>
      <c r="AA42" s="4105">
        <f t="shared" si="41"/>
        <v>35.937577866349208</v>
      </c>
      <c r="AB42" s="3685"/>
      <c r="AC42" s="3685"/>
      <c r="AD42" s="3686"/>
      <c r="AE42" s="3685"/>
      <c r="AF42" s="3685"/>
      <c r="AG42" s="3685"/>
      <c r="AH42" s="3685"/>
      <c r="AI42" s="3685"/>
      <c r="AJ42" s="3685"/>
      <c r="AK42" s="4008" t="s">
        <v>310</v>
      </c>
      <c r="AL42" s="4009">
        <f t="shared" ref="AL42:AP42" si="72">AL37-AL38+AL39+AL40+AL41</f>
        <v>0</v>
      </c>
      <c r="AM42" s="4009">
        <f t="shared" si="72"/>
        <v>0</v>
      </c>
      <c r="AN42" s="4009">
        <f t="shared" si="72"/>
        <v>0</v>
      </c>
      <c r="AO42" s="4009">
        <f t="shared" si="72"/>
        <v>0</v>
      </c>
      <c r="AP42" s="4009">
        <f t="shared" si="72"/>
        <v>0</v>
      </c>
      <c r="AQ42" s="3685"/>
      <c r="AR42" s="3577"/>
      <c r="AS42" s="3685"/>
      <c r="AT42" s="3685"/>
      <c r="AU42" s="3685"/>
      <c r="AV42" s="3685"/>
      <c r="AW42" s="3685"/>
    </row>
    <row r="43" spans="1:49" ht="13.5" customHeight="1">
      <c r="A43" s="4165" t="s">
        <v>223</v>
      </c>
      <c r="B43" s="4166">
        <f>'11. Амортиз. план'!S35</f>
        <v>15.8</v>
      </c>
      <c r="C43" s="4166">
        <f>'11. Амортиз. план'!U35</f>
        <v>15.212338907858694</v>
      </c>
      <c r="D43" s="4166">
        <f>'11. Амортиз. план'!V35</f>
        <v>17.212504581593045</v>
      </c>
      <c r="E43" s="4166">
        <f>'11. Амортиз. план'!W35</f>
        <v>17.035807211259467</v>
      </c>
      <c r="F43" s="4166">
        <f>'11. Амортиз. план'!X35</f>
        <v>14.650509147781801</v>
      </c>
      <c r="G43" s="4166">
        <f>'11. Амортиз. план'!Y35</f>
        <v>15.074339669670806</v>
      </c>
      <c r="H43" s="3685"/>
      <c r="I43" s="4175" t="s">
        <v>1708</v>
      </c>
      <c r="J43" s="4192">
        <f>SUM(J28,J31,J34,J37,J40)</f>
        <v>3218.9230000000002</v>
      </c>
      <c r="K43" s="4192">
        <f t="shared" ref="K43:N43" si="73">SUM(K28,K31,K34,K37,K40)</f>
        <v>6086.7579999999998</v>
      </c>
      <c r="L43" s="4192">
        <f t="shared" si="73"/>
        <v>530.09999999999991</v>
      </c>
      <c r="M43" s="4192">
        <f t="shared" si="73"/>
        <v>323.90000000000003</v>
      </c>
      <c r="N43" s="4192">
        <f t="shared" si="73"/>
        <v>325.3</v>
      </c>
      <c r="O43" s="4192">
        <f t="shared" ref="O43:O44" si="74">SUM(O28,O31,O34,O37,O40)</f>
        <v>10484.981</v>
      </c>
      <c r="P43" s="4193">
        <f t="shared" si="39"/>
        <v>0.86682243319027363</v>
      </c>
      <c r="Q43" s="4396"/>
      <c r="R43" s="3685"/>
      <c r="S43" s="3551"/>
      <c r="T43" s="3685"/>
      <c r="U43" s="3685"/>
      <c r="V43" s="3685"/>
      <c r="W43" s="3685"/>
      <c r="X43" s="3685"/>
      <c r="Y43" s="3685"/>
      <c r="Z43" s="3685"/>
      <c r="AA43" s="3685"/>
      <c r="AB43" s="3685"/>
      <c r="AC43" s="3685"/>
      <c r="AD43" s="3686"/>
      <c r="AE43" s="3685"/>
      <c r="AF43" s="3685"/>
      <c r="AG43" s="3685"/>
      <c r="AH43" s="3685"/>
      <c r="AI43" s="3685"/>
      <c r="AJ43" s="3685"/>
      <c r="AK43" s="3686"/>
      <c r="AL43" s="3686"/>
      <c r="AM43" s="3686"/>
      <c r="AN43" s="3686"/>
      <c r="AO43" s="3686"/>
      <c r="AP43" s="3686"/>
      <c r="AQ43" s="3686"/>
      <c r="AR43" s="3577"/>
      <c r="AS43" s="3685"/>
      <c r="AT43" s="3685"/>
      <c r="AU43" s="3685"/>
      <c r="AV43" s="3685"/>
      <c r="AW43" s="3685"/>
    </row>
    <row r="44" spans="1:49" ht="15.75" customHeight="1">
      <c r="A44" s="4103" t="s">
        <v>225</v>
      </c>
      <c r="B44" s="4089">
        <f>'11. Амортиз. план'!S60</f>
        <v>263</v>
      </c>
      <c r="C44" s="4089">
        <f>'11. Амортиз. план'!U60</f>
        <v>292.49216098832972</v>
      </c>
      <c r="D44" s="4089">
        <f>'11. Амортиз. план'!V60</f>
        <v>309.70466556992278</v>
      </c>
      <c r="E44" s="4089">
        <f>'11. Амортиз. план'!W60</f>
        <v>326.74047278118218</v>
      </c>
      <c r="F44" s="4089">
        <f>'11. Амортиз. план'!X60</f>
        <v>341.39098192896415</v>
      </c>
      <c r="G44" s="4089">
        <f>'11. Амортиз. план'!Y60</f>
        <v>356.465321598635</v>
      </c>
      <c r="H44" s="3685"/>
      <c r="I44" s="4175" t="s">
        <v>1709</v>
      </c>
      <c r="J44" s="4192">
        <f>SUM(J29,J32,J35,J38,J41)</f>
        <v>304</v>
      </c>
      <c r="K44" s="4192">
        <f t="shared" ref="K44:N44" si="75">SUM(K29,K32,K35,K38,K41)</f>
        <v>324.89999999999998</v>
      </c>
      <c r="L44" s="4192">
        <f t="shared" si="75"/>
        <v>338</v>
      </c>
      <c r="M44" s="4192">
        <f t="shared" si="75"/>
        <v>311</v>
      </c>
      <c r="N44" s="4192">
        <f t="shared" si="75"/>
        <v>333</v>
      </c>
      <c r="O44" s="4192">
        <f t="shared" si="74"/>
        <v>1610.9</v>
      </c>
      <c r="P44" s="4193">
        <f t="shared" si="39"/>
        <v>0.13317756680972639</v>
      </c>
      <c r="Q44" s="4396"/>
      <c r="R44" s="3685"/>
      <c r="S44" s="1769" t="s">
        <v>1779</v>
      </c>
      <c r="T44" s="3685"/>
      <c r="U44" s="3685"/>
      <c r="V44" s="3685"/>
      <c r="W44" s="3685"/>
      <c r="X44" s="3685"/>
      <c r="Y44" s="3685"/>
      <c r="Z44" s="3685"/>
      <c r="AA44" s="3685"/>
      <c r="AB44" s="3685"/>
      <c r="AC44" s="3685"/>
      <c r="AD44" s="3686"/>
      <c r="AE44" s="3685"/>
      <c r="AF44" s="3685"/>
      <c r="AG44" s="3685"/>
      <c r="AH44" s="3685"/>
      <c r="AI44" s="3685"/>
      <c r="AJ44" s="3685"/>
      <c r="AK44" s="3686"/>
      <c r="AL44" s="3686"/>
      <c r="AM44" s="3686"/>
      <c r="AN44" s="3686"/>
      <c r="AO44" s="3686"/>
      <c r="AP44" s="3686"/>
      <c r="AQ44" s="3686"/>
      <c r="AR44" s="3577"/>
      <c r="AS44" s="3685"/>
      <c r="AT44" s="3685"/>
      <c r="AU44" s="3685"/>
      <c r="AV44" s="3685"/>
      <c r="AW44" s="3685"/>
    </row>
    <row r="45" spans="1:49" ht="15.75" customHeight="1">
      <c r="A45" s="4103" t="s">
        <v>227</v>
      </c>
      <c r="B45" s="4089">
        <f>'11. Амортиз. план'!S85</f>
        <v>114.52</v>
      </c>
      <c r="C45" s="4089">
        <f>'11. Амортиз. план'!U85</f>
        <v>101.15902757288566</v>
      </c>
      <c r="D45" s="4089">
        <f>'11. Амортиз. план'!V85</f>
        <v>101.01318965795923</v>
      </c>
      <c r="E45" s="4089">
        <f>'11. Амортиз. план'!W85</f>
        <v>101.31071578003309</v>
      </c>
      <c r="F45" s="4089">
        <f>'11. Амортиз. план'!X85</f>
        <v>101.49353996558463</v>
      </c>
      <c r="G45" s="4089">
        <f>'11. Амортиз. план'!Y85</f>
        <v>101.58586696258045</v>
      </c>
      <c r="H45" s="3685"/>
      <c r="R45" s="3685"/>
      <c r="S45" s="5685" t="s">
        <v>1760</v>
      </c>
      <c r="T45" s="5685" t="s">
        <v>214</v>
      </c>
      <c r="U45" s="5685"/>
      <c r="V45" s="5685"/>
      <c r="W45" s="5685"/>
      <c r="X45" s="5685"/>
      <c r="Y45" s="5685"/>
      <c r="Z45" s="5691" t="s">
        <v>1762</v>
      </c>
      <c r="AA45" s="5691" t="s">
        <v>1763</v>
      </c>
      <c r="AB45" s="3685"/>
      <c r="AC45" s="3685"/>
      <c r="AD45" s="3686"/>
      <c r="AE45" s="3685"/>
      <c r="AF45" s="3685"/>
      <c r="AG45" s="3685"/>
      <c r="AH45" s="3685"/>
      <c r="AI45" s="3685"/>
      <c r="AJ45" s="3685"/>
      <c r="AK45" s="1769" t="s">
        <v>1021</v>
      </c>
      <c r="AL45" s="3577"/>
      <c r="AM45" s="3577"/>
      <c r="AN45" s="3577"/>
      <c r="AO45" s="3577"/>
      <c r="AP45" s="3577"/>
      <c r="AQ45" s="3685"/>
      <c r="AR45" s="3577"/>
      <c r="AS45" s="3685"/>
      <c r="AT45" s="3685"/>
      <c r="AU45" s="3685"/>
      <c r="AV45" s="3685"/>
      <c r="AW45" s="3685"/>
    </row>
    <row r="46" spans="1:49" ht="15.75" customHeight="1">
      <c r="A46" s="5697" t="s">
        <v>1751</v>
      </c>
      <c r="B46" s="5698"/>
      <c r="C46" s="5698"/>
      <c r="D46" s="5698"/>
      <c r="E46" s="5698"/>
      <c r="F46" s="5698"/>
      <c r="G46" s="5699"/>
      <c r="H46" s="3685"/>
      <c r="I46" s="4148" t="s">
        <v>1728</v>
      </c>
      <c r="J46" s="4195"/>
      <c r="K46" s="4169"/>
      <c r="L46" s="4169"/>
      <c r="M46" s="4169"/>
      <c r="N46" s="4169"/>
      <c r="O46" s="4169"/>
      <c r="P46" s="4147" t="s">
        <v>1727</v>
      </c>
      <c r="Q46" s="4147"/>
      <c r="R46" s="3685"/>
      <c r="S46" s="5685"/>
      <c r="T46" s="3993" t="str">
        <f t="shared" ref="T46:Y46" si="76">T25</f>
        <v>2020 г.</v>
      </c>
      <c r="U46" s="3993" t="str">
        <f t="shared" si="76"/>
        <v>2022 г.</v>
      </c>
      <c r="V46" s="3993" t="str">
        <f t="shared" si="76"/>
        <v>2023 г.</v>
      </c>
      <c r="W46" s="3993" t="str">
        <f t="shared" si="76"/>
        <v>2024 г.</v>
      </c>
      <c r="X46" s="3993" t="str">
        <f t="shared" si="76"/>
        <v>2025 г.</v>
      </c>
      <c r="Y46" s="3993" t="str">
        <f t="shared" si="76"/>
        <v>2026 г.</v>
      </c>
      <c r="Z46" s="5691"/>
      <c r="AA46" s="5691"/>
      <c r="AB46" s="3685"/>
      <c r="AC46" s="3685"/>
      <c r="AD46" s="3686"/>
      <c r="AE46" s="3685"/>
      <c r="AF46" s="3685"/>
      <c r="AG46" s="3685"/>
      <c r="AH46" s="3685"/>
      <c r="AI46" s="3685"/>
      <c r="AJ46" s="3685"/>
      <c r="AK46" s="4037" t="s">
        <v>90</v>
      </c>
      <c r="AL46" s="4035" t="s">
        <v>170</v>
      </c>
      <c r="AM46" s="4007" t="s">
        <v>1072</v>
      </c>
      <c r="AN46" s="4007" t="s">
        <v>1073</v>
      </c>
      <c r="AO46" s="4007" t="s">
        <v>1074</v>
      </c>
      <c r="AP46" s="4007" t="s">
        <v>1075</v>
      </c>
      <c r="AQ46" s="4007" t="s">
        <v>1076</v>
      </c>
      <c r="AR46" s="3577"/>
      <c r="AS46" s="3685"/>
      <c r="AT46" s="3685"/>
      <c r="AU46" s="3685"/>
      <c r="AV46" s="3685"/>
      <c r="AW46" s="3685"/>
    </row>
    <row r="47" spans="1:49" ht="15.75" customHeight="1">
      <c r="A47" s="4160" t="s">
        <v>339</v>
      </c>
      <c r="B47" s="4093">
        <f>'11. Амортиз. план'!S111</f>
        <v>42</v>
      </c>
      <c r="C47" s="4093">
        <f>'11. Амортиз. план'!U111</f>
        <v>1161.0188972296692</v>
      </c>
      <c r="D47" s="4093">
        <f>'11. Амортиз. план'!V111</f>
        <v>2287.4105638963356</v>
      </c>
      <c r="E47" s="4093">
        <f>'11. Амортиз. план'!W111</f>
        <v>2362.0772305630026</v>
      </c>
      <c r="F47" s="4093">
        <f>'11. Амортиз. план'!X111</f>
        <v>2385.7438972296691</v>
      </c>
      <c r="G47" s="4093">
        <f>'11. Амортиз. план'!Y111</f>
        <v>2409.4105638963356</v>
      </c>
      <c r="H47" s="3685"/>
      <c r="I47" s="4143" t="s">
        <v>1570</v>
      </c>
      <c r="J47" s="4143" t="s">
        <v>1072</v>
      </c>
      <c r="K47" s="4143" t="s">
        <v>1073</v>
      </c>
      <c r="L47" s="4143" t="s">
        <v>1074</v>
      </c>
      <c r="M47" s="4143" t="s">
        <v>1075</v>
      </c>
      <c r="N47" s="4143" t="s">
        <v>1076</v>
      </c>
      <c r="O47" s="4150" t="s">
        <v>1686</v>
      </c>
      <c r="P47" s="4173" t="s">
        <v>1687</v>
      </c>
      <c r="Q47" s="4275"/>
      <c r="R47" s="3685"/>
      <c r="S47" s="4161" t="s">
        <v>231</v>
      </c>
      <c r="T47" s="4089">
        <f>'12. Разходи'!S11</f>
        <v>423.86599999999993</v>
      </c>
      <c r="U47" s="4089">
        <f>'12. Разходи'!T11</f>
        <v>388.06920526088635</v>
      </c>
      <c r="V47" s="4089">
        <f>'12. Разходи'!U11</f>
        <v>375.90376992176806</v>
      </c>
      <c r="W47" s="4089">
        <f>'12. Разходи'!V11</f>
        <v>909.94066971671509</v>
      </c>
      <c r="X47" s="4089">
        <f>'12. Разходи'!W11</f>
        <v>845.00512089168387</v>
      </c>
      <c r="Y47" s="4089">
        <f>'12. Разходи'!X11</f>
        <v>816.33010695074086</v>
      </c>
      <c r="Z47" s="4105">
        <f>IFERROR((U47-T47)/T47,0)</f>
        <v>-8.4453093050901901E-2</v>
      </c>
      <c r="AA47" s="4105">
        <f>IFERROR((Y47-T47)/T47,0)</f>
        <v>0.92591551799564242</v>
      </c>
      <c r="AB47" s="3685"/>
      <c r="AC47" s="3685"/>
      <c r="AD47" s="3686"/>
      <c r="AE47" s="3685"/>
      <c r="AF47" s="3685"/>
      <c r="AG47" s="3685"/>
      <c r="AH47" s="3685"/>
      <c r="AI47" s="3685"/>
      <c r="AJ47" s="3685"/>
      <c r="AK47" s="4200" t="s">
        <v>329</v>
      </c>
      <c r="AL47" s="4065" t="s">
        <v>174</v>
      </c>
      <c r="AM47" s="4077">
        <f>'19. HB'!D11</f>
        <v>0.1</v>
      </c>
      <c r="AN47" s="4077">
        <f>'19. HB'!E11</f>
        <v>0.1</v>
      </c>
      <c r="AO47" s="4077">
        <f>'19. HB'!F11</f>
        <v>0.1</v>
      </c>
      <c r="AP47" s="4077">
        <f>'19. HB'!G11</f>
        <v>0.1</v>
      </c>
      <c r="AQ47" s="4077">
        <f>'19. HB'!H11</f>
        <v>0.1</v>
      </c>
      <c r="AR47" s="3577"/>
      <c r="AS47" s="3685"/>
      <c r="AT47" s="3685"/>
      <c r="AU47" s="3685"/>
      <c r="AV47" s="3685"/>
      <c r="AW47" s="3685"/>
    </row>
    <row r="48" spans="1:49" ht="15.75" customHeight="1">
      <c r="A48" s="4165" t="s">
        <v>223</v>
      </c>
      <c r="B48" s="4166">
        <f>'11. Амортиз. план'!S131</f>
        <v>3.3</v>
      </c>
      <c r="C48" s="4166">
        <f>'11. Амортиз. план'!U131</f>
        <v>28.757880781700422</v>
      </c>
      <c r="D48" s="4166">
        <f>'11. Амортиз. план'!V131</f>
        <v>77.395534643906799</v>
      </c>
      <c r="E48" s="4166">
        <f>'11. Амортиз. план'!W131</f>
        <v>101.60371310390657</v>
      </c>
      <c r="F48" s="4166">
        <f>'11. Амортиз. план'!X131</f>
        <v>103.32833026376534</v>
      </c>
      <c r="G48" s="4166">
        <f>'11. Амортиз. план'!Y131</f>
        <v>103.86234131413306</v>
      </c>
      <c r="H48" s="3685"/>
      <c r="I48" s="4103" t="s">
        <v>1729</v>
      </c>
      <c r="J48" s="4089">
        <f>SUM('9.Инвестиционна програма'!H12:H15)</f>
        <v>1</v>
      </c>
      <c r="K48" s="4089">
        <f>SUM('9.Инвестиционна програма'!I12:I15)</f>
        <v>1</v>
      </c>
      <c r="L48" s="4089">
        <f>SUM('9.Инвестиционна програма'!J12:J15)</f>
        <v>1</v>
      </c>
      <c r="M48" s="4089">
        <f>SUM('9.Инвестиционна програма'!K12:K15)</f>
        <v>1</v>
      </c>
      <c r="N48" s="4089">
        <f>SUM('9.Инвестиционна програма'!L12:L15)</f>
        <v>1</v>
      </c>
      <c r="O48" s="4093">
        <f>SUM(J48:N48)</f>
        <v>5</v>
      </c>
      <c r="P48" s="4196">
        <f t="shared" ref="P48:P88" si="77">IFERROR(O48/$O$88,0)</f>
        <v>4.1339803177889894E-4</v>
      </c>
      <c r="Q48" s="4397"/>
      <c r="R48" s="3685"/>
      <c r="S48" s="4161" t="s">
        <v>244</v>
      </c>
      <c r="T48" s="4089">
        <f>'12. Разходи'!S29</f>
        <v>340.01700000000005</v>
      </c>
      <c r="U48" s="4089">
        <f>'12. Разходи'!T29</f>
        <v>525.23399999999992</v>
      </c>
      <c r="V48" s="4089">
        <f>'12. Разходи'!U29</f>
        <v>618.01300000000003</v>
      </c>
      <c r="W48" s="4089">
        <f>'12. Разходи'!V29</f>
        <v>245.70399999999998</v>
      </c>
      <c r="X48" s="4089">
        <f>'12. Разходи'!W29</f>
        <v>249.52799999999999</v>
      </c>
      <c r="Y48" s="4089">
        <f>'12. Разходи'!X29</f>
        <v>191.2</v>
      </c>
      <c r="Z48" s="4105">
        <f t="shared" ref="Z48:Z63" si="78">IFERROR((U48-T48)/T48,0)</f>
        <v>0.54472864592064463</v>
      </c>
      <c r="AA48" s="4105">
        <f t="shared" ref="AA48:AA63" si="79">IFERROR((Y48-T48)/T48,0)</f>
        <v>-0.43767517506477627</v>
      </c>
      <c r="AB48" s="3685"/>
      <c r="AC48" s="3685"/>
      <c r="AD48" s="3686"/>
      <c r="AE48" s="3685"/>
      <c r="AF48" s="3685"/>
      <c r="AG48" s="3685"/>
      <c r="AH48" s="3685"/>
      <c r="AI48" s="3685"/>
      <c r="AJ48" s="3685"/>
      <c r="AK48" s="4200" t="s">
        <v>931</v>
      </c>
      <c r="AL48" s="4065" t="s">
        <v>174</v>
      </c>
      <c r="AM48" s="4043">
        <f>'19. HB'!D12</f>
        <v>0.11550000000000001</v>
      </c>
      <c r="AN48" s="4043">
        <f>'19. HB'!E12</f>
        <v>0.11550000000000001</v>
      </c>
      <c r="AO48" s="4043">
        <f>'19. HB'!F12</f>
        <v>0.11550000000000001</v>
      </c>
      <c r="AP48" s="4043">
        <f>'19. HB'!G12</f>
        <v>0.11550000000000001</v>
      </c>
      <c r="AQ48" s="4043">
        <f>'19. HB'!H12</f>
        <v>0.11550000000000001</v>
      </c>
      <c r="AR48" s="3577"/>
      <c r="AS48" s="3685"/>
      <c r="AT48" s="3685"/>
      <c r="AU48" s="3685"/>
      <c r="AV48" s="3685"/>
      <c r="AW48" s="3685"/>
    </row>
    <row r="49" spans="1:49" ht="15.75" customHeight="1">
      <c r="A49" s="4103" t="s">
        <v>225</v>
      </c>
      <c r="B49" s="4089">
        <f>'11. Амортиз. план'!S151</f>
        <v>7.5</v>
      </c>
      <c r="C49" s="4089">
        <f>'11. Амортиз. план'!U151</f>
        <v>39.693189908295118</v>
      </c>
      <c r="D49" s="4089">
        <f>'11. Амортиз. план'!V151</f>
        <v>117.08872455220191</v>
      </c>
      <c r="E49" s="4089">
        <f>'11. Амортиз. план'!W151</f>
        <v>218.6924376561085</v>
      </c>
      <c r="F49" s="4089">
        <f>'11. Амортиз. план'!X151</f>
        <v>322.02076791987383</v>
      </c>
      <c r="G49" s="4089">
        <f>'11. Амортиз. план'!Y151</f>
        <v>425.88310923400689</v>
      </c>
      <c r="H49" s="3685"/>
      <c r="I49" s="4103" t="s">
        <v>362</v>
      </c>
      <c r="J49" s="4089">
        <f>'9.Инвестиционна програма'!H16</f>
        <v>148.42400000000001</v>
      </c>
      <c r="K49" s="4089">
        <f>'9.Инвестиционна програма'!I16</f>
        <v>148.423</v>
      </c>
      <c r="L49" s="4089">
        <f>'9.Инвестиционна програма'!J16</f>
        <v>20</v>
      </c>
      <c r="M49" s="4089">
        <f>'9.Инвестиционна програма'!K16</f>
        <v>20</v>
      </c>
      <c r="N49" s="4089">
        <f>'9.Инвестиционна програма'!L16</f>
        <v>20</v>
      </c>
      <c r="O49" s="4093">
        <f t="shared" ref="O49:O72" si="80">SUM(J49:N49)</f>
        <v>356.84699999999998</v>
      </c>
      <c r="P49" s="4196">
        <f t="shared" si="77"/>
        <v>2.9503969489240948E-2</v>
      </c>
      <c r="Q49" s="4397"/>
      <c r="R49" s="3685"/>
      <c r="S49" s="4161" t="s">
        <v>451</v>
      </c>
      <c r="T49" s="4089">
        <f>'12. Разходи'!S55</f>
        <v>34.380000000000003</v>
      </c>
      <c r="U49" s="4089">
        <f>'12. Разходи'!T55</f>
        <v>44.550219689559114</v>
      </c>
      <c r="V49" s="4089">
        <f>'12. Разходи'!U55</f>
        <v>94.878039225499847</v>
      </c>
      <c r="W49" s="4089">
        <f>'12. Разходи'!V55</f>
        <v>119.13952031516604</v>
      </c>
      <c r="X49" s="4089">
        <f>'12. Разходи'!W55</f>
        <v>202.90883941154715</v>
      </c>
      <c r="Y49" s="4089">
        <f>'12. Разходи'!X55</f>
        <v>203.33668098380389</v>
      </c>
      <c r="Z49" s="4105">
        <f t="shared" si="78"/>
        <v>0.29581790836413935</v>
      </c>
      <c r="AA49" s="4105">
        <f t="shared" si="79"/>
        <v>4.9143886266376926</v>
      </c>
      <c r="AB49" s="3685"/>
      <c r="AC49" s="3685"/>
      <c r="AD49" s="3686"/>
      <c r="AE49" s="3685"/>
      <c r="AF49" s="3685"/>
      <c r="AG49" s="3685"/>
      <c r="AH49" s="3685"/>
      <c r="AI49" s="3685"/>
      <c r="AJ49" s="3685"/>
      <c r="AK49" s="4200" t="s">
        <v>1798</v>
      </c>
      <c r="AL49" s="4065" t="s">
        <v>174</v>
      </c>
      <c r="AM49" s="4043">
        <f>'19. HB'!D13</f>
        <v>4.2999999999999997E-2</v>
      </c>
      <c r="AN49" s="4043">
        <f>'19. HB'!E13</f>
        <v>4.2999999999999997E-2</v>
      </c>
      <c r="AO49" s="4043">
        <f>'19. HB'!F13</f>
        <v>4.2999999999999997E-2</v>
      </c>
      <c r="AP49" s="4043">
        <f>'19. HB'!G13</f>
        <v>4.2999999999999997E-2</v>
      </c>
      <c r="AQ49" s="4043">
        <f>'19. HB'!H13</f>
        <v>4.2999999999999997E-2</v>
      </c>
      <c r="AR49" s="3577"/>
      <c r="AS49" s="3685"/>
      <c r="AT49" s="3685"/>
      <c r="AU49" s="3685"/>
      <c r="AV49" s="3685"/>
      <c r="AW49" s="3685"/>
    </row>
    <row r="50" spans="1:49" ht="15.75" customHeight="1">
      <c r="A50" s="4103" t="s">
        <v>227</v>
      </c>
      <c r="B50" s="4089">
        <f>'11. Амортиз. план'!S171</f>
        <v>34.5</v>
      </c>
      <c r="C50" s="4089">
        <f>'11. Амортиз. план'!U171</f>
        <v>1121.3257073213742</v>
      </c>
      <c r="D50" s="4089">
        <f>'11. Амортиз. план'!V171</f>
        <v>2170.3218393441339</v>
      </c>
      <c r="E50" s="4089">
        <f>'11. Амортиз. план'!W171</f>
        <v>2143.3847929068938</v>
      </c>
      <c r="F50" s="4089">
        <f>'11. Амортиз. план'!X171</f>
        <v>2063.7231293097952</v>
      </c>
      <c r="G50" s="4089">
        <f>'11. Амортиз. план'!Y171</f>
        <v>1983.5274546623289</v>
      </c>
      <c r="H50" s="3685"/>
      <c r="I50" s="4103" t="s">
        <v>1688</v>
      </c>
      <c r="J50" s="4089">
        <f>'9.Инвестиционна програма'!H17</f>
        <v>5</v>
      </c>
      <c r="K50" s="4089">
        <f>'9.Инвестиционна програма'!I17</f>
        <v>71.411000000000001</v>
      </c>
      <c r="L50" s="4089">
        <f>'9.Инвестиционна програма'!J17</f>
        <v>5</v>
      </c>
      <c r="M50" s="4089">
        <f>'9.Инвестиционна програма'!K17</f>
        <v>5</v>
      </c>
      <c r="N50" s="4089">
        <f>'9.Инвестиционна програма'!L17</f>
        <v>5</v>
      </c>
      <c r="O50" s="4093">
        <f t="shared" si="80"/>
        <v>91.411000000000001</v>
      </c>
      <c r="P50" s="4196">
        <f t="shared" si="77"/>
        <v>7.5578254965881862E-3</v>
      </c>
      <c r="Q50" s="4397"/>
      <c r="R50" s="3685"/>
      <c r="S50" s="4170" t="s">
        <v>452</v>
      </c>
      <c r="T50" s="4166">
        <f>'12. Разходи'!S56</f>
        <v>15.8</v>
      </c>
      <c r="U50" s="4166">
        <f>'12. Разходи'!T56</f>
        <v>15.212338907858694</v>
      </c>
      <c r="V50" s="4166">
        <f>'12. Разходи'!U56</f>
        <v>17.212504581593045</v>
      </c>
      <c r="W50" s="4166">
        <f>'12. Разходи'!V56</f>
        <v>17.035807211259467</v>
      </c>
      <c r="X50" s="4166">
        <f>'12. Разходи'!W56</f>
        <v>14.650509147781801</v>
      </c>
      <c r="Y50" s="4166">
        <f>'12. Разходи'!X56</f>
        <v>15.074339669670806</v>
      </c>
      <c r="Z50" s="4105">
        <f t="shared" si="78"/>
        <v>-3.7193740008943467E-2</v>
      </c>
      <c r="AA50" s="4105">
        <f t="shared" si="79"/>
        <v>-4.5927869008176872E-2</v>
      </c>
      <c r="AB50" s="3685"/>
      <c r="AC50" s="3685"/>
      <c r="AD50" s="3686"/>
      <c r="AE50" s="3685"/>
      <c r="AF50" s="3685"/>
      <c r="AG50" s="3685"/>
      <c r="AH50" s="3685"/>
      <c r="AI50" s="3685"/>
      <c r="AJ50" s="3685"/>
      <c r="AK50" s="4200" t="s">
        <v>330</v>
      </c>
      <c r="AL50" s="4065" t="s">
        <v>174</v>
      </c>
      <c r="AM50" s="4202">
        <f>'19. HB'!D14</f>
        <v>0.5</v>
      </c>
      <c r="AN50" s="4202">
        <f>'19. HB'!E14</f>
        <v>0.5</v>
      </c>
      <c r="AO50" s="4202">
        <f>'19. HB'!F14</f>
        <v>0.5</v>
      </c>
      <c r="AP50" s="4202">
        <f>'19. HB'!G14</f>
        <v>0.5</v>
      </c>
      <c r="AQ50" s="4202">
        <f>'19. HB'!H14</f>
        <v>0.5</v>
      </c>
      <c r="AR50" s="3577"/>
      <c r="AS50" s="3685"/>
      <c r="AT50" s="3685"/>
      <c r="AU50" s="3685"/>
      <c r="AV50" s="3685"/>
      <c r="AW50" s="3685"/>
    </row>
    <row r="51" spans="1:49" ht="15.75" customHeight="1">
      <c r="A51" s="5697" t="s">
        <v>1752</v>
      </c>
      <c r="B51" s="5698"/>
      <c r="C51" s="5698"/>
      <c r="D51" s="5698"/>
      <c r="E51" s="5698"/>
      <c r="F51" s="5698"/>
      <c r="G51" s="5698"/>
      <c r="H51" s="3685"/>
      <c r="I51" s="4103" t="s">
        <v>1689</v>
      </c>
      <c r="J51" s="4089">
        <f>SUM('9.Инвестиционна програма'!H18:H21)</f>
        <v>14</v>
      </c>
      <c r="K51" s="4089">
        <f>SUM('9.Инвестиционна програма'!I18:I21)</f>
        <v>505.17</v>
      </c>
      <c r="L51" s="4089">
        <f>SUM('9.Инвестиционна програма'!J18:J21)</f>
        <v>14</v>
      </c>
      <c r="M51" s="4089">
        <f>SUM('9.Инвестиционна програма'!K18:K21)</f>
        <v>14</v>
      </c>
      <c r="N51" s="4089">
        <f>SUM('9.Инвестиционна програма'!L18:L21)</f>
        <v>14</v>
      </c>
      <c r="O51" s="4093">
        <f t="shared" si="80"/>
        <v>561.17000000000007</v>
      </c>
      <c r="P51" s="4196">
        <f t="shared" si="77"/>
        <v>4.6397314698672948E-2</v>
      </c>
      <c r="Q51" s="4397"/>
      <c r="R51" s="3685"/>
      <c r="S51" s="4170" t="s">
        <v>744</v>
      </c>
      <c r="T51" s="4166">
        <f>'12. Разходи'!S57</f>
        <v>3.3</v>
      </c>
      <c r="U51" s="4166">
        <f>'12. Разходи'!T57</f>
        <v>28.757880781700422</v>
      </c>
      <c r="V51" s="4166">
        <f>'12. Разходи'!U57</f>
        <v>77.395534643906799</v>
      </c>
      <c r="W51" s="4166">
        <f>'12. Разходи'!V57</f>
        <v>101.60371310390657</v>
      </c>
      <c r="X51" s="4166">
        <f>'12. Разходи'!W57</f>
        <v>103.32833026376534</v>
      </c>
      <c r="Y51" s="4166">
        <f>'12. Разходи'!X57</f>
        <v>103.86234131413306</v>
      </c>
      <c r="Z51" s="4105">
        <f t="shared" si="78"/>
        <v>7.714509327788007</v>
      </c>
      <c r="AA51" s="4105">
        <f t="shared" si="79"/>
        <v>30.473436761858505</v>
      </c>
      <c r="AB51" s="3685"/>
      <c r="AC51" s="3685"/>
      <c r="AD51" s="3686"/>
      <c r="AE51" s="3685"/>
      <c r="AF51" s="3685"/>
      <c r="AG51" s="3685"/>
      <c r="AH51" s="3685"/>
      <c r="AI51" s="3685"/>
      <c r="AJ51" s="3685"/>
      <c r="AK51" s="4200" t="s">
        <v>331</v>
      </c>
      <c r="AL51" s="4065" t="s">
        <v>174</v>
      </c>
      <c r="AM51" s="4202">
        <f>'19. HB'!D15</f>
        <v>0.5</v>
      </c>
      <c r="AN51" s="4202">
        <f>'19. HB'!E15</f>
        <v>0.5</v>
      </c>
      <c r="AO51" s="4202">
        <f>'19. HB'!F15</f>
        <v>0.5</v>
      </c>
      <c r="AP51" s="4202">
        <f>'19. HB'!G15</f>
        <v>0.5</v>
      </c>
      <c r="AQ51" s="4202">
        <f>'19. HB'!H15</f>
        <v>0.5</v>
      </c>
      <c r="AR51" s="3577"/>
      <c r="AS51" s="3685"/>
      <c r="AT51" s="3685"/>
      <c r="AU51" s="3685"/>
      <c r="AV51" s="3685"/>
      <c r="AW51" s="3685"/>
    </row>
    <row r="52" spans="1:49" ht="13.5" customHeight="1">
      <c r="A52" s="4160" t="s">
        <v>339</v>
      </c>
      <c r="B52" s="4093">
        <f>'11. Амортиз. план'!S192</f>
        <v>2902</v>
      </c>
      <c r="C52" s="4093">
        <f>'11. Амортиз. план'!U192</f>
        <v>2902</v>
      </c>
      <c r="D52" s="4093">
        <f>'11. Амортиз. план'!V192</f>
        <v>2902</v>
      </c>
      <c r="E52" s="4093">
        <f>'11. Амортиз. план'!W192</f>
        <v>21560.84</v>
      </c>
      <c r="F52" s="4093">
        <f>'11. Амортиз. план'!X192</f>
        <v>21560.84</v>
      </c>
      <c r="G52" s="4093">
        <f>'11. Амортиз. план'!Y192</f>
        <v>21560.84</v>
      </c>
      <c r="H52" s="3685"/>
      <c r="I52" s="4103" t="s">
        <v>1690</v>
      </c>
      <c r="J52" s="4089">
        <f>'9.Инвестиционна програма'!H22</f>
        <v>1123.7080000000001</v>
      </c>
      <c r="K52" s="4089">
        <f>'9.Инвестиционна програма'!I22</f>
        <v>1115.9950000000001</v>
      </c>
      <c r="L52" s="4089">
        <f>'9.Инвестиционна програма'!J22</f>
        <v>126.5</v>
      </c>
      <c r="M52" s="4089">
        <f>'9.Инвестиционна програма'!K22</f>
        <v>127</v>
      </c>
      <c r="N52" s="4089">
        <f>'9.Инвестиционна програма'!L22</f>
        <v>127</v>
      </c>
      <c r="O52" s="4093">
        <f t="shared" si="80"/>
        <v>2620.2030000000004</v>
      </c>
      <c r="P52" s="4196">
        <f t="shared" si="77"/>
        <v>0.2166373526122333</v>
      </c>
      <c r="Q52" s="4397"/>
      <c r="R52" s="3685"/>
      <c r="S52" s="4170" t="s">
        <v>745</v>
      </c>
      <c r="T52" s="4166">
        <f>'12. Разходи'!S58</f>
        <v>15.28</v>
      </c>
      <c r="U52" s="4166">
        <f>'12. Разходи'!T58</f>
        <v>0.57999999999999996</v>
      </c>
      <c r="V52" s="4166">
        <f>'12. Разходи'!U58</f>
        <v>0.27</v>
      </c>
      <c r="W52" s="4166">
        <f>'12. Разходи'!V58</f>
        <v>0.5</v>
      </c>
      <c r="X52" s="4166">
        <f>'12. Разходи'!W58</f>
        <v>84.93</v>
      </c>
      <c r="Y52" s="4166">
        <f>'12. Разходи'!X58</f>
        <v>84.4</v>
      </c>
      <c r="Z52" s="4105">
        <f t="shared" si="78"/>
        <v>-0.9620418848167539</v>
      </c>
      <c r="AA52" s="4105">
        <f t="shared" si="79"/>
        <v>4.5235602094240841</v>
      </c>
      <c r="AB52" s="3685"/>
      <c r="AC52" s="3685"/>
      <c r="AD52" s="3686"/>
      <c r="AE52" s="3685"/>
      <c r="AF52" s="3685"/>
      <c r="AG52" s="3685"/>
      <c r="AH52" s="3685"/>
      <c r="AI52" s="3685"/>
      <c r="AJ52" s="3685"/>
      <c r="AK52" s="4203" t="s">
        <v>701</v>
      </c>
      <c r="AL52" s="4204" t="s">
        <v>174</v>
      </c>
      <c r="AM52" s="4205">
        <f>'19. HB'!D16</f>
        <v>8.5666666666666669E-2</v>
      </c>
      <c r="AN52" s="4205">
        <f>'19. HB'!E16</f>
        <v>8.5666666666666669E-2</v>
      </c>
      <c r="AO52" s="4205">
        <f>'19. HB'!F16</f>
        <v>8.5666666666666669E-2</v>
      </c>
      <c r="AP52" s="4205">
        <f>'19. HB'!G16</f>
        <v>8.5666666666666669E-2</v>
      </c>
      <c r="AQ52" s="4205">
        <f>'19. HB'!H16</f>
        <v>8.5666666666666669E-2</v>
      </c>
      <c r="AR52" s="3577"/>
      <c r="AS52" s="3685"/>
      <c r="AT52" s="3685"/>
      <c r="AU52" s="3685"/>
      <c r="AV52" s="3685"/>
      <c r="AW52" s="3685"/>
    </row>
    <row r="53" spans="1:49" ht="15.75" customHeight="1">
      <c r="A53" s="4165" t="s">
        <v>223</v>
      </c>
      <c r="B53" s="4166">
        <f>'11. Амортиз. план'!S214</f>
        <v>78.7</v>
      </c>
      <c r="C53" s="4166">
        <f>'11. Амортиз. план'!U214</f>
        <v>78.7</v>
      </c>
      <c r="D53" s="4166">
        <f>'11. Амортиз. план'!V214</f>
        <v>74.7</v>
      </c>
      <c r="E53" s="4166">
        <f>'11. Амортиз. план'!W214</f>
        <v>821.6536000000001</v>
      </c>
      <c r="F53" s="4166">
        <f>'11. Амортиз. план'!X214</f>
        <v>821.6536000000001</v>
      </c>
      <c r="G53" s="4166">
        <f>'11. Амортиз. план'!Y214</f>
        <v>821.6536000000001</v>
      </c>
      <c r="H53" s="3685"/>
      <c r="I53" s="4103" t="s">
        <v>1691</v>
      </c>
      <c r="J53" s="4089">
        <f>SUM('9.Инвестиционна програма'!H23:H24)</f>
        <v>207.09899999999999</v>
      </c>
      <c r="K53" s="4089">
        <f>SUM('9.Инвестиционна програма'!I23:I24)</f>
        <v>212.09899999999999</v>
      </c>
      <c r="L53" s="4089">
        <f>SUM('9.Инвестиционна програма'!J23:J24)</f>
        <v>190</v>
      </c>
      <c r="M53" s="4089">
        <f>SUM('9.Инвестиционна програма'!K23:K24)</f>
        <v>40</v>
      </c>
      <c r="N53" s="4089">
        <f>SUM('9.Инвестиционна програма'!L23:L24)</f>
        <v>40</v>
      </c>
      <c r="O53" s="4093">
        <f t="shared" si="80"/>
        <v>689.19799999999998</v>
      </c>
      <c r="P53" s="4196">
        <f t="shared" si="77"/>
        <v>5.698261934119072E-2</v>
      </c>
      <c r="Q53" s="4397"/>
      <c r="R53" s="3685"/>
      <c r="S53" s="4161" t="s">
        <v>453</v>
      </c>
      <c r="T53" s="4089">
        <f>'12. Разходи'!S59</f>
        <v>433.798</v>
      </c>
      <c r="U53" s="4089">
        <f>'12. Разходи'!T59</f>
        <v>487.5</v>
      </c>
      <c r="V53" s="4089">
        <f>'12. Разходи'!U59</f>
        <v>562.28</v>
      </c>
      <c r="W53" s="4089">
        <f>'12. Разходи'!V59</f>
        <v>645.29999999999995</v>
      </c>
      <c r="X53" s="4089">
        <f>'12. Разходи'!W59</f>
        <v>742.2</v>
      </c>
      <c r="Y53" s="4089">
        <f>'12. Разходи'!X59</f>
        <v>838</v>
      </c>
      <c r="Z53" s="4105">
        <f t="shared" si="78"/>
        <v>0.12379494603479038</v>
      </c>
      <c r="AA53" s="4105">
        <f t="shared" si="79"/>
        <v>0.93177469697877813</v>
      </c>
      <c r="AB53" s="3685"/>
      <c r="AC53" s="3685"/>
      <c r="AD53" s="3686"/>
      <c r="AE53" s="3685"/>
      <c r="AF53" s="3685"/>
      <c r="AG53" s="3685"/>
      <c r="AH53" s="3685"/>
      <c r="AI53" s="3685"/>
      <c r="AJ53" s="3685"/>
      <c r="AK53" s="4207" t="s">
        <v>1799</v>
      </c>
      <c r="AL53" s="4067" t="s">
        <v>328</v>
      </c>
      <c r="AM53" s="4208">
        <f>'19. HB'!D17</f>
        <v>604.38154770324206</v>
      </c>
      <c r="AN53" s="4208">
        <f>'19. HB'!E17</f>
        <v>772.35979169668337</v>
      </c>
      <c r="AO53" s="4208">
        <f>'19. HB'!F17</f>
        <v>796.47065174280442</v>
      </c>
      <c r="AP53" s="4208">
        <f>'19. HB'!G17</f>
        <v>807.29879514225468</v>
      </c>
      <c r="AQ53" s="4208">
        <f>'19. HB'!H17</f>
        <v>812.17263107097847</v>
      </c>
      <c r="AR53" s="3577"/>
      <c r="AS53" s="3685"/>
      <c r="AT53" s="3685"/>
      <c r="AU53" s="3685"/>
      <c r="AV53" s="3685"/>
      <c r="AW53" s="3685"/>
    </row>
    <row r="54" spans="1:49" ht="15.75" customHeight="1">
      <c r="A54" s="4103" t="s">
        <v>225</v>
      </c>
      <c r="B54" s="4089">
        <f>'11. Амортиз. план'!S236</f>
        <v>1408</v>
      </c>
      <c r="C54" s="4089">
        <f>'11. Амортиз. план'!U236</f>
        <v>1565.4</v>
      </c>
      <c r="D54" s="4089">
        <f>'11. Амортиз. план'!V236</f>
        <v>1640.1</v>
      </c>
      <c r="E54" s="4089">
        <f>'11. Амортиз. план'!W236</f>
        <v>2461.7536</v>
      </c>
      <c r="F54" s="4089">
        <f>'11. Амортиз. план'!X236</f>
        <v>3283.4072000000001</v>
      </c>
      <c r="G54" s="4089">
        <f>'11. Амортиз. план'!Y236</f>
        <v>4105.0608000000011</v>
      </c>
      <c r="H54" s="3685"/>
      <c r="I54" s="4103" t="s">
        <v>1692</v>
      </c>
      <c r="J54" s="4089">
        <f>SUM('9.Инвестиционна програма'!H25:H26)</f>
        <v>10</v>
      </c>
      <c r="K54" s="4089">
        <f>SUM('9.Инвестиционна програма'!I25:I26)</f>
        <v>10</v>
      </c>
      <c r="L54" s="4089">
        <f>SUM('9.Инвестиционна програма'!J25:J26)</f>
        <v>10</v>
      </c>
      <c r="M54" s="4089">
        <f>SUM('9.Инвестиционна програма'!K25:K26)</f>
        <v>10</v>
      </c>
      <c r="N54" s="4089">
        <f>SUM('9.Инвестиционна програма'!L25:L26)</f>
        <v>10</v>
      </c>
      <c r="O54" s="4093">
        <f t="shared" si="80"/>
        <v>50</v>
      </c>
      <c r="P54" s="4196">
        <f t="shared" si="77"/>
        <v>4.1339803177889893E-3</v>
      </c>
      <c r="Q54" s="4397"/>
      <c r="R54" s="3685"/>
      <c r="S54" s="4161" t="s">
        <v>454</v>
      </c>
      <c r="T54" s="4089">
        <f>'12. Разходи'!S63</f>
        <v>132</v>
      </c>
      <c r="U54" s="4089">
        <f>'12. Разходи'!T63</f>
        <v>148</v>
      </c>
      <c r="V54" s="4089">
        <f>'12. Разходи'!U63</f>
        <v>170</v>
      </c>
      <c r="W54" s="4089">
        <f>'12. Разходи'!V63</f>
        <v>195</v>
      </c>
      <c r="X54" s="4089">
        <f>'12. Разходи'!W63</f>
        <v>226</v>
      </c>
      <c r="Y54" s="4089">
        <f>'12. Разходи'!X63</f>
        <v>259</v>
      </c>
      <c r="Z54" s="4105">
        <f t="shared" si="78"/>
        <v>0.12121212121212122</v>
      </c>
      <c r="AA54" s="4105">
        <f t="shared" si="79"/>
        <v>0.96212121212121215</v>
      </c>
      <c r="AB54" s="3685"/>
      <c r="AC54" s="3685"/>
      <c r="AD54" s="3686"/>
      <c r="AE54" s="3685"/>
      <c r="AF54" s="3685"/>
      <c r="AG54" s="3685"/>
      <c r="AH54" s="3685"/>
      <c r="AI54" s="3685"/>
      <c r="AJ54" s="3685"/>
      <c r="AK54" s="4207" t="s">
        <v>1447</v>
      </c>
      <c r="AL54" s="4067" t="s">
        <v>328</v>
      </c>
      <c r="AM54" s="4208">
        <f>'19. HB'!D18</f>
        <v>116.53808551743269</v>
      </c>
      <c r="AN54" s="4208">
        <f>'19. HB'!E18</f>
        <v>362.35674581387281</v>
      </c>
      <c r="AO54" s="4208">
        <f>'19. HB'!F18</f>
        <v>366.95040106300382</v>
      </c>
      <c r="AP54" s="4208">
        <f>'19. HB'!G18</f>
        <v>362.92330701812602</v>
      </c>
      <c r="AQ54" s="4208">
        <f>'19. HB'!H18</f>
        <v>359.87668280045102</v>
      </c>
      <c r="AR54" s="3577"/>
      <c r="AS54" s="3685"/>
      <c r="AT54" s="3685"/>
      <c r="AU54" s="3685"/>
      <c r="AV54" s="3685"/>
      <c r="AW54" s="3685"/>
    </row>
    <row r="55" spans="1:49" ht="15.75" customHeight="1">
      <c r="A55" s="4103" t="s">
        <v>227</v>
      </c>
      <c r="B55" s="4089">
        <f>'11. Амортиз. план'!S258</f>
        <v>1494</v>
      </c>
      <c r="C55" s="4089">
        <f>'11. Амортиз. план'!U258</f>
        <v>1336.6</v>
      </c>
      <c r="D55" s="4089">
        <f>'11. Амортиз. план'!V258</f>
        <v>1261.9000000000001</v>
      </c>
      <c r="E55" s="4089">
        <f>'11. Амортиз. план'!W258</f>
        <v>19099.0864</v>
      </c>
      <c r="F55" s="4089">
        <f>'11. Амортиз. план'!X258</f>
        <v>18277.432799999999</v>
      </c>
      <c r="G55" s="4089">
        <f>'11. Амортиз. план'!Y258</f>
        <v>17455.779200000001</v>
      </c>
      <c r="H55" s="3685"/>
      <c r="I55" s="4103" t="s">
        <v>1693</v>
      </c>
      <c r="J55" s="4089">
        <f>SUM('9.Инвестиционна програма'!H27:H28)</f>
        <v>3</v>
      </c>
      <c r="K55" s="4089">
        <f>SUM('9.Инвестиционна програма'!I27:I28)</f>
        <v>3</v>
      </c>
      <c r="L55" s="4089">
        <f>SUM('9.Инвестиционна програма'!J27:J28)</f>
        <v>3</v>
      </c>
      <c r="M55" s="4089">
        <f>SUM('9.Инвестиционна програма'!K27:K28)</f>
        <v>3</v>
      </c>
      <c r="N55" s="4089">
        <f>SUM('9.Инвестиционна програма'!L27:L28)</f>
        <v>3</v>
      </c>
      <c r="O55" s="4093">
        <f t="shared" si="80"/>
        <v>15</v>
      </c>
      <c r="P55" s="4196">
        <f t="shared" si="77"/>
        <v>1.2401940953366969E-3</v>
      </c>
      <c r="Q55" s="4397"/>
      <c r="R55" s="3685"/>
      <c r="S55" s="4161" t="s">
        <v>455</v>
      </c>
      <c r="T55" s="4089">
        <f>'12. Разходи'!S70</f>
        <v>30.4</v>
      </c>
      <c r="U55" s="4089">
        <f>'12. Разходи'!T70</f>
        <v>38.457000000000001</v>
      </c>
      <c r="V55" s="4089">
        <f>'12. Разходи'!U70</f>
        <v>38.426000000000002</v>
      </c>
      <c r="W55" s="4089">
        <f>'12. Разходи'!V70</f>
        <v>46.822000000000003</v>
      </c>
      <c r="X55" s="4089">
        <f>'12. Разходи'!W70</f>
        <v>46.423000000000002</v>
      </c>
      <c r="Y55" s="4089">
        <f>'12. Разходи'!X70</f>
        <v>45.997000000000007</v>
      </c>
      <c r="Z55" s="4105">
        <f t="shared" si="78"/>
        <v>0.26503289473684216</v>
      </c>
      <c r="AA55" s="4105">
        <f t="shared" si="79"/>
        <v>0.51305921052631609</v>
      </c>
      <c r="AB55" s="3685"/>
      <c r="AC55" s="3685"/>
      <c r="AD55" s="3686"/>
      <c r="AE55" s="3685"/>
      <c r="AF55" s="3685"/>
      <c r="AG55" s="3685"/>
      <c r="AH55" s="3685"/>
      <c r="AI55" s="3685"/>
      <c r="AJ55" s="3685"/>
      <c r="AK55" s="4207" t="s">
        <v>1448</v>
      </c>
      <c r="AL55" s="4067" t="s">
        <v>328</v>
      </c>
      <c r="AM55" s="4208">
        <f>'19. HB'!D19</f>
        <v>131.00702226471051</v>
      </c>
      <c r="AN55" s="4208">
        <f>'19. HB'!E19</f>
        <v>227.69415765048677</v>
      </c>
      <c r="AO55" s="4208">
        <f>'19. HB'!F19</f>
        <v>231.38479492472422</v>
      </c>
      <c r="AP55" s="4208">
        <f>'19. HB'!G19</f>
        <v>225.45723477308402</v>
      </c>
      <c r="AQ55" s="4208">
        <f>'19. HB'!H19</f>
        <v>219.26251368391851</v>
      </c>
      <c r="AR55" s="3577"/>
      <c r="AS55" s="3685"/>
      <c r="AT55" s="3685"/>
      <c r="AU55" s="3685"/>
      <c r="AV55" s="3685"/>
      <c r="AW55" s="3685"/>
    </row>
    <row r="56" spans="1:49" ht="15.75" customHeight="1">
      <c r="A56" s="4146" t="s">
        <v>1759</v>
      </c>
      <c r="B56" s="3685"/>
      <c r="C56" s="3685"/>
      <c r="D56" s="3685"/>
      <c r="E56" s="3685"/>
      <c r="F56" s="3685"/>
      <c r="G56" s="4147" t="s">
        <v>1727</v>
      </c>
      <c r="H56" s="3685"/>
      <c r="I56" s="4103" t="s">
        <v>1694</v>
      </c>
      <c r="J56" s="4089">
        <f>'9.Инвестиционна програма'!H29</f>
        <v>0</v>
      </c>
      <c r="K56" s="4089">
        <f>'9.Инвестиционна програма'!I29</f>
        <v>5</v>
      </c>
      <c r="L56" s="4089">
        <f>'9.Инвестиционна програма'!J29</f>
        <v>5</v>
      </c>
      <c r="M56" s="4089">
        <f>'9.Инвестиционна програма'!K29</f>
        <v>5</v>
      </c>
      <c r="N56" s="4089">
        <f>'9.Инвестиционна програма'!L29</f>
        <v>5</v>
      </c>
      <c r="O56" s="4093">
        <f t="shared" si="80"/>
        <v>20</v>
      </c>
      <c r="P56" s="4196">
        <f t="shared" si="77"/>
        <v>1.6535921271155958E-3</v>
      </c>
      <c r="Q56" s="4397"/>
      <c r="R56" s="3685"/>
      <c r="S56" s="4161" t="s">
        <v>272</v>
      </c>
      <c r="T56" s="4089">
        <f>'12. Разходи'!S76</f>
        <v>8</v>
      </c>
      <c r="U56" s="4089">
        <f>'12. Разходи'!T76</f>
        <v>11.5</v>
      </c>
      <c r="V56" s="4089">
        <f>'12. Разходи'!U76</f>
        <v>11.5</v>
      </c>
      <c r="W56" s="4089">
        <f>'12. Разходи'!V76</f>
        <v>11.3</v>
      </c>
      <c r="X56" s="4089">
        <f>'12. Разходи'!W76</f>
        <v>11.5</v>
      </c>
      <c r="Y56" s="4089">
        <f>'12. Разходи'!X76</f>
        <v>11.7</v>
      </c>
      <c r="Z56" s="4105">
        <f t="shared" si="78"/>
        <v>0.4375</v>
      </c>
      <c r="AA56" s="4105">
        <f t="shared" si="79"/>
        <v>0.46249999999999991</v>
      </c>
      <c r="AB56" s="3685"/>
      <c r="AC56" s="3685"/>
      <c r="AD56" s="3686"/>
      <c r="AE56" s="3685"/>
      <c r="AF56" s="3685"/>
      <c r="AG56" s="3685"/>
      <c r="AH56" s="3685"/>
      <c r="AI56" s="3685"/>
      <c r="AJ56" s="3685"/>
      <c r="AK56" s="4207" t="s">
        <v>1258</v>
      </c>
      <c r="AL56" s="4067" t="s">
        <v>328</v>
      </c>
      <c r="AM56" s="4208">
        <f>'19. HB'!D20</f>
        <v>2.9245456307659548</v>
      </c>
      <c r="AN56" s="4208">
        <f>'19. HB'!E20</f>
        <v>3.90000782093253</v>
      </c>
      <c r="AO56" s="4208">
        <f>'19. HB'!F20</f>
        <v>3.7881178883057172</v>
      </c>
      <c r="AP56" s="4208">
        <f>'19. HB'!G20</f>
        <v>3.7344983722505205</v>
      </c>
      <c r="AQ56" s="4208">
        <f>'19. HB'!H20</f>
        <v>3.6806374318317081</v>
      </c>
      <c r="AR56" s="3577"/>
      <c r="AS56" s="3685"/>
      <c r="AT56" s="3685"/>
      <c r="AU56" s="3685"/>
      <c r="AV56" s="3685"/>
      <c r="AW56" s="3685"/>
    </row>
    <row r="57" spans="1:49" ht="12.75" customHeight="1">
      <c r="A57" s="5694" t="s">
        <v>90</v>
      </c>
      <c r="B57" s="5685" t="s">
        <v>1037</v>
      </c>
      <c r="C57" s="5685"/>
      <c r="D57" s="5685"/>
      <c r="E57" s="5685"/>
      <c r="F57" s="5685"/>
      <c r="G57" s="5685"/>
      <c r="H57" s="3685"/>
      <c r="I57" s="4165" t="s">
        <v>1695</v>
      </c>
      <c r="J57" s="4166">
        <f>SUM(J48:J56)</f>
        <v>1512.231</v>
      </c>
      <c r="K57" s="4166">
        <f>SUM(K48:K56)</f>
        <v>2072.0980000000004</v>
      </c>
      <c r="L57" s="4166">
        <f>SUM(L48:L56)</f>
        <v>374.5</v>
      </c>
      <c r="M57" s="4166">
        <f>SUM(M48:M56)</f>
        <v>225</v>
      </c>
      <c r="N57" s="4166">
        <f>SUM(N48:N56)</f>
        <v>225</v>
      </c>
      <c r="O57" s="4093">
        <f t="shared" si="80"/>
        <v>4408.8290000000006</v>
      </c>
      <c r="P57" s="4198">
        <f t="shared" si="77"/>
        <v>0.36452024620994627</v>
      </c>
      <c r="Q57" s="4398"/>
      <c r="R57" s="3685"/>
      <c r="S57" s="4181" t="s">
        <v>282</v>
      </c>
      <c r="T57" s="4182">
        <f>SUM(T47:T49,T53:T56)</f>
        <v>1402.4610000000002</v>
      </c>
      <c r="U57" s="4182">
        <f t="shared" ref="U57" si="81">SUM(U47:U49,U53:U56)</f>
        <v>1643.3104249504454</v>
      </c>
      <c r="V57" s="4182">
        <f t="shared" ref="V57" si="82">SUM(V47:V49,V53:V56)</f>
        <v>1871.0008091472678</v>
      </c>
      <c r="W57" s="4182">
        <f t="shared" ref="W57" si="83">SUM(W47:W49,W53:W56)</f>
        <v>2173.2061900318813</v>
      </c>
      <c r="X57" s="4182">
        <f t="shared" ref="X57" si="84">SUM(X47:X49,X53:X56)</f>
        <v>2323.5649603032307</v>
      </c>
      <c r="Y57" s="4182">
        <f t="shared" ref="Y57" si="85">SUM(Y47:Y49,Y53:Y56)</f>
        <v>2365.5637879345445</v>
      </c>
      <c r="Z57" s="4183">
        <f t="shared" si="78"/>
        <v>0.17173342071575973</v>
      </c>
      <c r="AA57" s="4183">
        <f t="shared" si="79"/>
        <v>0.68672340117446695</v>
      </c>
      <c r="AB57" s="3685"/>
      <c r="AC57" s="3685"/>
      <c r="AD57" s="3686"/>
      <c r="AE57" s="3685"/>
      <c r="AF57" s="3685"/>
      <c r="AG57" s="3685"/>
      <c r="AH57" s="3685"/>
      <c r="AI57" s="3685"/>
      <c r="AJ57" s="3685"/>
      <c r="AK57" s="4207" t="s">
        <v>1800</v>
      </c>
      <c r="AL57" s="4067" t="s">
        <v>328</v>
      </c>
      <c r="AM57" s="4208">
        <f>'19. HB'!D21</f>
        <v>0</v>
      </c>
      <c r="AN57" s="4208">
        <f>'19. HB'!E21</f>
        <v>0</v>
      </c>
      <c r="AO57" s="4208">
        <f>'19. HB'!F21</f>
        <v>0</v>
      </c>
      <c r="AP57" s="4208">
        <f>'19. HB'!G21</f>
        <v>0</v>
      </c>
      <c r="AQ57" s="4208">
        <f>'19. HB'!H21</f>
        <v>0</v>
      </c>
      <c r="AR57" s="3577"/>
      <c r="AS57" s="3685"/>
      <c r="AT57" s="3685"/>
      <c r="AU57" s="3685"/>
      <c r="AV57" s="3685"/>
      <c r="AW57" s="3685"/>
    </row>
    <row r="58" spans="1:49" ht="12.75" customHeight="1">
      <c r="A58" s="5694"/>
      <c r="B58" s="4197" t="str">
        <f>B4</f>
        <v>2020 г.</v>
      </c>
      <c r="C58" s="4197" t="str">
        <f>C40</f>
        <v>2022 г.</v>
      </c>
      <c r="D58" s="4197" t="str">
        <f>D4</f>
        <v>2023 г.</v>
      </c>
      <c r="E58" s="4197" t="str">
        <f>E4</f>
        <v>2024 г.</v>
      </c>
      <c r="F58" s="4197" t="str">
        <f>F4</f>
        <v>2025 г.</v>
      </c>
      <c r="G58" s="4197" t="str">
        <f>G4</f>
        <v>2026 г.</v>
      </c>
      <c r="H58" s="3685"/>
      <c r="I58" s="4165" t="s">
        <v>1696</v>
      </c>
      <c r="J58" s="4166">
        <f>SUM('9.Инвестиционна програма'!H30:H35)</f>
        <v>198</v>
      </c>
      <c r="K58" s="4166">
        <f>SUM('9.Инвестиционна програма'!I30:I35)</f>
        <v>207</v>
      </c>
      <c r="L58" s="4166">
        <f>SUM('9.Инвестиционна програма'!J30:J35)</f>
        <v>215.5</v>
      </c>
      <c r="M58" s="4166">
        <f>SUM('9.Инвестиционна програма'!K30:K35)</f>
        <v>211.5</v>
      </c>
      <c r="N58" s="4166">
        <f>SUM('9.Инвестиционна програма'!L30:L35)</f>
        <v>237</v>
      </c>
      <c r="O58" s="4093">
        <f t="shared" si="80"/>
        <v>1069</v>
      </c>
      <c r="P58" s="4198">
        <f t="shared" si="77"/>
        <v>8.83844991943286E-2</v>
      </c>
      <c r="Q58" s="4398"/>
      <c r="R58" s="3685"/>
      <c r="S58" s="4187" t="s">
        <v>1766</v>
      </c>
      <c r="T58" s="4188"/>
      <c r="U58" s="4187">
        <f>U57-$T57</f>
        <v>240.84942495044515</v>
      </c>
      <c r="V58" s="4187">
        <f t="shared" ref="V58" si="86">V57-$T57</f>
        <v>468.53980914726753</v>
      </c>
      <c r="W58" s="4187">
        <f t="shared" ref="W58" si="87">W57-$T57</f>
        <v>770.74519003188107</v>
      </c>
      <c r="X58" s="4187">
        <f t="shared" ref="X58" si="88">X57-$T57</f>
        <v>921.10396030323045</v>
      </c>
      <c r="Y58" s="4187">
        <f t="shared" ref="Y58" si="89">Y57-$T57</f>
        <v>963.10278793454427</v>
      </c>
      <c r="Z58" s="4105">
        <f t="shared" si="78"/>
        <v>0</v>
      </c>
      <c r="AA58" s="4105">
        <f t="shared" si="79"/>
        <v>0</v>
      </c>
      <c r="AB58" s="3685"/>
      <c r="AC58" s="3685"/>
      <c r="AD58" s="3686"/>
      <c r="AE58" s="3685"/>
      <c r="AF58" s="3685"/>
      <c r="AG58" s="3685"/>
      <c r="AH58" s="3685"/>
      <c r="AI58" s="3685"/>
      <c r="AJ58" s="3685"/>
      <c r="AK58" s="4200" t="s">
        <v>332</v>
      </c>
      <c r="AL58" s="4065" t="s">
        <v>328</v>
      </c>
      <c r="AM58" s="4360">
        <f>SUM(AM53:AM57)</f>
        <v>854.85120111615117</v>
      </c>
      <c r="AN58" s="4360">
        <f t="shared" ref="AN58:AQ58" si="90">SUM(AN53:AN57)</f>
        <v>1366.3107029819755</v>
      </c>
      <c r="AO58" s="4360">
        <f t="shared" si="90"/>
        <v>1398.5939656188384</v>
      </c>
      <c r="AP58" s="4360">
        <f t="shared" si="90"/>
        <v>1399.4138353057153</v>
      </c>
      <c r="AQ58" s="4360">
        <f t="shared" si="90"/>
        <v>1394.9924649871798</v>
      </c>
      <c r="AR58" s="3577"/>
      <c r="AS58" s="3685"/>
      <c r="AT58" s="3685"/>
      <c r="AU58" s="3685"/>
      <c r="AV58" s="3685"/>
      <c r="AW58" s="3685"/>
    </row>
    <row r="59" spans="1:49" ht="15.75" customHeight="1">
      <c r="A59" s="5696" t="s">
        <v>1750</v>
      </c>
      <c r="B59" s="5696"/>
      <c r="C59" s="5696"/>
      <c r="D59" s="5696"/>
      <c r="E59" s="5696"/>
      <c r="F59" s="5696"/>
      <c r="G59" s="5696"/>
      <c r="H59" s="3685"/>
      <c r="I59" s="4199" t="s">
        <v>212</v>
      </c>
      <c r="J59" s="4182">
        <f>J57+J58</f>
        <v>1710.231</v>
      </c>
      <c r="K59" s="4182">
        <f>K57+K58</f>
        <v>2279.0980000000004</v>
      </c>
      <c r="L59" s="4182">
        <f>L57+L58</f>
        <v>590</v>
      </c>
      <c r="M59" s="4182">
        <f>M57+M58</f>
        <v>436.5</v>
      </c>
      <c r="N59" s="4182">
        <f>N57+N58</f>
        <v>462</v>
      </c>
      <c r="O59" s="4182">
        <f>SUM(J59:N59)</f>
        <v>5477.8290000000006</v>
      </c>
      <c r="P59" s="4183">
        <f t="shared" si="77"/>
        <v>0.45290474540427489</v>
      </c>
      <c r="Q59" s="4275"/>
      <c r="R59" s="3685"/>
      <c r="S59" s="4161" t="s">
        <v>1764</v>
      </c>
      <c r="T59" s="4093">
        <f>'12. Разходи'!S92</f>
        <v>798</v>
      </c>
      <c r="U59" s="4093">
        <f>'12. Разходи'!T92</f>
        <v>1018</v>
      </c>
      <c r="V59" s="4093">
        <f>'12. Разходи'!U92</f>
        <v>1320</v>
      </c>
      <c r="W59" s="4093">
        <f>'12. Разходи'!V92</f>
        <v>1745</v>
      </c>
      <c r="X59" s="4093">
        <f>'12. Разходи'!W92</f>
        <v>1837</v>
      </c>
      <c r="Y59" s="4093">
        <f>'12. Разходи'!X92</f>
        <v>1894</v>
      </c>
      <c r="Z59" s="4105">
        <f t="shared" si="78"/>
        <v>0.27568922305764409</v>
      </c>
      <c r="AA59" s="4105">
        <f t="shared" si="79"/>
        <v>1.3734335839598997</v>
      </c>
      <c r="AB59" s="3685"/>
      <c r="AC59" s="3685"/>
      <c r="AD59" s="3686"/>
      <c r="AE59" s="3685"/>
      <c r="AF59" s="3685"/>
      <c r="AG59" s="3685"/>
      <c r="AH59" s="3685"/>
      <c r="AI59" s="3685"/>
      <c r="AJ59" s="3685"/>
      <c r="AK59" s="3685"/>
      <c r="AL59" s="3577"/>
      <c r="AM59" s="3577"/>
      <c r="AN59" s="3577"/>
      <c r="AO59" s="3577"/>
      <c r="AP59" s="3577"/>
      <c r="AQ59" s="3685"/>
      <c r="AR59" s="3577"/>
      <c r="AS59" s="3685"/>
      <c r="AT59" s="3685"/>
      <c r="AU59" s="3685"/>
      <c r="AV59" s="3685"/>
      <c r="AW59" s="3685"/>
    </row>
    <row r="60" spans="1:49" ht="15.75" customHeight="1">
      <c r="A60" s="4160" t="s">
        <v>339</v>
      </c>
      <c r="B60" s="4093">
        <f>'11. Амортиз. план'!Z10</f>
        <v>11.700000000000001</v>
      </c>
      <c r="C60" s="4093">
        <f>'11. Амортиз. план'!AB10</f>
        <v>12.699999999999998</v>
      </c>
      <c r="D60" s="4093">
        <f>'11. Амортиз. план'!AC10</f>
        <v>13.699999999999998</v>
      </c>
      <c r="E60" s="4093">
        <f>'11. Амортиз. план'!AD10</f>
        <v>13.699999999999998</v>
      </c>
      <c r="F60" s="4093">
        <f>'11. Амортиз. план'!AE10</f>
        <v>13.699999999999998</v>
      </c>
      <c r="G60" s="4093">
        <f>'11. Амортиз. план'!AF10</f>
        <v>13.699999999999998</v>
      </c>
      <c r="H60" s="3685"/>
      <c r="I60" s="4103" t="s">
        <v>1697</v>
      </c>
      <c r="J60" s="4089">
        <f>'9.Инвестиционна програма'!H37</f>
        <v>0</v>
      </c>
      <c r="K60" s="4089">
        <f>'9.Инвестиционна програма'!I37</f>
        <v>226.346</v>
      </c>
      <c r="L60" s="4089">
        <f>'9.Инвестиционна програма'!J37</f>
        <v>0</v>
      </c>
      <c r="M60" s="4089">
        <f>'9.Инвестиционна програма'!K37</f>
        <v>0</v>
      </c>
      <c r="N60" s="4089">
        <f>'9.Инвестиционна програма'!L37</f>
        <v>0</v>
      </c>
      <c r="O60" s="4093">
        <f t="shared" si="80"/>
        <v>226.346</v>
      </c>
      <c r="P60" s="4196">
        <f t="shared" si="77"/>
        <v>1.8714198180205331E-2</v>
      </c>
      <c r="Q60" s="4397"/>
      <c r="R60" s="3685"/>
      <c r="S60" s="4161" t="s">
        <v>1767</v>
      </c>
      <c r="T60" s="4093">
        <f>'12. Разходи'!S93</f>
        <v>570.08100000000013</v>
      </c>
      <c r="U60" s="4093">
        <f>'12. Разходи'!T93</f>
        <v>580.76020526088632</v>
      </c>
      <c r="V60" s="4093">
        <f>'12. Разходи'!U93</f>
        <v>456.12276992176794</v>
      </c>
      <c r="W60" s="4093">
        <f>'12. Разходи'!V93</f>
        <v>309.0666697167153</v>
      </c>
      <c r="X60" s="4093">
        <f>'12. Разходи'!W93</f>
        <v>283.65612089168371</v>
      </c>
      <c r="Y60" s="4093">
        <f>'12. Разходи'!X93</f>
        <v>268.22710695074056</v>
      </c>
      <c r="Z60" s="4105">
        <f t="shared" si="78"/>
        <v>1.8732785798660525E-2</v>
      </c>
      <c r="AA60" s="4105">
        <f t="shared" si="79"/>
        <v>-0.52949298967911484</v>
      </c>
      <c r="AB60" s="3685"/>
      <c r="AC60" s="3685"/>
      <c r="AD60" s="3686"/>
      <c r="AE60" s="3685"/>
      <c r="AF60" s="3685"/>
      <c r="AG60" s="3685"/>
      <c r="AH60" s="3685"/>
      <c r="AI60" s="3685"/>
      <c r="AJ60" s="3685"/>
      <c r="AK60" s="3685"/>
      <c r="AL60" s="3577"/>
      <c r="AM60" s="3577"/>
      <c r="AN60" s="3577"/>
      <c r="AO60" s="3577"/>
      <c r="AP60" s="3577"/>
      <c r="AQ60" s="3685"/>
      <c r="AR60" s="3577"/>
      <c r="AS60" s="3685"/>
      <c r="AT60" s="3685"/>
      <c r="AU60" s="3685"/>
      <c r="AV60" s="3685"/>
      <c r="AW60" s="3685"/>
    </row>
    <row r="61" spans="1:49" ht="15.75" customHeight="1">
      <c r="A61" s="4165" t="s">
        <v>223</v>
      </c>
      <c r="B61" s="4166">
        <f>'11. Амортиз. план'!Z35</f>
        <v>0.80000000000000016</v>
      </c>
      <c r="C61" s="4166">
        <f>'11. Амортиз. план'!AB35</f>
        <v>0.87313000000000018</v>
      </c>
      <c r="D61" s="4166">
        <f>'11. Амортиз. план'!AC35</f>
        <v>0.97313000000000027</v>
      </c>
      <c r="E61" s="4166">
        <f>'11. Амортиз. план'!AD35</f>
        <v>0.22313</v>
      </c>
      <c r="F61" s="4166">
        <f>'11. Амортиз. план'!AE35</f>
        <v>0.22313</v>
      </c>
      <c r="G61" s="4166">
        <f>'11. Амортиз. план'!AF35</f>
        <v>0.22313</v>
      </c>
      <c r="H61" s="3685"/>
      <c r="I61" s="4103" t="s">
        <v>1698</v>
      </c>
      <c r="J61" s="4089">
        <f>'9.Инвестиционна програма'!H38</f>
        <v>0</v>
      </c>
      <c r="K61" s="4089">
        <f>'9.Инвестиционна програма'!I38</f>
        <v>1201.904</v>
      </c>
      <c r="L61" s="4089">
        <f>'9.Инвестиционна програма'!J38</f>
        <v>2</v>
      </c>
      <c r="M61" s="4089">
        <f>'9.Инвестиционна програма'!K38</f>
        <v>2</v>
      </c>
      <c r="N61" s="4089">
        <f>'9.Инвестиционна програма'!L38</f>
        <v>3</v>
      </c>
      <c r="O61" s="4093">
        <f t="shared" si="80"/>
        <v>1208.904</v>
      </c>
      <c r="P61" s="4196">
        <f t="shared" si="77"/>
        <v>9.9951706841927612E-2</v>
      </c>
      <c r="Q61" s="4397"/>
      <c r="R61" s="3685"/>
      <c r="S61" s="4176" t="s">
        <v>1765</v>
      </c>
      <c r="T61" s="4089">
        <f>'12. Разходи'!S94</f>
        <v>384</v>
      </c>
      <c r="U61" s="4089">
        <f>'12. Разходи'!T94</f>
        <v>178</v>
      </c>
      <c r="V61" s="4089">
        <f>'12. Разходи'!U94</f>
        <v>266</v>
      </c>
      <c r="W61" s="4089">
        <f>'12. Разходи'!V94</f>
        <v>296</v>
      </c>
      <c r="X61" s="4089">
        <f>'12. Разходи'!W94</f>
        <v>187</v>
      </c>
      <c r="Y61" s="4089">
        <f>'12. Разходи'!X94</f>
        <v>303</v>
      </c>
      <c r="Z61" s="4105">
        <f t="shared" si="78"/>
        <v>-0.53645833333333337</v>
      </c>
      <c r="AA61" s="4105">
        <f t="shared" si="79"/>
        <v>-0.2109375</v>
      </c>
      <c r="AB61" s="3685"/>
      <c r="AC61" s="3685"/>
      <c r="AD61" s="3686"/>
      <c r="AE61" s="3685"/>
      <c r="AF61" s="3685"/>
      <c r="AG61" s="3685"/>
      <c r="AH61" s="3685"/>
      <c r="AI61" s="3685"/>
      <c r="AJ61" s="3685"/>
      <c r="AK61" s="3685"/>
      <c r="AL61" s="3577"/>
      <c r="AM61" s="3577"/>
      <c r="AN61" s="3577"/>
      <c r="AO61" s="3577"/>
      <c r="AP61" s="3577"/>
      <c r="AQ61" s="3685"/>
      <c r="AR61" s="3577"/>
      <c r="AS61" s="3685"/>
      <c r="AT61" s="3685"/>
      <c r="AU61" s="3685"/>
      <c r="AV61" s="3685"/>
      <c r="AW61" s="3685"/>
    </row>
    <row r="62" spans="1:49" ht="15.75" customHeight="1">
      <c r="A62" s="4103" t="s">
        <v>225</v>
      </c>
      <c r="B62" s="4089">
        <f>'11. Амортиз. план'!Z60</f>
        <v>6.55</v>
      </c>
      <c r="C62" s="4089">
        <f>'11. Амортиз. план'!AB60</f>
        <v>8.2462599999999995</v>
      </c>
      <c r="D62" s="4089">
        <f>'11. Амортиз. план'!AC60</f>
        <v>9.2193900000000006</v>
      </c>
      <c r="E62" s="4089">
        <f>'11. Амортиз. план'!AD60</f>
        <v>9.44252</v>
      </c>
      <c r="F62" s="4089">
        <f>'11. Амортиз. план'!AE60</f>
        <v>9.6656499999999994</v>
      </c>
      <c r="G62" s="4089">
        <f>'11. Амортиз. план'!AF60</f>
        <v>9.8887800000000041</v>
      </c>
      <c r="H62" s="3685"/>
      <c r="I62" s="4103" t="s">
        <v>1699</v>
      </c>
      <c r="J62" s="4089">
        <f>'9.Инвестиционна програма'!H39</f>
        <v>400</v>
      </c>
      <c r="K62" s="4089">
        <f>'9.Инвестиционна програма'!I39</f>
        <v>1231.2940000000001</v>
      </c>
      <c r="L62" s="4089">
        <f>'9.Инвестиционна програма'!J39</f>
        <v>25</v>
      </c>
      <c r="M62" s="4089">
        <f>'9.Инвестиционна програма'!K39</f>
        <v>25</v>
      </c>
      <c r="N62" s="4089">
        <f>'9.Инвестиционна програма'!L39</f>
        <v>25</v>
      </c>
      <c r="O62" s="4093">
        <f t="shared" si="80"/>
        <v>1706.2940000000001</v>
      </c>
      <c r="P62" s="4196">
        <f t="shared" si="77"/>
        <v>0.14107571624722892</v>
      </c>
      <c r="Q62" s="4275"/>
      <c r="R62" s="3685"/>
      <c r="S62" s="4161" t="s">
        <v>1769</v>
      </c>
      <c r="T62" s="4089">
        <f>'12. Разходи'!S90</f>
        <v>24.60191</v>
      </c>
      <c r="U62" s="4089">
        <f>'12. Разходи'!T90</f>
        <v>30</v>
      </c>
      <c r="V62" s="4089">
        <f>'12. Разходи'!U90</f>
        <v>30</v>
      </c>
      <c r="W62" s="4089">
        <f>'12. Разходи'!V90</f>
        <v>30</v>
      </c>
      <c r="X62" s="4089">
        <f>'12. Разходи'!W90</f>
        <v>30</v>
      </c>
      <c r="Y62" s="4089">
        <f>'12. Разходи'!X90</f>
        <v>30</v>
      </c>
      <c r="Z62" s="4105">
        <f t="shared" si="78"/>
        <v>0.2194175167700394</v>
      </c>
      <c r="AA62" s="4105">
        <f t="shared" si="79"/>
        <v>0.2194175167700394</v>
      </c>
      <c r="AB62" s="3685"/>
      <c r="AC62" s="3685"/>
      <c r="AD62" s="3686"/>
      <c r="AE62" s="3685"/>
      <c r="AF62" s="3685"/>
      <c r="AG62" s="3685"/>
      <c r="AH62" s="3685"/>
      <c r="AI62" s="3685"/>
      <c r="AJ62" s="3685"/>
      <c r="AK62" s="3685"/>
      <c r="AL62" s="3577"/>
      <c r="AM62" s="3577"/>
      <c r="AN62" s="3577"/>
      <c r="AO62" s="3577"/>
      <c r="AP62" s="3577"/>
      <c r="AQ62" s="3685"/>
      <c r="AR62" s="3577"/>
      <c r="AS62" s="3685"/>
      <c r="AT62" s="3685"/>
      <c r="AU62" s="3685"/>
      <c r="AV62" s="3685"/>
      <c r="AW62" s="3685"/>
    </row>
    <row r="63" spans="1:49" ht="14.25" customHeight="1">
      <c r="A63" s="4103" t="s">
        <v>227</v>
      </c>
      <c r="B63" s="4089">
        <f>'11. Амортиз. план'!Z85</f>
        <v>5.1499999999999986</v>
      </c>
      <c r="C63" s="4089">
        <f>'11. Амортиз. план'!AB85</f>
        <v>4.4537400000000016</v>
      </c>
      <c r="D63" s="4089">
        <f>'11. Амортиз. план'!AC85</f>
        <v>4.4806100000000004</v>
      </c>
      <c r="E63" s="4089">
        <f>'11. Амортиз. план'!AD85</f>
        <v>4.257480000000001</v>
      </c>
      <c r="F63" s="4089">
        <f>'11. Амортиз. план'!AE85</f>
        <v>4.0343499999999999</v>
      </c>
      <c r="G63" s="4089">
        <f>'11. Амортиз. план'!AF85</f>
        <v>3.8112200000000023</v>
      </c>
      <c r="H63" s="3685"/>
      <c r="I63" s="4103" t="s">
        <v>1663</v>
      </c>
      <c r="J63" s="4089">
        <f>'9.Инвестиционна програма'!H40</f>
        <v>80.34</v>
      </c>
      <c r="K63" s="4089">
        <f>'9.Инвестиционна програма'!I40</f>
        <v>171.39099999999999</v>
      </c>
      <c r="L63" s="4089">
        <f>'9.Инвестиционна програма'!J40</f>
        <v>0.6</v>
      </c>
      <c r="M63" s="4089">
        <f>'9.Инвестиционна програма'!K40</f>
        <v>0.9</v>
      </c>
      <c r="N63" s="4089">
        <f>'9.Инвестиционна програма'!L40</f>
        <v>1.3</v>
      </c>
      <c r="O63" s="4093">
        <f t="shared" si="80"/>
        <v>254.53100000000001</v>
      </c>
      <c r="P63" s="4196">
        <f t="shared" si="77"/>
        <v>2.1044522885342986E-2</v>
      </c>
      <c r="Q63" s="4275"/>
      <c r="R63" s="3685"/>
      <c r="S63" s="4161" t="s">
        <v>1252</v>
      </c>
      <c r="T63" s="4089">
        <f>'12. Разходи'!S89</f>
        <v>422.15</v>
      </c>
      <c r="U63" s="4089">
        <f>'12. Разходи'!T89</f>
        <v>394.32620526088635</v>
      </c>
      <c r="V63" s="4089">
        <f>'12. Разходи'!U89</f>
        <v>416.50976992176805</v>
      </c>
      <c r="W63" s="4089">
        <f>'12. Разходи'!V89</f>
        <v>989.90666971671521</v>
      </c>
      <c r="X63" s="4089">
        <f>'12. Разходи'!W89</f>
        <v>928.39612089168395</v>
      </c>
      <c r="Y63" s="4089">
        <f>'12. Разходи'!X89</f>
        <v>841.09710695074102</v>
      </c>
      <c r="Z63" s="4105">
        <f t="shared" si="78"/>
        <v>-6.5909735257879007E-2</v>
      </c>
      <c r="AA63" s="4105">
        <f t="shared" si="79"/>
        <v>0.99241290287987938</v>
      </c>
      <c r="AB63" s="3685"/>
      <c r="AC63" s="3685"/>
      <c r="AD63" s="3686"/>
      <c r="AE63" s="3685"/>
      <c r="AF63" s="3685"/>
      <c r="AG63" s="3685"/>
      <c r="AH63" s="3685"/>
      <c r="AI63" s="3685"/>
      <c r="AJ63" s="3685"/>
      <c r="AK63" s="3685"/>
      <c r="AL63" s="3577"/>
      <c r="AM63" s="3577"/>
      <c r="AN63" s="3577"/>
      <c r="AO63" s="3577"/>
      <c r="AP63" s="3577"/>
      <c r="AQ63" s="3685"/>
      <c r="AR63" s="3577"/>
      <c r="AS63" s="3685"/>
      <c r="AT63" s="3685"/>
      <c r="AU63" s="3685"/>
      <c r="AV63" s="3685"/>
      <c r="AW63" s="3685"/>
    </row>
    <row r="64" spans="1:49" ht="20.25" customHeight="1">
      <c r="A64" s="5696" t="s">
        <v>1751</v>
      </c>
      <c r="B64" s="5696"/>
      <c r="C64" s="5696"/>
      <c r="D64" s="5696"/>
      <c r="E64" s="5696"/>
      <c r="F64" s="5696"/>
      <c r="G64" s="5696"/>
      <c r="H64" s="3685"/>
      <c r="I64" s="4103" t="s">
        <v>1700</v>
      </c>
      <c r="J64" s="4089">
        <f>'9.Инвестиционна програма'!H42</f>
        <v>0</v>
      </c>
      <c r="K64" s="4089">
        <f>'9.Инвестиционна програма'!I42</f>
        <v>0</v>
      </c>
      <c r="L64" s="4089">
        <f>'9.Инвестиционна програма'!J42</f>
        <v>0</v>
      </c>
      <c r="M64" s="4089">
        <f>'9.Инвестиционна програма'!K42</f>
        <v>0</v>
      </c>
      <c r="N64" s="4089">
        <f>'9.Инвестиционна програма'!L42</f>
        <v>0</v>
      </c>
      <c r="O64" s="4093">
        <f t="shared" si="80"/>
        <v>0</v>
      </c>
      <c r="P64" s="4196">
        <f t="shared" si="77"/>
        <v>0</v>
      </c>
      <c r="Q64" s="4275"/>
      <c r="R64" s="3685"/>
      <c r="S64" s="3551"/>
      <c r="T64" s="3685"/>
      <c r="U64" s="3685"/>
      <c r="V64" s="3685"/>
      <c r="W64" s="3685"/>
      <c r="X64" s="3685"/>
      <c r="Y64" s="3685"/>
      <c r="Z64" s="3685"/>
      <c r="AA64" s="3685"/>
      <c r="AB64" s="3685"/>
      <c r="AC64" s="3685"/>
      <c r="AD64" s="3686"/>
      <c r="AE64" s="3685"/>
      <c r="AF64" s="3685"/>
      <c r="AG64" s="3685"/>
      <c r="AH64" s="3685"/>
      <c r="AI64" s="3685"/>
      <c r="AJ64" s="3685"/>
      <c r="AK64" s="3685"/>
      <c r="AL64" s="3577"/>
      <c r="AM64" s="3577"/>
      <c r="AN64" s="3577"/>
      <c r="AO64" s="3577"/>
      <c r="AP64" s="3577"/>
      <c r="AQ64" s="3685"/>
      <c r="AR64" s="3577"/>
      <c r="AS64" s="3685"/>
      <c r="AT64" s="3685"/>
      <c r="AU64" s="3685"/>
      <c r="AV64" s="3685"/>
      <c r="AW64" s="3685"/>
    </row>
    <row r="65" spans="1:49" ht="15.75" customHeight="1">
      <c r="A65" s="4160" t="s">
        <v>339</v>
      </c>
      <c r="B65" s="4093">
        <f>'11. Амортиз. план'!Z111</f>
        <v>0</v>
      </c>
      <c r="C65" s="4093">
        <f>'11. Амортиз. план'!AB111</f>
        <v>0</v>
      </c>
      <c r="D65" s="4093">
        <f>'11. Амортиз. план'!AC111</f>
        <v>0</v>
      </c>
      <c r="E65" s="4093">
        <f>'11. Амортиз. план'!AD111</f>
        <v>0</v>
      </c>
      <c r="F65" s="4093">
        <f>'11. Амортиз. план'!AE111</f>
        <v>0</v>
      </c>
      <c r="G65" s="4093">
        <f>'11. Амортиз. план'!AF111</f>
        <v>0</v>
      </c>
      <c r="H65" s="3685"/>
      <c r="I65" s="4103" t="s">
        <v>1694</v>
      </c>
      <c r="J65" s="4089">
        <f>'9.Инвестиционна програма'!H41</f>
        <v>0</v>
      </c>
      <c r="K65" s="4089">
        <f>'9.Инвестиционна програма'!I41</f>
        <v>10</v>
      </c>
      <c r="L65" s="4089">
        <f>'9.Инвестиционна програма'!J41</f>
        <v>6</v>
      </c>
      <c r="M65" s="4089">
        <f>'9.Инвестиционна програма'!K41</f>
        <v>0</v>
      </c>
      <c r="N65" s="4089">
        <f>'9.Инвестиционна програма'!L41</f>
        <v>0</v>
      </c>
      <c r="O65" s="4093">
        <f t="shared" si="80"/>
        <v>16</v>
      </c>
      <c r="P65" s="4196">
        <f t="shared" si="77"/>
        <v>1.3228737016924767E-3</v>
      </c>
      <c r="Q65" s="4275"/>
      <c r="R65" s="3685"/>
      <c r="S65" s="3551"/>
      <c r="T65" s="3685"/>
      <c r="U65" s="3685"/>
      <c r="V65" s="3685"/>
      <c r="W65" s="3685"/>
      <c r="X65" s="3685"/>
      <c r="Y65" s="3685"/>
      <c r="Z65" s="3685"/>
      <c r="AA65" s="3685"/>
      <c r="AB65" s="3685"/>
      <c r="AC65" s="3685"/>
      <c r="AD65" s="3686"/>
      <c r="AE65" s="3685"/>
      <c r="AF65" s="3685"/>
      <c r="AG65" s="3685"/>
      <c r="AH65" s="3685"/>
      <c r="AI65" s="3685"/>
      <c r="AJ65" s="3685"/>
      <c r="AK65" s="3685"/>
      <c r="AL65" s="3577"/>
      <c r="AM65" s="3577"/>
      <c r="AN65" s="3577"/>
      <c r="AO65" s="3577"/>
      <c r="AP65" s="3577"/>
      <c r="AQ65" s="3685"/>
      <c r="AR65" s="3577"/>
      <c r="AS65" s="3685"/>
      <c r="AT65" s="3685"/>
      <c r="AU65" s="3685"/>
      <c r="AV65" s="3685"/>
      <c r="AW65" s="3685"/>
    </row>
    <row r="66" spans="1:49" ht="15" customHeight="1">
      <c r="A66" s="4165" t="s">
        <v>223</v>
      </c>
      <c r="B66" s="4166">
        <f>'11. Амортиз. план'!Z131</f>
        <v>0</v>
      </c>
      <c r="C66" s="4166">
        <f>'11. Амортиз. план'!AB131</f>
        <v>0</v>
      </c>
      <c r="D66" s="4166">
        <f>'11. Амортиз. план'!AC131</f>
        <v>0</v>
      </c>
      <c r="E66" s="4166">
        <f>'11. Амортиз. план'!AD131</f>
        <v>0</v>
      </c>
      <c r="F66" s="4166">
        <f>'11. Амортиз. план'!AE131</f>
        <v>0</v>
      </c>
      <c r="G66" s="4166">
        <f>'11. Амортиз. план'!AF131</f>
        <v>0</v>
      </c>
      <c r="H66" s="3685"/>
      <c r="I66" s="4165" t="s">
        <v>1701</v>
      </c>
      <c r="J66" s="4166">
        <f>SUM(J60:J65)</f>
        <v>480.34000000000003</v>
      </c>
      <c r="K66" s="4166">
        <f t="shared" ref="K66:N66" si="91">SUM(K60:K65)</f>
        <v>2840.9349999999999</v>
      </c>
      <c r="L66" s="4166">
        <f t="shared" si="91"/>
        <v>33.6</v>
      </c>
      <c r="M66" s="4166">
        <f t="shared" si="91"/>
        <v>27.9</v>
      </c>
      <c r="N66" s="4166">
        <f t="shared" si="91"/>
        <v>29.3</v>
      </c>
      <c r="O66" s="4201">
        <f t="shared" si="80"/>
        <v>3412.0750000000003</v>
      </c>
      <c r="P66" s="4198">
        <f t="shared" si="77"/>
        <v>0.28210901785639736</v>
      </c>
      <c r="Q66" s="4275"/>
      <c r="R66" s="3685"/>
      <c r="S66" s="3551"/>
      <c r="T66" s="3685"/>
      <c r="U66" s="3685"/>
      <c r="V66" s="3685"/>
      <c r="W66" s="3685"/>
      <c r="X66" s="3685"/>
      <c r="Y66" s="3685"/>
      <c r="Z66" s="3685"/>
      <c r="AA66" s="3685"/>
      <c r="AB66" s="3685"/>
      <c r="AC66" s="3685"/>
      <c r="AD66" s="3686"/>
      <c r="AE66" s="3685"/>
      <c r="AF66" s="3685"/>
      <c r="AG66" s="3685"/>
      <c r="AH66" s="3685"/>
      <c r="AI66" s="3685"/>
      <c r="AJ66" s="3685"/>
      <c r="AK66" s="3685"/>
      <c r="AL66" s="3577"/>
      <c r="AM66" s="3577"/>
      <c r="AN66" s="3577"/>
      <c r="AO66" s="3577"/>
      <c r="AP66" s="3577"/>
      <c r="AQ66" s="3685"/>
      <c r="AR66" s="3685"/>
      <c r="AS66" s="3685"/>
      <c r="AT66" s="3685"/>
      <c r="AU66" s="3685"/>
      <c r="AV66" s="3685"/>
      <c r="AW66" s="3685"/>
    </row>
    <row r="67" spans="1:49" ht="20.25" customHeight="1">
      <c r="A67" s="4103" t="s">
        <v>225</v>
      </c>
      <c r="B67" s="4089">
        <f>'11. Амортиз. план'!Z151</f>
        <v>0</v>
      </c>
      <c r="C67" s="4089">
        <f>'11. Амортиз. план'!AB151</f>
        <v>0</v>
      </c>
      <c r="D67" s="4089">
        <f>'11. Амортиз. план'!AC151</f>
        <v>0</v>
      </c>
      <c r="E67" s="4089">
        <f>'11. Амортиз. план'!AD151</f>
        <v>0</v>
      </c>
      <c r="F67" s="4089">
        <f>'11. Амортиз. план'!AE151</f>
        <v>0</v>
      </c>
      <c r="G67" s="4089">
        <f>'11. Амортиз. план'!AF151</f>
        <v>0</v>
      </c>
      <c r="H67" s="3685"/>
      <c r="I67" s="4165" t="s">
        <v>1696</v>
      </c>
      <c r="J67" s="4166">
        <f>SUM('9.Инвестиционна програма'!H43:H47)</f>
        <v>59</v>
      </c>
      <c r="K67" s="4166">
        <f>SUM('9.Инвестиционна програма'!I43:I47)</f>
        <v>66.5</v>
      </c>
      <c r="L67" s="4166">
        <f>SUM('9.Инвестиционна програма'!J43:J47)</f>
        <v>70.5</v>
      </c>
      <c r="M67" s="4166">
        <f>SUM('9.Инвестиционна програма'!K43:K47)</f>
        <v>55</v>
      </c>
      <c r="N67" s="4166">
        <f>SUM('9.Инвестиционна програма'!L43:L47)</f>
        <v>50.5</v>
      </c>
      <c r="O67" s="4201">
        <f t="shared" si="80"/>
        <v>301.5</v>
      </c>
      <c r="P67" s="4198">
        <f t="shared" si="77"/>
        <v>2.4927901316267605E-2</v>
      </c>
      <c r="Q67" s="4275"/>
      <c r="R67" s="3685"/>
      <c r="S67" s="3551"/>
      <c r="T67" s="3685"/>
      <c r="U67" s="3685"/>
      <c r="V67" s="3685"/>
      <c r="W67" s="3685"/>
      <c r="X67" s="3685"/>
      <c r="Y67" s="3685"/>
      <c r="Z67" s="3685"/>
      <c r="AA67" s="3685"/>
      <c r="AB67" s="3685"/>
      <c r="AC67" s="3685"/>
      <c r="AD67" s="3686"/>
      <c r="AE67" s="3685"/>
      <c r="AF67" s="3685"/>
      <c r="AG67" s="3685"/>
      <c r="AH67" s="3685"/>
      <c r="AI67" s="3685"/>
      <c r="AJ67" s="3685"/>
      <c r="AK67" s="3685"/>
      <c r="AL67" s="3577"/>
      <c r="AM67" s="3577"/>
      <c r="AN67" s="3577"/>
      <c r="AO67" s="3577"/>
      <c r="AP67" s="3577"/>
      <c r="AQ67" s="3685"/>
      <c r="AR67" s="3685"/>
      <c r="AS67" s="3685"/>
      <c r="AT67" s="3685"/>
      <c r="AU67" s="3685"/>
      <c r="AV67" s="3685"/>
      <c r="AW67" s="3685"/>
    </row>
    <row r="68" spans="1:49" ht="20.25" customHeight="1">
      <c r="A68" s="4103" t="s">
        <v>227</v>
      </c>
      <c r="B68" s="4089">
        <f>'11. Амортиз. план'!Z171</f>
        <v>0</v>
      </c>
      <c r="C68" s="4089">
        <f>'11. Амортиз. план'!AB171</f>
        <v>0</v>
      </c>
      <c r="D68" s="4089">
        <f>'11. Амортиз. план'!AC171</f>
        <v>0</v>
      </c>
      <c r="E68" s="4089">
        <f>'11. Амортиз. план'!AD171</f>
        <v>0</v>
      </c>
      <c r="F68" s="4089">
        <f>'11. Амортиз. план'!AE171</f>
        <v>0</v>
      </c>
      <c r="G68" s="4089">
        <f>'11. Амортиз. план'!AF171</f>
        <v>0</v>
      </c>
      <c r="H68" s="3685"/>
      <c r="I68" s="4199" t="s">
        <v>213</v>
      </c>
      <c r="J68" s="4182">
        <f>J66+J67</f>
        <v>539.34</v>
      </c>
      <c r="K68" s="4182">
        <f t="shared" ref="K68:N68" si="92">K66+K67</f>
        <v>2907.4349999999999</v>
      </c>
      <c r="L68" s="4182">
        <f t="shared" si="92"/>
        <v>104.1</v>
      </c>
      <c r="M68" s="4182">
        <f t="shared" si="92"/>
        <v>82.9</v>
      </c>
      <c r="N68" s="4182">
        <f t="shared" si="92"/>
        <v>79.8</v>
      </c>
      <c r="O68" s="4182">
        <f t="shared" ref="O68" si="93">SUM(J68:N68)</f>
        <v>3713.5750000000003</v>
      </c>
      <c r="P68" s="4183">
        <f t="shared" si="77"/>
        <v>0.30703691917266496</v>
      </c>
      <c r="Q68" s="4275"/>
      <c r="R68" s="3685"/>
      <c r="S68" s="3551"/>
      <c r="T68" s="3685"/>
      <c r="U68" s="3685"/>
      <c r="V68" s="3685"/>
      <c r="W68" s="3685"/>
      <c r="X68" s="3685"/>
      <c r="Y68" s="3685"/>
      <c r="Z68" s="3685"/>
      <c r="AA68" s="3685"/>
      <c r="AB68" s="3685"/>
      <c r="AC68" s="3685"/>
      <c r="AD68" s="3686"/>
      <c r="AE68" s="3685"/>
      <c r="AF68" s="3685"/>
      <c r="AG68" s="3685"/>
      <c r="AH68" s="3685"/>
      <c r="AI68" s="3685"/>
      <c r="AJ68" s="3685"/>
      <c r="AK68" s="3685"/>
      <c r="AL68" s="3577"/>
      <c r="AM68" s="3577"/>
      <c r="AN68" s="3577"/>
      <c r="AO68" s="3577"/>
      <c r="AP68" s="3577"/>
      <c r="AQ68" s="3685"/>
      <c r="AR68" s="3685"/>
      <c r="AS68" s="3685"/>
      <c r="AT68" s="3685"/>
      <c r="AU68" s="3685"/>
      <c r="AV68" s="3685"/>
      <c r="AW68" s="3685"/>
    </row>
    <row r="69" spans="1:49" ht="14.25" customHeight="1">
      <c r="A69" s="5696" t="s">
        <v>1752</v>
      </c>
      <c r="B69" s="5696"/>
      <c r="C69" s="5696"/>
      <c r="D69" s="5696"/>
      <c r="E69" s="5696"/>
      <c r="F69" s="5696"/>
      <c r="G69" s="5696"/>
      <c r="H69" s="3685"/>
      <c r="I69" s="4103" t="s">
        <v>1702</v>
      </c>
      <c r="J69" s="4089">
        <f>'9.Инвестиционна програма'!H49</f>
        <v>1055.7249999999999</v>
      </c>
      <c r="K69" s="4089">
        <f>'9.Инвестиционна програма'!I49</f>
        <v>1102.7249999999999</v>
      </c>
      <c r="L69" s="4089">
        <f>'9.Инвестиционна програма'!J49</f>
        <v>51</v>
      </c>
      <c r="M69" s="4089">
        <f>'9.Инвестиционна програма'!K49</f>
        <v>0</v>
      </c>
      <c r="N69" s="4089">
        <f>'9.Инвестиционна програма'!L49</f>
        <v>0</v>
      </c>
      <c r="O69" s="4206">
        <f t="shared" si="80"/>
        <v>2209.4499999999998</v>
      </c>
      <c r="P69" s="4196">
        <f t="shared" si="77"/>
        <v>0.18267645626277765</v>
      </c>
      <c r="Q69" s="4275"/>
      <c r="R69" s="3685"/>
      <c r="S69" s="3551"/>
      <c r="T69" s="3685"/>
      <c r="U69" s="3685"/>
      <c r="V69" s="3685"/>
      <c r="W69" s="3685"/>
      <c r="X69" s="3685"/>
      <c r="Y69" s="3685"/>
      <c r="Z69" s="3685"/>
      <c r="AA69" s="3685"/>
      <c r="AB69" s="3685"/>
      <c r="AC69" s="3685"/>
      <c r="AD69" s="3686"/>
      <c r="AE69" s="3685"/>
      <c r="AF69" s="3685"/>
      <c r="AG69" s="3685"/>
      <c r="AH69" s="3685"/>
      <c r="AI69" s="3685"/>
      <c r="AJ69" s="3685"/>
      <c r="AK69" s="3685"/>
      <c r="AL69" s="3577"/>
      <c r="AM69" s="3577"/>
      <c r="AN69" s="3577"/>
      <c r="AO69" s="3577"/>
      <c r="AP69" s="3577"/>
      <c r="AQ69" s="3685"/>
      <c r="AR69" s="3685"/>
      <c r="AS69" s="3685"/>
      <c r="AT69" s="3685"/>
      <c r="AU69" s="3685"/>
      <c r="AV69" s="3685"/>
      <c r="AW69" s="3685"/>
    </row>
    <row r="70" spans="1:49" ht="14.25" customHeight="1">
      <c r="A70" s="4160" t="s">
        <v>339</v>
      </c>
      <c r="B70" s="4093">
        <f>'11. Амортиз. план'!Z192</f>
        <v>339.6</v>
      </c>
      <c r="C70" s="4093">
        <f>'11. Амортиз. план'!AB192</f>
        <v>339.6</v>
      </c>
      <c r="D70" s="4093">
        <f>'11. Амортиз. план'!AC192</f>
        <v>339.6</v>
      </c>
      <c r="E70" s="4093">
        <f>'11. Амортиз. план'!AD192</f>
        <v>339.6</v>
      </c>
      <c r="F70" s="4093">
        <f>'11. Амортиз. план'!AE192</f>
        <v>339.6</v>
      </c>
      <c r="G70" s="4093">
        <f>'11. Амортиз. план'!AF192</f>
        <v>339.6</v>
      </c>
      <c r="H70" s="3685"/>
      <c r="I70" s="4103" t="s">
        <v>1694</v>
      </c>
      <c r="J70" s="4089">
        <f>'9.Инвестиционна програма'!H51</f>
        <v>0</v>
      </c>
      <c r="K70" s="4089">
        <f>'9.Инвестиционна програма'!I51</f>
        <v>0</v>
      </c>
      <c r="L70" s="4089">
        <f>'9.Инвестиционна програма'!J51</f>
        <v>0</v>
      </c>
      <c r="M70" s="4089">
        <f>'9.Инвестиционна програма'!K51</f>
        <v>0</v>
      </c>
      <c r="N70" s="4089">
        <f>'9.Инвестиционна програма'!L51</f>
        <v>0</v>
      </c>
      <c r="O70" s="4206">
        <f t="shared" si="80"/>
        <v>0</v>
      </c>
      <c r="P70" s="4196">
        <f t="shared" si="77"/>
        <v>0</v>
      </c>
      <c r="Q70" s="4275"/>
      <c r="R70" s="3685"/>
      <c r="S70" s="3551"/>
      <c r="T70" s="3685"/>
      <c r="U70" s="3685"/>
      <c r="V70" s="3685"/>
      <c r="W70" s="3685"/>
      <c r="X70" s="3685"/>
      <c r="Y70" s="3685"/>
      <c r="Z70" s="3685"/>
      <c r="AA70" s="3685"/>
      <c r="AB70" s="3685"/>
      <c r="AC70" s="3685"/>
      <c r="AD70" s="3686"/>
      <c r="AE70" s="3685"/>
      <c r="AF70" s="3685"/>
      <c r="AG70" s="3685"/>
      <c r="AH70" s="3685"/>
      <c r="AI70" s="3685"/>
      <c r="AJ70" s="3685"/>
      <c r="AK70" s="3685"/>
      <c r="AL70" s="3577"/>
      <c r="AM70" s="3577"/>
      <c r="AN70" s="3577"/>
      <c r="AO70" s="3577"/>
      <c r="AP70" s="3577"/>
      <c r="AQ70" s="3685"/>
      <c r="AR70" s="3685"/>
      <c r="AS70" s="3685"/>
      <c r="AT70" s="3685"/>
      <c r="AU70" s="3685"/>
      <c r="AV70" s="3685"/>
      <c r="AW70" s="3685"/>
    </row>
    <row r="71" spans="1:49" ht="12.75" customHeight="1">
      <c r="A71" s="4165" t="s">
        <v>223</v>
      </c>
      <c r="B71" s="4166">
        <f>'11. Амортиз. план'!Z214</f>
        <v>0.8</v>
      </c>
      <c r="C71" s="4166">
        <f>'11. Амортиз. план'!AB214</f>
        <v>0.8</v>
      </c>
      <c r="D71" s="4166">
        <f>'11. Амортиз. план'!AC214</f>
        <v>0.8</v>
      </c>
      <c r="E71" s="4166">
        <f>'11. Амортиз. план'!AD214</f>
        <v>0.8</v>
      </c>
      <c r="F71" s="4166">
        <f>'11. Амортиз. план'!AE214</f>
        <v>0.8</v>
      </c>
      <c r="G71" s="4166">
        <f>'11. Амортиз. план'!AF214</f>
        <v>0.8</v>
      </c>
      <c r="H71" s="3685"/>
      <c r="I71" s="4165" t="s">
        <v>1703</v>
      </c>
      <c r="J71" s="4166">
        <f>SUM(J69:J70)</f>
        <v>1055.7249999999999</v>
      </c>
      <c r="K71" s="4166">
        <f>SUM(K69:K70)</f>
        <v>1102.7249999999999</v>
      </c>
      <c r="L71" s="4166">
        <f>SUM(L69:L70)</f>
        <v>51</v>
      </c>
      <c r="M71" s="4166">
        <f>SUM(M69:M70)</f>
        <v>0</v>
      </c>
      <c r="N71" s="4166">
        <f>SUM(N69:N70)</f>
        <v>0</v>
      </c>
      <c r="O71" s="4206">
        <f t="shared" si="80"/>
        <v>2209.4499999999998</v>
      </c>
      <c r="P71" s="4198">
        <f t="shared" si="77"/>
        <v>0.18267645626277765</v>
      </c>
      <c r="Q71" s="4275"/>
      <c r="R71" s="3685"/>
      <c r="S71" s="3551"/>
      <c r="T71" s="3685"/>
      <c r="U71" s="3685"/>
      <c r="V71" s="3685"/>
      <c r="W71" s="3685"/>
      <c r="X71" s="3685"/>
      <c r="Y71" s="3685"/>
      <c r="Z71" s="3685"/>
      <c r="AA71" s="3685"/>
      <c r="AB71" s="3685"/>
      <c r="AC71" s="3685"/>
      <c r="AD71" s="3686"/>
      <c r="AE71" s="3685"/>
      <c r="AF71" s="3685"/>
      <c r="AG71" s="3685"/>
      <c r="AH71" s="3685"/>
      <c r="AI71" s="3685"/>
      <c r="AJ71" s="3685"/>
      <c r="AK71" s="3685"/>
      <c r="AL71" s="3577"/>
      <c r="AM71" s="3577"/>
      <c r="AN71" s="3577"/>
      <c r="AO71" s="3577"/>
      <c r="AP71" s="3577"/>
      <c r="AQ71" s="3685"/>
      <c r="AR71" s="3685"/>
      <c r="AS71" s="3685"/>
      <c r="AT71" s="3685"/>
      <c r="AU71" s="3685"/>
      <c r="AV71" s="3685"/>
      <c r="AW71" s="3685"/>
    </row>
    <row r="72" spans="1:49" ht="15.75" customHeight="1">
      <c r="A72" s="4103" t="s">
        <v>225</v>
      </c>
      <c r="B72" s="4089">
        <f>'11. Амортиз. план'!Z236</f>
        <v>328.7</v>
      </c>
      <c r="C72" s="4089">
        <f>'11. Амортиз. план'!AB236</f>
        <v>330.29999999999995</v>
      </c>
      <c r="D72" s="4089">
        <f>'11. Амортиз. план'!AC236</f>
        <v>331.09999999999991</v>
      </c>
      <c r="E72" s="4089">
        <f>'11. Амортиз. план'!AD236</f>
        <v>331.89999999999992</v>
      </c>
      <c r="F72" s="4089">
        <f>'11. Амортиз. план'!AE236</f>
        <v>332.69999999999987</v>
      </c>
      <c r="G72" s="4089">
        <f>'11. Амортиз. план'!AF236</f>
        <v>333.49999999999983</v>
      </c>
      <c r="H72" s="3685"/>
      <c r="I72" s="4165" t="s">
        <v>1696</v>
      </c>
      <c r="J72" s="4166">
        <f>SUM('9.Инвестиционна програма'!H52:H56,'9.Инвестиционна програма'!H50)</f>
        <v>0</v>
      </c>
      <c r="K72" s="4166">
        <f>SUM('9.Инвестиционна програма'!I52:I56,'9.Инвестиционна програма'!I50)</f>
        <v>0.4</v>
      </c>
      <c r="L72" s="4166">
        <f>SUM('9.Инвестиционна програма'!J52:J56,'9.Инвестиционна програма'!J50)</f>
        <v>0</v>
      </c>
      <c r="M72" s="4166">
        <f>SUM('9.Инвестиционна програма'!K52:K56,'9.Инвестиционна програма'!K50)</f>
        <v>0</v>
      </c>
      <c r="N72" s="4166">
        <f>SUM('9.Инвестиционна програма'!L52:L56,'9.Инвестиционна програма'!L50)</f>
        <v>0</v>
      </c>
      <c r="O72" s="4093">
        <f t="shared" si="80"/>
        <v>0.4</v>
      </c>
      <c r="P72" s="4198">
        <f t="shared" si="77"/>
        <v>3.3071842542311915E-5</v>
      </c>
      <c r="Q72" s="4275"/>
      <c r="R72" s="3685"/>
      <c r="S72" s="3551"/>
      <c r="T72" s="3685"/>
      <c r="U72" s="3685"/>
      <c r="V72" s="3685"/>
      <c r="W72" s="3685"/>
      <c r="X72" s="3685"/>
      <c r="Y72" s="3685"/>
      <c r="Z72" s="3685"/>
      <c r="AA72" s="3685"/>
      <c r="AB72" s="3685"/>
      <c r="AC72" s="3685"/>
      <c r="AD72" s="3686"/>
      <c r="AE72" s="3685"/>
      <c r="AF72" s="3685"/>
      <c r="AG72" s="3685"/>
      <c r="AH72" s="3685"/>
      <c r="AI72" s="3685"/>
      <c r="AJ72" s="3685"/>
      <c r="AK72" s="3685"/>
      <c r="AL72" s="3577"/>
      <c r="AM72" s="3577"/>
      <c r="AN72" s="3577"/>
      <c r="AO72" s="3577"/>
      <c r="AP72" s="3577"/>
      <c r="AQ72" s="3685"/>
      <c r="AR72" s="3685"/>
      <c r="AS72" s="3685"/>
      <c r="AT72" s="3685"/>
      <c r="AU72" s="3685"/>
      <c r="AV72" s="3685"/>
      <c r="AW72" s="3685"/>
    </row>
    <row r="73" spans="1:49" ht="15.75" customHeight="1">
      <c r="A73" s="4103" t="s">
        <v>227</v>
      </c>
      <c r="B73" s="4089">
        <f>'11. Амортиз. план'!Z258</f>
        <v>10.900000000000034</v>
      </c>
      <c r="C73" s="4089">
        <f>'11. Амортиз. план'!AB258</f>
        <v>9.3000000000000789</v>
      </c>
      <c r="D73" s="4089">
        <f>'11. Амортиз. план'!AC258</f>
        <v>8.5000000000000995</v>
      </c>
      <c r="E73" s="4089">
        <f>'11. Амортиз. план'!AD258</f>
        <v>7.7000000000001227</v>
      </c>
      <c r="F73" s="4089">
        <f>'11. Амортиз. план'!AE258</f>
        <v>6.9000000000001451</v>
      </c>
      <c r="G73" s="4089">
        <f>'11. Амортиз. план'!AF258</f>
        <v>6.1000000000001675</v>
      </c>
      <c r="H73" s="3685"/>
      <c r="I73" s="4199" t="s">
        <v>214</v>
      </c>
      <c r="J73" s="4182">
        <f>J71+J72</f>
        <v>1055.7249999999999</v>
      </c>
      <c r="K73" s="4182">
        <f t="shared" ref="K73:N73" si="94">K71+K72</f>
        <v>1103.125</v>
      </c>
      <c r="L73" s="4182">
        <f t="shared" si="94"/>
        <v>51</v>
      </c>
      <c r="M73" s="4182">
        <f t="shared" si="94"/>
        <v>0</v>
      </c>
      <c r="N73" s="4182">
        <f t="shared" si="94"/>
        <v>0</v>
      </c>
      <c r="O73" s="4182">
        <f t="shared" ref="O73:O88" si="95">SUM(J73:N73)</f>
        <v>2209.85</v>
      </c>
      <c r="P73" s="4183">
        <f t="shared" si="77"/>
        <v>0.18270952810531996</v>
      </c>
      <c r="Q73" s="4275"/>
      <c r="R73" s="3685"/>
      <c r="S73" s="3551"/>
      <c r="T73" s="3685"/>
      <c r="U73" s="3685"/>
      <c r="V73" s="3685"/>
      <c r="W73" s="3685"/>
      <c r="X73" s="3685"/>
      <c r="Y73" s="3685"/>
      <c r="Z73" s="3685"/>
      <c r="AA73" s="3685"/>
      <c r="AB73" s="3685"/>
      <c r="AC73" s="3685"/>
      <c r="AD73" s="3686"/>
      <c r="AE73" s="3685"/>
      <c r="AF73" s="3685"/>
      <c r="AG73" s="3685"/>
      <c r="AH73" s="3685"/>
      <c r="AI73" s="3685"/>
      <c r="AJ73" s="3685"/>
      <c r="AK73" s="3685"/>
      <c r="AL73" s="3577"/>
      <c r="AM73" s="3577"/>
      <c r="AN73" s="3577"/>
      <c r="AO73" s="3577"/>
      <c r="AP73" s="3577"/>
      <c r="AQ73" s="3685"/>
      <c r="AR73" s="3685"/>
      <c r="AS73" s="3685"/>
      <c r="AT73" s="3685"/>
      <c r="AU73" s="3685"/>
      <c r="AV73" s="3685"/>
      <c r="AW73" s="3685"/>
    </row>
    <row r="74" spans="1:49" ht="20.25" customHeight="1">
      <c r="A74" s="3685"/>
      <c r="B74" s="3685"/>
      <c r="C74" s="3685"/>
      <c r="D74" s="3685"/>
      <c r="E74" s="3685"/>
      <c r="F74" s="3685"/>
      <c r="G74" s="3685"/>
      <c r="H74" s="3685"/>
      <c r="I74" s="4209" t="s">
        <v>1704</v>
      </c>
      <c r="J74" s="4182">
        <f>'9.Инвестиционна програма'!H57</f>
        <v>63</v>
      </c>
      <c r="K74" s="4182">
        <f>'9.Инвестиционна програма'!I57</f>
        <v>67</v>
      </c>
      <c r="L74" s="4182">
        <f>'9.Инвестиционна програма'!J57</f>
        <v>67</v>
      </c>
      <c r="M74" s="4182">
        <f>'9.Инвестиционна програма'!K57</f>
        <v>67</v>
      </c>
      <c r="N74" s="4182">
        <f>'9.Инвестиционна програма'!L57</f>
        <v>67</v>
      </c>
      <c r="O74" s="4182">
        <f t="shared" si="95"/>
        <v>331</v>
      </c>
      <c r="P74" s="4183">
        <f t="shared" si="77"/>
        <v>2.7366949703763108E-2</v>
      </c>
      <c r="Q74" s="4275"/>
      <c r="R74" s="3685"/>
      <c r="S74" s="3551"/>
      <c r="T74" s="3685"/>
      <c r="U74" s="3685"/>
      <c r="V74" s="3685"/>
      <c r="W74" s="3685"/>
      <c r="X74" s="3685"/>
      <c r="Y74" s="3685"/>
      <c r="Z74" s="3685"/>
      <c r="AA74" s="3685"/>
      <c r="AB74" s="3685"/>
      <c r="AC74" s="3685"/>
      <c r="AD74" s="3686"/>
      <c r="AE74" s="3685"/>
      <c r="AF74" s="3685"/>
      <c r="AG74" s="3685"/>
      <c r="AH74" s="3685"/>
      <c r="AI74" s="3685"/>
      <c r="AJ74" s="3685"/>
      <c r="AK74" s="3685"/>
      <c r="AL74" s="3577"/>
      <c r="AM74" s="3577"/>
      <c r="AN74" s="3577"/>
      <c r="AO74" s="3577"/>
      <c r="AP74" s="3577"/>
      <c r="AQ74" s="3685"/>
      <c r="AR74" s="3685"/>
      <c r="AS74" s="3685"/>
      <c r="AT74" s="3685"/>
      <c r="AU74" s="3685"/>
      <c r="AV74" s="3685"/>
      <c r="AW74" s="3685"/>
    </row>
    <row r="75" spans="1:49" ht="17.25" customHeight="1">
      <c r="A75" s="3685"/>
      <c r="B75" s="3685"/>
      <c r="C75" s="3685"/>
      <c r="D75" s="3685"/>
      <c r="E75" s="3685"/>
      <c r="F75" s="3685"/>
      <c r="G75" s="3685"/>
      <c r="H75" s="3685"/>
      <c r="I75" s="4103" t="s">
        <v>665</v>
      </c>
      <c r="J75" s="4089">
        <f>'9.Инвестиционна програма'!H70</f>
        <v>103.627</v>
      </c>
      <c r="K75" s="4089">
        <f>'9.Инвестиционна програма'!I70</f>
        <v>0</v>
      </c>
      <c r="L75" s="4089">
        <f>'9.Инвестиционна програма'!J70</f>
        <v>0</v>
      </c>
      <c r="M75" s="4089">
        <f>'9.Инвестиционна програма'!K70</f>
        <v>0</v>
      </c>
      <c r="N75" s="4089">
        <f>'9.Инвестиционна програма'!L70</f>
        <v>0</v>
      </c>
      <c r="O75" s="4093">
        <f t="shared" ref="O75:O81" si="96">SUM(J75:N75)</f>
        <v>103.627</v>
      </c>
      <c r="P75" s="4196">
        <f t="shared" si="77"/>
        <v>8.5678395678303911E-3</v>
      </c>
      <c r="Q75" s="4275"/>
      <c r="R75" s="3685"/>
      <c r="S75" s="1769" t="s">
        <v>1759</v>
      </c>
      <c r="T75" s="3685"/>
      <c r="U75" s="3685"/>
      <c r="V75" s="3685"/>
      <c r="W75" s="3685"/>
      <c r="X75" s="3685"/>
      <c r="Y75" s="3685"/>
      <c r="Z75" s="3685"/>
      <c r="AA75" s="3685"/>
      <c r="AB75" s="3685"/>
      <c r="AC75" s="3685"/>
      <c r="AD75" s="3686"/>
      <c r="AE75" s="3685"/>
      <c r="AF75" s="3685"/>
      <c r="AG75" s="3685"/>
      <c r="AH75" s="3685"/>
      <c r="AI75" s="3685"/>
      <c r="AJ75" s="3685"/>
      <c r="AK75" s="3685"/>
      <c r="AL75" s="3577"/>
      <c r="AM75" s="3577"/>
      <c r="AN75" s="3577"/>
      <c r="AO75" s="3577"/>
      <c r="AP75" s="3577"/>
      <c r="AQ75" s="3685"/>
      <c r="AR75" s="3685"/>
      <c r="AS75" s="3685"/>
      <c r="AT75" s="3685"/>
      <c r="AU75" s="3685"/>
      <c r="AV75" s="3685"/>
      <c r="AW75" s="3685"/>
    </row>
    <row r="76" spans="1:49" ht="27.75" customHeight="1">
      <c r="A76" s="3685"/>
      <c r="B76" s="3685"/>
      <c r="C76" s="3685"/>
      <c r="D76" s="3685"/>
      <c r="E76" s="3685"/>
      <c r="F76" s="3685"/>
      <c r="G76" s="3685"/>
      <c r="H76" s="3685"/>
      <c r="I76" s="4103" t="s">
        <v>993</v>
      </c>
      <c r="J76" s="4089">
        <f>'9.Инвестиционна програма'!H69</f>
        <v>4</v>
      </c>
      <c r="K76" s="4089">
        <f>'9.Инвестиционна програма'!I69</f>
        <v>4</v>
      </c>
      <c r="L76" s="4089">
        <f>'9.Инвестиционна програма'!J69</f>
        <v>4</v>
      </c>
      <c r="M76" s="4089">
        <f>'9.Инвестиционна програма'!K69</f>
        <v>4</v>
      </c>
      <c r="N76" s="4089">
        <f>'9.Инвестиционна програма'!L69</f>
        <v>4</v>
      </c>
      <c r="O76" s="4093">
        <f t="shared" si="96"/>
        <v>20</v>
      </c>
      <c r="P76" s="4196">
        <f t="shared" si="77"/>
        <v>1.6535921271155958E-3</v>
      </c>
      <c r="Q76" s="4275"/>
      <c r="R76" s="3685"/>
      <c r="S76" s="5685" t="s">
        <v>1760</v>
      </c>
      <c r="T76" s="5685" t="s">
        <v>1037</v>
      </c>
      <c r="U76" s="5685"/>
      <c r="V76" s="5685"/>
      <c r="W76" s="5685"/>
      <c r="X76" s="5685"/>
      <c r="Y76" s="5685"/>
      <c r="Z76" s="5691" t="s">
        <v>1762</v>
      </c>
      <c r="AA76" s="5691" t="s">
        <v>1763</v>
      </c>
      <c r="AB76" s="3685"/>
      <c r="AC76" s="3685"/>
      <c r="AD76" s="3686"/>
      <c r="AE76" s="3685"/>
      <c r="AF76" s="3685"/>
      <c r="AG76" s="3685"/>
      <c r="AH76" s="3685"/>
      <c r="AI76" s="3685"/>
      <c r="AJ76" s="3685"/>
      <c r="AK76" s="3685"/>
      <c r="AL76" s="3577"/>
      <c r="AM76" s="3577"/>
      <c r="AN76" s="3577"/>
      <c r="AO76" s="3577"/>
      <c r="AP76" s="3577"/>
      <c r="AQ76" s="3685"/>
      <c r="AR76" s="3685"/>
      <c r="AS76" s="3685"/>
      <c r="AT76" s="3685"/>
      <c r="AU76" s="3685"/>
      <c r="AV76" s="3685"/>
      <c r="AW76" s="3685"/>
    </row>
    <row r="77" spans="1:49" ht="15.75" customHeight="1">
      <c r="A77" s="3685"/>
      <c r="B77" s="3685"/>
      <c r="C77" s="3685"/>
      <c r="D77" s="3685"/>
      <c r="E77" s="3685"/>
      <c r="F77" s="3685"/>
      <c r="G77" s="3685"/>
      <c r="H77" s="3685"/>
      <c r="I77" s="4103" t="s">
        <v>1705</v>
      </c>
      <c r="J77" s="4089">
        <f>SUM('9.Инвестиционна програма'!H68,'9.Инвестиционна програма'!H71)</f>
        <v>12</v>
      </c>
      <c r="K77" s="4089">
        <f>SUM('9.Инвестиционна програма'!I68,'9.Инвестиционна програма'!I71)</f>
        <v>8</v>
      </c>
      <c r="L77" s="4089">
        <f>SUM('9.Инвестиционна програма'!J68,'9.Инвестиционна програма'!J71)</f>
        <v>7</v>
      </c>
      <c r="M77" s="4089">
        <f>SUM('9.Инвестиционна програма'!K68,'9.Инвестиционна програма'!K71)</f>
        <v>9.5</v>
      </c>
      <c r="N77" s="4089">
        <f>SUM('9.Инвестиционна програма'!L68,'9.Инвестиционна програма'!L71)</f>
        <v>9.5</v>
      </c>
      <c r="O77" s="4093">
        <f t="shared" si="96"/>
        <v>46</v>
      </c>
      <c r="P77" s="4196">
        <f t="shared" si="77"/>
        <v>3.8032618923658701E-3</v>
      </c>
      <c r="Q77" s="4275"/>
      <c r="R77" s="3685"/>
      <c r="S77" s="5685"/>
      <c r="T77" s="3993" t="str">
        <f t="shared" ref="T77:Y77" si="97">T46</f>
        <v>2020 г.</v>
      </c>
      <c r="U77" s="3993" t="str">
        <f t="shared" si="97"/>
        <v>2022 г.</v>
      </c>
      <c r="V77" s="3993" t="str">
        <f t="shared" si="97"/>
        <v>2023 г.</v>
      </c>
      <c r="W77" s="3993" t="str">
        <f t="shared" si="97"/>
        <v>2024 г.</v>
      </c>
      <c r="X77" s="3993" t="str">
        <f t="shared" si="97"/>
        <v>2025 г.</v>
      </c>
      <c r="Y77" s="3993" t="str">
        <f t="shared" si="97"/>
        <v>2026 г.</v>
      </c>
      <c r="Z77" s="5691"/>
      <c r="AA77" s="5691"/>
      <c r="AB77" s="3685"/>
      <c r="AC77" s="3685"/>
      <c r="AD77" s="3686"/>
      <c r="AE77" s="3685"/>
      <c r="AF77" s="3685"/>
      <c r="AG77" s="3685"/>
      <c r="AH77" s="3685"/>
      <c r="AI77" s="3685"/>
      <c r="AJ77" s="3685"/>
      <c r="AK77" s="3685"/>
      <c r="AL77" s="3577"/>
      <c r="AM77" s="3577"/>
      <c r="AN77" s="3577"/>
      <c r="AO77" s="3577"/>
      <c r="AP77" s="3577"/>
      <c r="AQ77" s="3685"/>
      <c r="AR77" s="3685"/>
      <c r="AS77" s="3685"/>
      <c r="AT77" s="3685"/>
      <c r="AU77" s="3685"/>
      <c r="AV77" s="3685"/>
      <c r="AW77" s="3685"/>
    </row>
    <row r="78" spans="1:49" ht="15.75" customHeight="1">
      <c r="A78" s="3685"/>
      <c r="B78" s="3685"/>
      <c r="C78" s="3685"/>
      <c r="D78" s="3685"/>
      <c r="E78" s="3685"/>
      <c r="F78" s="3685"/>
      <c r="G78" s="3685"/>
      <c r="H78" s="3685"/>
      <c r="I78" s="4103" t="s">
        <v>1706</v>
      </c>
      <c r="J78" s="4089">
        <f>SUM('9.Инвестиционна програма'!H61:H67)</f>
        <v>34</v>
      </c>
      <c r="K78" s="4089">
        <f>SUM('9.Инвестиционна програма'!I61:I67)</f>
        <v>42</v>
      </c>
      <c r="L78" s="4089">
        <f>SUM('9.Инвестиционна програма'!J61:J67)</f>
        <v>45</v>
      </c>
      <c r="M78" s="4089">
        <f>SUM('9.Инвестиционна програма'!K61:K67)</f>
        <v>35</v>
      </c>
      <c r="N78" s="4089">
        <f>SUM('9.Инвестиционна програма'!L61:L67)</f>
        <v>36</v>
      </c>
      <c r="O78" s="4093">
        <f t="shared" si="96"/>
        <v>192</v>
      </c>
      <c r="P78" s="4196">
        <f t="shared" si="77"/>
        <v>1.5874484420309719E-2</v>
      </c>
      <c r="Q78" s="4275"/>
      <c r="R78" s="3685"/>
      <c r="S78" s="4161" t="s">
        <v>231</v>
      </c>
      <c r="T78" s="4089">
        <f>'12. Разходи'!AA11</f>
        <v>0.77600000000000002</v>
      </c>
      <c r="U78" s="4089">
        <f>'12. Разходи'!AB11</f>
        <v>120.32575261600002</v>
      </c>
      <c r="V78" s="4089">
        <f>'12. Разходи'!AC11</f>
        <v>113.70416233600001</v>
      </c>
      <c r="W78" s="4089">
        <f>'12. Разходи'!AD11</f>
        <v>99.203545177999985</v>
      </c>
      <c r="X78" s="4089">
        <f>'12. Разходи'!AE11</f>
        <v>101.788307796</v>
      </c>
      <c r="Y78" s="4089">
        <f>'12. Разходи'!AF11</f>
        <v>95.940926466000008</v>
      </c>
      <c r="Z78" s="4105">
        <f>IFERROR((U78-T78)/T78,0)</f>
        <v>154.05895955670104</v>
      </c>
      <c r="AA78" s="4105">
        <f>IFERROR((Y78-T78)/T78,0)</f>
        <v>122.63521451804125</v>
      </c>
      <c r="AB78" s="3685"/>
      <c r="AC78" s="3685"/>
      <c r="AD78" s="3686"/>
      <c r="AE78" s="3685"/>
      <c r="AF78" s="3685"/>
      <c r="AG78" s="3685"/>
      <c r="AH78" s="3685"/>
      <c r="AI78" s="3685"/>
      <c r="AJ78" s="3685"/>
      <c r="AK78" s="3685"/>
      <c r="AL78" s="3577"/>
      <c r="AM78" s="3577"/>
      <c r="AN78" s="3577"/>
      <c r="AO78" s="3577"/>
      <c r="AP78" s="3577"/>
      <c r="AQ78" s="3685"/>
      <c r="AR78" s="3685"/>
      <c r="AS78" s="3685"/>
      <c r="AT78" s="3685"/>
      <c r="AU78" s="3685"/>
      <c r="AV78" s="3685"/>
      <c r="AW78" s="3685"/>
    </row>
    <row r="79" spans="1:49" ht="15.75" customHeight="1">
      <c r="A79" s="3685"/>
      <c r="B79" s="3685"/>
      <c r="C79" s="3685"/>
      <c r="D79" s="3685"/>
      <c r="E79" s="3685"/>
      <c r="F79" s="3685"/>
      <c r="G79" s="3685"/>
      <c r="H79" s="3685"/>
      <c r="I79" s="4209" t="s">
        <v>1707</v>
      </c>
      <c r="J79" s="4182">
        <f>J75+J76+J77+J78</f>
        <v>153.62700000000001</v>
      </c>
      <c r="K79" s="4182">
        <f t="shared" ref="K79:N79" si="98">K75+K76+K77+K78</f>
        <v>54</v>
      </c>
      <c r="L79" s="4182">
        <f t="shared" si="98"/>
        <v>56</v>
      </c>
      <c r="M79" s="4182">
        <f t="shared" si="98"/>
        <v>48.5</v>
      </c>
      <c r="N79" s="4182">
        <f t="shared" si="98"/>
        <v>49.5</v>
      </c>
      <c r="O79" s="4182">
        <f t="shared" ref="O79" si="99">SUM(J79:N79)</f>
        <v>361.62700000000001</v>
      </c>
      <c r="P79" s="4183">
        <f t="shared" si="77"/>
        <v>2.9899178007621579E-2</v>
      </c>
      <c r="Q79" s="4275"/>
      <c r="R79" s="3685"/>
      <c r="S79" s="4161" t="s">
        <v>244</v>
      </c>
      <c r="T79" s="4089">
        <f>'12. Разходи'!AA29</f>
        <v>4.4000000000000004</v>
      </c>
      <c r="U79" s="4089">
        <f>'12. Разходи'!AB29</f>
        <v>29.065999999999999</v>
      </c>
      <c r="V79" s="4089">
        <f>'12. Разходи'!AC29</f>
        <v>33.93</v>
      </c>
      <c r="W79" s="4089">
        <f>'12. Разходи'!AD29</f>
        <v>42.93</v>
      </c>
      <c r="X79" s="4089">
        <f>'12. Разходи'!AE29</f>
        <v>33.93</v>
      </c>
      <c r="Y79" s="4089">
        <f>'12. Разходи'!AF29</f>
        <v>31.96</v>
      </c>
      <c r="Z79" s="4105">
        <f t="shared" ref="Z79:Z91" si="100">IFERROR((U79-T79)/T79,0)</f>
        <v>5.6059090909090896</v>
      </c>
      <c r="AA79" s="4105">
        <f t="shared" ref="AA79:AA91" si="101">IFERROR((Y79-T79)/T79,0)</f>
        <v>6.2636363636363637</v>
      </c>
      <c r="AB79" s="3685"/>
      <c r="AC79" s="3685"/>
      <c r="AD79" s="3686"/>
      <c r="AE79" s="3685"/>
      <c r="AF79" s="3685"/>
      <c r="AG79" s="3685"/>
      <c r="AH79" s="3685"/>
      <c r="AI79" s="3685"/>
      <c r="AJ79" s="3685"/>
      <c r="AK79" s="3685"/>
      <c r="AL79" s="3577"/>
      <c r="AM79" s="3577"/>
      <c r="AN79" s="3577"/>
      <c r="AO79" s="3577"/>
      <c r="AP79" s="3577"/>
      <c r="AQ79" s="3685"/>
      <c r="AR79" s="3685"/>
      <c r="AS79" s="3685"/>
      <c r="AT79" s="3685"/>
      <c r="AU79" s="3685"/>
      <c r="AV79" s="3685"/>
      <c r="AW79" s="3685"/>
    </row>
    <row r="80" spans="1:49" ht="15.75" customHeight="1">
      <c r="A80" s="4146" t="s">
        <v>1758</v>
      </c>
      <c r="B80" s="3685"/>
      <c r="C80" s="3685"/>
      <c r="D80" s="3685"/>
      <c r="E80" s="3685"/>
      <c r="F80" s="3685"/>
      <c r="G80" s="4147" t="s">
        <v>1727</v>
      </c>
      <c r="H80" s="3685"/>
      <c r="I80" s="4211" t="s">
        <v>1732</v>
      </c>
      <c r="J80" s="4190">
        <f>SUM('9.Инвестиционна програма'!H74:H91)</f>
        <v>0</v>
      </c>
      <c r="K80" s="4190">
        <f>SUM('9.Инвестиционна програма'!I74:I91)</f>
        <v>0</v>
      </c>
      <c r="L80" s="4190">
        <f>SUM('9.Инвестиционна програма'!J74:J91)</f>
        <v>0</v>
      </c>
      <c r="M80" s="4190">
        <f>SUM('9.Инвестиционна програма'!K74:K91)</f>
        <v>0</v>
      </c>
      <c r="N80" s="4190">
        <f>SUM('9.Инвестиционна програма'!L74:L91)</f>
        <v>0</v>
      </c>
      <c r="O80" s="4212">
        <f t="shared" si="96"/>
        <v>0</v>
      </c>
      <c r="P80" s="4213">
        <f t="shared" si="77"/>
        <v>0</v>
      </c>
      <c r="Q80" s="4275"/>
      <c r="R80" s="3685"/>
      <c r="S80" s="4161" t="s">
        <v>451</v>
      </c>
      <c r="T80" s="4089">
        <f>'12. Разходи'!AA55</f>
        <v>0.80000000000000016</v>
      </c>
      <c r="U80" s="4089">
        <f>'12. Разходи'!AB55</f>
        <v>0.87313000000000018</v>
      </c>
      <c r="V80" s="4089">
        <f>'12. Разходи'!AC55</f>
        <v>0.97313000000000027</v>
      </c>
      <c r="W80" s="4089">
        <f>'12. Разходи'!AD55</f>
        <v>0.22313</v>
      </c>
      <c r="X80" s="4089">
        <f>'12. Разходи'!AE55</f>
        <v>0.22313</v>
      </c>
      <c r="Y80" s="4089">
        <f>'12. Разходи'!AF55</f>
        <v>0.22313</v>
      </c>
      <c r="Z80" s="4105">
        <f t="shared" si="100"/>
        <v>9.1412500000000022E-2</v>
      </c>
      <c r="AA80" s="4105">
        <f t="shared" si="101"/>
        <v>-0.7210875000000001</v>
      </c>
      <c r="AB80" s="3685"/>
      <c r="AC80" s="3685"/>
      <c r="AD80" s="3686"/>
      <c r="AE80" s="3685"/>
      <c r="AF80" s="3685"/>
      <c r="AG80" s="3685"/>
      <c r="AH80" s="3685"/>
      <c r="AI80" s="3685"/>
      <c r="AJ80" s="3685"/>
      <c r="AK80" s="3685"/>
      <c r="AL80" s="3577"/>
      <c r="AM80" s="3577"/>
      <c r="AN80" s="3577"/>
      <c r="AO80" s="3577"/>
      <c r="AP80" s="3577"/>
      <c r="AQ80" s="3685"/>
      <c r="AR80" s="3685"/>
      <c r="AS80" s="3685"/>
      <c r="AT80" s="3685"/>
      <c r="AU80" s="3685"/>
      <c r="AV80" s="3685"/>
      <c r="AW80" s="3685"/>
    </row>
    <row r="81" spans="1:49" ht="17.25" customHeight="1">
      <c r="A81" s="5694" t="s">
        <v>90</v>
      </c>
      <c r="B81" s="5685" t="s">
        <v>1102</v>
      </c>
      <c r="C81" s="5685"/>
      <c r="D81" s="5685"/>
      <c r="E81" s="5685"/>
      <c r="F81" s="5685"/>
      <c r="G81" s="5685"/>
      <c r="H81" s="3685"/>
      <c r="I81" s="4211" t="s">
        <v>1731</v>
      </c>
      <c r="J81" s="4190">
        <f>SUM('9.Инвестиционна програма'!H92:H97)</f>
        <v>1</v>
      </c>
      <c r="K81" s="4190">
        <f>SUM('9.Инвестиционна програма'!I92:I97)</f>
        <v>1</v>
      </c>
      <c r="L81" s="4190">
        <f>SUM('9.Инвестиционна програма'!J92:J97)</f>
        <v>0</v>
      </c>
      <c r="M81" s="4190">
        <f>SUM('9.Инвестиционна програма'!K92:K97)</f>
        <v>0</v>
      </c>
      <c r="N81" s="4190">
        <f>SUM('9.Инвестиционна програма'!L92:L97)</f>
        <v>0</v>
      </c>
      <c r="O81" s="4212">
        <f t="shared" si="96"/>
        <v>2</v>
      </c>
      <c r="P81" s="4213">
        <f t="shared" si="77"/>
        <v>1.6535921271155959E-4</v>
      </c>
      <c r="Q81" s="4275"/>
      <c r="R81" s="3685"/>
      <c r="S81" s="4170" t="s">
        <v>452</v>
      </c>
      <c r="T81" s="4166">
        <f>'12. Разходи'!AA56</f>
        <v>0.80000000000000016</v>
      </c>
      <c r="U81" s="4166">
        <f>'12. Разходи'!AB56</f>
        <v>0.87313000000000018</v>
      </c>
      <c r="V81" s="4166">
        <f>'12. Разходи'!AC56</f>
        <v>0.97313000000000027</v>
      </c>
      <c r="W81" s="4166">
        <f>'12. Разходи'!AD56</f>
        <v>0.22313</v>
      </c>
      <c r="X81" s="4166">
        <f>'12. Разходи'!AE56</f>
        <v>0.22313</v>
      </c>
      <c r="Y81" s="4166">
        <f>'12. Разходи'!AF56</f>
        <v>0.22313</v>
      </c>
      <c r="Z81" s="4105">
        <f t="shared" si="100"/>
        <v>9.1412500000000022E-2</v>
      </c>
      <c r="AA81" s="4105">
        <f t="shared" si="101"/>
        <v>-0.7210875000000001</v>
      </c>
      <c r="AB81" s="3685"/>
      <c r="AC81" s="3685"/>
      <c r="AD81" s="3686"/>
      <c r="AE81" s="3685"/>
      <c r="AF81" s="3685"/>
      <c r="AG81" s="3685"/>
      <c r="AH81" s="3685"/>
      <c r="AI81" s="3685"/>
      <c r="AJ81" s="3685"/>
      <c r="AK81" s="3685"/>
      <c r="AL81" s="3577"/>
      <c r="AM81" s="3577"/>
      <c r="AN81" s="3577"/>
      <c r="AO81" s="3577"/>
      <c r="AP81" s="3577"/>
      <c r="AQ81" s="3685"/>
      <c r="AR81" s="3685"/>
      <c r="AS81" s="3685"/>
      <c r="AT81" s="3685"/>
      <c r="AU81" s="3685"/>
      <c r="AV81" s="3685"/>
      <c r="AW81" s="3685"/>
    </row>
    <row r="82" spans="1:49" ht="15.75" customHeight="1">
      <c r="A82" s="5694"/>
      <c r="B82" s="4197" t="str">
        <f>B22</f>
        <v>2020 г.</v>
      </c>
      <c r="C82" s="4197" t="str">
        <f>C58</f>
        <v>2022 г.</v>
      </c>
      <c r="D82" s="4197" t="str">
        <f>D22</f>
        <v>2023 г.</v>
      </c>
      <c r="E82" s="4197" t="str">
        <f>E22</f>
        <v>2024 г.</v>
      </c>
      <c r="F82" s="4197" t="str">
        <f>F22</f>
        <v>2025 г.</v>
      </c>
      <c r="G82" s="4197" t="str">
        <f>G22</f>
        <v>2026 г.</v>
      </c>
      <c r="H82" s="3685"/>
      <c r="I82" s="4199" t="s">
        <v>1037</v>
      </c>
      <c r="J82" s="4210">
        <f>J80+J81</f>
        <v>1</v>
      </c>
      <c r="K82" s="4210">
        <f>K80+K81</f>
        <v>1</v>
      </c>
      <c r="L82" s="4210">
        <f>L80+L81</f>
        <v>0</v>
      </c>
      <c r="M82" s="4210">
        <f>M80+M81</f>
        <v>0</v>
      </c>
      <c r="N82" s="4210">
        <f>N80+N81</f>
        <v>0</v>
      </c>
      <c r="O82" s="4182">
        <f t="shared" si="95"/>
        <v>2</v>
      </c>
      <c r="P82" s="4183">
        <f t="shared" si="77"/>
        <v>1.6535921271155959E-4</v>
      </c>
      <c r="Q82" s="4275"/>
      <c r="R82" s="3685"/>
      <c r="S82" s="4170" t="s">
        <v>744</v>
      </c>
      <c r="T82" s="4166">
        <f>'12. Разходи'!AA57</f>
        <v>0</v>
      </c>
      <c r="U82" s="4166">
        <f>'12. Разходи'!AB57</f>
        <v>0</v>
      </c>
      <c r="V82" s="4166">
        <f>'12. Разходи'!AC57</f>
        <v>0</v>
      </c>
      <c r="W82" s="4166">
        <f>'12. Разходи'!AD57</f>
        <v>0</v>
      </c>
      <c r="X82" s="4166">
        <f>'12. Разходи'!AE57</f>
        <v>0</v>
      </c>
      <c r="Y82" s="4166">
        <f>'12. Разходи'!AF57</f>
        <v>0</v>
      </c>
      <c r="Z82" s="4105">
        <f t="shared" si="100"/>
        <v>0</v>
      </c>
      <c r="AA82" s="4105">
        <f t="shared" si="101"/>
        <v>0</v>
      </c>
      <c r="AB82" s="3685"/>
      <c r="AC82" s="3685"/>
      <c r="AD82" s="3686"/>
      <c r="AE82" s="3685"/>
      <c r="AF82" s="3685"/>
      <c r="AG82" s="3685"/>
      <c r="AH82" s="3685"/>
      <c r="AI82" s="3685"/>
      <c r="AJ82" s="3685"/>
      <c r="AK82" s="3685"/>
      <c r="AL82" s="3577"/>
      <c r="AM82" s="3577"/>
      <c r="AN82" s="3577"/>
      <c r="AO82" s="3577"/>
      <c r="AP82" s="3577"/>
      <c r="AQ82" s="3685"/>
      <c r="AR82" s="3685"/>
      <c r="AS82" s="3685"/>
      <c r="AT82" s="3685"/>
      <c r="AU82" s="3685"/>
      <c r="AV82" s="3685"/>
      <c r="AW82" s="3685"/>
    </row>
    <row r="83" spans="1:49" ht="15.75" customHeight="1">
      <c r="A83" s="5692" t="s">
        <v>1750</v>
      </c>
      <c r="B83" s="5692"/>
      <c r="C83" s="5692"/>
      <c r="D83" s="5692"/>
      <c r="E83" s="5692"/>
      <c r="F83" s="5692"/>
      <c r="G83" s="5692"/>
      <c r="I83" s="4211" t="s">
        <v>1733</v>
      </c>
      <c r="J83" s="4190">
        <f>SUM('9.Инвестиционна програма'!H100:H117)</f>
        <v>0</v>
      </c>
      <c r="K83" s="4190">
        <f>SUM('9.Инвестиционна програма'!I100:I117)</f>
        <v>0</v>
      </c>
      <c r="L83" s="4190">
        <f>SUM('9.Инвестиционна програма'!J100:J117)</f>
        <v>0</v>
      </c>
      <c r="M83" s="4190">
        <f>SUM('9.Инвестиционна програма'!K100:K117)</f>
        <v>0</v>
      </c>
      <c r="N83" s="4190">
        <f>SUM('9.Инвестиционна програма'!L100:L117)</f>
        <v>0</v>
      </c>
      <c r="O83" s="4212">
        <f t="shared" ref="O83:O84" si="102">SUM(J83:N83)</f>
        <v>0</v>
      </c>
      <c r="P83" s="4213">
        <f t="shared" si="77"/>
        <v>0</v>
      </c>
      <c r="Q83" s="4275"/>
      <c r="S83" s="3995" t="s">
        <v>745</v>
      </c>
      <c r="T83" s="3974">
        <f>'12. Разходи'!AA58</f>
        <v>0</v>
      </c>
      <c r="U83" s="3974">
        <f>'12. Разходи'!AB58</f>
        <v>0</v>
      </c>
      <c r="V83" s="3974">
        <f>'12. Разходи'!AC58</f>
        <v>0</v>
      </c>
      <c r="W83" s="3974">
        <f>'12. Разходи'!AD58</f>
        <v>0</v>
      </c>
      <c r="X83" s="3974">
        <f>'12. Разходи'!AE58</f>
        <v>0</v>
      </c>
      <c r="Y83" s="3974">
        <f>'12. Разходи'!AF58</f>
        <v>0</v>
      </c>
      <c r="Z83" s="3949">
        <f t="shared" si="100"/>
        <v>0</v>
      </c>
      <c r="AA83" s="3949">
        <f t="shared" si="101"/>
        <v>0</v>
      </c>
    </row>
    <row r="84" spans="1:49" ht="15.75" customHeight="1">
      <c r="A84" s="3966" t="s">
        <v>339</v>
      </c>
      <c r="B84" s="3945">
        <f>'11. Амортиз. план'!AG10</f>
        <v>0</v>
      </c>
      <c r="C84" s="3945">
        <f>'11. Амортиз. план'!AI10</f>
        <v>0</v>
      </c>
      <c r="D84" s="3945">
        <f>'11. Амортиз. план'!AJ10</f>
        <v>0</v>
      </c>
      <c r="E84" s="3945">
        <f>'11. Амортиз. план'!AK10</f>
        <v>0</v>
      </c>
      <c r="F84" s="3945">
        <f>'11. Амортиз. план'!AL10</f>
        <v>0</v>
      </c>
      <c r="G84" s="3945">
        <f>'11. Амортиз. план'!AM10</f>
        <v>0</v>
      </c>
      <c r="I84" s="4211" t="s">
        <v>1734</v>
      </c>
      <c r="J84" s="4190">
        <f>SUM('9.Инвестиционна програма'!H118:H123)</f>
        <v>0</v>
      </c>
      <c r="K84" s="4190">
        <f>SUM('9.Инвестиционна програма'!I118:I123)</f>
        <v>0</v>
      </c>
      <c r="L84" s="4190">
        <f>SUM('9.Инвестиционна програма'!J118:J123)</f>
        <v>0</v>
      </c>
      <c r="M84" s="4190">
        <f>SUM('9.Инвестиционна програма'!K118:K123)</f>
        <v>0</v>
      </c>
      <c r="N84" s="4190">
        <f>SUM('9.Инвестиционна програма'!L118:L123)</f>
        <v>0</v>
      </c>
      <c r="O84" s="4212">
        <f t="shared" si="102"/>
        <v>0</v>
      </c>
      <c r="P84" s="4213">
        <f t="shared" si="77"/>
        <v>0</v>
      </c>
      <c r="Q84" s="4275"/>
      <c r="S84" s="3994" t="s">
        <v>453</v>
      </c>
      <c r="T84" s="3944">
        <f>'12. Разходи'!AA59</f>
        <v>16.451999999999998</v>
      </c>
      <c r="U84" s="3944">
        <f>'12. Разходи'!AB59</f>
        <v>17.920000000000002</v>
      </c>
      <c r="V84" s="3944">
        <f>'12. Разходи'!AC59</f>
        <v>20.757999999999999</v>
      </c>
      <c r="W84" s="3944">
        <f>'12. Разходи'!AD59</f>
        <v>24.021999999999998</v>
      </c>
      <c r="X84" s="3944">
        <f>'12. Разходи'!AE59</f>
        <v>27.774999999999999</v>
      </c>
      <c r="Y84" s="3944">
        <f>'12. Разходи'!AF59</f>
        <v>31.904000000000003</v>
      </c>
      <c r="Z84" s="3949">
        <f t="shared" si="100"/>
        <v>8.9229273036713089E-2</v>
      </c>
      <c r="AA84" s="3949">
        <f t="shared" si="101"/>
        <v>0.93921711646000527</v>
      </c>
    </row>
    <row r="85" spans="1:49" ht="15.75" customHeight="1">
      <c r="A85" s="3962" t="s">
        <v>223</v>
      </c>
      <c r="B85" s="3974">
        <f>'11. Амортиз. план'!AG35</f>
        <v>0</v>
      </c>
      <c r="C85" s="3974">
        <f>'11. Амортиз. план'!AI35</f>
        <v>0</v>
      </c>
      <c r="D85" s="3974">
        <f>'11. Амортиз. план'!AJ35</f>
        <v>0</v>
      </c>
      <c r="E85" s="3974">
        <f>'11. Амортиз. план'!AK35</f>
        <v>0</v>
      </c>
      <c r="F85" s="3974">
        <f>'11. Амортиз. план'!AL35</f>
        <v>0</v>
      </c>
      <c r="G85" s="3974">
        <f>'11. Амортиз. план'!AM35</f>
        <v>0</v>
      </c>
      <c r="I85" s="4199" t="s">
        <v>1102</v>
      </c>
      <c r="J85" s="4182">
        <f>J83+J84</f>
        <v>0</v>
      </c>
      <c r="K85" s="4182">
        <f>K83+K84</f>
        <v>0</v>
      </c>
      <c r="L85" s="4182">
        <f>L83+L84</f>
        <v>0</v>
      </c>
      <c r="M85" s="4182">
        <f>M83+M84</f>
        <v>0</v>
      </c>
      <c r="N85" s="4182">
        <f>N83+N84</f>
        <v>0</v>
      </c>
      <c r="O85" s="4182">
        <f t="shared" ref="O85" si="103">SUM(J85:N85)</f>
        <v>0</v>
      </c>
      <c r="P85" s="4183">
        <f t="shared" si="77"/>
        <v>0</v>
      </c>
      <c r="Q85" s="4275"/>
      <c r="S85" s="3994" t="s">
        <v>454</v>
      </c>
      <c r="T85" s="3944">
        <f>'12. Разходи'!AA63</f>
        <v>5.2700000000000005</v>
      </c>
      <c r="U85" s="3944">
        <f>'12. Разходи'!AB63</f>
        <v>5.6000000000000005</v>
      </c>
      <c r="V85" s="3944">
        <f>'12. Разходи'!AC63</f>
        <v>6</v>
      </c>
      <c r="W85" s="3944">
        <f>'12. Разходи'!AD63</f>
        <v>7</v>
      </c>
      <c r="X85" s="3944">
        <f>'12. Разходи'!AE63</f>
        <v>8</v>
      </c>
      <c r="Y85" s="3944">
        <f>'12. Разходи'!AF63</f>
        <v>10</v>
      </c>
      <c r="Z85" s="3949">
        <f t="shared" si="100"/>
        <v>6.2618595825426948E-2</v>
      </c>
      <c r="AA85" s="3949">
        <f t="shared" si="101"/>
        <v>0.89753320683111937</v>
      </c>
    </row>
    <row r="86" spans="1:49" ht="15.75" customHeight="1">
      <c r="A86" s="3947" t="s">
        <v>225</v>
      </c>
      <c r="B86" s="3944">
        <f>'11. Амортиз. план'!AG60</f>
        <v>0</v>
      </c>
      <c r="C86" s="3944">
        <f>'11. Амортиз. план'!AI60</f>
        <v>0</v>
      </c>
      <c r="D86" s="3944">
        <f>'11. Амортиз. план'!AJ60</f>
        <v>0</v>
      </c>
      <c r="E86" s="3944">
        <f>'11. Амортиз. план'!AK60</f>
        <v>0</v>
      </c>
      <c r="F86" s="3944">
        <f>'11. Амортиз. план'!AL60</f>
        <v>0</v>
      </c>
      <c r="G86" s="3944">
        <f>'11. Амортиз. план'!AM60</f>
        <v>0</v>
      </c>
      <c r="I86" s="4160" t="s">
        <v>1708</v>
      </c>
      <c r="J86" s="4093">
        <f>J57+J66+J71+J74+J75+J76+J80+J83</f>
        <v>3218.9229999999998</v>
      </c>
      <c r="K86" s="4093">
        <f>K57+K66+K71+K74+K75+K76</f>
        <v>6086.7579999999998</v>
      </c>
      <c r="L86" s="4093">
        <f>L57+L66+L71+L74+L75+L76</f>
        <v>530.1</v>
      </c>
      <c r="M86" s="4093">
        <f>M57+M66+M71+M74+M75+M76</f>
        <v>323.89999999999998</v>
      </c>
      <c r="N86" s="4093">
        <f>N57+N66+N71+N74+N75+N76</f>
        <v>325.3</v>
      </c>
      <c r="O86" s="4093">
        <f t="shared" si="95"/>
        <v>10484.981</v>
      </c>
      <c r="P86" s="4105">
        <f t="shared" si="77"/>
        <v>0.86689410172783032</v>
      </c>
      <c r="Q86" s="4275"/>
      <c r="S86" s="3994" t="s">
        <v>455</v>
      </c>
      <c r="T86" s="3944">
        <f>'12. Разходи'!AA70</f>
        <v>0.13</v>
      </c>
      <c r="U86" s="3944">
        <f>'12. Разходи'!AB70</f>
        <v>0.49</v>
      </c>
      <c r="V86" s="3944">
        <f>'12. Разходи'!AC70</f>
        <v>67.507000000000005</v>
      </c>
      <c r="W86" s="3944">
        <f>'12. Разходи'!AD70</f>
        <v>66.718000000000004</v>
      </c>
      <c r="X86" s="3944">
        <f>'12. Разходи'!AE70</f>
        <v>65.930000000000007</v>
      </c>
      <c r="Y86" s="3944">
        <f>'12. Разходи'!AF70</f>
        <v>65.15100000000001</v>
      </c>
      <c r="Z86" s="3949">
        <f t="shared" si="100"/>
        <v>2.7692307692307692</v>
      </c>
      <c r="AA86" s="3949">
        <f t="shared" si="101"/>
        <v>500.16153846153856</v>
      </c>
    </row>
    <row r="87" spans="1:49" ht="15.75" customHeight="1">
      <c r="A87" s="3947" t="s">
        <v>227</v>
      </c>
      <c r="B87" s="3944">
        <f>'11. Амортиз. план'!AG85</f>
        <v>0</v>
      </c>
      <c r="C87" s="3944">
        <f>'11. Амортиз. план'!AI85</f>
        <v>0</v>
      </c>
      <c r="D87" s="3944">
        <f>'11. Амортиз. план'!AJ85</f>
        <v>0</v>
      </c>
      <c r="E87" s="3944">
        <f>'11. Амортиз. план'!AK85</f>
        <v>0</v>
      </c>
      <c r="F87" s="3944">
        <f>'11. Амортиз. план'!AL85</f>
        <v>0</v>
      </c>
      <c r="G87" s="3944">
        <f>'11. Амортиз. план'!AM85</f>
        <v>0</v>
      </c>
      <c r="I87" s="4160" t="s">
        <v>1709</v>
      </c>
      <c r="J87" s="4093">
        <f>J58+J67+J72+J77+J78+J81+J84</f>
        <v>304</v>
      </c>
      <c r="K87" s="4093">
        <f>K58+K67+K72+K77+K78</f>
        <v>323.89999999999998</v>
      </c>
      <c r="L87" s="4093">
        <f>L58+L67+L72+L77+L78</f>
        <v>338</v>
      </c>
      <c r="M87" s="4093">
        <f>M58+M67+M72+M77+M78</f>
        <v>311</v>
      </c>
      <c r="N87" s="4093">
        <f>N58+N67+N72+N77+N78</f>
        <v>333</v>
      </c>
      <c r="O87" s="4093">
        <f t="shared" si="95"/>
        <v>1609.9</v>
      </c>
      <c r="P87" s="4105">
        <f t="shared" si="77"/>
        <v>0.1331058982721699</v>
      </c>
      <c r="Q87" s="4275"/>
      <c r="S87" s="3994" t="s">
        <v>272</v>
      </c>
      <c r="T87" s="3944">
        <f>'12. Разходи'!AA76</f>
        <v>0.55000000000000004</v>
      </c>
      <c r="U87" s="3944">
        <f>'12. Разходи'!AB76</f>
        <v>1.87</v>
      </c>
      <c r="V87" s="3944">
        <f>'12. Разходи'!AC76</f>
        <v>1.87</v>
      </c>
      <c r="W87" s="3944">
        <f>'12. Разходи'!AD76</f>
        <v>1.87</v>
      </c>
      <c r="X87" s="3944">
        <f>'12. Разходи'!AE76</f>
        <v>1.87</v>
      </c>
      <c r="Y87" s="3944">
        <f>'12. Разходи'!AF76</f>
        <v>1.87</v>
      </c>
      <c r="Z87" s="3949">
        <f t="shared" si="100"/>
        <v>2.4</v>
      </c>
      <c r="AA87" s="3949">
        <f t="shared" si="101"/>
        <v>2.4</v>
      </c>
    </row>
    <row r="88" spans="1:49" ht="18" customHeight="1">
      <c r="A88" s="5692" t="s">
        <v>1751</v>
      </c>
      <c r="B88" s="5692"/>
      <c r="C88" s="5692"/>
      <c r="D88" s="5692"/>
      <c r="E88" s="5692"/>
      <c r="F88" s="5692"/>
      <c r="G88" s="5692"/>
      <c r="I88" s="4214" t="s">
        <v>1710</v>
      </c>
      <c r="J88" s="4215">
        <f>J86+J87</f>
        <v>3522.9229999999998</v>
      </c>
      <c r="K88" s="4215">
        <f>K86+K87</f>
        <v>6410.6579999999994</v>
      </c>
      <c r="L88" s="4215">
        <f>L86+L87</f>
        <v>868.1</v>
      </c>
      <c r="M88" s="4215">
        <f>M86+M87</f>
        <v>634.9</v>
      </c>
      <c r="N88" s="4215">
        <f>N86+N87</f>
        <v>658.3</v>
      </c>
      <c r="O88" s="4215">
        <f t="shared" si="95"/>
        <v>12094.880999999998</v>
      </c>
      <c r="P88" s="4216">
        <f t="shared" si="77"/>
        <v>1</v>
      </c>
      <c r="Q88" s="4275"/>
      <c r="S88" s="3996" t="s">
        <v>282</v>
      </c>
      <c r="T88" s="3964">
        <f>SUM(T78:T80,T84:T87)</f>
        <v>28.377999999999997</v>
      </c>
      <c r="U88" s="3964">
        <f t="shared" ref="U88" si="104">SUM(U78:U80,U84:U87)</f>
        <v>176.14488261600005</v>
      </c>
      <c r="V88" s="3964">
        <f t="shared" ref="V88" si="105">SUM(V78:V80,V84:V87)</f>
        <v>244.74229233600002</v>
      </c>
      <c r="W88" s="3964">
        <f t="shared" ref="W88" si="106">SUM(W78:W80,W84:W87)</f>
        <v>241.966675178</v>
      </c>
      <c r="X88" s="3964">
        <f t="shared" ref="X88" si="107">SUM(X78:X80,X84:X87)</f>
        <v>239.51643779600002</v>
      </c>
      <c r="Y88" s="3964">
        <f t="shared" ref="Y88" si="108">SUM(Y78:Y80,Y84:Y87)</f>
        <v>237.04905646600002</v>
      </c>
      <c r="Z88" s="3976">
        <f t="shared" si="100"/>
        <v>5.2070929105645245</v>
      </c>
      <c r="AA88" s="3976">
        <f t="shared" si="101"/>
        <v>7.3532686047642564</v>
      </c>
    </row>
    <row r="89" spans="1:49" ht="15.75" customHeight="1">
      <c r="A89" s="3966" t="s">
        <v>339</v>
      </c>
      <c r="B89" s="3945">
        <f>'11. Амортиз. план'!AG111</f>
        <v>0</v>
      </c>
      <c r="C89" s="3945">
        <f>'11. Амортиз. план'!AI111</f>
        <v>0</v>
      </c>
      <c r="D89" s="3945">
        <f>'11. Амортиз. план'!AJ111</f>
        <v>0</v>
      </c>
      <c r="E89" s="3945">
        <f>'11. Амортиз. план'!AK111</f>
        <v>0</v>
      </c>
      <c r="F89" s="3945">
        <f>'11. Амортиз. план'!AL111</f>
        <v>0</v>
      </c>
      <c r="G89" s="3945">
        <f>'11. Амортиз. план'!AM111</f>
        <v>0</v>
      </c>
      <c r="I89" s="4169"/>
      <c r="J89" s="4169"/>
      <c r="K89" s="4169"/>
      <c r="L89" s="4169"/>
      <c r="M89" s="4169"/>
      <c r="N89" s="4169"/>
      <c r="O89" s="4169"/>
      <c r="P89" s="4169"/>
      <c r="Q89" s="4275"/>
      <c r="S89" s="3977" t="s">
        <v>1766</v>
      </c>
      <c r="T89" s="3992"/>
      <c r="U89" s="3977">
        <f>U88-$T88</f>
        <v>147.76688261600006</v>
      </c>
      <c r="V89" s="3977">
        <f t="shared" ref="V89" si="109">V88-$T88</f>
        <v>216.36429233600003</v>
      </c>
      <c r="W89" s="3977">
        <f t="shared" ref="W89" si="110">W88-$T88</f>
        <v>213.58867517800002</v>
      </c>
      <c r="X89" s="3977">
        <f t="shared" ref="X89" si="111">X88-$T88</f>
        <v>211.13843779600003</v>
      </c>
      <c r="Y89" s="3977">
        <f t="shared" ref="Y89" si="112">Y88-$T88</f>
        <v>208.67105646600004</v>
      </c>
      <c r="Z89" s="3949">
        <f t="shared" si="100"/>
        <v>0</v>
      </c>
      <c r="AA89" s="3949">
        <f t="shared" si="101"/>
        <v>0</v>
      </c>
    </row>
    <row r="90" spans="1:49" ht="15.75" customHeight="1">
      <c r="A90" s="3962" t="s">
        <v>223</v>
      </c>
      <c r="B90" s="3974">
        <f>'11. Амортиз. план'!AG131</f>
        <v>0</v>
      </c>
      <c r="C90" s="3974">
        <f>'11. Амортиз. план'!AI131</f>
        <v>0</v>
      </c>
      <c r="D90" s="3974">
        <f>'11. Амортиз. план'!AJ131</f>
        <v>0</v>
      </c>
      <c r="E90" s="3974">
        <f>'11. Амортиз. план'!AK131</f>
        <v>0</v>
      </c>
      <c r="F90" s="3974">
        <f>'11. Амортиз. план'!AL131</f>
        <v>0</v>
      </c>
      <c r="G90" s="3974">
        <f>'11. Амортиз. план'!AM131</f>
        <v>0</v>
      </c>
      <c r="I90" s="4149" t="s">
        <v>85</v>
      </c>
      <c r="J90" s="4143" t="s">
        <v>1072</v>
      </c>
      <c r="K90" s="4143" t="s">
        <v>1073</v>
      </c>
      <c r="L90" s="4143" t="s">
        <v>1074</v>
      </c>
      <c r="M90" s="4143" t="s">
        <v>1075</v>
      </c>
      <c r="N90" s="4143" t="s">
        <v>1076</v>
      </c>
      <c r="O90" s="4173" t="s">
        <v>1711</v>
      </c>
      <c r="P90" s="3685"/>
      <c r="Q90" s="4275"/>
      <c r="S90" s="3994" t="s">
        <v>1769</v>
      </c>
      <c r="T90" s="3944">
        <f>'12. Разходи'!AA90</f>
        <v>1</v>
      </c>
      <c r="U90" s="3944">
        <f>'12. Разходи'!AB90</f>
        <v>1</v>
      </c>
      <c r="V90" s="3944">
        <f>'12. Разходи'!AC90</f>
        <v>13.2</v>
      </c>
      <c r="W90" s="3944">
        <f>'12. Разходи'!AD90</f>
        <v>22.265000000000001</v>
      </c>
      <c r="X90" s="3944">
        <f>'12. Разходи'!AE90</f>
        <v>28.698999999999998</v>
      </c>
      <c r="Y90" s="3944">
        <f>'12. Разходи'!AF90</f>
        <v>22</v>
      </c>
      <c r="Z90" s="3949">
        <f t="shared" si="100"/>
        <v>0</v>
      </c>
      <c r="AA90" s="3949">
        <f t="shared" si="101"/>
        <v>21</v>
      </c>
    </row>
    <row r="91" spans="1:49" ht="15.75" customHeight="1">
      <c r="A91" s="3947" t="s">
        <v>225</v>
      </c>
      <c r="B91" s="3944">
        <f>'11. Амортиз. план'!AG151</f>
        <v>0</v>
      </c>
      <c r="C91" s="3944">
        <f>'11. Амортиз. план'!AI151</f>
        <v>0</v>
      </c>
      <c r="D91" s="3944">
        <f>'11. Амортиз. план'!AJ151</f>
        <v>0</v>
      </c>
      <c r="E91" s="3944">
        <f>'11. Амортиз. план'!AK151</f>
        <v>0</v>
      </c>
      <c r="F91" s="3944">
        <f>'11. Амортиз. план'!AL151</f>
        <v>0</v>
      </c>
      <c r="G91" s="3944">
        <f>'11. Амортиз. план'!AM151</f>
        <v>0</v>
      </c>
      <c r="I91" s="4207" t="s">
        <v>1736</v>
      </c>
      <c r="J91" s="4089">
        <f>'2. Променливи'!F10</f>
        <v>114692.11487708034</v>
      </c>
      <c r="K91" s="4089">
        <f>'2. Променливи'!G10</f>
        <v>113410.6723156205</v>
      </c>
      <c r="L91" s="4089">
        <f>'2. Променливи'!H10</f>
        <v>112141.22975416067</v>
      </c>
      <c r="M91" s="4089">
        <f>'2. Променливи'!I10</f>
        <v>111024.78719270084</v>
      </c>
      <c r="N91" s="4089">
        <f>'2. Променливи'!J10</f>
        <v>110083.80756948549</v>
      </c>
      <c r="O91" s="4093">
        <f>AVERAGE(J91:N91)</f>
        <v>112270.52234180956</v>
      </c>
      <c r="P91" s="3685"/>
      <c r="Q91" s="4275"/>
      <c r="S91" s="3994" t="s">
        <v>1252</v>
      </c>
      <c r="T91" s="3944">
        <f>'12. Разходи'!AA89</f>
        <v>0</v>
      </c>
      <c r="U91" s="3944">
        <f>'12. Разходи'!AB89</f>
        <v>117.50975261600001</v>
      </c>
      <c r="V91" s="3944">
        <f>'12. Разходи'!AC89</f>
        <v>174.11516233600003</v>
      </c>
      <c r="W91" s="3944">
        <f>'12. Разходи'!AD89</f>
        <v>159.225545178</v>
      </c>
      <c r="X91" s="3944">
        <f>'12. Разходи'!AE89</f>
        <v>149.92230779599998</v>
      </c>
      <c r="Y91" s="3944">
        <f>'12. Разходи'!AF89</f>
        <v>143.29592646600003</v>
      </c>
      <c r="Z91" s="3949">
        <f t="shared" si="100"/>
        <v>0</v>
      </c>
      <c r="AA91" s="3949">
        <f t="shared" si="101"/>
        <v>0</v>
      </c>
    </row>
    <row r="92" spans="1:49" ht="15.75" customHeight="1">
      <c r="A92" s="3947" t="s">
        <v>227</v>
      </c>
      <c r="B92" s="3944">
        <f>'11. Амортиз. план'!AG171</f>
        <v>0</v>
      </c>
      <c r="C92" s="3944">
        <f>'11. Амортиз. план'!AI171</f>
        <v>0</v>
      </c>
      <c r="D92" s="3944">
        <f>'11. Амортиз. план'!AJ171</f>
        <v>0</v>
      </c>
      <c r="E92" s="3944">
        <f>'11. Амортиз. план'!AK171</f>
        <v>0</v>
      </c>
      <c r="F92" s="3944">
        <f>'11. Амортиз. план'!AL171</f>
        <v>0</v>
      </c>
      <c r="G92" s="3944">
        <f>'11. Амортиз. план'!AM171</f>
        <v>0</v>
      </c>
      <c r="I92" s="4115" t="s">
        <v>1735</v>
      </c>
      <c r="J92" s="4089">
        <f>J59+J68+J73+J74+J79</f>
        <v>3521.9229999999998</v>
      </c>
      <c r="K92" s="4089">
        <f>K59+K68+K73+K74+K79</f>
        <v>6410.6580000000004</v>
      </c>
      <c r="L92" s="4089">
        <f>L59+L68+L73+L74+L79</f>
        <v>868.1</v>
      </c>
      <c r="M92" s="4089">
        <f>M59+M68+M73+M74+M79</f>
        <v>634.9</v>
      </c>
      <c r="N92" s="4089">
        <f>N59+N68+N73+N74+N79</f>
        <v>658.3</v>
      </c>
      <c r="O92" s="4093">
        <f>AVERAGE(J92:N92)</f>
        <v>2418.7761999999998</v>
      </c>
      <c r="P92" s="3685"/>
      <c r="Q92" s="4275"/>
      <c r="S92" s="3997"/>
      <c r="T92" s="3950"/>
      <c r="U92" s="3950"/>
      <c r="V92" s="3950"/>
      <c r="W92" s="3950"/>
      <c r="X92" s="3950"/>
      <c r="Y92" s="3950"/>
      <c r="Z92" s="3951"/>
      <c r="AA92" s="3951"/>
    </row>
    <row r="93" spans="1:49" ht="18" customHeight="1">
      <c r="A93" s="5692" t="s">
        <v>1752</v>
      </c>
      <c r="B93" s="5692"/>
      <c r="C93" s="5692"/>
      <c r="D93" s="5692"/>
      <c r="E93" s="5692"/>
      <c r="F93" s="5692"/>
      <c r="G93" s="5692"/>
      <c r="I93" s="4103" t="s">
        <v>1712</v>
      </c>
      <c r="J93" s="4217">
        <f>IFERROR((J92*1000)/J91,0)</f>
        <v>30.707629759679392</v>
      </c>
      <c r="K93" s="4217">
        <f t="shared" ref="K93:O93" si="113">IFERROR((K92*1000)/K91,0)</f>
        <v>56.526055873817747</v>
      </c>
      <c r="L93" s="4217">
        <f t="shared" si="113"/>
        <v>7.7411314456161628</v>
      </c>
      <c r="M93" s="4217">
        <f t="shared" si="113"/>
        <v>5.7185428232168736</v>
      </c>
      <c r="N93" s="4217">
        <f t="shared" si="113"/>
        <v>5.9799893784058797</v>
      </c>
      <c r="O93" s="4217">
        <f t="shared" si="113"/>
        <v>21.544178734966543</v>
      </c>
      <c r="P93" s="3685"/>
      <c r="Q93" s="4275"/>
      <c r="S93" s="3997"/>
      <c r="T93" s="3950"/>
      <c r="U93" s="3950"/>
      <c r="V93" s="3950"/>
      <c r="W93" s="3950"/>
      <c r="X93" s="3950"/>
      <c r="Y93" s="3950"/>
      <c r="Z93" s="3951"/>
      <c r="AA93" s="3951"/>
    </row>
    <row r="94" spans="1:49" ht="15.75" customHeight="1">
      <c r="A94" s="3966" t="s">
        <v>339</v>
      </c>
      <c r="B94" s="3945">
        <f>'11. Амортиз. план'!AG192</f>
        <v>0</v>
      </c>
      <c r="C94" s="3945">
        <f>'11. Амортиз. план'!AI192</f>
        <v>0</v>
      </c>
      <c r="D94" s="3945">
        <f>'11. Амортиз. план'!AJ192</f>
        <v>0</v>
      </c>
      <c r="E94" s="3945">
        <f>'11. Амортиз. план'!AK192</f>
        <v>0</v>
      </c>
      <c r="F94" s="3945">
        <f>'11. Амортиз. план'!AL192</f>
        <v>0</v>
      </c>
      <c r="G94" s="3945">
        <f>'11. Амортиз. план'!AM192</f>
        <v>0</v>
      </c>
      <c r="I94" s="4148"/>
      <c r="J94" s="4169"/>
      <c r="K94" s="4169"/>
      <c r="L94" s="4169"/>
      <c r="M94" s="4169"/>
      <c r="N94" s="4169"/>
      <c r="O94" s="4169"/>
      <c r="P94" s="3685"/>
      <c r="Q94" s="4275"/>
      <c r="S94" s="3997"/>
      <c r="T94" s="3950"/>
      <c r="U94" s="3950"/>
      <c r="V94" s="3950"/>
      <c r="W94" s="3950"/>
      <c r="X94" s="3950"/>
      <c r="Y94" s="3950"/>
      <c r="Z94" s="3951"/>
      <c r="AA94" s="3951"/>
    </row>
    <row r="95" spans="1:49" ht="15.75" customHeight="1">
      <c r="A95" s="3962" t="s">
        <v>223</v>
      </c>
      <c r="B95" s="3974">
        <f>'11. Амортиз. план'!AG214</f>
        <v>0</v>
      </c>
      <c r="C95" s="3974">
        <f>'11. Амортиз. план'!AI214</f>
        <v>0</v>
      </c>
      <c r="D95" s="3974">
        <f>'11. Амортиз. план'!AJ214</f>
        <v>0</v>
      </c>
      <c r="E95" s="3974">
        <f>'11. Амортиз. план'!AK214</f>
        <v>0</v>
      </c>
      <c r="F95" s="3974">
        <f>'11. Амортиз. план'!AL214</f>
        <v>0</v>
      </c>
      <c r="G95" s="3974">
        <f>'11. Амортиз. план'!AM214</f>
        <v>0</v>
      </c>
      <c r="I95" s="4148" t="s">
        <v>1737</v>
      </c>
      <c r="J95" s="4169"/>
      <c r="K95" s="4169"/>
      <c r="L95" s="4169"/>
      <c r="M95" s="4169"/>
      <c r="N95" s="4169"/>
      <c r="O95" s="4169"/>
      <c r="P95" s="3685"/>
      <c r="Q95" s="4275"/>
      <c r="S95" s="3997"/>
      <c r="T95" s="3950"/>
      <c r="U95" s="3950"/>
      <c r="V95" s="3950"/>
      <c r="W95" s="3950"/>
      <c r="X95" s="3950"/>
      <c r="Y95" s="3950"/>
      <c r="Z95" s="3951"/>
      <c r="AA95" s="3951"/>
    </row>
    <row r="96" spans="1:49" ht="16.5" customHeight="1">
      <c r="A96" s="3947" t="s">
        <v>225</v>
      </c>
      <c r="B96" s="3944">
        <f>'11. Амортиз. план'!AG236</f>
        <v>0</v>
      </c>
      <c r="C96" s="3944">
        <f>'11. Амортиз. план'!AI236</f>
        <v>0</v>
      </c>
      <c r="D96" s="3944">
        <f>'11. Амортиз. план'!AJ236</f>
        <v>0</v>
      </c>
      <c r="E96" s="3944">
        <f>'11. Амортиз. план'!AK236</f>
        <v>0</v>
      </c>
      <c r="F96" s="3944">
        <f>'11. Амортиз. план'!AL236</f>
        <v>0</v>
      </c>
      <c r="G96" s="3944">
        <f>'11. Амортиз. план'!AM236</f>
        <v>0</v>
      </c>
      <c r="I96" s="4148" t="s">
        <v>956</v>
      </c>
      <c r="J96" s="4169"/>
      <c r="K96" s="4169"/>
      <c r="L96" s="4169"/>
      <c r="M96" s="4169"/>
      <c r="N96" s="4169"/>
      <c r="O96" s="4169"/>
      <c r="P96" s="3685"/>
      <c r="Q96" s="4275"/>
      <c r="S96" s="3999" t="s">
        <v>1102</v>
      </c>
      <c r="T96"/>
      <c r="U96"/>
      <c r="V96"/>
      <c r="W96"/>
      <c r="X96"/>
      <c r="Y96"/>
      <c r="Z96"/>
      <c r="AA96"/>
    </row>
    <row r="97" spans="1:27" ht="15.75" customHeight="1">
      <c r="A97" s="3947" t="s">
        <v>227</v>
      </c>
      <c r="B97" s="3944">
        <f>'11. Амортиз. план'!AG258</f>
        <v>0</v>
      </c>
      <c r="C97" s="3944">
        <f>'11. Амортиз. план'!AI258</f>
        <v>0</v>
      </c>
      <c r="D97" s="3944">
        <f>'11. Амортиз. план'!AJ258</f>
        <v>0</v>
      </c>
      <c r="E97" s="3944">
        <f>'11. Амортиз. план'!AK258</f>
        <v>0</v>
      </c>
      <c r="F97" s="3944">
        <f>'11. Амортиз. план'!AL258</f>
        <v>0</v>
      </c>
      <c r="G97" s="3944">
        <f>'11. Амортиз. план'!AM258</f>
        <v>0</v>
      </c>
      <c r="I97" s="4149" t="s">
        <v>1713</v>
      </c>
      <c r="J97" s="4143" t="s">
        <v>1072</v>
      </c>
      <c r="K97" s="4143" t="s">
        <v>1073</v>
      </c>
      <c r="L97" s="4143" t="s">
        <v>1074</v>
      </c>
      <c r="M97" s="4143" t="s">
        <v>1075</v>
      </c>
      <c r="N97" s="4143" t="s">
        <v>1076</v>
      </c>
      <c r="O97" s="4173" t="s">
        <v>1714</v>
      </c>
      <c r="P97" s="3685"/>
      <c r="Q97" s="4275"/>
      <c r="S97" s="5685" t="s">
        <v>1760</v>
      </c>
      <c r="T97" s="5685" t="str">
        <f>S96</f>
        <v>Доставяне на вода на друг ВиК оператор</v>
      </c>
      <c r="U97" s="5685"/>
      <c r="V97" s="5685"/>
      <c r="W97" s="5685"/>
      <c r="X97" s="5685"/>
      <c r="Y97" s="5685"/>
      <c r="Z97" s="5660" t="s">
        <v>1762</v>
      </c>
      <c r="AA97" s="5660" t="s">
        <v>1763</v>
      </c>
    </row>
    <row r="98" spans="1:27" ht="15.75" customHeight="1">
      <c r="A98" s="2" t="s">
        <v>1757</v>
      </c>
      <c r="B98"/>
      <c r="C98"/>
      <c r="D98"/>
      <c r="E98"/>
      <c r="F98"/>
      <c r="G98" s="3975" t="s">
        <v>1727</v>
      </c>
      <c r="I98" s="4209" t="s">
        <v>1709</v>
      </c>
      <c r="J98" s="4182">
        <f>'9.Инвестиционна програма'!H146</f>
        <v>304</v>
      </c>
      <c r="K98" s="4182">
        <f>'9.Инвестиционна програма'!I146</f>
        <v>324.89999999999998</v>
      </c>
      <c r="L98" s="4182">
        <f>'9.Инвестиционна програма'!J146</f>
        <v>338</v>
      </c>
      <c r="M98" s="4182">
        <f>'9.Инвестиционна програма'!K146</f>
        <v>311</v>
      </c>
      <c r="N98" s="4182">
        <f>'9.Инвестиционна програма'!L146</f>
        <v>333</v>
      </c>
      <c r="O98" s="4182">
        <f t="shared" ref="O98:O101" si="114">SUM(J98:N98)</f>
        <v>1610.9</v>
      </c>
      <c r="P98" s="3685"/>
      <c r="Q98" s="4275"/>
      <c r="S98" s="5685"/>
      <c r="T98" s="3993" t="str">
        <f>T77</f>
        <v>2020 г.</v>
      </c>
      <c r="U98" s="3993" t="str">
        <f t="shared" ref="U98:Y98" si="115">U77</f>
        <v>2022 г.</v>
      </c>
      <c r="V98" s="3993" t="str">
        <f t="shared" si="115"/>
        <v>2023 г.</v>
      </c>
      <c r="W98" s="3993" t="str">
        <f t="shared" si="115"/>
        <v>2024 г.</v>
      </c>
      <c r="X98" s="3993" t="str">
        <f t="shared" si="115"/>
        <v>2025 г.</v>
      </c>
      <c r="Y98" s="3993" t="str">
        <f t="shared" si="115"/>
        <v>2026 г.</v>
      </c>
      <c r="Z98" s="5660"/>
      <c r="AA98" s="5660"/>
    </row>
    <row r="99" spans="1:27" ht="16.5" customHeight="1">
      <c r="A99" s="5695" t="s">
        <v>90</v>
      </c>
      <c r="B99" s="5693" t="s">
        <v>1753</v>
      </c>
      <c r="C99" s="5693"/>
      <c r="D99" s="5693"/>
      <c r="E99" s="5693"/>
      <c r="F99" s="5693"/>
      <c r="G99" s="5693"/>
      <c r="I99" s="3962" t="s">
        <v>1715</v>
      </c>
      <c r="J99" s="3974">
        <f>'10. Финансиране на ИП'!AN15</f>
        <v>304</v>
      </c>
      <c r="K99" s="3974">
        <f>'10. Финансиране на ИП'!AO15</f>
        <v>324.89999999999998</v>
      </c>
      <c r="L99" s="3974">
        <f>'10. Финансиране на ИП'!AP15</f>
        <v>338</v>
      </c>
      <c r="M99" s="3974">
        <f>'10. Финансиране на ИП'!AQ15</f>
        <v>311</v>
      </c>
      <c r="N99" s="3974">
        <f>'10. Финансиране на ИП'!AR15</f>
        <v>333</v>
      </c>
      <c r="O99" s="3963">
        <f t="shared" si="114"/>
        <v>1610.9</v>
      </c>
      <c r="Q99" s="4275"/>
      <c r="S99" s="3994" t="s">
        <v>231</v>
      </c>
      <c r="T99" s="3944">
        <f>'12. Разходи'!AI11</f>
        <v>0</v>
      </c>
      <c r="U99" s="3944">
        <f>'12. Разходи'!AJ11</f>
        <v>0</v>
      </c>
      <c r="V99" s="3944">
        <f>'12. Разходи'!AK11</f>
        <v>0</v>
      </c>
      <c r="W99" s="3944">
        <f>'12. Разходи'!AL11</f>
        <v>0</v>
      </c>
      <c r="X99" s="3944">
        <f>'12. Разходи'!AM11</f>
        <v>0</v>
      </c>
      <c r="Y99" s="3944">
        <f>'12. Разходи'!AN11</f>
        <v>0</v>
      </c>
      <c r="Z99" s="3949">
        <f>IFERROR((U99-T99)/T99,0)</f>
        <v>0</v>
      </c>
      <c r="AA99" s="3949">
        <f>IFERROR((Y99-T99)/T99,0)</f>
        <v>0</v>
      </c>
    </row>
    <row r="100" spans="1:27" ht="19.5" customHeight="1">
      <c r="A100" s="5695"/>
      <c r="B100" s="3990" t="str">
        <f>B40</f>
        <v>2020 г.</v>
      </c>
      <c r="C100" s="3990" t="str">
        <f>C82</f>
        <v>2022 г.</v>
      </c>
      <c r="D100" s="3990" t="str">
        <f>D40</f>
        <v>2023 г.</v>
      </c>
      <c r="E100" s="3990" t="str">
        <f>E40</f>
        <v>2024 г.</v>
      </c>
      <c r="F100" s="3990" t="str">
        <f>F40</f>
        <v>2025 г.</v>
      </c>
      <c r="G100" s="3990" t="str">
        <f>G40</f>
        <v>2026 г.</v>
      </c>
      <c r="I100" s="3962" t="s">
        <v>1738</v>
      </c>
      <c r="J100" s="3974">
        <f>'10. Финансиране на ИП'!AN16</f>
        <v>0</v>
      </c>
      <c r="K100" s="3974">
        <f>'10. Финансиране на ИП'!AO16</f>
        <v>0</v>
      </c>
      <c r="L100" s="3974">
        <f>'10. Финансиране на ИП'!AP16</f>
        <v>0</v>
      </c>
      <c r="M100" s="3974">
        <f>'10. Финансиране на ИП'!AQ16</f>
        <v>0</v>
      </c>
      <c r="N100" s="3974">
        <f>'10. Финансиране на ИП'!AR16</f>
        <v>0</v>
      </c>
      <c r="O100" s="3963">
        <f t="shared" si="114"/>
        <v>0</v>
      </c>
      <c r="Q100" s="4275"/>
      <c r="S100" s="3994" t="s">
        <v>244</v>
      </c>
      <c r="T100" s="3944">
        <f>'12. Разходи'!AI29</f>
        <v>0</v>
      </c>
      <c r="U100" s="3944">
        <f>'12. Разходи'!AJ29</f>
        <v>0</v>
      </c>
      <c r="V100" s="3944">
        <f>'12. Разходи'!AK29</f>
        <v>0</v>
      </c>
      <c r="W100" s="3944">
        <f>'12. Разходи'!AL29</f>
        <v>0</v>
      </c>
      <c r="X100" s="3944">
        <f>'12. Разходи'!AM29</f>
        <v>0</v>
      </c>
      <c r="Y100" s="3944">
        <f>'12. Разходи'!AN29</f>
        <v>0</v>
      </c>
      <c r="Z100" s="3949">
        <f t="shared" ref="Z100:Z112" si="116">IFERROR((U100-T100)/T100,0)</f>
        <v>0</v>
      </c>
      <c r="AA100" s="3949">
        <f t="shared" ref="AA100:AA112" si="117">IFERROR((Y100-T100)/T100,0)</f>
        <v>0</v>
      </c>
    </row>
    <row r="101" spans="1:27" ht="21" customHeight="1">
      <c r="A101" s="5692" t="s">
        <v>1750</v>
      </c>
      <c r="B101" s="5692"/>
      <c r="C101" s="5692"/>
      <c r="D101" s="5692"/>
      <c r="E101" s="5692"/>
      <c r="F101" s="5692"/>
      <c r="G101" s="5692"/>
      <c r="I101" s="3965" t="s">
        <v>1716</v>
      </c>
      <c r="J101" s="3964">
        <f>'12. Разходи'!AX56</f>
        <v>304.30529000000007</v>
      </c>
      <c r="K101" s="3964">
        <f>'12. Разходи'!AY56</f>
        <v>324.55529000000007</v>
      </c>
      <c r="L101" s="3964">
        <f>'12. Разходи'!AZ56</f>
        <v>338.16529000000008</v>
      </c>
      <c r="M101" s="3964">
        <f>'12. Разходи'!BA56</f>
        <v>311.11029000000013</v>
      </c>
      <c r="N101" s="3964">
        <f>'12. Разходи'!BB56</f>
        <v>333.07028999999989</v>
      </c>
      <c r="O101" s="3964">
        <f t="shared" si="114"/>
        <v>1611.2064500000001</v>
      </c>
      <c r="Q101" s="4275"/>
      <c r="S101" s="3994" t="s">
        <v>451</v>
      </c>
      <c r="T101" s="3944">
        <f>'12. Разходи'!AI55</f>
        <v>0</v>
      </c>
      <c r="U101" s="3944">
        <f>'12. Разходи'!AJ55</f>
        <v>0</v>
      </c>
      <c r="V101" s="3944">
        <f>'12. Разходи'!AK55</f>
        <v>0</v>
      </c>
      <c r="W101" s="3944">
        <f>'12. Разходи'!AL55</f>
        <v>0</v>
      </c>
      <c r="X101" s="3944">
        <f>'12. Разходи'!AM55</f>
        <v>0</v>
      </c>
      <c r="Y101" s="3944">
        <f>'12. Разходи'!AN55</f>
        <v>0</v>
      </c>
      <c r="Z101" s="3949">
        <f t="shared" si="116"/>
        <v>0</v>
      </c>
      <c r="AA101" s="3949">
        <f t="shared" si="117"/>
        <v>0</v>
      </c>
    </row>
    <row r="102" spans="1:27" ht="16.5" customHeight="1">
      <c r="A102" s="3966" t="s">
        <v>339</v>
      </c>
      <c r="B102" s="3945">
        <f t="shared" ref="B102:G105" si="118">B6+B24+B42+B60+B84</f>
        <v>5950.22</v>
      </c>
      <c r="C102" s="3945">
        <f t="shared" si="118"/>
        <v>6712.2200000000012</v>
      </c>
      <c r="D102" s="3945">
        <f t="shared" si="118"/>
        <v>7037.1200000000017</v>
      </c>
      <c r="E102" s="3945">
        <f t="shared" si="118"/>
        <v>7375.1200000000008</v>
      </c>
      <c r="F102" s="3945">
        <f t="shared" si="118"/>
        <v>7686.1200000000008</v>
      </c>
      <c r="G102" s="3945">
        <f t="shared" si="118"/>
        <v>8019.1200000000017</v>
      </c>
      <c r="I102" s="3968" t="s">
        <v>1717</v>
      </c>
      <c r="J102" s="3981">
        <f>J101-J99</f>
        <v>0.30529000000007045</v>
      </c>
      <c r="K102" s="3981">
        <f t="shared" ref="K102:O102" si="119">K101-K99</f>
        <v>-0.34470999999990681</v>
      </c>
      <c r="L102" s="3981">
        <f t="shared" si="119"/>
        <v>0.16529000000008409</v>
      </c>
      <c r="M102" s="3981">
        <f t="shared" si="119"/>
        <v>0.11029000000013411</v>
      </c>
      <c r="N102" s="3981">
        <f t="shared" si="119"/>
        <v>7.0289999999886277E-2</v>
      </c>
      <c r="O102" s="3981">
        <f t="shared" si="119"/>
        <v>0.30645000000004075</v>
      </c>
      <c r="Q102" s="4275"/>
      <c r="S102" s="3995" t="s">
        <v>452</v>
      </c>
      <c r="T102" s="3944">
        <f>'12. Разходи'!AI56</f>
        <v>0</v>
      </c>
      <c r="U102" s="3944">
        <f>'12. Разходи'!AJ56</f>
        <v>0</v>
      </c>
      <c r="V102" s="3944">
        <f>'12. Разходи'!AK56</f>
        <v>0</v>
      </c>
      <c r="W102" s="3944">
        <f>'12. Разходи'!AL56</f>
        <v>0</v>
      </c>
      <c r="X102" s="3944">
        <f>'12. Разходи'!AM56</f>
        <v>0</v>
      </c>
      <c r="Y102" s="3944">
        <f>'12. Разходи'!AN56</f>
        <v>0</v>
      </c>
      <c r="Z102" s="3949">
        <f t="shared" si="116"/>
        <v>0</v>
      </c>
      <c r="AA102" s="3949">
        <f t="shared" si="117"/>
        <v>0</v>
      </c>
    </row>
    <row r="103" spans="1:27" ht="15.75" customHeight="1">
      <c r="A103" s="3962" t="s">
        <v>223</v>
      </c>
      <c r="B103" s="3944">
        <f t="shared" si="118"/>
        <v>243.60000000000002</v>
      </c>
      <c r="C103" s="3944">
        <f t="shared" si="118"/>
        <v>304.30529000000007</v>
      </c>
      <c r="D103" s="3944">
        <f t="shared" si="118"/>
        <v>324.55529000000007</v>
      </c>
      <c r="E103" s="3944">
        <f t="shared" si="118"/>
        <v>338.16529000000008</v>
      </c>
      <c r="F103" s="3944">
        <f t="shared" si="118"/>
        <v>311.11029000000013</v>
      </c>
      <c r="G103" s="3944">
        <f t="shared" si="118"/>
        <v>333.07028999999989</v>
      </c>
      <c r="I103" s="4377"/>
      <c r="J103" s="4378"/>
      <c r="K103" s="4378"/>
      <c r="L103" s="4378"/>
      <c r="M103" s="4378"/>
      <c r="N103" s="4378"/>
      <c r="O103" s="4378"/>
      <c r="Q103" s="4275"/>
      <c r="S103" s="3995" t="s">
        <v>744</v>
      </c>
      <c r="T103" s="3944">
        <f>'12. Разходи'!AI57</f>
        <v>0</v>
      </c>
      <c r="U103" s="3944">
        <f>'12. Разходи'!AJ57</f>
        <v>0</v>
      </c>
      <c r="V103" s="3944">
        <f>'12. Разходи'!AK57</f>
        <v>0</v>
      </c>
      <c r="W103" s="3944">
        <f>'12. Разходи'!AL57</f>
        <v>0</v>
      </c>
      <c r="X103" s="3944">
        <f>'12. Разходи'!AM57</f>
        <v>0</v>
      </c>
      <c r="Y103" s="3944">
        <f>'12. Разходи'!AN57</f>
        <v>0</v>
      </c>
      <c r="Z103" s="3949">
        <f t="shared" si="116"/>
        <v>0</v>
      </c>
      <c r="AA103" s="3949">
        <f t="shared" si="117"/>
        <v>0</v>
      </c>
    </row>
    <row r="104" spans="1:27" ht="21" customHeight="1">
      <c r="A104" s="3947" t="s">
        <v>225</v>
      </c>
      <c r="B104" s="3944">
        <f t="shared" si="118"/>
        <v>4318.1500000000005</v>
      </c>
      <c r="C104" s="3944">
        <f t="shared" si="118"/>
        <v>4895.8755800000008</v>
      </c>
      <c r="D104" s="3944">
        <f t="shared" si="118"/>
        <v>5220.430870000002</v>
      </c>
      <c r="E104" s="3944">
        <f t="shared" si="118"/>
        <v>5558.5961600000001</v>
      </c>
      <c r="F104" s="3944">
        <f t="shared" si="118"/>
        <v>5869.7064500000015</v>
      </c>
      <c r="G104" s="3944">
        <f t="shared" si="118"/>
        <v>6202.7767400000002</v>
      </c>
      <c r="I104" s="3988" t="s">
        <v>1827</v>
      </c>
      <c r="J104" s="4394" t="s">
        <v>1072</v>
      </c>
      <c r="K104" s="4394" t="s">
        <v>1073</v>
      </c>
      <c r="L104" s="4394" t="s">
        <v>1074</v>
      </c>
      <c r="M104" s="4394" t="s">
        <v>1075</v>
      </c>
      <c r="N104" s="4394" t="s">
        <v>1076</v>
      </c>
      <c r="Q104" s="4275"/>
      <c r="S104" s="3995" t="s">
        <v>745</v>
      </c>
      <c r="T104" s="3944">
        <f>'12. Разходи'!AI58</f>
        <v>0</v>
      </c>
      <c r="U104" s="3944">
        <f>'12. Разходи'!AJ58</f>
        <v>0</v>
      </c>
      <c r="V104" s="3944">
        <f>'12. Разходи'!AK58</f>
        <v>0</v>
      </c>
      <c r="W104" s="3944">
        <f>'12. Разходи'!AL58</f>
        <v>0</v>
      </c>
      <c r="X104" s="3944">
        <f>'12. Разходи'!AM58</f>
        <v>0</v>
      </c>
      <c r="Y104" s="3944">
        <f>'12. Разходи'!AN58</f>
        <v>0</v>
      </c>
      <c r="Z104" s="3949">
        <f t="shared" si="116"/>
        <v>0</v>
      </c>
      <c r="AA104" s="3949">
        <f t="shared" si="117"/>
        <v>0</v>
      </c>
    </row>
    <row r="105" spans="1:27" ht="15.75" customHeight="1">
      <c r="A105" s="3947" t="s">
        <v>227</v>
      </c>
      <c r="B105" s="3944">
        <f t="shared" si="118"/>
        <v>1632.07</v>
      </c>
      <c r="C105" s="3944">
        <f t="shared" si="118"/>
        <v>1816.3444200000004</v>
      </c>
      <c r="D105" s="3944">
        <f t="shared" si="118"/>
        <v>1816.6891299999995</v>
      </c>
      <c r="E105" s="3944">
        <f t="shared" si="118"/>
        <v>1816.5238400000001</v>
      </c>
      <c r="F105" s="3944">
        <f t="shared" si="118"/>
        <v>1816.4135499999995</v>
      </c>
      <c r="G105" s="3944">
        <f t="shared" si="118"/>
        <v>1816.3432599999996</v>
      </c>
      <c r="I105" s="3967" t="s">
        <v>1748</v>
      </c>
      <c r="J105" s="3986">
        <f>'10. Финансиране на ИП'!AN59*'10. Финансиране на ИП'!AN66</f>
        <v>0</v>
      </c>
      <c r="K105" s="3986">
        <f>'10. Финансиране на ИП'!AO59*'10. Финансиране на ИП'!AO66</f>
        <v>0</v>
      </c>
      <c r="L105" s="3986">
        <f>'10. Финансиране на ИП'!AP59*'10. Финансиране на ИП'!AP66</f>
        <v>0</v>
      </c>
      <c r="M105" s="3986">
        <f>'10. Финансиране на ИП'!AQ59*'10. Финансиране на ИП'!AQ66</f>
        <v>0</v>
      </c>
      <c r="N105" s="3986">
        <f>'10. Финансиране на ИП'!AR59*'10. Финансиране на ИП'!AR66</f>
        <v>0</v>
      </c>
      <c r="Q105" s="4275"/>
      <c r="S105" s="3994" t="s">
        <v>453</v>
      </c>
      <c r="T105" s="3944">
        <f>'12. Разходи'!AI59</f>
        <v>0</v>
      </c>
      <c r="U105" s="3944">
        <f>'12. Разходи'!AJ59</f>
        <v>0</v>
      </c>
      <c r="V105" s="3944">
        <f>'12. Разходи'!AK59</f>
        <v>0</v>
      </c>
      <c r="W105" s="3944">
        <f>'12. Разходи'!AL59</f>
        <v>0</v>
      </c>
      <c r="X105" s="3944">
        <f>'12. Разходи'!AM59</f>
        <v>0</v>
      </c>
      <c r="Y105" s="3944">
        <f>'12. Разходи'!AN59</f>
        <v>0</v>
      </c>
      <c r="Z105" s="3949">
        <f t="shared" si="116"/>
        <v>0</v>
      </c>
      <c r="AA105" s="3949">
        <f t="shared" si="117"/>
        <v>0</v>
      </c>
    </row>
    <row r="106" spans="1:27" ht="15.75" customHeight="1">
      <c r="A106" s="5692" t="s">
        <v>1751</v>
      </c>
      <c r="B106" s="5692"/>
      <c r="C106" s="5692"/>
      <c r="D106" s="5692"/>
      <c r="E106" s="5692"/>
      <c r="F106" s="5692"/>
      <c r="G106" s="5692"/>
      <c r="I106" s="3983" t="s">
        <v>1743</v>
      </c>
      <c r="J106" s="3984">
        <f>'10. Финансиране на ИП'!AN60*'10. Финансиране на ИП'!AN66</f>
        <v>0</v>
      </c>
      <c r="K106" s="3984">
        <f>'10. Финансиране на ИП'!AO60*'10. Финансиране на ИП'!AO66</f>
        <v>0</v>
      </c>
      <c r="L106" s="3984">
        <f>'10. Финансиране на ИП'!AP60*'10. Финансиране на ИП'!AP66</f>
        <v>0</v>
      </c>
      <c r="M106" s="3984">
        <f>'10. Финансиране на ИП'!AQ60*'10. Финансиране на ИП'!AQ66</f>
        <v>0</v>
      </c>
      <c r="N106" s="3984">
        <f>'10. Финансиране на ИП'!AR60*'10. Финансиране на ИП'!AR66</f>
        <v>0</v>
      </c>
      <c r="Q106" s="4275"/>
      <c r="S106" s="3994" t="s">
        <v>454</v>
      </c>
      <c r="T106" s="3944">
        <f>'12. Разходи'!AI63</f>
        <v>0</v>
      </c>
      <c r="U106" s="3944">
        <f>'12. Разходи'!AJ63</f>
        <v>0</v>
      </c>
      <c r="V106" s="3944">
        <f>'12. Разходи'!AK63</f>
        <v>0</v>
      </c>
      <c r="W106" s="3944">
        <f>'12. Разходи'!AL63</f>
        <v>0</v>
      </c>
      <c r="X106" s="3944">
        <f>'12. Разходи'!AM63</f>
        <v>0</v>
      </c>
      <c r="Y106" s="3944">
        <f>'12. Разходи'!AN63</f>
        <v>0</v>
      </c>
      <c r="Z106" s="3949">
        <f t="shared" si="116"/>
        <v>0</v>
      </c>
      <c r="AA106" s="3949">
        <f t="shared" si="117"/>
        <v>0</v>
      </c>
    </row>
    <row r="107" spans="1:27" ht="15.75" customHeight="1">
      <c r="A107" s="3966" t="s">
        <v>339</v>
      </c>
      <c r="B107" s="3945">
        <f t="shared" ref="B107:G110" si="120">B11+B29+B47+B65+B89</f>
        <v>2221</v>
      </c>
      <c r="C107" s="3945">
        <f t="shared" si="120"/>
        <v>6103.4229999999998</v>
      </c>
      <c r="D107" s="3945">
        <f t="shared" si="120"/>
        <v>12190.181</v>
      </c>
      <c r="E107" s="3945">
        <f t="shared" si="120"/>
        <v>12720.280999999999</v>
      </c>
      <c r="F107" s="3945">
        <f t="shared" si="120"/>
        <v>13044.181</v>
      </c>
      <c r="G107" s="3945">
        <f t="shared" si="120"/>
        <v>13369.481</v>
      </c>
      <c r="I107" s="3983" t="s">
        <v>1744</v>
      </c>
      <c r="J107" s="3984">
        <f>'10. Финансиране на ИП'!AN61*'10. Финансиране на ИП'!AN66</f>
        <v>0</v>
      </c>
      <c r="K107" s="3984">
        <f>'10. Финансиране на ИП'!AO61*'10. Финансиране на ИП'!AO66</f>
        <v>0</v>
      </c>
      <c r="L107" s="3984">
        <f>'10. Финансиране на ИП'!AP61*'10. Финансиране на ИП'!AP66</f>
        <v>0</v>
      </c>
      <c r="M107" s="3984">
        <f>'10. Финансиране на ИП'!AQ61*'10. Финансиране на ИП'!AQ66</f>
        <v>0</v>
      </c>
      <c r="N107" s="3984">
        <f>'10. Финансиране на ИП'!AR61*'10. Финансиране на ИП'!AR66</f>
        <v>0</v>
      </c>
      <c r="Q107" s="4275"/>
      <c r="S107" s="3994" t="s">
        <v>455</v>
      </c>
      <c r="T107" s="3944">
        <f>'12. Разходи'!AI70</f>
        <v>0</v>
      </c>
      <c r="U107" s="3944">
        <f>'12. Разходи'!AJ70</f>
        <v>0</v>
      </c>
      <c r="V107" s="3944">
        <f>'12. Разходи'!AK70</f>
        <v>0</v>
      </c>
      <c r="W107" s="3944">
        <f>'12. Разходи'!AL70</f>
        <v>0</v>
      </c>
      <c r="X107" s="3944">
        <f>'12. Разходи'!AM70</f>
        <v>0</v>
      </c>
      <c r="Y107" s="3944">
        <f>'12. Разходи'!AN70</f>
        <v>0</v>
      </c>
      <c r="Z107" s="3949">
        <f t="shared" si="116"/>
        <v>0</v>
      </c>
      <c r="AA107" s="3949">
        <f t="shared" si="117"/>
        <v>0</v>
      </c>
    </row>
    <row r="108" spans="1:27" ht="15.75" customHeight="1">
      <c r="A108" s="3962" t="s">
        <v>223</v>
      </c>
      <c r="B108" s="3944">
        <f t="shared" si="120"/>
        <v>85.3</v>
      </c>
      <c r="C108" s="3944">
        <f t="shared" si="120"/>
        <v>183.89837999999997</v>
      </c>
      <c r="D108" s="3944">
        <f t="shared" si="120"/>
        <v>326.84539000000001</v>
      </c>
      <c r="E108" s="3944">
        <f t="shared" si="120"/>
        <v>420.13049000000001</v>
      </c>
      <c r="F108" s="3944">
        <f t="shared" si="120"/>
        <v>440.52049000000005</v>
      </c>
      <c r="G108" s="3944">
        <f t="shared" si="120"/>
        <v>448.11249000000009</v>
      </c>
      <c r="I108" s="3967" t="s">
        <v>1745</v>
      </c>
      <c r="J108" s="3986">
        <f>'10. Финансиране на ИП'!AN62*'10. Финансиране на ИП'!AN66</f>
        <v>0</v>
      </c>
      <c r="K108" s="3986">
        <f>'10. Финансиране на ИП'!AO62*'10. Финансиране на ИП'!AO66</f>
        <v>0</v>
      </c>
      <c r="L108" s="3986">
        <f>'10. Финансиране на ИП'!AP62*'10. Финансиране на ИП'!AP66</f>
        <v>0</v>
      </c>
      <c r="M108" s="3986">
        <f>'10. Финансиране на ИП'!AQ62*'10. Финансиране на ИП'!AQ66</f>
        <v>0</v>
      </c>
      <c r="N108" s="3986">
        <f>'10. Финансиране на ИП'!AR62*'10. Финансиране на ИП'!AR66</f>
        <v>0</v>
      </c>
      <c r="Q108" s="4275"/>
      <c r="S108" s="3994" t="s">
        <v>272</v>
      </c>
      <c r="T108" s="3944">
        <f>'12. Разходи'!AI76</f>
        <v>0</v>
      </c>
      <c r="U108" s="3944">
        <f>'12. Разходи'!AJ76</f>
        <v>0</v>
      </c>
      <c r="V108" s="3944">
        <f>'12. Разходи'!AK76</f>
        <v>0</v>
      </c>
      <c r="W108" s="3944">
        <f>'12. Разходи'!AL76</f>
        <v>0</v>
      </c>
      <c r="X108" s="3944">
        <f>'12. Разходи'!AM76</f>
        <v>0</v>
      </c>
      <c r="Y108" s="3944">
        <f>'12. Разходи'!AN76</f>
        <v>0</v>
      </c>
      <c r="Z108" s="3949">
        <f t="shared" si="116"/>
        <v>0</v>
      </c>
      <c r="AA108" s="3949">
        <f t="shared" si="117"/>
        <v>0</v>
      </c>
    </row>
    <row r="109" spans="1:27" ht="15.75" customHeight="1">
      <c r="A109" s="3947" t="s">
        <v>225</v>
      </c>
      <c r="B109" s="3944">
        <f t="shared" si="120"/>
        <v>194.7</v>
      </c>
      <c r="C109" s="3944">
        <f t="shared" si="120"/>
        <v>492.23884999999996</v>
      </c>
      <c r="D109" s="3944">
        <f t="shared" si="120"/>
        <v>819.08424000000014</v>
      </c>
      <c r="E109" s="3944">
        <f t="shared" si="120"/>
        <v>1239.2147299999999</v>
      </c>
      <c r="F109" s="3944">
        <f t="shared" si="120"/>
        <v>1679.73522</v>
      </c>
      <c r="G109" s="3944">
        <f t="shared" si="120"/>
        <v>2127.84771</v>
      </c>
      <c r="I109" s="3983" t="s">
        <v>203</v>
      </c>
      <c r="J109" s="3953">
        <f>'10. Финансиране на ИП'!AN63</f>
        <v>0</v>
      </c>
      <c r="K109" s="3953">
        <f>'10. Финансиране на ИП'!AO63</f>
        <v>0</v>
      </c>
      <c r="L109" s="3953">
        <f>'10. Финансиране на ИП'!AP63</f>
        <v>0</v>
      </c>
      <c r="M109" s="3953">
        <f>'10. Финансиране на ИП'!AQ63</f>
        <v>0</v>
      </c>
      <c r="N109" s="3953">
        <f>'10. Финансиране на ИП'!AR63</f>
        <v>0</v>
      </c>
      <c r="Q109" s="4275"/>
      <c r="S109" s="3996" t="s">
        <v>282</v>
      </c>
      <c r="T109" s="3964">
        <f>SUM(T99:T101,T105:T108)</f>
        <v>0</v>
      </c>
      <c r="U109" s="3964">
        <f t="shared" ref="U109" si="121">SUM(U99:U101,U105:U108)</f>
        <v>0</v>
      </c>
      <c r="V109" s="3964">
        <f t="shared" ref="V109" si="122">SUM(V99:V101,V105:V108)</f>
        <v>0</v>
      </c>
      <c r="W109" s="3964">
        <f t="shared" ref="W109" si="123">SUM(W99:W101,W105:W108)</f>
        <v>0</v>
      </c>
      <c r="X109" s="3964">
        <f t="shared" ref="X109" si="124">SUM(X99:X101,X105:X108)</f>
        <v>0</v>
      </c>
      <c r="Y109" s="3964">
        <f t="shared" ref="Y109" si="125">SUM(Y99:Y101,Y105:Y108)</f>
        <v>0</v>
      </c>
      <c r="Z109" s="3976">
        <f t="shared" si="116"/>
        <v>0</v>
      </c>
      <c r="AA109" s="3976">
        <f t="shared" si="117"/>
        <v>0</v>
      </c>
    </row>
    <row r="110" spans="1:27" ht="15.75" customHeight="1">
      <c r="A110" s="3947" t="s">
        <v>227</v>
      </c>
      <c r="B110" s="3944">
        <f t="shared" si="120"/>
        <v>2026.3</v>
      </c>
      <c r="C110" s="3944">
        <f t="shared" si="120"/>
        <v>5611.18415</v>
      </c>
      <c r="D110" s="3944">
        <f t="shared" si="120"/>
        <v>11371.09676</v>
      </c>
      <c r="E110" s="3944">
        <f t="shared" si="120"/>
        <v>11481.066269999999</v>
      </c>
      <c r="F110" s="3944">
        <f t="shared" si="120"/>
        <v>11364.44578</v>
      </c>
      <c r="G110" s="3944">
        <f t="shared" si="120"/>
        <v>11241.63329</v>
      </c>
      <c r="I110" s="3967" t="s">
        <v>1746</v>
      </c>
      <c r="J110" s="3987">
        <f>'10. Финансиране на ИП'!AN64*'10. Финансиране на ИП'!AN66</f>
        <v>0</v>
      </c>
      <c r="K110" s="3987">
        <f>'10. Финансиране на ИП'!AO64*'10. Финансиране на ИП'!AO66</f>
        <v>0</v>
      </c>
      <c r="L110" s="3987">
        <f>'10. Финансиране на ИП'!AP64*'10. Финансиране на ИП'!AP66</f>
        <v>0</v>
      </c>
      <c r="M110" s="3987">
        <f>'10. Финансиране на ИП'!AQ64*'10. Финансиране на ИП'!AQ66</f>
        <v>0</v>
      </c>
      <c r="N110" s="3987">
        <f>'10. Финансиране на ИП'!AR64*'10. Финансиране на ИП'!AR66</f>
        <v>0</v>
      </c>
      <c r="Q110" s="4275"/>
      <c r="S110" s="3977" t="s">
        <v>1766</v>
      </c>
      <c r="T110" s="3992"/>
      <c r="U110" s="3977">
        <f>U109-$T109</f>
        <v>0</v>
      </c>
      <c r="V110" s="3977">
        <f t="shared" ref="V110" si="126">V109-$T109</f>
        <v>0</v>
      </c>
      <c r="W110" s="3977">
        <f t="shared" ref="W110" si="127">W109-$T109</f>
        <v>0</v>
      </c>
      <c r="X110" s="3977">
        <f t="shared" ref="X110" si="128">X109-$T109</f>
        <v>0</v>
      </c>
      <c r="Y110" s="3977">
        <f t="shared" ref="Y110" si="129">Y109-$T109</f>
        <v>0</v>
      </c>
      <c r="Z110" s="3949">
        <f t="shared" si="116"/>
        <v>0</v>
      </c>
      <c r="AA110" s="3949">
        <f t="shared" si="117"/>
        <v>0</v>
      </c>
    </row>
    <row r="111" spans="1:27" ht="15.75" customHeight="1">
      <c r="A111" s="5692" t="s">
        <v>1752</v>
      </c>
      <c r="B111" s="5692"/>
      <c r="C111" s="5692"/>
      <c r="D111" s="5692"/>
      <c r="E111" s="5692"/>
      <c r="F111" s="5692"/>
      <c r="G111" s="5692"/>
      <c r="I111" s="3967" t="s">
        <v>1747</v>
      </c>
      <c r="J111" s="3987">
        <f>'10. Финансиране на ИП'!AN65*'10. Финансиране на ИП'!AN66</f>
        <v>0</v>
      </c>
      <c r="K111" s="3987">
        <f>'10. Финансиране на ИП'!AO65*'10. Финансиране на ИП'!AO66</f>
        <v>0</v>
      </c>
      <c r="L111" s="3987">
        <f>'10. Финансиране на ИП'!AP65*'10. Финансиране на ИП'!AP66</f>
        <v>0</v>
      </c>
      <c r="M111" s="3987">
        <f>'10. Финансиране на ИП'!AQ65*'10. Финансиране на ИП'!AQ66</f>
        <v>0</v>
      </c>
      <c r="N111" s="3987">
        <f>'10. Финансиране на ИП'!AR65*'10. Финансиране на ИП'!AR66</f>
        <v>0</v>
      </c>
      <c r="Q111" s="4275"/>
      <c r="S111" s="3994" t="s">
        <v>643</v>
      </c>
      <c r="T111" s="3944">
        <f>'12. Разходи'!AI90</f>
        <v>0</v>
      </c>
      <c r="U111" s="3944">
        <f>'12. Разходи'!AJ90</f>
        <v>0</v>
      </c>
      <c r="V111" s="3944">
        <f>'12. Разходи'!AK90</f>
        <v>0</v>
      </c>
      <c r="W111" s="3944">
        <f>'12. Разходи'!AL90</f>
        <v>0</v>
      </c>
      <c r="X111" s="3944">
        <f>'12. Разходи'!AM90</f>
        <v>0</v>
      </c>
      <c r="Y111" s="3944">
        <f>'12. Разходи'!AN90</f>
        <v>0</v>
      </c>
      <c r="Z111" s="3949">
        <f t="shared" si="116"/>
        <v>0</v>
      </c>
      <c r="AA111" s="3949">
        <f t="shared" si="117"/>
        <v>0</v>
      </c>
    </row>
    <row r="112" spans="1:27" ht="20.25" customHeight="1">
      <c r="A112" s="3966" t="s">
        <v>339</v>
      </c>
      <c r="B112" s="3945">
        <f t="shared" ref="B112:G115" si="130">B16+B34+B52+B70+B94</f>
        <v>60639.580999999998</v>
      </c>
      <c r="C112" s="3945">
        <f t="shared" si="130"/>
        <v>60639.580999999998</v>
      </c>
      <c r="D112" s="3945">
        <f t="shared" si="130"/>
        <v>60639.580999999998</v>
      </c>
      <c r="E112" s="3945">
        <f t="shared" si="130"/>
        <v>136234.44700000001</v>
      </c>
      <c r="F112" s="3945">
        <f t="shared" si="130"/>
        <v>136234.44700000001</v>
      </c>
      <c r="G112" s="3945">
        <f t="shared" si="130"/>
        <v>136234.44700000001</v>
      </c>
      <c r="I112" s="3988" t="s">
        <v>1828</v>
      </c>
      <c r="J112" s="3960" t="s">
        <v>1072</v>
      </c>
      <c r="K112" s="3960" t="s">
        <v>1073</v>
      </c>
      <c r="L112" s="3960" t="s">
        <v>1074</v>
      </c>
      <c r="M112" s="3960" t="s">
        <v>1075</v>
      </c>
      <c r="N112" s="3960" t="s">
        <v>1076</v>
      </c>
      <c r="Q112" s="4275"/>
      <c r="S112" s="3994" t="s">
        <v>1761</v>
      </c>
      <c r="T112" s="3944">
        <f>'12. Разходи'!AI89</f>
        <v>0</v>
      </c>
      <c r="U112" s="3944">
        <f>'12. Разходи'!AJ89</f>
        <v>0</v>
      </c>
      <c r="V112" s="3944">
        <f>'12. Разходи'!AK89</f>
        <v>0</v>
      </c>
      <c r="W112" s="3944">
        <f>'12. Разходи'!AL89</f>
        <v>0</v>
      </c>
      <c r="X112" s="3944">
        <f>'12. Разходи'!AM89</f>
        <v>0</v>
      </c>
      <c r="Y112" s="3944">
        <f>'12. Разходи'!AN89</f>
        <v>0</v>
      </c>
      <c r="Z112" s="3949">
        <f t="shared" si="116"/>
        <v>0</v>
      </c>
      <c r="AA112" s="3949">
        <f t="shared" si="117"/>
        <v>0</v>
      </c>
    </row>
    <row r="113" spans="1:27" ht="15.75" customHeight="1">
      <c r="A113" s="3962" t="s">
        <v>223</v>
      </c>
      <c r="B113" s="3944">
        <f t="shared" si="130"/>
        <v>1163.1130000000001</v>
      </c>
      <c r="C113" s="3944">
        <f t="shared" si="130"/>
        <v>1160.1130000000001</v>
      </c>
      <c r="D113" s="3944">
        <f t="shared" si="130"/>
        <v>1143.1130000000001</v>
      </c>
      <c r="E113" s="3944">
        <f t="shared" si="130"/>
        <v>3437.2852800000005</v>
      </c>
      <c r="F113" s="3944">
        <f t="shared" si="130"/>
        <v>3434.2852800000005</v>
      </c>
      <c r="G113" s="3944">
        <f t="shared" si="130"/>
        <v>3434.2852800000005</v>
      </c>
      <c r="I113" s="3967" t="s">
        <v>1748</v>
      </c>
      <c r="J113" s="3986">
        <f>'10. Финансиране на ИП'!AN70*'10. Финансиране на ИП'!AN77</f>
        <v>0</v>
      </c>
      <c r="K113" s="3986">
        <f>'10. Финансиране на ИП'!AO70*'10. Финансиране на ИП'!AO77</f>
        <v>0</v>
      </c>
      <c r="L113" s="3986">
        <f>'10. Финансиране на ИП'!AP70*'10. Финансиране на ИП'!AP77</f>
        <v>0</v>
      </c>
      <c r="M113" s="3986">
        <f>'10. Финансиране на ИП'!AQ70*'10. Финансиране на ИП'!AQ77</f>
        <v>0</v>
      </c>
      <c r="N113" s="3986">
        <f>'10. Финансиране на ИП'!AR70*'10. Финансиране на ИП'!AR77</f>
        <v>0</v>
      </c>
      <c r="Q113" s="4275"/>
      <c r="S113" s="1491" t="s">
        <v>1780</v>
      </c>
      <c r="T113" s="3991"/>
      <c r="U113" s="3991"/>
      <c r="V113" s="3991"/>
      <c r="W113" s="3991"/>
      <c r="X113" s="3991"/>
      <c r="Y113" s="3991"/>
      <c r="Z113" s="3991"/>
      <c r="AA113" s="3991"/>
    </row>
    <row r="114" spans="1:27" ht="15.75" customHeight="1">
      <c r="A114" s="3947" t="s">
        <v>225</v>
      </c>
      <c r="B114" s="3944">
        <f t="shared" si="130"/>
        <v>20335.175999999999</v>
      </c>
      <c r="C114" s="3944">
        <f t="shared" si="130"/>
        <v>22658.402000000002</v>
      </c>
      <c r="D114" s="3944">
        <f t="shared" si="130"/>
        <v>23801.514999999999</v>
      </c>
      <c r="E114" s="3944">
        <f t="shared" si="130"/>
        <v>27238.800280000003</v>
      </c>
      <c r="F114" s="3944">
        <f t="shared" si="130"/>
        <v>30673.085560000003</v>
      </c>
      <c r="G114" s="3944">
        <f t="shared" si="130"/>
        <v>34107.370839999996</v>
      </c>
      <c r="I114" s="3983" t="s">
        <v>1743</v>
      </c>
      <c r="J114" s="3984">
        <f>'10. Финансиране на ИП'!AN71*'10. Финансиране на ИП'!AN77</f>
        <v>0</v>
      </c>
      <c r="K114" s="3984">
        <f>'10. Финансиране на ИП'!AO71*'10. Финансиране на ИП'!AO77</f>
        <v>0</v>
      </c>
      <c r="L114" s="3984">
        <f>'10. Финансиране на ИП'!AP71*'10. Финансиране на ИП'!AP77</f>
        <v>0</v>
      </c>
      <c r="M114" s="3984">
        <f>'10. Финансиране на ИП'!AQ71*'10. Финансиране на ИП'!AQ77</f>
        <v>0</v>
      </c>
      <c r="N114" s="3984">
        <f>'10. Финансиране на ИП'!AR71*'10. Финансиране на ИП'!AR77</f>
        <v>0</v>
      </c>
      <c r="Q114" s="4275"/>
      <c r="S114" s="5689" t="s">
        <v>228</v>
      </c>
      <c r="T114" s="5685" t="s">
        <v>1753</v>
      </c>
      <c r="U114" s="5685"/>
      <c r="V114" s="5685"/>
      <c r="W114" s="5685"/>
      <c r="X114" s="5685"/>
      <c r="Y114" s="5685"/>
      <c r="Z114" s="5660" t="s">
        <v>1762</v>
      </c>
      <c r="AA114" s="5660" t="s">
        <v>1763</v>
      </c>
    </row>
    <row r="115" spans="1:27" ht="15.75" customHeight="1">
      <c r="A115" s="3947" t="s">
        <v>227</v>
      </c>
      <c r="B115" s="3944">
        <f t="shared" si="130"/>
        <v>40304.405000000006</v>
      </c>
      <c r="C115" s="3944">
        <f t="shared" si="130"/>
        <v>37981.179000000004</v>
      </c>
      <c r="D115" s="3944">
        <f t="shared" si="130"/>
        <v>36838.066000000006</v>
      </c>
      <c r="E115" s="3944">
        <f t="shared" si="130"/>
        <v>108995.64671999999</v>
      </c>
      <c r="F115" s="3944">
        <f t="shared" si="130"/>
        <v>105561.36143999999</v>
      </c>
      <c r="G115" s="3944">
        <f t="shared" si="130"/>
        <v>102127.07616000001</v>
      </c>
      <c r="I115" s="3983" t="s">
        <v>1744</v>
      </c>
      <c r="J115" s="3984">
        <f>'10. Финансиране на ИП'!AN72*'10. Финансиране на ИП'!AN77</f>
        <v>0</v>
      </c>
      <c r="K115" s="3984">
        <f>'10. Финансиране на ИП'!AO72*'10. Финансиране на ИП'!AO77</f>
        <v>0</v>
      </c>
      <c r="L115" s="3984">
        <f>'10. Финансиране на ИП'!AP72*'10. Финансиране на ИП'!AP77</f>
        <v>0</v>
      </c>
      <c r="M115" s="3984">
        <f>'10. Финансиране на ИП'!AQ72*'10. Финансиране на ИП'!AQ77</f>
        <v>0</v>
      </c>
      <c r="N115" s="3984">
        <f>'10. Финансиране на ИП'!AR72*'10. Финансиране на ИП'!AR77</f>
        <v>0</v>
      </c>
      <c r="Q115" s="4275"/>
      <c r="S115" s="5690"/>
      <c r="T115" s="3993" t="str">
        <f t="shared" ref="T115:Y115" si="131">T46</f>
        <v>2020 г.</v>
      </c>
      <c r="U115" s="3993" t="str">
        <f t="shared" si="131"/>
        <v>2022 г.</v>
      </c>
      <c r="V115" s="3993" t="str">
        <f t="shared" si="131"/>
        <v>2023 г.</v>
      </c>
      <c r="W115" s="3993" t="str">
        <f t="shared" si="131"/>
        <v>2024 г.</v>
      </c>
      <c r="X115" s="3993" t="str">
        <f t="shared" si="131"/>
        <v>2025 г.</v>
      </c>
      <c r="Y115" s="3993" t="str">
        <f t="shared" si="131"/>
        <v>2026 г.</v>
      </c>
      <c r="Z115" s="5660"/>
      <c r="AA115" s="5660"/>
    </row>
    <row r="116" spans="1:27" ht="15.75" customHeight="1">
      <c r="A116" s="3946"/>
      <c r="B116" s="3991"/>
      <c r="C116" s="3991"/>
      <c r="D116" s="3991"/>
      <c r="E116" s="3991"/>
      <c r="F116" s="3991"/>
      <c r="G116" s="3975" t="s">
        <v>1727</v>
      </c>
      <c r="I116" s="3967" t="s">
        <v>1745</v>
      </c>
      <c r="J116" s="3986">
        <f>'10. Финансиране на ИП'!AN73*'10. Финансиране на ИП'!AN77</f>
        <v>0</v>
      </c>
      <c r="K116" s="3986">
        <f>'10. Финансиране на ИП'!AO73*'10. Финансиране на ИП'!AO77</f>
        <v>0</v>
      </c>
      <c r="L116" s="3986">
        <f>'10. Финансиране на ИП'!AP73*'10. Финансиране на ИП'!AP77</f>
        <v>0</v>
      </c>
      <c r="M116" s="3986">
        <f>'10. Финансиране на ИП'!AQ73*'10. Финансиране на ИП'!AQ77</f>
        <v>0</v>
      </c>
      <c r="N116" s="3986">
        <f>'10. Финансиране на ИП'!AR73*'10. Финансиране на ИП'!AR77</f>
        <v>0</v>
      </c>
      <c r="Q116" s="4275"/>
      <c r="S116" s="3994" t="s">
        <v>231</v>
      </c>
      <c r="T116" s="3944">
        <f>T5+T26+T47+T78+T99</f>
        <v>4255.03</v>
      </c>
      <c r="U116" s="3944">
        <f t="shared" ref="U116:Y116" si="132">U5+U26+U47+U78+U99</f>
        <v>3976.0742937085192</v>
      </c>
      <c r="V116" s="3944">
        <f t="shared" si="132"/>
        <v>3228.9220260864367</v>
      </c>
      <c r="W116" s="3944">
        <f t="shared" si="132"/>
        <v>3675.7204109255508</v>
      </c>
      <c r="X116" s="3944">
        <f t="shared" si="132"/>
        <v>3434.3444776884985</v>
      </c>
      <c r="Y116" s="3944">
        <f t="shared" si="132"/>
        <v>3283.6264676476449</v>
      </c>
      <c r="Z116" s="3949">
        <f>IFERROR((U116-T116)/T116,0)</f>
        <v>-6.5559045715654296E-2</v>
      </c>
      <c r="AA116" s="3949">
        <f>IFERROR((Y116-T116)/T116,0)</f>
        <v>-0.22829534277134472</v>
      </c>
    </row>
    <row r="117" spans="1:27" ht="15.75" customHeight="1">
      <c r="A117" s="5695" t="s">
        <v>1754</v>
      </c>
      <c r="B117" s="5693" t="s">
        <v>1753</v>
      </c>
      <c r="C117" s="5693"/>
      <c r="D117" s="5693"/>
      <c r="E117" s="5693"/>
      <c r="F117" s="5693"/>
      <c r="G117" s="5693"/>
      <c r="I117" s="3983" t="s">
        <v>203</v>
      </c>
      <c r="J117" s="3953">
        <f>'10. Финансиране на ИП'!AN74</f>
        <v>1.3784694784457344E-3</v>
      </c>
      <c r="K117" s="3953">
        <f>'10. Финансиране на ИП'!AO74</f>
        <v>1.1568439596927233E-2</v>
      </c>
      <c r="L117" s="3953">
        <f>'10. Финансиране на ИП'!AP74</f>
        <v>1.9365974624157518E-2</v>
      </c>
      <c r="M117" s="3953">
        <f>'10. Финансиране на ИП'!AQ74</f>
        <v>1.9289825774293605E-2</v>
      </c>
      <c r="N117" s="3953">
        <f>'10. Финансиране на ИП'!AR74</f>
        <v>1.9373218138100969E-2</v>
      </c>
      <c r="Q117" s="4275"/>
      <c r="S117" s="3994" t="s">
        <v>244</v>
      </c>
      <c r="T117" s="3944">
        <f t="shared" ref="T117:Y125" si="133">T6+T27+T48+T79+T100</f>
        <v>2680.1070000000004</v>
      </c>
      <c r="U117" s="3944">
        <f t="shared" si="133"/>
        <v>2543.4769999999999</v>
      </c>
      <c r="V117" s="3944">
        <f t="shared" si="133"/>
        <v>2820.6019999999999</v>
      </c>
      <c r="W117" s="3944">
        <f t="shared" si="133"/>
        <v>2460.5430000000001</v>
      </c>
      <c r="X117" s="3944">
        <f t="shared" si="133"/>
        <v>2467.3669999999997</v>
      </c>
      <c r="Y117" s="3944">
        <f t="shared" si="133"/>
        <v>2430.069</v>
      </c>
      <c r="Z117" s="3949">
        <f t="shared" ref="Z117:Z132" si="134">IFERROR((U117-T117)/T117,0)</f>
        <v>-5.0979307915691628E-2</v>
      </c>
      <c r="AA117" s="3949">
        <f t="shared" ref="AA117:AA132" si="135">IFERROR((Y117-T117)/T117,0)</f>
        <v>-9.3294036394815733E-2</v>
      </c>
    </row>
    <row r="118" spans="1:27" ht="15.75" customHeight="1">
      <c r="A118" s="5695"/>
      <c r="B118" s="3990" t="s">
        <v>119</v>
      </c>
      <c r="C118" s="3990" t="s">
        <v>1072</v>
      </c>
      <c r="D118" s="3990" t="s">
        <v>1073</v>
      </c>
      <c r="E118" s="3990" t="s">
        <v>1074</v>
      </c>
      <c r="F118" s="3990" t="s">
        <v>1075</v>
      </c>
      <c r="G118" s="3990" t="s">
        <v>1076</v>
      </c>
      <c r="I118" s="3967" t="s">
        <v>1746</v>
      </c>
      <c r="J118" s="3987">
        <f>'10. Финансиране на ИП'!AN75*'10. Финансиране на ИП'!AN77</f>
        <v>0</v>
      </c>
      <c r="K118" s="3987">
        <f>'10. Финансиране на ИП'!AO75*'10. Финансиране на ИП'!AO77</f>
        <v>0</v>
      </c>
      <c r="L118" s="3987">
        <f>'10. Финансиране на ИП'!AP75*'10. Финансиране на ИП'!AP77</f>
        <v>0</v>
      </c>
      <c r="M118" s="3987">
        <f>'10. Финансиране на ИП'!AQ75*'10. Финансиране на ИП'!AQ77</f>
        <v>0</v>
      </c>
      <c r="N118" s="3987">
        <f>'10. Финансиране на ИП'!AR75*'10. Финансиране на ИП'!AR77</f>
        <v>0</v>
      </c>
      <c r="Q118" s="4275"/>
      <c r="S118" s="3994" t="s">
        <v>451</v>
      </c>
      <c r="T118" s="3944">
        <f t="shared" si="133"/>
        <v>778.91</v>
      </c>
      <c r="U118" s="3944">
        <f t="shared" si="133"/>
        <v>724.65366999999992</v>
      </c>
      <c r="V118" s="3944">
        <f t="shared" si="133"/>
        <v>841.7506800000001</v>
      </c>
      <c r="W118" s="3944">
        <f t="shared" si="133"/>
        <v>977.26578000000006</v>
      </c>
      <c r="X118" s="3944">
        <f t="shared" si="133"/>
        <v>1289.0107800000005</v>
      </c>
      <c r="Y118" s="3944">
        <f t="shared" si="133"/>
        <v>1312.3727800000001</v>
      </c>
      <c r="Z118" s="3949">
        <f t="shared" si="134"/>
        <v>-6.9656738262443729E-2</v>
      </c>
      <c r="AA118" s="3949">
        <f t="shared" si="135"/>
        <v>0.68488372212450754</v>
      </c>
    </row>
    <row r="119" spans="1:27" ht="15.75" customHeight="1">
      <c r="A119" s="3947" t="s">
        <v>1755</v>
      </c>
      <c r="B119" s="3944">
        <f t="shared" ref="B119:G119" si="136">B16</f>
        <v>20647.598000000002</v>
      </c>
      <c r="C119" s="3944">
        <f t="shared" si="136"/>
        <v>20647.598000000002</v>
      </c>
      <c r="D119" s="3944">
        <f t="shared" si="136"/>
        <v>20647.598000000002</v>
      </c>
      <c r="E119" s="3944">
        <f t="shared" si="136"/>
        <v>46813.426999999996</v>
      </c>
      <c r="F119" s="3944">
        <f t="shared" si="136"/>
        <v>46813.426999999996</v>
      </c>
      <c r="G119" s="3944">
        <f t="shared" si="136"/>
        <v>46813.426999999996</v>
      </c>
      <c r="I119" s="3967" t="s">
        <v>1747</v>
      </c>
      <c r="J119" s="3987">
        <f>'10. Финансиране на ИП'!AN76*'10. Финансиране на ИП'!AN77</f>
        <v>0</v>
      </c>
      <c r="K119" s="3987">
        <f>'10. Финансиране на ИП'!AO76*'10. Финансиране на ИП'!AO77</f>
        <v>0</v>
      </c>
      <c r="L119" s="3987">
        <f>'10. Финансиране на ИП'!AP76*'10. Финансиране на ИП'!AP77</f>
        <v>0</v>
      </c>
      <c r="M119" s="3987">
        <f>'10. Финансиране на ИП'!AQ76*'10. Финансиране на ИП'!AQ77</f>
        <v>0</v>
      </c>
      <c r="N119" s="3987">
        <f>'10. Финансиране на ИП'!AR76*'10. Финансиране на ИП'!AR77</f>
        <v>0</v>
      </c>
      <c r="Q119" s="4275"/>
      <c r="S119" s="3979" t="s">
        <v>452</v>
      </c>
      <c r="T119" s="3944">
        <f t="shared" si="133"/>
        <v>243.60000000000002</v>
      </c>
      <c r="U119" s="3944">
        <f t="shared" si="133"/>
        <v>304.30529000000007</v>
      </c>
      <c r="V119" s="3944">
        <f t="shared" si="133"/>
        <v>324.55529000000007</v>
      </c>
      <c r="W119" s="3944">
        <f t="shared" si="133"/>
        <v>338.16529000000008</v>
      </c>
      <c r="X119" s="3944">
        <f t="shared" si="133"/>
        <v>311.11029000000013</v>
      </c>
      <c r="Y119" s="3944">
        <f t="shared" si="133"/>
        <v>333.07028999999989</v>
      </c>
      <c r="Z119" s="3949">
        <f t="shared" si="134"/>
        <v>0.2492006978653532</v>
      </c>
      <c r="AA119" s="3949">
        <f t="shared" si="135"/>
        <v>0.36728362068965459</v>
      </c>
    </row>
    <row r="120" spans="1:27" ht="15.75" customHeight="1">
      <c r="A120" s="3978" t="s">
        <v>1756</v>
      </c>
      <c r="B120" s="3992"/>
      <c r="C120" s="3974">
        <f>'11.2. ДА за периода'!G110</f>
        <v>0</v>
      </c>
      <c r="D120" s="3974">
        <f>'11.2. ДА за периода'!H110</f>
        <v>0</v>
      </c>
      <c r="E120" s="3974">
        <f>'11.2. ДА за периода'!I110</f>
        <v>26165.828999999998</v>
      </c>
      <c r="F120" s="3974">
        <f>'11.2. ДА за периода'!J110</f>
        <v>0</v>
      </c>
      <c r="G120" s="3974">
        <f>'11.2. ДА за периода'!K110</f>
        <v>0</v>
      </c>
      <c r="I120" s="3980" t="s">
        <v>959</v>
      </c>
      <c r="J120" s="3958"/>
      <c r="K120" s="3958"/>
      <c r="L120" s="3958"/>
      <c r="M120" s="3958"/>
      <c r="N120" s="3958"/>
      <c r="O120" s="3958"/>
      <c r="Q120" s="4275"/>
      <c r="S120" s="3995" t="s">
        <v>744</v>
      </c>
      <c r="T120" s="3944">
        <f t="shared" si="133"/>
        <v>85.3</v>
      </c>
      <c r="U120" s="3944">
        <f t="shared" si="133"/>
        <v>183.89837999999997</v>
      </c>
      <c r="V120" s="3944">
        <f t="shared" si="133"/>
        <v>326.84539000000001</v>
      </c>
      <c r="W120" s="3944">
        <f t="shared" si="133"/>
        <v>420.13049000000001</v>
      </c>
      <c r="X120" s="3944">
        <f t="shared" si="133"/>
        <v>440.52049000000005</v>
      </c>
      <c r="Y120" s="3944">
        <f t="shared" si="133"/>
        <v>448.11249000000009</v>
      </c>
      <c r="Z120" s="3949">
        <f t="shared" si="134"/>
        <v>1.1559012895662366</v>
      </c>
      <c r="AA120" s="3949">
        <f t="shared" si="135"/>
        <v>4.2533703399765548</v>
      </c>
    </row>
    <row r="121" spans="1:27" ht="15.75" customHeight="1">
      <c r="A121" s="3947" t="s">
        <v>178</v>
      </c>
      <c r="B121" s="3944">
        <f t="shared" ref="B121:G121" si="137">B34</f>
        <v>36750.383000000002</v>
      </c>
      <c r="C121" s="3944">
        <f t="shared" si="137"/>
        <v>36750.383000000002</v>
      </c>
      <c r="D121" s="3944">
        <f t="shared" si="137"/>
        <v>36750.383000000002</v>
      </c>
      <c r="E121" s="3944">
        <f t="shared" si="137"/>
        <v>67520.58</v>
      </c>
      <c r="F121" s="3944">
        <f t="shared" si="137"/>
        <v>67520.58</v>
      </c>
      <c r="G121" s="3944">
        <f t="shared" si="137"/>
        <v>67520.58</v>
      </c>
      <c r="I121" s="3959" t="s">
        <v>1713</v>
      </c>
      <c r="J121" s="3960" t="s">
        <v>1072</v>
      </c>
      <c r="K121" s="3960" t="s">
        <v>1073</v>
      </c>
      <c r="L121" s="3960" t="s">
        <v>1074</v>
      </c>
      <c r="M121" s="3960" t="s">
        <v>1075</v>
      </c>
      <c r="N121" s="3960" t="s">
        <v>1076</v>
      </c>
      <c r="O121" s="3961" t="s">
        <v>1714</v>
      </c>
      <c r="Q121" s="4275"/>
      <c r="S121" s="3995" t="s">
        <v>745</v>
      </c>
      <c r="T121" s="3944">
        <f t="shared" si="133"/>
        <v>450.01</v>
      </c>
      <c r="U121" s="3944">
        <f t="shared" si="133"/>
        <v>236.45000000000002</v>
      </c>
      <c r="V121" s="3944">
        <f t="shared" si="133"/>
        <v>190.35000000000002</v>
      </c>
      <c r="W121" s="3944">
        <f t="shared" si="133"/>
        <v>218.97</v>
      </c>
      <c r="X121" s="3944">
        <f t="shared" si="133"/>
        <v>537.38000000000011</v>
      </c>
      <c r="Y121" s="3944">
        <f t="shared" si="133"/>
        <v>531.19000000000005</v>
      </c>
      <c r="Z121" s="3949">
        <f t="shared" si="134"/>
        <v>-0.47456723183929239</v>
      </c>
      <c r="AA121" s="3949">
        <f t="shared" si="135"/>
        <v>0.1803959912001957</v>
      </c>
    </row>
    <row r="122" spans="1:27" ht="15.75" customHeight="1">
      <c r="A122" s="3978" t="s">
        <v>1756</v>
      </c>
      <c r="B122" s="3992"/>
      <c r="C122" s="3974">
        <f>'11.2. ДА за периода'!N110</f>
        <v>0</v>
      </c>
      <c r="D122" s="3974">
        <f>'11.2. ДА за периода'!O110</f>
        <v>0</v>
      </c>
      <c r="E122" s="3974">
        <f>'11.2. ДА за периода'!P110</f>
        <v>30770.197</v>
      </c>
      <c r="F122" s="3974">
        <f>'11.2. ДА за периода'!Q110</f>
        <v>0</v>
      </c>
      <c r="G122" s="3974">
        <f>'11.2. ДА за периода'!R110</f>
        <v>0</v>
      </c>
      <c r="I122" s="3965" t="s">
        <v>1708</v>
      </c>
      <c r="J122" s="3964">
        <f>'9.Инвестиционна програма'!H152</f>
        <v>3218.9230000000002</v>
      </c>
      <c r="K122" s="3964">
        <f>'9.Инвестиционна програма'!I152</f>
        <v>6086.7579999999998</v>
      </c>
      <c r="L122" s="3964">
        <f>'9.Инвестиционна програма'!J152</f>
        <v>530.09999999999991</v>
      </c>
      <c r="M122" s="3964">
        <f>'9.Инвестиционна програма'!K152</f>
        <v>323.90000000000003</v>
      </c>
      <c r="N122" s="3964">
        <f>'9.Инвестиционна програма'!L152</f>
        <v>325.3</v>
      </c>
      <c r="O122" s="3964">
        <f t="shared" ref="O122:O124" si="138">SUM(J122:N122)</f>
        <v>10484.981</v>
      </c>
      <c r="Q122" s="4275"/>
      <c r="S122" s="3998" t="s">
        <v>453</v>
      </c>
      <c r="T122" s="3944">
        <f t="shared" si="133"/>
        <v>3699.2</v>
      </c>
      <c r="U122" s="3944">
        <f t="shared" si="133"/>
        <v>4130.0200000000004</v>
      </c>
      <c r="V122" s="3944">
        <f t="shared" si="133"/>
        <v>4752.2879999999996</v>
      </c>
      <c r="W122" s="3944">
        <f t="shared" si="133"/>
        <v>5464.442</v>
      </c>
      <c r="X122" s="3944">
        <f t="shared" si="133"/>
        <v>6283.7249999999995</v>
      </c>
      <c r="Y122" s="3944">
        <f t="shared" si="133"/>
        <v>6456.5640000000003</v>
      </c>
      <c r="Z122" s="3949">
        <f t="shared" si="134"/>
        <v>0.11646301903114205</v>
      </c>
      <c r="AA122" s="3949">
        <f t="shared" si="135"/>
        <v>0.745394679930796</v>
      </c>
    </row>
    <row r="123" spans="1:27" ht="15.75" customHeight="1">
      <c r="A123" s="3947" t="s">
        <v>188</v>
      </c>
      <c r="B123" s="3944">
        <f t="shared" ref="B123:G123" si="139">B52</f>
        <v>2902</v>
      </c>
      <c r="C123" s="3944">
        <f t="shared" si="139"/>
        <v>2902</v>
      </c>
      <c r="D123" s="3944">
        <f t="shared" si="139"/>
        <v>2902</v>
      </c>
      <c r="E123" s="3944">
        <f t="shared" si="139"/>
        <v>21560.84</v>
      </c>
      <c r="F123" s="3944">
        <f t="shared" si="139"/>
        <v>21560.84</v>
      </c>
      <c r="G123" s="3944">
        <f t="shared" si="139"/>
        <v>21560.84</v>
      </c>
      <c r="I123" s="3962" t="s">
        <v>1715</v>
      </c>
      <c r="J123" s="3974">
        <f>'10. Финансиране на ИП'!AN18</f>
        <v>420.33999999999992</v>
      </c>
      <c r="K123" s="3974">
        <f>'10. Финансиране на ИП'!AO18</f>
        <v>517.20299999999997</v>
      </c>
      <c r="L123" s="3974">
        <f>'10. Финансиране на ИП'!AP18</f>
        <v>530.09999999999991</v>
      </c>
      <c r="M123" s="3974">
        <f>'10. Финансиране на ИП'!AQ18</f>
        <v>323.90000000000003</v>
      </c>
      <c r="N123" s="3974">
        <f>'10. Финансиране на ИП'!AR18</f>
        <v>325.3</v>
      </c>
      <c r="O123" s="3963">
        <f t="shared" si="138"/>
        <v>2116.8429999999998</v>
      </c>
      <c r="Q123" s="4275"/>
      <c r="S123" s="3994" t="s">
        <v>454</v>
      </c>
      <c r="T123" s="3944">
        <f t="shared" si="133"/>
        <v>1141.4969999999998</v>
      </c>
      <c r="U123" s="3944">
        <f t="shared" si="133"/>
        <v>1287.0999999999999</v>
      </c>
      <c r="V123" s="3944">
        <f t="shared" si="133"/>
        <v>1482.5</v>
      </c>
      <c r="W123" s="3944">
        <f t="shared" si="133"/>
        <v>1705.5</v>
      </c>
      <c r="X123" s="3944">
        <f t="shared" si="133"/>
        <v>1962.5</v>
      </c>
      <c r="Y123" s="3944">
        <f t="shared" si="133"/>
        <v>2254.5</v>
      </c>
      <c r="Z123" s="3949">
        <f t="shared" si="134"/>
        <v>0.12755443071685699</v>
      </c>
      <c r="AA123" s="3949">
        <f t="shared" si="135"/>
        <v>0.97503804214991396</v>
      </c>
    </row>
    <row r="124" spans="1:27" ht="15.75" customHeight="1">
      <c r="A124" s="3978" t="s">
        <v>1756</v>
      </c>
      <c r="B124" s="3992"/>
      <c r="C124" s="3974">
        <f>'11.2. ДА за периода'!U110</f>
        <v>0</v>
      </c>
      <c r="D124" s="3974">
        <f>'11.2. ДА за периода'!V110</f>
        <v>0</v>
      </c>
      <c r="E124" s="3974">
        <f>'11.2. ДА за периода'!W110</f>
        <v>18658.84</v>
      </c>
      <c r="F124" s="3974">
        <f>'11.2. ДА за периода'!X110</f>
        <v>0</v>
      </c>
      <c r="G124" s="3974">
        <f>'11.2. ДА за периода'!Y110</f>
        <v>0</v>
      </c>
      <c r="I124" s="3962" t="s">
        <v>1718</v>
      </c>
      <c r="J124" s="3974">
        <f>'10. Финансиране на ИП'!AN19</f>
        <v>2798.5829999999996</v>
      </c>
      <c r="K124" s="3974">
        <f>'10. Финансиране на ИП'!AO19</f>
        <v>5569.5550000000003</v>
      </c>
      <c r="L124" s="3974">
        <f>'10. Финансиране на ИП'!AP19</f>
        <v>0</v>
      </c>
      <c r="M124" s="3974">
        <f>'10. Финансиране на ИП'!AQ19</f>
        <v>0</v>
      </c>
      <c r="N124" s="3974">
        <f>'10. Финансиране на ИП'!AR19</f>
        <v>0</v>
      </c>
      <c r="O124" s="3963">
        <f t="shared" si="138"/>
        <v>8368.137999999999</v>
      </c>
      <c r="Q124" s="4275"/>
      <c r="S124" s="3994" t="s">
        <v>455</v>
      </c>
      <c r="T124" s="3944">
        <f t="shared" si="133"/>
        <v>709.53</v>
      </c>
      <c r="U124" s="3944">
        <f t="shared" si="133"/>
        <v>540.23500000000001</v>
      </c>
      <c r="V124" s="3944">
        <f t="shared" si="133"/>
        <v>477.84207030870903</v>
      </c>
      <c r="W124" s="3944">
        <f t="shared" si="133"/>
        <v>430.58298344395416</v>
      </c>
      <c r="X124" s="3944">
        <f t="shared" si="133"/>
        <v>397.7298965792005</v>
      </c>
      <c r="Y124" s="3944">
        <f t="shared" si="133"/>
        <v>374.38024767737221</v>
      </c>
      <c r="Z124" s="3949">
        <f t="shared" si="134"/>
        <v>-0.23860160951615852</v>
      </c>
      <c r="AA124" s="3949">
        <f t="shared" si="135"/>
        <v>-0.47235459011264891</v>
      </c>
    </row>
    <row r="125" spans="1:27" ht="15.75" customHeight="1">
      <c r="A125" s="3947" t="s">
        <v>1037</v>
      </c>
      <c r="B125" s="3944">
        <f t="shared" ref="B125:G125" si="140">B70</f>
        <v>339.6</v>
      </c>
      <c r="C125" s="3944">
        <f t="shared" si="140"/>
        <v>339.6</v>
      </c>
      <c r="D125" s="3944">
        <f t="shared" si="140"/>
        <v>339.6</v>
      </c>
      <c r="E125" s="3944">
        <f t="shared" si="140"/>
        <v>339.6</v>
      </c>
      <c r="F125" s="3944">
        <f t="shared" si="140"/>
        <v>339.6</v>
      </c>
      <c r="G125" s="3944">
        <f t="shared" si="140"/>
        <v>339.6</v>
      </c>
      <c r="I125" s="3980"/>
      <c r="J125" s="3969"/>
      <c r="K125" s="3969"/>
      <c r="L125" s="3969"/>
      <c r="M125" s="3969"/>
      <c r="N125" s="3969"/>
      <c r="O125" s="3970"/>
      <c r="Q125" s="4275"/>
      <c r="S125" s="3994" t="s">
        <v>272</v>
      </c>
      <c r="T125" s="3944">
        <f t="shared" si="133"/>
        <v>63.533000000000001</v>
      </c>
      <c r="U125" s="3944">
        <f t="shared" si="133"/>
        <v>73.47</v>
      </c>
      <c r="V125" s="3944">
        <f t="shared" si="133"/>
        <v>73.47</v>
      </c>
      <c r="W125" s="3944">
        <f t="shared" si="133"/>
        <v>73.070000000000007</v>
      </c>
      <c r="X125" s="3944">
        <f t="shared" si="133"/>
        <v>73.070000000000007</v>
      </c>
      <c r="Y125" s="3944">
        <f t="shared" si="133"/>
        <v>73.39</v>
      </c>
      <c r="Z125" s="3949">
        <f t="shared" si="134"/>
        <v>0.15640690664693935</v>
      </c>
      <c r="AA125" s="3949">
        <f t="shared" si="135"/>
        <v>0.15514771850849163</v>
      </c>
    </row>
    <row r="126" spans="1:27" ht="15.75" customHeight="1">
      <c r="A126" s="3978" t="s">
        <v>1756</v>
      </c>
      <c r="B126" s="3992"/>
      <c r="C126" s="3974">
        <f>'11.2. ДА за периода'!AB110</f>
        <v>0</v>
      </c>
      <c r="D126" s="3974">
        <f>'11.2. ДА за периода'!AC110</f>
        <v>0</v>
      </c>
      <c r="E126" s="3974">
        <f>'11.2. ДА за периода'!AD110</f>
        <v>0</v>
      </c>
      <c r="F126" s="3974">
        <f>'11.2. ДА за периода'!AE110</f>
        <v>0</v>
      </c>
      <c r="G126" s="3974">
        <f>'11.2. ДА за периода'!AF110</f>
        <v>0</v>
      </c>
      <c r="I126" s="3959" t="s">
        <v>1713</v>
      </c>
      <c r="J126" s="3960" t="s">
        <v>1072</v>
      </c>
      <c r="K126" s="3960" t="s">
        <v>1073</v>
      </c>
      <c r="L126" s="3960" t="s">
        <v>1074</v>
      </c>
      <c r="M126" s="3960" t="s">
        <v>1075</v>
      </c>
      <c r="N126" s="3960" t="s">
        <v>1076</v>
      </c>
      <c r="O126" s="3961" t="s">
        <v>1714</v>
      </c>
      <c r="Q126" s="4275"/>
      <c r="S126" s="3996" t="s">
        <v>282</v>
      </c>
      <c r="T126" s="3964">
        <f>SUM(T116:T118,T122:T125)</f>
        <v>13327.806999999999</v>
      </c>
      <c r="U126" s="3964">
        <f t="shared" ref="U126" si="141">SUM(U116:U118,U122:U125)</f>
        <v>13275.029963708519</v>
      </c>
      <c r="V126" s="3964">
        <f t="shared" ref="V126" si="142">SUM(V116:V118,V122:V125)</f>
        <v>13677.374776395143</v>
      </c>
      <c r="W126" s="3964">
        <f t="shared" ref="W126" si="143">SUM(W116:W118,W122:W125)</f>
        <v>14787.124174369503</v>
      </c>
      <c r="X126" s="3964">
        <f t="shared" ref="X126" si="144">SUM(X116:X118,X122:X125)</f>
        <v>15907.747154267698</v>
      </c>
      <c r="Y126" s="3964">
        <f t="shared" ref="Y126" si="145">SUM(Y116:Y118,Y122:Y125)</f>
        <v>16184.902495325017</v>
      </c>
      <c r="Z126" s="3976">
        <f t="shared" si="134"/>
        <v>-3.959919009292363E-3</v>
      </c>
      <c r="AA126" s="3976">
        <f t="shared" si="135"/>
        <v>0.214371013575228</v>
      </c>
    </row>
    <row r="127" spans="1:27" ht="15.75" customHeight="1">
      <c r="A127" s="3947" t="s">
        <v>1102</v>
      </c>
      <c r="B127" s="3944">
        <f t="shared" ref="B127:G127" si="146">B94</f>
        <v>0</v>
      </c>
      <c r="C127" s="3944">
        <f t="shared" si="146"/>
        <v>0</v>
      </c>
      <c r="D127" s="3944">
        <f t="shared" si="146"/>
        <v>0</v>
      </c>
      <c r="E127" s="3944">
        <f t="shared" si="146"/>
        <v>0</v>
      </c>
      <c r="F127" s="3944">
        <f t="shared" si="146"/>
        <v>0</v>
      </c>
      <c r="G127" s="3944">
        <f t="shared" si="146"/>
        <v>0</v>
      </c>
      <c r="I127" s="3948" t="s">
        <v>1715</v>
      </c>
      <c r="J127" s="3944">
        <f>J123</f>
        <v>420.33999999999992</v>
      </c>
      <c r="K127" s="3944">
        <f t="shared" ref="K127:N127" si="147">K123</f>
        <v>517.20299999999997</v>
      </c>
      <c r="L127" s="3944">
        <f t="shared" si="147"/>
        <v>530.09999999999991</v>
      </c>
      <c r="M127" s="3944">
        <f t="shared" si="147"/>
        <v>323.90000000000003</v>
      </c>
      <c r="N127" s="3944">
        <f t="shared" si="147"/>
        <v>325.3</v>
      </c>
      <c r="O127" s="3945">
        <f t="shared" ref="O127:O128" si="148">SUM(J127:N127)</f>
        <v>2116.8429999999998</v>
      </c>
      <c r="Q127" s="4275"/>
      <c r="S127" s="3977" t="s">
        <v>1766</v>
      </c>
      <c r="T127" s="3992"/>
      <c r="U127" s="3977">
        <f>U126-$T126</f>
        <v>-52.777036291479817</v>
      </c>
      <c r="V127" s="3977">
        <f t="shared" ref="V127" si="149">V126-$T126</f>
        <v>349.56777639514439</v>
      </c>
      <c r="W127" s="3977">
        <f t="shared" ref="W127" si="150">W126-$T126</f>
        <v>1459.3171743695038</v>
      </c>
      <c r="X127" s="3977">
        <f t="shared" ref="X127" si="151">X126-$T126</f>
        <v>2579.9401542676987</v>
      </c>
      <c r="Y127" s="3977">
        <f t="shared" ref="Y127" si="152">Y126-$T126</f>
        <v>2857.0954953250184</v>
      </c>
      <c r="Z127" s="3944">
        <f t="shared" si="134"/>
        <v>0</v>
      </c>
      <c r="AA127" s="3944">
        <f t="shared" si="135"/>
        <v>0</v>
      </c>
    </row>
    <row r="128" spans="1:27" ht="15.75" customHeight="1">
      <c r="A128" s="3978" t="s">
        <v>1756</v>
      </c>
      <c r="B128" s="3992"/>
      <c r="C128" s="3974">
        <f>'11.2. ДА за периода'!AI110</f>
        <v>0</v>
      </c>
      <c r="D128" s="3974">
        <f>'11.2. ДА за периода'!AJ110</f>
        <v>0</v>
      </c>
      <c r="E128" s="3974">
        <f>'11.2. ДА за периода'!AK110</f>
        <v>0</v>
      </c>
      <c r="F128" s="3974">
        <f>'11.2. ДА за периода'!AL110</f>
        <v>0</v>
      </c>
      <c r="G128" s="3974">
        <f>'11.2. ДА за периода'!AM110</f>
        <v>0</v>
      </c>
      <c r="I128" s="3971" t="s">
        <v>1719</v>
      </c>
      <c r="J128" s="3944">
        <f>'10. Финансиране на ИП'!AN24</f>
        <v>0</v>
      </c>
      <c r="K128" s="3944">
        <f>'10. Финансиране на ИП'!AO24</f>
        <v>0</v>
      </c>
      <c r="L128" s="3944">
        <f>'10. Финансиране на ИП'!AP24</f>
        <v>109</v>
      </c>
      <c r="M128" s="3944">
        <f>'10. Финансиране на ИП'!AQ24</f>
        <v>654</v>
      </c>
      <c r="N128" s="3944">
        <f>'10. Финансиране на ИП'!AR24</f>
        <v>654</v>
      </c>
      <c r="O128" s="3945">
        <f t="shared" si="148"/>
        <v>1417</v>
      </c>
      <c r="Q128" s="4275"/>
      <c r="S128" s="3994" t="s">
        <v>1764</v>
      </c>
      <c r="T128" s="3944">
        <f>T17+T38+T59</f>
        <v>7486</v>
      </c>
      <c r="U128" s="3944">
        <f t="shared" ref="U128:Y128" si="153">U17+U38+U59</f>
        <v>8745</v>
      </c>
      <c r="V128" s="3944">
        <f t="shared" si="153"/>
        <v>9164</v>
      </c>
      <c r="W128" s="3944">
        <f t="shared" si="153"/>
        <v>10098</v>
      </c>
      <c r="X128" s="3944">
        <f t="shared" si="153"/>
        <v>10630</v>
      </c>
      <c r="Y128" s="3944">
        <f t="shared" si="153"/>
        <v>10870</v>
      </c>
      <c r="Z128" s="3944">
        <f t="shared" si="134"/>
        <v>0.16818060379374833</v>
      </c>
      <c r="AA128" s="3944">
        <f t="shared" si="135"/>
        <v>0.45204381512156022</v>
      </c>
    </row>
    <row r="129" spans="1:27" ht="15.75" customHeight="1">
      <c r="A129" s="3966" t="s">
        <v>1753</v>
      </c>
      <c r="B129" s="3945">
        <f>SUM(B119,B121,B123,B125,B127)</f>
        <v>60639.580999999998</v>
      </c>
      <c r="C129" s="3945">
        <f t="shared" ref="C129:G129" si="154">SUM(C119,C121,C123,C125,C127)</f>
        <v>60639.580999999998</v>
      </c>
      <c r="D129" s="3945">
        <f t="shared" si="154"/>
        <v>60639.580999999998</v>
      </c>
      <c r="E129" s="3945">
        <f t="shared" si="154"/>
        <v>136234.44700000001</v>
      </c>
      <c r="F129" s="3945">
        <f t="shared" si="154"/>
        <v>136234.44700000001</v>
      </c>
      <c r="G129" s="3945">
        <f t="shared" si="154"/>
        <v>136234.44700000001</v>
      </c>
      <c r="I129" s="3989" t="s">
        <v>1741</v>
      </c>
      <c r="J129" s="3964">
        <f>SUM(J127:J128)</f>
        <v>420.33999999999992</v>
      </c>
      <c r="K129" s="3964">
        <f t="shared" ref="K129:N129" si="155">SUM(K127:K128)</f>
        <v>517.20299999999997</v>
      </c>
      <c r="L129" s="3964">
        <f t="shared" si="155"/>
        <v>639.09999999999991</v>
      </c>
      <c r="M129" s="3964">
        <f t="shared" si="155"/>
        <v>977.90000000000009</v>
      </c>
      <c r="N129" s="3964">
        <f t="shared" si="155"/>
        <v>979.3</v>
      </c>
      <c r="O129" s="3964">
        <f>SUM(J129:N129)</f>
        <v>3533.8429999999998</v>
      </c>
      <c r="Q129" s="4275"/>
      <c r="S129" s="3994" t="s">
        <v>1767</v>
      </c>
      <c r="T129" s="3944">
        <f t="shared" ref="T129:Y130" si="156">T18+T39+T60</f>
        <v>5035.3190000000004</v>
      </c>
      <c r="U129" s="3944">
        <f t="shared" si="156"/>
        <v>3630.1045410925199</v>
      </c>
      <c r="V129" s="3944">
        <f t="shared" si="156"/>
        <v>3427.8549340591462</v>
      </c>
      <c r="W129" s="3944">
        <f t="shared" si="156"/>
        <v>3470.1148491915073</v>
      </c>
      <c r="X129" s="3944">
        <f t="shared" si="156"/>
        <v>3749.4430664716983</v>
      </c>
      <c r="Y129" s="3944">
        <f t="shared" si="156"/>
        <v>3765.7037888590185</v>
      </c>
      <c r="Z129" s="3944">
        <f t="shared" si="134"/>
        <v>-0.27907158591292436</v>
      </c>
      <c r="AA129" s="3944">
        <f t="shared" si="135"/>
        <v>-0.25214196183816395</v>
      </c>
    </row>
    <row r="130" spans="1:27" ht="15.75" customHeight="1">
      <c r="I130" s="3972" t="s">
        <v>1720</v>
      </c>
      <c r="J130" s="3964">
        <f>'12. Разходи'!AX57</f>
        <v>183.89837999999997</v>
      </c>
      <c r="K130" s="3964">
        <f>'12. Разходи'!AY57</f>
        <v>326.84539000000001</v>
      </c>
      <c r="L130" s="3964">
        <f>'12. Разходи'!AZ57</f>
        <v>420.13049000000001</v>
      </c>
      <c r="M130" s="3964">
        <f>'12. Разходи'!BA57</f>
        <v>440.52049000000005</v>
      </c>
      <c r="N130" s="3964">
        <f>'12. Разходи'!BB57</f>
        <v>448.11249000000009</v>
      </c>
      <c r="O130" s="3964">
        <f t="shared" ref="O130:O135" si="157">SUM(J130:N130)</f>
        <v>1819.5072400000004</v>
      </c>
      <c r="Q130" s="4275"/>
      <c r="S130" s="3979" t="s">
        <v>1765</v>
      </c>
      <c r="T130" s="3944">
        <f t="shared" si="156"/>
        <v>3578</v>
      </c>
      <c r="U130" s="3944">
        <f t="shared" si="156"/>
        <v>1526</v>
      </c>
      <c r="V130" s="3944">
        <f t="shared" si="156"/>
        <v>1848</v>
      </c>
      <c r="W130" s="3944">
        <f t="shared" si="156"/>
        <v>1712</v>
      </c>
      <c r="X130" s="3944">
        <f t="shared" si="156"/>
        <v>1560</v>
      </c>
      <c r="Y130" s="3944">
        <f t="shared" si="156"/>
        <v>1737</v>
      </c>
      <c r="Z130" s="3949">
        <f t="shared" si="134"/>
        <v>-0.57350475125768585</v>
      </c>
      <c r="AA130" s="3949">
        <f t="shared" si="135"/>
        <v>-0.51453325880380096</v>
      </c>
    </row>
    <row r="131" spans="1:27" ht="15.75" customHeight="1">
      <c r="I131" s="3973" t="s">
        <v>1721</v>
      </c>
      <c r="J131" s="3974">
        <f>J130-J129</f>
        <v>-236.44161999999994</v>
      </c>
      <c r="K131" s="3974">
        <f>K130-K129</f>
        <v>-190.35760999999997</v>
      </c>
      <c r="L131" s="3974">
        <f>L130-L129</f>
        <v>-218.9695099999999</v>
      </c>
      <c r="M131" s="3974">
        <f>M130-M129</f>
        <v>-537.37950999999998</v>
      </c>
      <c r="N131" s="3974">
        <f>N130-N129</f>
        <v>-531.18750999999986</v>
      </c>
      <c r="O131" s="3963">
        <f t="shared" si="157"/>
        <v>-1714.3357599999995</v>
      </c>
      <c r="Q131" s="4275"/>
      <c r="S131" s="3994" t="s">
        <v>643</v>
      </c>
      <c r="T131" s="3944">
        <f>T20+T41+T62+T90+T111</f>
        <v>2024.21804</v>
      </c>
      <c r="U131" s="3944">
        <f t="shared" ref="U131:Y131" si="158">U20+U41+U62+U90+U111</f>
        <v>2433.1749999999997</v>
      </c>
      <c r="V131" s="3944">
        <f t="shared" si="158"/>
        <v>2499.3749999999995</v>
      </c>
      <c r="W131" s="3944">
        <f t="shared" si="158"/>
        <v>2573.4399999999996</v>
      </c>
      <c r="X131" s="3944">
        <f t="shared" si="158"/>
        <v>2657.8739999999998</v>
      </c>
      <c r="Y131" s="3944">
        <f t="shared" si="158"/>
        <v>2655.1749999999997</v>
      </c>
      <c r="Z131" s="3949">
        <f t="shared" si="134"/>
        <v>0.20203206962823025</v>
      </c>
      <c r="AA131" s="3949">
        <f t="shared" si="135"/>
        <v>0.3117040494313546</v>
      </c>
    </row>
    <row r="132" spans="1:27" ht="15.75" customHeight="1">
      <c r="I132" s="3972" t="s">
        <v>1722</v>
      </c>
      <c r="J132" s="3964">
        <f>'11. Амортиз. план'!G214+'11. Амортиз. план'!N214+'11. Амортиз. план'!U214+'11. Амортиз. план'!AB214+'11. Амортиз. план'!AI214</f>
        <v>1160.1130000000001</v>
      </c>
      <c r="K132" s="3964">
        <f>'11. Амортиз. план'!H214+'11. Амортиз. план'!O214+'11. Амортиз. план'!V214+'11. Амортиз. план'!AC214+'11. Амортиз. план'!AJ214</f>
        <v>1143.1130000000001</v>
      </c>
      <c r="L132" s="3964">
        <f>'11. Амортиз. план'!I214+'11. Амортиз. план'!P214+'11. Амортиз. план'!W214+'11. Амортиз. план'!AD214+'11. Амортиз. план'!AK214</f>
        <v>3437.2852800000005</v>
      </c>
      <c r="M132" s="3964">
        <f>'11. Амортиз. план'!J214+'11. Амортиз. план'!Q214+'11. Амортиз. план'!X214+'11. Амортиз. план'!AE214+'11. Амортиз. план'!AL214</f>
        <v>3434.2852800000005</v>
      </c>
      <c r="N132" s="3964">
        <f>'11. Амортиз. план'!K214+'11. Амортиз. план'!R214+'11. Амортиз. план'!Y214+'11. Амортиз. план'!AF214+'11. Амортиз. план'!AM214</f>
        <v>3434.2852800000005</v>
      </c>
      <c r="O132" s="3964">
        <f t="shared" si="157"/>
        <v>12609.081840000001</v>
      </c>
      <c r="Q132" s="4275"/>
      <c r="S132" s="3994" t="s">
        <v>1761</v>
      </c>
      <c r="T132" s="3944">
        <f>T21+T42+T63+T91+T112</f>
        <v>4255.0879999999997</v>
      </c>
      <c r="U132" s="3944">
        <f t="shared" ref="U132:Y132" si="159">U21+U42+U63+U91+U112</f>
        <v>3801.1292937085191</v>
      </c>
      <c r="V132" s="3944">
        <f t="shared" si="159"/>
        <v>3064.2480963951461</v>
      </c>
      <c r="W132" s="3944">
        <f t="shared" si="159"/>
        <v>3496.051394369505</v>
      </c>
      <c r="X132" s="3944">
        <f t="shared" si="159"/>
        <v>3226.5463742676989</v>
      </c>
      <c r="Y132" s="3944">
        <f t="shared" si="159"/>
        <v>3017.2807153250169</v>
      </c>
      <c r="Z132" s="3949">
        <f t="shared" si="134"/>
        <v>-0.10668609116697016</v>
      </c>
      <c r="AA132" s="3949">
        <f t="shared" si="135"/>
        <v>-0.29090051361452052</v>
      </c>
    </row>
    <row r="133" spans="1:27" ht="15.75" customHeight="1">
      <c r="I133" s="3972" t="s">
        <v>1723</v>
      </c>
      <c r="J133" s="3964">
        <f>'10. Финансиране на ИП'!AN31</f>
        <v>236.45000000000002</v>
      </c>
      <c r="K133" s="3964">
        <f>'10. Финансиране на ИП'!AO31</f>
        <v>190.35000000000002</v>
      </c>
      <c r="L133" s="3964">
        <f>'10. Финансиране на ИП'!AP31</f>
        <v>218.97</v>
      </c>
      <c r="M133" s="3964">
        <f>'10. Финансиране на ИП'!AQ31</f>
        <v>537.38000000000011</v>
      </c>
      <c r="N133" s="3964">
        <f>'10. Финансиране на ИП'!AR31</f>
        <v>531.19000000000005</v>
      </c>
      <c r="O133" s="3964">
        <f t="shared" si="157"/>
        <v>1714.3400000000001</v>
      </c>
      <c r="Q133" s="4275"/>
      <c r="S133" s="3991"/>
      <c r="T133" s="3991"/>
      <c r="U133" s="3991"/>
      <c r="V133" s="3991"/>
      <c r="W133" s="3991"/>
      <c r="X133" s="3991"/>
      <c r="Y133" s="3991"/>
      <c r="Z133" s="3991"/>
      <c r="AA133" s="3991"/>
    </row>
    <row r="134" spans="1:27" ht="15.75" customHeight="1">
      <c r="I134" s="3972" t="s">
        <v>1724</v>
      </c>
      <c r="J134" s="3976">
        <f t="shared" ref="J134:O134" si="160">IFERROR(J133/J132,0)</f>
        <v>0.20381635237257062</v>
      </c>
      <c r="K134" s="3976">
        <f t="shared" si="160"/>
        <v>0.16651897056546466</v>
      </c>
      <c r="L134" s="3976">
        <f t="shared" si="160"/>
        <v>6.3704342864436311E-2</v>
      </c>
      <c r="M134" s="3976">
        <f t="shared" si="160"/>
        <v>0.15647506138453357</v>
      </c>
      <c r="N134" s="3976">
        <f t="shared" si="160"/>
        <v>0.15467264851101711</v>
      </c>
      <c r="O134" s="3976">
        <f t="shared" si="160"/>
        <v>0.13596073225265068</v>
      </c>
      <c r="Q134" s="4275"/>
      <c r="S134" s="1491" t="s">
        <v>1776</v>
      </c>
      <c r="T134" s="3991"/>
      <c r="U134" s="3991"/>
      <c r="V134" s="3991"/>
      <c r="W134" s="3991"/>
      <c r="X134" s="3991"/>
      <c r="Y134" s="3991"/>
      <c r="Z134" s="3991"/>
      <c r="AA134" s="3991"/>
    </row>
    <row r="135" spans="1:27" ht="15.75" customHeight="1">
      <c r="I135" s="3982" t="s">
        <v>1739</v>
      </c>
      <c r="J135" s="3974">
        <f>J133+J131</f>
        <v>8.3800000000735508E-3</v>
      </c>
      <c r="K135" s="3974">
        <f>K133+K131</f>
        <v>-7.6099999999428292E-3</v>
      </c>
      <c r="L135" s="3974">
        <f>L133+L131</f>
        <v>4.9000000009868927E-4</v>
      </c>
      <c r="M135" s="3974">
        <f>M133+M131</f>
        <v>4.9000000012711098E-4</v>
      </c>
      <c r="N135" s="3974">
        <f>N133+N131</f>
        <v>2.4900000001935041E-3</v>
      </c>
      <c r="O135" s="3963">
        <f t="shared" si="157"/>
        <v>4.240000000550026E-3</v>
      </c>
      <c r="Q135" s="4275"/>
      <c r="S135" s="5685" t="s">
        <v>1772</v>
      </c>
      <c r="T135" s="5686" t="s">
        <v>212</v>
      </c>
      <c r="U135" s="5687"/>
      <c r="V135" s="5687"/>
      <c r="W135" s="5687"/>
      <c r="X135" s="5687"/>
      <c r="Y135" s="5688"/>
      <c r="Z135" s="3991"/>
      <c r="AA135" s="3991"/>
    </row>
    <row r="136" spans="1:27" ht="15.75" customHeight="1">
      <c r="Q136" s="4275"/>
      <c r="S136" s="5685"/>
      <c r="T136" s="3993" t="s">
        <v>119</v>
      </c>
      <c r="U136" s="3993" t="s">
        <v>1072</v>
      </c>
      <c r="V136" s="3993" t="s">
        <v>1073</v>
      </c>
      <c r="W136" s="3993" t="s">
        <v>1074</v>
      </c>
      <c r="X136" s="3993" t="s">
        <v>1771</v>
      </c>
      <c r="Y136" s="3993" t="s">
        <v>1076</v>
      </c>
      <c r="Z136" s="3991"/>
      <c r="AA136" s="3991"/>
    </row>
    <row r="137" spans="1:27" ht="15.75" customHeight="1">
      <c r="I137" s="3988" t="s">
        <v>1742</v>
      </c>
      <c r="J137" s="3960" t="s">
        <v>1072</v>
      </c>
      <c r="K137" s="3960" t="s">
        <v>1073</v>
      </c>
      <c r="L137" s="3960" t="s">
        <v>1074</v>
      </c>
      <c r="M137" s="3960" t="s">
        <v>1075</v>
      </c>
      <c r="N137" s="3960" t="s">
        <v>1076</v>
      </c>
      <c r="Q137" s="4275"/>
      <c r="S137" s="3994" t="str">
        <f>'12.2.Нови дейности или обекти'!C57</f>
        <v>2 БР. КПС</v>
      </c>
      <c r="T137" s="3944"/>
      <c r="U137" s="3944">
        <f>'12.2.Нови дейности или обекти'!C21</f>
        <v>0</v>
      </c>
      <c r="V137" s="3944">
        <f>'12.2.Нови дейности или обекти'!D21</f>
        <v>0</v>
      </c>
      <c r="W137" s="3944">
        <f>'12.2.Нови дейности или обекти'!E21</f>
        <v>0</v>
      </c>
      <c r="X137" s="3944">
        <f>'12.2.Нови дейности или обекти'!F21</f>
        <v>0</v>
      </c>
      <c r="Y137" s="3944">
        <f>'12.2.Нови дейности или обекти'!G21</f>
        <v>0</v>
      </c>
      <c r="Z137" s="3991"/>
      <c r="AA137" s="3991"/>
    </row>
    <row r="138" spans="1:27" ht="15.75" customHeight="1">
      <c r="I138" s="3967" t="s">
        <v>1748</v>
      </c>
      <c r="J138" s="3986">
        <f>'10. Финансиране на ИП'!AN59*'10. Финансиране на ИП'!AN67</f>
        <v>0</v>
      </c>
      <c r="K138" s="3986">
        <f>'10. Финансиране на ИП'!AO59*'10. Финансиране на ИП'!AO67</f>
        <v>0</v>
      </c>
      <c r="L138" s="3986">
        <f>'10. Финансиране на ИП'!AP59*'10. Финансиране на ИП'!AP67</f>
        <v>0</v>
      </c>
      <c r="M138" s="3986">
        <f>'10. Финансиране на ИП'!AQ59*'10. Финансиране на ИП'!AQ67</f>
        <v>0</v>
      </c>
      <c r="N138" s="3986">
        <f>'10. Финансиране на ИП'!AR59*'10. Финансиране на ИП'!AR67</f>
        <v>0</v>
      </c>
      <c r="Q138" s="4275"/>
      <c r="S138" s="3994">
        <f>'12.2.Нови дейности или обекти'!I10</f>
        <v>0</v>
      </c>
      <c r="T138" s="3944"/>
      <c r="U138" s="3944">
        <f>'12.2.Нови дейности или обекти'!I21</f>
        <v>0</v>
      </c>
      <c r="V138" s="3944">
        <f>'12.2.Нови дейности или обекти'!J21</f>
        <v>0</v>
      </c>
      <c r="W138" s="3944">
        <f>'12.2.Нови дейности или обекти'!K21</f>
        <v>0</v>
      </c>
      <c r="X138" s="3944">
        <f>'12.2.Нови дейности или обекти'!L21</f>
        <v>0</v>
      </c>
      <c r="Y138" s="3944">
        <f>'12.2.Нови дейности или обекти'!M21</f>
        <v>0</v>
      </c>
      <c r="Z138" s="3991"/>
      <c r="AA138" s="3991"/>
    </row>
    <row r="139" spans="1:27" ht="15.75" customHeight="1">
      <c r="I139" s="3983" t="s">
        <v>1743</v>
      </c>
      <c r="J139" s="3984">
        <f>'10. Финансиране на ИП'!AN60*'10. Финансиране на ИП'!AN67</f>
        <v>0</v>
      </c>
      <c r="K139" s="3952">
        <f>'10. Финансиране на ИП'!AO60*'10. Финансиране на ИП'!AO67</f>
        <v>0</v>
      </c>
      <c r="L139" s="3952">
        <f>'10. Финансиране на ИП'!AP60*'10. Финансиране на ИП'!AP67</f>
        <v>0</v>
      </c>
      <c r="M139" s="3984">
        <f>'10. Финансиране на ИП'!AQ60*'10. Финансиране на ИП'!AQ67</f>
        <v>0</v>
      </c>
      <c r="N139" s="3984">
        <f>'10. Финансиране на ИП'!AR60*'10. Финансиране на ИП'!AR67</f>
        <v>0</v>
      </c>
      <c r="Q139" s="4275"/>
      <c r="S139" s="3994">
        <f>'12.2.Нови дейности или обекти'!O10</f>
        <v>0</v>
      </c>
      <c r="T139" s="3944"/>
      <c r="U139" s="3944">
        <f>'12.2.Нови дейности или обекти'!O21</f>
        <v>0</v>
      </c>
      <c r="V139" s="3944">
        <f>'12.2.Нови дейности или обекти'!P21</f>
        <v>0</v>
      </c>
      <c r="W139" s="3944">
        <f>'12.2.Нови дейности или обекти'!Q21</f>
        <v>0</v>
      </c>
      <c r="X139" s="3944">
        <f>'12.2.Нови дейности или обекти'!R21</f>
        <v>0</v>
      </c>
      <c r="Y139" s="3944">
        <f>'12.2.Нови дейности или обекти'!S21</f>
        <v>0</v>
      </c>
      <c r="Z139" s="3991"/>
      <c r="AA139" s="3991"/>
    </row>
    <row r="140" spans="1:27" ht="15.75" customHeight="1">
      <c r="I140" s="3983" t="s">
        <v>1744</v>
      </c>
      <c r="J140" s="3984">
        <f>'10. Финансиране на ИП'!AN61*'10. Финансиране на ИП'!AN67</f>
        <v>0</v>
      </c>
      <c r="K140" s="3952">
        <f>'10. Финансиране на ИП'!AO61*'10. Финансиране на ИП'!AO67</f>
        <v>0</v>
      </c>
      <c r="L140" s="3952">
        <f>'10. Финансиране на ИП'!AP61*'10. Финансиране на ИП'!AP67</f>
        <v>0</v>
      </c>
      <c r="M140" s="3952">
        <f>'10. Финансиране на ИП'!AQ61*'10. Финансиране на ИП'!AQ67</f>
        <v>0</v>
      </c>
      <c r="N140" s="3952">
        <f>'10. Финансиране на ИП'!AR61*'10. Финансиране на ИП'!AR67</f>
        <v>0</v>
      </c>
      <c r="Q140" s="4275"/>
      <c r="S140" s="3994">
        <f>'12.2.Нови дейности или обекти'!U10</f>
        <v>0</v>
      </c>
      <c r="T140" s="3944"/>
      <c r="U140" s="3944">
        <f>'12.2.Нови дейности или обекти'!U21</f>
        <v>0</v>
      </c>
      <c r="V140" s="3944">
        <f>'12.2.Нови дейности или обекти'!V21</f>
        <v>0</v>
      </c>
      <c r="W140" s="3944">
        <f>'12.2.Нови дейности или обекти'!W21</f>
        <v>0</v>
      </c>
      <c r="X140" s="3944">
        <f>'12.2.Нови дейности или обекти'!X21</f>
        <v>0</v>
      </c>
      <c r="Y140" s="3944">
        <f>'12.2.Нови дейности или обекти'!Y21</f>
        <v>0</v>
      </c>
      <c r="Z140" s="3991"/>
      <c r="AA140" s="3991"/>
    </row>
    <row r="141" spans="1:27" ht="15.75" customHeight="1">
      <c r="I141" s="3967" t="s">
        <v>1745</v>
      </c>
      <c r="J141" s="3985">
        <f>'10. Финансиране на ИП'!AN62*'10. Финансиране на ИП'!AN67</f>
        <v>0</v>
      </c>
      <c r="K141" s="3985">
        <f>'10. Финансиране на ИП'!AO62*'10. Финансиране на ИП'!AO67</f>
        <v>0</v>
      </c>
      <c r="L141" s="3985">
        <f>'10. Финансиране на ИП'!AP62*'10. Финансиране на ИП'!AP67</f>
        <v>0</v>
      </c>
      <c r="M141" s="3985">
        <f>'10. Финансиране на ИП'!AQ62*'10. Финансиране на ИП'!AQ67</f>
        <v>0</v>
      </c>
      <c r="N141" s="3985">
        <f>'10. Финансиране на ИП'!AR62*'10. Финансиране на ИП'!AR67</f>
        <v>0</v>
      </c>
      <c r="Q141" s="4275"/>
      <c r="S141" s="3994">
        <f>'12.2.Нови дейности или обекти'!AA10</f>
        <v>0</v>
      </c>
      <c r="T141" s="3944"/>
      <c r="U141" s="3944">
        <f>'12.2.Нови дейности или обекти'!AA21</f>
        <v>0</v>
      </c>
      <c r="V141" s="3944">
        <f>'12.2.Нови дейности или обекти'!AB21</f>
        <v>0</v>
      </c>
      <c r="W141" s="3944">
        <f>'12.2.Нови дейности или обекти'!AC21</f>
        <v>0</v>
      </c>
      <c r="X141" s="3944">
        <f>'12.2.Нови дейности или обекти'!AD21</f>
        <v>0</v>
      </c>
      <c r="Y141" s="3944">
        <f>'12.2.Нови дейности или обекти'!AE21</f>
        <v>0</v>
      </c>
      <c r="Z141" s="3991"/>
      <c r="AA141" s="3991"/>
    </row>
    <row r="142" spans="1:27" ht="15.75" customHeight="1">
      <c r="I142" s="3983" t="s">
        <v>203</v>
      </c>
      <c r="J142" s="3953">
        <f>'10. Финансиране на ИП'!AN63</f>
        <v>0</v>
      </c>
      <c r="K142" s="3953">
        <f>'10. Финансиране на ИП'!AO63</f>
        <v>0</v>
      </c>
      <c r="L142" s="3953">
        <f>'10. Финансиране на ИП'!AP63</f>
        <v>0</v>
      </c>
      <c r="M142" s="3953">
        <f>'10. Финансиране на ИП'!AQ63</f>
        <v>0</v>
      </c>
      <c r="N142" s="3953">
        <f>'10. Финансиране на ИП'!AR63</f>
        <v>0</v>
      </c>
      <c r="Q142" s="4275"/>
      <c r="S142" s="3994">
        <f>'12.2.Нови дейности или обекти'!C33</f>
        <v>0</v>
      </c>
      <c r="T142" s="3944"/>
      <c r="U142" s="3944">
        <f>'12.2.Нови дейности или обекти'!C44</f>
        <v>0</v>
      </c>
      <c r="V142" s="3944">
        <f>'12.2.Нови дейности или обекти'!D44</f>
        <v>0</v>
      </c>
      <c r="W142" s="3944">
        <f>'12.2.Нови дейности или обекти'!E44</f>
        <v>0</v>
      </c>
      <c r="X142" s="3944">
        <f>'12.2.Нови дейности или обекти'!F44</f>
        <v>0</v>
      </c>
      <c r="Y142" s="3944">
        <f>'12.2.Нови дейности или обекти'!G44</f>
        <v>0</v>
      </c>
    </row>
    <row r="143" spans="1:27" ht="15.75" customHeight="1">
      <c r="I143" s="3967" t="s">
        <v>1746</v>
      </c>
      <c r="J143" s="3943">
        <f>'10. Финансиране на ИП'!AN64*'10. Финансиране на ИП'!AN67</f>
        <v>0</v>
      </c>
      <c r="K143" s="3943">
        <f>'10. Финансиране на ИП'!AO64*'10. Финансиране на ИП'!AO67</f>
        <v>0</v>
      </c>
      <c r="L143" s="3943">
        <f>'10. Финансиране на ИП'!AP64*'10. Финансиране на ИП'!AP67</f>
        <v>0</v>
      </c>
      <c r="M143" s="3943">
        <f>'10. Финансиране на ИП'!AQ64*'10. Финансиране на ИП'!AQ67</f>
        <v>0</v>
      </c>
      <c r="N143" s="3943">
        <f>'10. Финансиране на ИП'!AR64*'10. Финансиране на ИП'!AR67</f>
        <v>0</v>
      </c>
      <c r="Q143" s="4275"/>
      <c r="S143" s="3994">
        <f>'12.2.Нови дейности или обекти'!I33</f>
        <v>0</v>
      </c>
      <c r="T143" s="3944"/>
      <c r="U143" s="3944">
        <f>'12.2.Нови дейности или обекти'!I44</f>
        <v>0</v>
      </c>
      <c r="V143" s="3944">
        <f>'12.2.Нови дейности или обекти'!J44</f>
        <v>0</v>
      </c>
      <c r="W143" s="3944">
        <f>'12.2.Нови дейности или обекти'!K44</f>
        <v>0</v>
      </c>
      <c r="X143" s="3944">
        <f>'12.2.Нови дейности или обекти'!L44</f>
        <v>0</v>
      </c>
      <c r="Y143" s="3944">
        <f>'12.2.Нови дейности или обекти'!M44</f>
        <v>0</v>
      </c>
    </row>
    <row r="144" spans="1:27" ht="15.75" customHeight="1">
      <c r="I144" s="3967" t="s">
        <v>1747</v>
      </c>
      <c r="J144" s="3943">
        <f>'10. Финансиране на ИП'!AN65*'10. Финансиране на ИП'!AN67</f>
        <v>0</v>
      </c>
      <c r="K144" s="3943">
        <f>'10. Финансиране на ИП'!AO65*'10. Финансиране на ИП'!AO67</f>
        <v>0</v>
      </c>
      <c r="L144" s="3943">
        <f>'10. Финансиране на ИП'!AP65*'10. Финансиране на ИП'!AP67</f>
        <v>0</v>
      </c>
      <c r="M144" s="3987">
        <f>'10. Финансиране на ИП'!AQ65*'10. Финансиране на ИП'!AQ67</f>
        <v>0</v>
      </c>
      <c r="N144" s="3987">
        <f>'10. Финансиране на ИП'!AR65*'10. Финансиране на ИП'!AR67</f>
        <v>0</v>
      </c>
      <c r="Q144" s="4275"/>
      <c r="S144" s="3994">
        <f>'12.2.Нови дейности или обекти'!O33:T33</f>
        <v>0</v>
      </c>
      <c r="T144" s="3944"/>
      <c r="U144" s="3944">
        <f>'12.2.Нови дейности или обекти'!O44</f>
        <v>0</v>
      </c>
      <c r="V144" s="3944">
        <f>'12.2.Нови дейности или обекти'!P44</f>
        <v>0</v>
      </c>
      <c r="W144" s="3944">
        <f>'12.2.Нови дейности или обекти'!Q44</f>
        <v>0</v>
      </c>
      <c r="X144" s="3944">
        <f>'12.2.Нови дейности или обекти'!R44</f>
        <v>0</v>
      </c>
      <c r="Y144" s="3944">
        <f>'12.2.Нови дейности или обекти'!S44</f>
        <v>0</v>
      </c>
    </row>
    <row r="145" spans="9:25" ht="15.75" customHeight="1">
      <c r="I145" s="3988" t="s">
        <v>1740</v>
      </c>
      <c r="J145" s="3960" t="s">
        <v>1072</v>
      </c>
      <c r="K145" s="3960" t="s">
        <v>1073</v>
      </c>
      <c r="L145" s="3960" t="s">
        <v>1074</v>
      </c>
      <c r="M145" s="3960" t="s">
        <v>1075</v>
      </c>
      <c r="N145" s="3960" t="s">
        <v>1076</v>
      </c>
      <c r="Q145" s="4275"/>
      <c r="S145" s="3994">
        <f>'12.2.Нови дейности или обекти'!U33</f>
        <v>0</v>
      </c>
      <c r="T145" s="3944"/>
      <c r="U145" s="3944">
        <f>'12.2.Нови дейности или обекти'!U44</f>
        <v>0</v>
      </c>
      <c r="V145" s="3944">
        <f>'12.2.Нови дейности или обекти'!V44</f>
        <v>0</v>
      </c>
      <c r="W145" s="3944">
        <f>'12.2.Нови дейности или обекти'!W44</f>
        <v>0</v>
      </c>
      <c r="X145" s="3944">
        <f>'12.2.Нови дейности или обекти'!X44</f>
        <v>0</v>
      </c>
      <c r="Y145" s="3944">
        <f>'12.2.Нови дейности или обекти'!Y44</f>
        <v>0</v>
      </c>
    </row>
    <row r="146" spans="9:25" ht="15.75" customHeight="1">
      <c r="I146" s="3967" t="s">
        <v>1748</v>
      </c>
      <c r="J146" s="3986">
        <f>'10. Финансиране на ИП'!AN70*'10. Финансиране на ИП'!AN78</f>
        <v>103.18600000000001</v>
      </c>
      <c r="K146" s="3986">
        <f>'10. Финансиране на ИП'!AO70*'10. Финансиране на ИП'!AO78</f>
        <v>2901.7689999999998</v>
      </c>
      <c r="L146" s="3986">
        <f>'10. Финансиране на ИП'!AP70*'10. Финансиране на ИП'!AP78</f>
        <v>8471.3240000000005</v>
      </c>
      <c r="M146" s="3986">
        <f>'10. Финансиране на ИП'!AQ70*'10. Финансиране на ИП'!AQ78</f>
        <v>8362.3240000000005</v>
      </c>
      <c r="N146" s="3986">
        <f>'10. Финансиране на ИП'!AR70*'10. Финансиране на ИП'!AR78</f>
        <v>7708.3240000000005</v>
      </c>
      <c r="S146" s="3994">
        <f>'12.2.Нови дейности или обекти'!AA33</f>
        <v>0</v>
      </c>
      <c r="T146" s="3944"/>
      <c r="U146" s="3944">
        <f>'12.2.Нови дейности или обекти'!AA44</f>
        <v>0</v>
      </c>
      <c r="V146" s="3944">
        <f>'12.2.Нови дейности или обекти'!AB44</f>
        <v>0</v>
      </c>
      <c r="W146" s="3944">
        <f>'12.2.Нови дейности или обекти'!AC44</f>
        <v>0</v>
      </c>
      <c r="X146" s="3944">
        <f>'12.2.Нови дейности или обекти'!AD44</f>
        <v>0</v>
      </c>
      <c r="Y146" s="3944">
        <f>'12.2.Нови дейности или обекти'!AE44</f>
        <v>0</v>
      </c>
    </row>
    <row r="147" spans="9:25" ht="15.75" customHeight="1">
      <c r="I147" s="3983" t="s">
        <v>1743</v>
      </c>
      <c r="J147" s="3984">
        <f>'10. Финансиране на ИП'!AN71*'10. Финансиране на ИП'!AN78</f>
        <v>2798.5829999999996</v>
      </c>
      <c r="K147" s="3952">
        <f>'10. Финансиране на ИП'!AO71*'10. Финансиране на ИП'!AO78</f>
        <v>5569.5550000000003</v>
      </c>
      <c r="L147" s="3952">
        <f>'10. Финансиране на ИП'!AP71*'10. Финансиране на ИП'!AP78</f>
        <v>0</v>
      </c>
      <c r="M147" s="3984">
        <f>'10. Финансиране на ИП'!AQ71*'10. Финансиране на ИП'!AQ78</f>
        <v>0</v>
      </c>
      <c r="N147" s="3984">
        <f>'10. Финансиране на ИП'!AR71*'10. Финансиране на ИП'!AR78</f>
        <v>0</v>
      </c>
      <c r="S147" s="3996" t="s">
        <v>1775</v>
      </c>
      <c r="T147" s="3964">
        <f>SUM(T137:T146)</f>
        <v>0</v>
      </c>
      <c r="U147" s="3964">
        <f t="shared" ref="U147:Y147" si="161">SUM(U137:U146)</f>
        <v>0</v>
      </c>
      <c r="V147" s="3964">
        <f t="shared" si="161"/>
        <v>0</v>
      </c>
      <c r="W147" s="3964">
        <f t="shared" si="161"/>
        <v>0</v>
      </c>
      <c r="X147" s="3964">
        <f t="shared" si="161"/>
        <v>0</v>
      </c>
      <c r="Y147" s="3964">
        <f t="shared" si="161"/>
        <v>0</v>
      </c>
    </row>
    <row r="148" spans="9:25" ht="15.75" customHeight="1">
      <c r="I148" s="3983" t="s">
        <v>1744</v>
      </c>
      <c r="J148" s="3984">
        <f>'10. Финансиране на ИП'!AN72*'10. Финансиране на ИП'!AN78</f>
        <v>0</v>
      </c>
      <c r="K148" s="3952">
        <f>'10. Финансиране на ИП'!AO72*'10. Финансиране на ИП'!AO78</f>
        <v>0</v>
      </c>
      <c r="L148" s="3952">
        <f>'10. Финансиране на ИП'!AP72*'10. Финансиране на ИП'!AP78</f>
        <v>109</v>
      </c>
      <c r="M148" s="3952">
        <f>'10. Финансиране на ИП'!AQ72*'10. Финансиране на ИП'!AQ78</f>
        <v>654</v>
      </c>
      <c r="N148" s="3952">
        <f>'10. Финансиране на ИП'!AR72*'10. Финансиране на ИП'!AR78</f>
        <v>654</v>
      </c>
      <c r="S148" s="5689" t="s">
        <v>1772</v>
      </c>
      <c r="T148" s="5686" t="s">
        <v>178</v>
      </c>
      <c r="U148" s="5687"/>
      <c r="V148" s="5687"/>
      <c r="W148" s="5687"/>
      <c r="X148" s="5687"/>
      <c r="Y148" s="5688"/>
    </row>
    <row r="149" spans="9:25" ht="15.75" customHeight="1">
      <c r="I149" s="3967" t="s">
        <v>1745</v>
      </c>
      <c r="J149" s="3985">
        <f>'10. Финансиране на ИП'!AN73*'10. Финансиране на ИП'!AN78</f>
        <v>4</v>
      </c>
      <c r="K149" s="3985">
        <f>'10. Финансиране на ИП'!AO73*'10. Финансиране на ИП'!AO78</f>
        <v>98</v>
      </c>
      <c r="L149" s="3985">
        <f>'10. Финансиране на ИП'!AP73*'10. Финансиране на ИП'!AP78</f>
        <v>163</v>
      </c>
      <c r="M149" s="3985">
        <f>'10. Финансиране на ИП'!AQ73*'10. Финансиране на ИП'!AQ78</f>
        <v>155</v>
      </c>
      <c r="N149" s="3985">
        <f>'10. Финансиране на ИП'!AR73*'10. Финансиране на ИП'!AR78</f>
        <v>143</v>
      </c>
      <c r="S149" s="5690"/>
      <c r="T149" s="3993" t="s">
        <v>119</v>
      </c>
      <c r="U149" s="3993" t="s">
        <v>1072</v>
      </c>
      <c r="V149" s="3993" t="s">
        <v>1073</v>
      </c>
      <c r="W149" s="3993" t="s">
        <v>1074</v>
      </c>
      <c r="X149" s="3993" t="s">
        <v>1771</v>
      </c>
      <c r="Y149" s="3993" t="s">
        <v>1076</v>
      </c>
    </row>
    <row r="150" spans="9:25" ht="15.75" customHeight="1">
      <c r="I150" s="3983" t="s">
        <v>203</v>
      </c>
      <c r="J150" s="3953">
        <f>'10. Финансиране на ИП'!AN74</f>
        <v>1.3784694784457344E-3</v>
      </c>
      <c r="K150" s="3953">
        <f>'10. Финансиране на ИП'!AO74</f>
        <v>1.1568439596927233E-2</v>
      </c>
      <c r="L150" s="3953">
        <f>'10. Финансиране на ИП'!AP74</f>
        <v>1.9365974624157518E-2</v>
      </c>
      <c r="M150" s="3953">
        <f>'10. Финансиране на ИП'!AQ74</f>
        <v>1.9289825774293605E-2</v>
      </c>
      <c r="N150" s="3953">
        <f>'10. Финансиране на ИП'!AR74</f>
        <v>1.9373218138100969E-2</v>
      </c>
      <c r="S150" s="3994" t="e">
        <f>'12.2.Нови дейности или обекти'!#REF!</f>
        <v>#REF!</v>
      </c>
      <c r="T150" s="3944"/>
      <c r="U150" s="3944">
        <f>'12.2.Нови дейности или обекти'!C68</f>
        <v>0</v>
      </c>
      <c r="V150" s="3944">
        <f>'12.2.Нови дейности или обекти'!D68</f>
        <v>0</v>
      </c>
      <c r="W150" s="3944">
        <f>'12.2.Нови дейности или обекти'!E68</f>
        <v>226.306740558</v>
      </c>
      <c r="X150" s="3944">
        <f>'12.2.Нови дейности или обекти'!F68</f>
        <v>226.306740558</v>
      </c>
      <c r="Y150" s="3944">
        <f>'12.2.Нови дейности или обекти'!G68</f>
        <v>226.306740558</v>
      </c>
    </row>
    <row r="151" spans="9:25" ht="15.75" customHeight="1">
      <c r="I151" s="3967" t="s">
        <v>1746</v>
      </c>
      <c r="J151" s="3943">
        <f>'10. Финансиране на ИП'!AN75*'10. Финансиране на ИП'!AN78</f>
        <v>4</v>
      </c>
      <c r="K151" s="3943">
        <f>'10. Финансиране на ИП'!AO75*'10. Финансиране на ИП'!AO78</f>
        <v>98</v>
      </c>
      <c r="L151" s="3943">
        <f>'10. Финансиране на ИП'!AP75*'10. Финансиране на ИП'!AP78</f>
        <v>272</v>
      </c>
      <c r="M151" s="3943">
        <f>'10. Финансиране на ИП'!AQ75*'10. Финансиране на ИП'!AQ78</f>
        <v>809</v>
      </c>
      <c r="N151" s="3943">
        <f>'10. Финансиране на ИП'!AR75*'10. Финансиране на ИП'!AR78</f>
        <v>797</v>
      </c>
      <c r="S151" s="3994">
        <f>'12.2.Нови дейности или обекти'!I57</f>
        <v>0</v>
      </c>
      <c r="T151" s="3944"/>
      <c r="U151" s="3944">
        <f>'12.2.Нови дейности или обекти'!I68</f>
        <v>0</v>
      </c>
      <c r="V151" s="3944">
        <f>'12.2.Нови дейности или обекти'!J68</f>
        <v>0</v>
      </c>
      <c r="W151" s="3944">
        <f>'12.2.Нови дейности или обекти'!K68</f>
        <v>0</v>
      </c>
      <c r="X151" s="3944">
        <f>'12.2.Нови дейности или обекти'!L68</f>
        <v>0</v>
      </c>
      <c r="Y151" s="3944">
        <f>'12.2.Нови дейности или обекти'!M68</f>
        <v>0</v>
      </c>
    </row>
    <row r="152" spans="9:25" ht="15.75" customHeight="1">
      <c r="I152" s="3967" t="s">
        <v>1747</v>
      </c>
      <c r="J152" s="3943">
        <f>'10. Финансиране на ИП'!AN76*'10. Финансиране на ИП'!AN78</f>
        <v>2901.7689999999998</v>
      </c>
      <c r="K152" s="3943">
        <f>'10. Финансиране на ИП'!AO76*'10. Финансиране на ИП'!AO78</f>
        <v>8471.3240000000005</v>
      </c>
      <c r="L152" s="3943">
        <f>'10. Финансиране на ИП'!AP76*'10. Финансиране на ИП'!AP78</f>
        <v>8362.3240000000005</v>
      </c>
      <c r="M152" s="3987">
        <f>'10. Финансиране на ИП'!AQ76*'10. Финансиране на ИП'!AQ78</f>
        <v>7708.3240000000005</v>
      </c>
      <c r="N152" s="3987">
        <f>'10. Финансиране на ИП'!AR76*'10. Финансиране на ИП'!AR78</f>
        <v>7054.3240000000005</v>
      </c>
      <c r="S152" s="3994">
        <f>'12.2.Нови дейности или обекти'!O57</f>
        <v>0</v>
      </c>
      <c r="T152" s="3944"/>
      <c r="U152" s="3944">
        <f>'12.2.Нови дейности или обекти'!O68</f>
        <v>0</v>
      </c>
      <c r="V152" s="3944">
        <f>'12.2.Нови дейности или обекти'!P68</f>
        <v>0</v>
      </c>
      <c r="W152" s="3944">
        <f>'12.2.Нови дейности или обекти'!Q68</f>
        <v>0</v>
      </c>
      <c r="X152" s="3944">
        <f>'12.2.Нови дейности или обекти'!R68</f>
        <v>0</v>
      </c>
      <c r="Y152" s="3944">
        <f>'12.2.Нови дейности или обекти'!S68</f>
        <v>0</v>
      </c>
    </row>
    <row r="153" spans="9:25" ht="15.75" customHeight="1">
      <c r="S153" s="3994">
        <f>'12.2.Нови дейности или обекти'!U57</f>
        <v>0</v>
      </c>
      <c r="T153" s="3944"/>
      <c r="U153" s="3944">
        <f>'12.2.Нови дейности или обекти'!U68</f>
        <v>0</v>
      </c>
      <c r="V153" s="3944">
        <f>'12.2.Нови дейности или обекти'!V68</f>
        <v>0</v>
      </c>
      <c r="W153" s="3944">
        <f>'12.2.Нови дейности или обекти'!W68</f>
        <v>0</v>
      </c>
      <c r="X153" s="3944">
        <f>'12.2.Нови дейности или обекти'!X68</f>
        <v>0</v>
      </c>
      <c r="Y153" s="3944">
        <f>'12.2.Нови дейности или обекти'!Y68</f>
        <v>0</v>
      </c>
    </row>
    <row r="154" spans="9:25" ht="15.75" customHeight="1">
      <c r="S154" s="3994">
        <f>'12.2.Нови дейности или обекти'!AA57</f>
        <v>0</v>
      </c>
      <c r="T154" s="3944"/>
      <c r="U154" s="3944">
        <f>'12.2.Нови дейности или обекти'!AA68</f>
        <v>0</v>
      </c>
      <c r="V154" s="3944">
        <f>'12.2.Нови дейности или обекти'!AB68</f>
        <v>0</v>
      </c>
      <c r="W154" s="3944">
        <f>'12.2.Нови дейности или обекти'!AC68</f>
        <v>0</v>
      </c>
      <c r="X154" s="3944">
        <f>'12.2.Нови дейности или обекти'!AD68</f>
        <v>0</v>
      </c>
      <c r="Y154" s="3944">
        <f>'12.2.Нови дейности или обекти'!AE68</f>
        <v>0</v>
      </c>
    </row>
    <row r="155" spans="9:25" ht="15.75" customHeight="1">
      <c r="S155" s="3994">
        <f>'12.2.Нови дейности или обекти'!C80</f>
        <v>0</v>
      </c>
      <c r="T155" s="3944"/>
      <c r="U155" s="3944">
        <f>'12.2.Нови дейности или обекти'!C91</f>
        <v>0</v>
      </c>
      <c r="V155" s="3944">
        <f>'12.2.Нови дейности или обекти'!D91</f>
        <v>0</v>
      </c>
      <c r="W155" s="3944">
        <f>'12.2.Нови дейности или обекти'!E91</f>
        <v>0</v>
      </c>
      <c r="X155" s="3944">
        <f>'12.2.Нови дейности или обекти'!F91</f>
        <v>0</v>
      </c>
      <c r="Y155" s="3944">
        <f>'12.2.Нови дейности или обекти'!G91</f>
        <v>0</v>
      </c>
    </row>
    <row r="156" spans="9:25" ht="15.75" customHeight="1">
      <c r="S156" s="3994">
        <f>'12.2.Нови дейности или обекти'!I80</f>
        <v>0</v>
      </c>
      <c r="T156" s="3944"/>
      <c r="U156" s="3944">
        <f>'12.2.Нови дейности или обекти'!I91</f>
        <v>0</v>
      </c>
      <c r="V156" s="3944">
        <f>'12.2.Нови дейности или обекти'!J91</f>
        <v>0</v>
      </c>
      <c r="W156" s="3944">
        <f>'12.2.Нови дейности или обекти'!K91</f>
        <v>0</v>
      </c>
      <c r="X156" s="3944">
        <f>'12.2.Нови дейности или обекти'!L91</f>
        <v>0</v>
      </c>
      <c r="Y156" s="3944">
        <f>'12.2.Нови дейности или обекти'!M91</f>
        <v>0</v>
      </c>
    </row>
    <row r="157" spans="9:25" ht="15.75" customHeight="1">
      <c r="S157" s="3994">
        <f>'12.2.Нови дейности или обекти'!O80</f>
        <v>0</v>
      </c>
      <c r="T157" s="3944"/>
      <c r="U157" s="3944">
        <f>'12.2.Нови дейности или обекти'!O91</f>
        <v>0</v>
      </c>
      <c r="V157" s="3944">
        <f>'12.2.Нови дейности или обекти'!P91</f>
        <v>0</v>
      </c>
      <c r="W157" s="3944">
        <f>'12.2.Нови дейности или обекти'!Q91</f>
        <v>0</v>
      </c>
      <c r="X157" s="3944">
        <f>'12.2.Нови дейности или обекти'!R91</f>
        <v>0</v>
      </c>
      <c r="Y157" s="3944">
        <f>'12.2.Нови дейности или обекти'!S91</f>
        <v>0</v>
      </c>
    </row>
    <row r="158" spans="9:25" ht="15.75" customHeight="1">
      <c r="S158" s="3994">
        <f>'12.2.Нови дейности или обекти'!U80</f>
        <v>0</v>
      </c>
      <c r="T158" s="3944"/>
      <c r="U158" s="3944">
        <f>'12.2.Нови дейности или обекти'!U91</f>
        <v>0</v>
      </c>
      <c r="V158" s="3944">
        <f>'12.2.Нови дейности или обекти'!V91</f>
        <v>0</v>
      </c>
      <c r="W158" s="3944">
        <f>'12.2.Нови дейности или обекти'!W91</f>
        <v>0</v>
      </c>
      <c r="X158" s="3944">
        <f>'12.2.Нови дейности или обекти'!X91</f>
        <v>0</v>
      </c>
      <c r="Y158" s="3944">
        <f>'12.2.Нови дейности или обекти'!Y91</f>
        <v>0</v>
      </c>
    </row>
    <row r="159" spans="9:25" ht="15.75" customHeight="1">
      <c r="S159" s="3994">
        <f>'12.2.Нови дейности или обекти'!AA80</f>
        <v>0</v>
      </c>
      <c r="T159" s="3944"/>
      <c r="U159" s="3944">
        <f>'12.2.Нови дейности или обекти'!AA91</f>
        <v>0</v>
      </c>
      <c r="V159" s="3944">
        <f>'12.2.Нови дейности или обекти'!AB91</f>
        <v>0</v>
      </c>
      <c r="W159" s="3944">
        <f>'12.2.Нови дейности или обекти'!AC91</f>
        <v>0</v>
      </c>
      <c r="X159" s="3944">
        <f>'12.2.Нови дейности или обекти'!AD91</f>
        <v>0</v>
      </c>
      <c r="Y159" s="3944">
        <f>'12.2.Нови дейности или обекти'!AE91</f>
        <v>0</v>
      </c>
    </row>
    <row r="160" spans="9:25" ht="15.75" customHeight="1">
      <c r="S160" s="3996" t="s">
        <v>1774</v>
      </c>
      <c r="T160" s="3964">
        <f t="shared" ref="T160:Y160" si="162">SUM(T150:T159)</f>
        <v>0</v>
      </c>
      <c r="U160" s="3964">
        <f t="shared" si="162"/>
        <v>0</v>
      </c>
      <c r="V160" s="3964">
        <f t="shared" si="162"/>
        <v>0</v>
      </c>
      <c r="W160" s="3964">
        <f t="shared" si="162"/>
        <v>226.306740558</v>
      </c>
      <c r="X160" s="3964">
        <f t="shared" si="162"/>
        <v>226.306740558</v>
      </c>
      <c r="Y160" s="3964">
        <f t="shared" si="162"/>
        <v>226.306740558</v>
      </c>
    </row>
    <row r="161" spans="19:25" ht="15.75" customHeight="1">
      <c r="S161" s="5685" t="s">
        <v>1770</v>
      </c>
      <c r="T161" s="5686" t="s">
        <v>188</v>
      </c>
      <c r="U161" s="5687"/>
      <c r="V161" s="5687"/>
      <c r="W161" s="5687"/>
      <c r="X161" s="5687"/>
      <c r="Y161" s="5688"/>
    </row>
    <row r="162" spans="19:25" ht="15.75" customHeight="1">
      <c r="S162" s="5685"/>
      <c r="T162" s="3993" t="s">
        <v>119</v>
      </c>
      <c r="U162" s="3993" t="s">
        <v>1072</v>
      </c>
      <c r="V162" s="3993" t="s">
        <v>1073</v>
      </c>
      <c r="W162" s="3993" t="s">
        <v>1074</v>
      </c>
      <c r="X162" s="3993" t="s">
        <v>1771</v>
      </c>
      <c r="Y162" s="3993" t="s">
        <v>1076</v>
      </c>
    </row>
    <row r="163" spans="19:25" ht="15.75" customHeight="1">
      <c r="S163" s="3994" t="str">
        <f>'12.2.Нови дейности или обекти'!C104</f>
        <v>ПСОВ БАТАНОВЦИ</v>
      </c>
      <c r="T163" s="3944"/>
      <c r="U163" s="3944">
        <f>'12.2.Нови дейности или обекти'!C115</f>
        <v>0</v>
      </c>
      <c r="V163" s="3944">
        <f>'12.2.Нови дейности или обекти'!D115</f>
        <v>0</v>
      </c>
      <c r="W163" s="3944">
        <f>'12.2.Нови дейности или обекти'!E115</f>
        <v>1270.6541139659998</v>
      </c>
      <c r="X163" s="3944">
        <f>'12.2.Нови дейности или обекти'!F115</f>
        <v>1205.7925632899999</v>
      </c>
      <c r="Y163" s="3944">
        <f>'12.2.Нови дейности или обекти'!G115</f>
        <v>1177.1812478459999</v>
      </c>
    </row>
    <row r="164" spans="19:25" ht="15.75" customHeight="1">
      <c r="S164" s="3994" t="str">
        <f>'12.2.Нови дейности или обекти'!I104</f>
        <v>ПСОВ ДЕЛТА ХИЛ</v>
      </c>
      <c r="T164" s="3944"/>
      <c r="U164" s="3944">
        <f>'12.2.Нови дейности или обекти'!I115</f>
        <v>0</v>
      </c>
      <c r="V164" s="3944">
        <f>'12.2.Нови дейности или обекти'!J115</f>
        <v>29.316741048000001</v>
      </c>
      <c r="W164" s="3944">
        <f>'12.2.Нови дейности или обекти'!K115</f>
        <v>29.610349631999998</v>
      </c>
      <c r="X164" s="3944">
        <f>'12.2.Нови дейности или обекти'!L115</f>
        <v>29.535045876000005</v>
      </c>
      <c r="Y164" s="3944">
        <f>'12.2.Нови дейности или обекти'!M115</f>
        <v>29.470771457999998</v>
      </c>
    </row>
    <row r="165" spans="19:25" ht="15.75" customHeight="1">
      <c r="S165" s="3994">
        <f>'12.2.Нови дейности или обекти'!O104</f>
        <v>0</v>
      </c>
      <c r="T165" s="3944"/>
      <c r="U165" s="3944">
        <f>'12.2.Нови дейности или обекти'!O115</f>
        <v>0</v>
      </c>
      <c r="V165" s="3944">
        <f>'12.2.Нови дейности или обекти'!P115</f>
        <v>0</v>
      </c>
      <c r="W165" s="3944">
        <f>'12.2.Нови дейности или обекти'!Q115</f>
        <v>0</v>
      </c>
      <c r="X165" s="3944">
        <f>'12.2.Нови дейности или обекти'!R115</f>
        <v>0</v>
      </c>
      <c r="Y165" s="3944">
        <f>'12.2.Нови дейности или обекти'!S115</f>
        <v>0</v>
      </c>
    </row>
    <row r="166" spans="19:25" ht="15.75" customHeight="1">
      <c r="S166" s="3994">
        <f>'12.2.Нови дейности или обекти'!U104</f>
        <v>0</v>
      </c>
      <c r="T166" s="3944"/>
      <c r="U166" s="3944">
        <f>'12.2.Нови дейности или обекти'!U115</f>
        <v>0</v>
      </c>
      <c r="V166" s="3944">
        <f>'12.2.Нови дейности или обекти'!V115</f>
        <v>0</v>
      </c>
      <c r="W166" s="3944">
        <f>'12.2.Нови дейности или обекти'!W115</f>
        <v>0</v>
      </c>
      <c r="X166" s="3944">
        <f>'12.2.Нови дейности или обекти'!X115</f>
        <v>0</v>
      </c>
      <c r="Y166" s="3944">
        <f>'12.2.Нови дейности или обекти'!Y115</f>
        <v>0</v>
      </c>
    </row>
    <row r="167" spans="19:25" ht="15.75" customHeight="1">
      <c r="S167" s="3994">
        <f>'12.2.Нови дейности или обекти'!AA104</f>
        <v>0</v>
      </c>
      <c r="T167" s="3944"/>
      <c r="U167" s="3944">
        <f>'12.2.Нови дейности или обекти'!AA115</f>
        <v>0</v>
      </c>
      <c r="V167" s="3944">
        <f>'12.2.Нови дейности или обекти'!AB115</f>
        <v>0</v>
      </c>
      <c r="W167" s="3944">
        <f>'12.2.Нови дейности или обекти'!AC115</f>
        <v>0</v>
      </c>
      <c r="X167" s="3944">
        <f>'12.2.Нови дейности или обекти'!AD115</f>
        <v>0</v>
      </c>
      <c r="Y167" s="3944">
        <f>'12.2.Нови дейности или обекти'!AE115</f>
        <v>0</v>
      </c>
    </row>
    <row r="168" spans="19:25" ht="15.75" customHeight="1">
      <c r="S168" s="3994">
        <f>'12.2.Нови дейности или обекти'!C127</f>
        <v>0</v>
      </c>
      <c r="T168" s="3944"/>
      <c r="U168" s="3944">
        <f>'12.2.Нови дейности или обекти'!C138</f>
        <v>0</v>
      </c>
      <c r="V168" s="3944">
        <f>'12.2.Нови дейности или обекти'!D138</f>
        <v>0</v>
      </c>
      <c r="W168" s="3944">
        <f>'12.2.Нови дейности или обекти'!E138</f>
        <v>0</v>
      </c>
      <c r="X168" s="3944">
        <f>'12.2.Нови дейности или обекти'!F138</f>
        <v>0</v>
      </c>
      <c r="Y168" s="3944">
        <f>'12.2.Нови дейности или обекти'!G138</f>
        <v>0</v>
      </c>
    </row>
    <row r="169" spans="19:25" ht="15.75" customHeight="1">
      <c r="S169" s="3994">
        <f>'12.2.Нови дейности или обекти'!I127</f>
        <v>0</v>
      </c>
      <c r="T169" s="3944"/>
      <c r="U169" s="3944">
        <f>'12.2.Нови дейности или обекти'!I138</f>
        <v>0</v>
      </c>
      <c r="V169" s="3944">
        <f>'12.2.Нови дейности или обекти'!J138</f>
        <v>0</v>
      </c>
      <c r="W169" s="3944">
        <f>'12.2.Нови дейности или обекти'!K138</f>
        <v>0</v>
      </c>
      <c r="X169" s="3944">
        <f>'12.2.Нови дейности или обекти'!L138</f>
        <v>0</v>
      </c>
      <c r="Y169" s="3944">
        <f>'12.2.Нови дейности или обекти'!M138</f>
        <v>0</v>
      </c>
    </row>
    <row r="170" spans="19:25" ht="15.75" customHeight="1">
      <c r="S170" s="3994">
        <f>'12.2.Нови дейности или обекти'!O127</f>
        <v>0</v>
      </c>
      <c r="T170" s="3944"/>
      <c r="U170" s="3944">
        <f>'12.2.Нови дейности или обекти'!O138</f>
        <v>0</v>
      </c>
      <c r="V170" s="3944">
        <f>'12.2.Нови дейности или обекти'!P138</f>
        <v>0</v>
      </c>
      <c r="W170" s="3944">
        <f>'12.2.Нови дейности или обекти'!Q138</f>
        <v>0</v>
      </c>
      <c r="X170" s="3944">
        <f>'12.2.Нови дейности или обекти'!R138</f>
        <v>0</v>
      </c>
      <c r="Y170" s="3944">
        <f>'12.2.Нови дейности или обекти'!S138</f>
        <v>0</v>
      </c>
    </row>
    <row r="171" spans="19:25" ht="15.75" customHeight="1">
      <c r="S171" s="3994">
        <f>'12.2.Нови дейности или обекти'!U127</f>
        <v>0</v>
      </c>
      <c r="T171" s="3944"/>
      <c r="U171" s="3944">
        <f>'12.2.Нови дейности или обекти'!U138</f>
        <v>0</v>
      </c>
      <c r="V171" s="3944">
        <f>'12.2.Нови дейности или обекти'!V138</f>
        <v>0</v>
      </c>
      <c r="W171" s="3944">
        <f>'12.2.Нови дейности или обекти'!W138</f>
        <v>0</v>
      </c>
      <c r="X171" s="3944">
        <f>'12.2.Нови дейности или обекти'!X138</f>
        <v>0</v>
      </c>
      <c r="Y171" s="3944">
        <f>'12.2.Нови дейности или обекти'!Y138</f>
        <v>0</v>
      </c>
    </row>
    <row r="172" spans="19:25" ht="15.75" customHeight="1">
      <c r="S172" s="3994">
        <f>'12.2.Нови дейности или обекти'!AA127</f>
        <v>0</v>
      </c>
      <c r="T172" s="3944"/>
      <c r="U172" s="3944">
        <f>'12.2.Нови дейности или обекти'!AA138</f>
        <v>0</v>
      </c>
      <c r="V172" s="3944">
        <f>'12.2.Нови дейности или обекти'!AB138</f>
        <v>0</v>
      </c>
      <c r="W172" s="3944">
        <f>'12.2.Нови дейности или обекти'!AC138</f>
        <v>0</v>
      </c>
      <c r="X172" s="3944">
        <f>'12.2.Нови дейности или обекти'!AD138</f>
        <v>0</v>
      </c>
      <c r="Y172" s="3944">
        <f>'12.2.Нови дейности или обекти'!AE138</f>
        <v>0</v>
      </c>
    </row>
    <row r="173" spans="19:25" ht="15.75" customHeight="1">
      <c r="S173" s="3996" t="s">
        <v>1773</v>
      </c>
      <c r="T173" s="3964">
        <f>SUM(T163:T172)</f>
        <v>0</v>
      </c>
      <c r="U173" s="3964">
        <f>SUM(U163:U172)</f>
        <v>0</v>
      </c>
      <c r="V173" s="3964">
        <f t="shared" ref="V173:Y173" si="163">SUM(V163:V172)</f>
        <v>29.316741048000001</v>
      </c>
      <c r="W173" s="3964">
        <f t="shared" si="163"/>
        <v>1300.2644635979998</v>
      </c>
      <c r="X173" s="3964">
        <f t="shared" si="163"/>
        <v>1235.3276091659998</v>
      </c>
      <c r="Y173" s="3964">
        <f t="shared" si="163"/>
        <v>1206.6520193039999</v>
      </c>
    </row>
  </sheetData>
  <mergeCells count="82">
    <mergeCell ref="A23:G23"/>
    <mergeCell ref="A28:G28"/>
    <mergeCell ref="A99:A100"/>
    <mergeCell ref="A46:G46"/>
    <mergeCell ref="A51:G51"/>
    <mergeCell ref="B99:G99"/>
    <mergeCell ref="A39:A40"/>
    <mergeCell ref="A33:G33"/>
    <mergeCell ref="B39:G39"/>
    <mergeCell ref="A41:G41"/>
    <mergeCell ref="A57:A58"/>
    <mergeCell ref="B57:G57"/>
    <mergeCell ref="A59:G59"/>
    <mergeCell ref="A64:G64"/>
    <mergeCell ref="A69:G69"/>
    <mergeCell ref="B3:G3"/>
    <mergeCell ref="A5:G5"/>
    <mergeCell ref="A10:G10"/>
    <mergeCell ref="A15:G15"/>
    <mergeCell ref="B21:G21"/>
    <mergeCell ref="A3:A4"/>
    <mergeCell ref="A21:A22"/>
    <mergeCell ref="A106:G106"/>
    <mergeCell ref="A111:G111"/>
    <mergeCell ref="B117:G117"/>
    <mergeCell ref="A81:A82"/>
    <mergeCell ref="B81:G81"/>
    <mergeCell ref="A83:G83"/>
    <mergeCell ref="A88:G88"/>
    <mergeCell ref="A93:G93"/>
    <mergeCell ref="A117:A118"/>
    <mergeCell ref="A101:G101"/>
    <mergeCell ref="T3:Y3"/>
    <mergeCell ref="Z3:Z4"/>
    <mergeCell ref="AA3:AA4"/>
    <mergeCell ref="S24:S25"/>
    <mergeCell ref="T24:Y24"/>
    <mergeCell ref="Z24:Z25"/>
    <mergeCell ref="AA24:AA25"/>
    <mergeCell ref="S3:S4"/>
    <mergeCell ref="T45:Y45"/>
    <mergeCell ref="Z45:Z46"/>
    <mergeCell ref="AA45:AA46"/>
    <mergeCell ref="S76:S77"/>
    <mergeCell ref="T76:Y76"/>
    <mergeCell ref="Z76:Z77"/>
    <mergeCell ref="AA76:AA77"/>
    <mergeCell ref="S45:S46"/>
    <mergeCell ref="T97:Y97"/>
    <mergeCell ref="Z97:Z98"/>
    <mergeCell ref="AA97:AA98"/>
    <mergeCell ref="S161:S162"/>
    <mergeCell ref="T135:Y135"/>
    <mergeCell ref="T148:Y148"/>
    <mergeCell ref="T161:Y161"/>
    <mergeCell ref="T114:Y114"/>
    <mergeCell ref="Z114:Z115"/>
    <mergeCell ref="AA114:AA115"/>
    <mergeCell ref="S135:S136"/>
    <mergeCell ref="S148:S149"/>
    <mergeCell ref="S114:S115"/>
    <mergeCell ref="S97:S98"/>
    <mergeCell ref="AK27:AK28"/>
    <mergeCell ref="AL27:AP27"/>
    <mergeCell ref="AK35:AK36"/>
    <mergeCell ref="AL35:AP35"/>
    <mergeCell ref="AK3:AK4"/>
    <mergeCell ref="AL3:AP3"/>
    <mergeCell ref="AK11:AK12"/>
    <mergeCell ref="AL11:AP11"/>
    <mergeCell ref="AK19:AK20"/>
    <mergeCell ref="AL19:AP19"/>
    <mergeCell ref="AR23:AR24"/>
    <mergeCell ref="AS3:AW3"/>
    <mergeCell ref="AS8:AW8"/>
    <mergeCell ref="AS13:AW13"/>
    <mergeCell ref="AS18:AW18"/>
    <mergeCell ref="AS23:AW23"/>
    <mergeCell ref="AR8:AR9"/>
    <mergeCell ref="AR3:AR4"/>
    <mergeCell ref="AR13:AR14"/>
    <mergeCell ref="AR18:AR19"/>
  </mergeCells>
  <conditionalFormatting sqref="J16:O17">
    <cfRule type="cellIs" dxfId="0" priority="1" operator="lessThan">
      <formula>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33"/>
  <sheetViews>
    <sheetView topLeftCell="A13" workbookViewId="0">
      <selection activeCell="C27" sqref="C27"/>
    </sheetView>
  </sheetViews>
  <sheetFormatPr defaultRowHeight="12.75"/>
  <cols>
    <col min="2" max="2" width="15.7109375" customWidth="1"/>
    <col min="3" max="7" width="12" customWidth="1"/>
  </cols>
  <sheetData>
    <row r="3" spans="2:16">
      <c r="C3" s="5700" t="s">
        <v>2042</v>
      </c>
      <c r="D3" s="5700"/>
      <c r="E3" s="5700"/>
      <c r="F3" s="5700"/>
      <c r="G3" s="5700"/>
    </row>
    <row r="4" spans="2:16" ht="15.75">
      <c r="C4" s="4965" t="s">
        <v>2043</v>
      </c>
      <c r="D4" s="4966"/>
      <c r="E4" s="4966"/>
      <c r="F4" s="4966"/>
      <c r="G4" s="4966"/>
    </row>
    <row r="5" spans="2:16">
      <c r="B5" s="4967" t="s">
        <v>2044</v>
      </c>
      <c r="C5" s="4968">
        <v>2022</v>
      </c>
      <c r="D5" s="4968">
        <v>2023</v>
      </c>
      <c r="E5" s="4968">
        <v>2024</v>
      </c>
      <c r="F5" s="4968">
        <v>2025</v>
      </c>
      <c r="G5" s="4968">
        <v>2026</v>
      </c>
    </row>
    <row r="6" spans="2:16">
      <c r="B6" s="4967" t="s">
        <v>353</v>
      </c>
      <c r="C6" s="4969">
        <v>1123765</v>
      </c>
      <c r="D6" s="4970">
        <v>900123</v>
      </c>
      <c r="E6" s="4970">
        <v>2396897</v>
      </c>
      <c r="F6" s="4970">
        <v>2210555</v>
      </c>
      <c r="G6" s="4970">
        <v>2128357</v>
      </c>
    </row>
    <row r="7" spans="2:16">
      <c r="B7" s="4967" t="s">
        <v>2045</v>
      </c>
      <c r="C7" s="4966">
        <v>355000</v>
      </c>
      <c r="D7" s="4970">
        <v>382000</v>
      </c>
      <c r="E7" s="4970">
        <v>83400</v>
      </c>
      <c r="F7" s="4970">
        <v>769000</v>
      </c>
      <c r="G7" s="4970">
        <v>741000</v>
      </c>
    </row>
    <row r="8" spans="2:16" ht="15">
      <c r="B8" s="4967" t="s">
        <v>2046</v>
      </c>
      <c r="C8" s="4967">
        <v>60132</v>
      </c>
      <c r="D8" s="4971">
        <f>SUM(D6-C6)</f>
        <v>-223642</v>
      </c>
      <c r="E8" s="4967">
        <f>SUM(E6-D6)</f>
        <v>1496774</v>
      </c>
      <c r="F8" s="4971">
        <f>SUM(F6-E6)</f>
        <v>-186342</v>
      </c>
      <c r="G8" s="4971">
        <f>SUM(G6-F6)</f>
        <v>-82198</v>
      </c>
    </row>
    <row r="11" spans="2:16">
      <c r="C11" s="5701" t="s">
        <v>2047</v>
      </c>
      <c r="D11" s="5702"/>
      <c r="E11" s="5702"/>
      <c r="F11" s="5702"/>
      <c r="G11" s="5702"/>
      <c r="H11" s="5702"/>
      <c r="I11" s="5702"/>
      <c r="J11" s="5702"/>
      <c r="K11" s="5702"/>
      <c r="L11" s="5702"/>
      <c r="M11" s="5702"/>
      <c r="N11" s="5702"/>
      <c r="O11" s="5702"/>
      <c r="P11" s="5703"/>
    </row>
    <row r="12" spans="2:16">
      <c r="C12" s="5704" t="s">
        <v>2048</v>
      </c>
      <c r="D12" s="5705"/>
      <c r="E12" s="5705"/>
      <c r="F12" s="5705"/>
      <c r="G12" s="5705"/>
      <c r="H12" s="5705"/>
      <c r="I12" s="5705"/>
      <c r="J12" s="5705"/>
      <c r="K12" s="5705"/>
      <c r="L12" s="5705"/>
      <c r="M12" s="5705"/>
      <c r="N12" s="5705"/>
      <c r="O12" s="5705"/>
      <c r="P12" s="5706"/>
    </row>
    <row r="13" spans="2:16" ht="25.5">
      <c r="C13" s="4972" t="s">
        <v>2049</v>
      </c>
      <c r="D13" s="4972" t="s">
        <v>2050</v>
      </c>
      <c r="E13" s="4972" t="s">
        <v>2051</v>
      </c>
      <c r="F13" s="4972" t="s">
        <v>2052</v>
      </c>
      <c r="G13" s="4972" t="s">
        <v>2053</v>
      </c>
      <c r="H13" s="4972" t="s">
        <v>2054</v>
      </c>
      <c r="I13" s="4972" t="s">
        <v>2055</v>
      </c>
      <c r="J13" s="4972" t="s">
        <v>2056</v>
      </c>
      <c r="K13" s="4972" t="s">
        <v>2057</v>
      </c>
      <c r="L13" s="4972" t="s">
        <v>2058</v>
      </c>
      <c r="M13" s="4972" t="s">
        <v>2059</v>
      </c>
      <c r="N13" s="4972" t="s">
        <v>2060</v>
      </c>
      <c r="O13" s="4972" t="s">
        <v>2061</v>
      </c>
      <c r="P13" s="4972" t="s">
        <v>1686</v>
      </c>
    </row>
    <row r="14" spans="2:16">
      <c r="B14" s="4967" t="s">
        <v>353</v>
      </c>
      <c r="C14" s="5707" t="s">
        <v>2062</v>
      </c>
      <c r="D14" s="4970">
        <v>101232</v>
      </c>
      <c r="E14" s="4970">
        <v>85125</v>
      </c>
      <c r="F14" s="4973">
        <v>93951</v>
      </c>
      <c r="G14" s="4973">
        <v>82088</v>
      </c>
      <c r="H14" s="4973">
        <v>105572</v>
      </c>
      <c r="I14" s="4973">
        <v>74082</v>
      </c>
      <c r="J14" s="4973">
        <v>77240</v>
      </c>
      <c r="K14" s="4973">
        <v>73663</v>
      </c>
      <c r="L14" s="4973">
        <v>73663</v>
      </c>
      <c r="M14" s="4973">
        <v>78931</v>
      </c>
      <c r="N14" s="4973">
        <v>81910</v>
      </c>
      <c r="O14" s="4973">
        <v>92936</v>
      </c>
      <c r="P14" s="4970">
        <v>1020393</v>
      </c>
    </row>
    <row r="15" spans="2:16" ht="38.25">
      <c r="B15" s="4967" t="s">
        <v>2045</v>
      </c>
      <c r="C15" s="5707"/>
      <c r="D15" s="4974" t="s">
        <v>2063</v>
      </c>
      <c r="E15" s="4974" t="s">
        <v>2064</v>
      </c>
      <c r="F15" s="4970" t="s">
        <v>2065</v>
      </c>
      <c r="G15" s="4970" t="s">
        <v>2066</v>
      </c>
      <c r="H15" s="4970" t="s">
        <v>2067</v>
      </c>
      <c r="I15" s="4970" t="s">
        <v>2068</v>
      </c>
      <c r="J15" s="4970" t="s">
        <v>2069</v>
      </c>
      <c r="K15" s="4970" t="s">
        <v>2070</v>
      </c>
      <c r="L15" s="4970" t="s">
        <v>2070</v>
      </c>
      <c r="M15" s="4970" t="s">
        <v>2071</v>
      </c>
      <c r="N15" s="4970" t="s">
        <v>2072</v>
      </c>
      <c r="O15" s="4970" t="s">
        <v>2073</v>
      </c>
      <c r="P15" s="4970" t="s">
        <v>2074</v>
      </c>
    </row>
    <row r="16" spans="2:16" ht="15">
      <c r="B16" s="4967" t="s">
        <v>2046</v>
      </c>
      <c r="C16" s="4967"/>
      <c r="D16" s="4967"/>
      <c r="E16" s="4971">
        <f t="shared" ref="E16:M16" si="0">SUM(E14-D14)</f>
        <v>-16107</v>
      </c>
      <c r="F16" s="4975">
        <f t="shared" si="0"/>
        <v>8826</v>
      </c>
      <c r="G16" s="4971">
        <f t="shared" si="0"/>
        <v>-11863</v>
      </c>
      <c r="H16" s="4971">
        <f t="shared" si="0"/>
        <v>23484</v>
      </c>
      <c r="I16" s="4971">
        <f t="shared" si="0"/>
        <v>-31490</v>
      </c>
      <c r="J16" s="4975">
        <f t="shared" si="0"/>
        <v>3158</v>
      </c>
      <c r="K16" s="4971">
        <f t="shared" si="0"/>
        <v>-3577</v>
      </c>
      <c r="L16" s="4971">
        <f t="shared" si="0"/>
        <v>0</v>
      </c>
      <c r="M16" s="4975">
        <f t="shared" si="0"/>
        <v>5268</v>
      </c>
      <c r="N16" s="4971">
        <v>-16107</v>
      </c>
      <c r="O16" s="4971">
        <v>-16107</v>
      </c>
      <c r="P16" s="4967"/>
    </row>
    <row r="20" spans="2:7">
      <c r="B20" s="4967"/>
      <c r="C20" s="5700" t="s">
        <v>2075</v>
      </c>
      <c r="D20" s="5700"/>
      <c r="E20" s="5700"/>
      <c r="F20" s="5700"/>
      <c r="G20" s="5700"/>
    </row>
    <row r="21" spans="2:7" ht="15.75">
      <c r="B21" s="4967"/>
      <c r="C21" s="4965" t="s">
        <v>2043</v>
      </c>
      <c r="D21" s="4966"/>
      <c r="E21" s="4966"/>
      <c r="F21" s="4966"/>
      <c r="G21" s="4966"/>
    </row>
    <row r="22" spans="2:7">
      <c r="B22" s="4967" t="s">
        <v>2044</v>
      </c>
      <c r="C22" s="4968">
        <v>2022</v>
      </c>
      <c r="D22" s="4968">
        <v>2023</v>
      </c>
      <c r="E22" s="4968">
        <v>2024</v>
      </c>
      <c r="F22" s="4968">
        <v>2025</v>
      </c>
      <c r="G22" s="4968">
        <v>2026</v>
      </c>
    </row>
    <row r="23" spans="2:7">
      <c r="B23" s="4967" t="s">
        <v>353</v>
      </c>
      <c r="C23" s="4966"/>
      <c r="D23" s="4970">
        <v>78084</v>
      </c>
      <c r="E23" s="4970">
        <v>77856</v>
      </c>
      <c r="F23" s="4970">
        <v>77658</v>
      </c>
      <c r="G23" s="4970">
        <v>77489</v>
      </c>
    </row>
    <row r="24" spans="2:7">
      <c r="B24" s="4967" t="s">
        <v>2045</v>
      </c>
      <c r="C24" s="4966"/>
      <c r="D24" s="4976">
        <f>SUM(D23*0.348078)</f>
        <v>27179.322552000001</v>
      </c>
      <c r="E24" s="4976">
        <f>SUM(E23*0.348078)</f>
        <v>27099.960768000001</v>
      </c>
      <c r="F24" s="4976">
        <f>SUM(F23*0.348078)</f>
        <v>27031.041324000002</v>
      </c>
      <c r="G24" s="4976">
        <f>SUM(G23*0.348078)</f>
        <v>26972.216142000001</v>
      </c>
    </row>
    <row r="25" spans="2:7" ht="15">
      <c r="B25" s="4967" t="s">
        <v>2046</v>
      </c>
      <c r="C25" s="4967"/>
      <c r="D25" s="4971">
        <f>SUM(D23-C23)</f>
        <v>78084</v>
      </c>
      <c r="E25" s="4967">
        <f>SUM(E23-D23)</f>
        <v>-228</v>
      </c>
      <c r="F25" s="4971">
        <f>SUM(F23-E23)</f>
        <v>-198</v>
      </c>
      <c r="G25" s="4971">
        <f>SUM(G23-F23)</f>
        <v>-169</v>
      </c>
    </row>
    <row r="27" spans="2:7" ht="18.75">
      <c r="C27" s="4977" t="s">
        <v>2076</v>
      </c>
    </row>
    <row r="32" spans="2:7" ht="18">
      <c r="B32" s="4978" t="s">
        <v>2077</v>
      </c>
    </row>
    <row r="33" spans="2:2" ht="18">
      <c r="B33" s="4978" t="s">
        <v>2078</v>
      </c>
    </row>
  </sheetData>
  <mergeCells count="5">
    <mergeCell ref="C3:G3"/>
    <mergeCell ref="C11:P11"/>
    <mergeCell ref="C12:P12"/>
    <mergeCell ref="C14:C15"/>
    <mergeCell ref="C20:G20"/>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A41" sqref="AA41"/>
    </sheetView>
  </sheetViews>
  <sheetFormatPr defaultRowHeight="12.7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42" sqref="V42"/>
    </sheetView>
  </sheetViews>
  <sheetFormatPr defaultRowHeight="12.75"/>
  <sheetData>
    <row r="1" spans="1:1">
      <c r="A1" s="11" t="s">
        <v>1809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CC"/>
    <pageSetUpPr fitToPage="1"/>
  </sheetPr>
  <dimension ref="A1:AA59"/>
  <sheetViews>
    <sheetView showGridLines="0" view="pageBreakPreview" zoomScaleNormal="90" zoomScaleSheetLayoutView="100" workbookViewId="0">
      <pane xSplit="4" ySplit="7" topLeftCell="E26" activePane="bottomRight" state="frozen"/>
      <selection pane="topRight" activeCell="E1" sqref="E1"/>
      <selection pane="bottomLeft" activeCell="A7" sqref="A7"/>
      <selection pane="bottomRight" activeCell="D21" sqref="D21"/>
    </sheetView>
  </sheetViews>
  <sheetFormatPr defaultColWidth="9.140625" defaultRowHeight="12.75"/>
  <cols>
    <col min="1" max="1" width="4.7109375" style="1958" customWidth="1"/>
    <col min="2" max="2" width="7.7109375" style="1958" customWidth="1"/>
    <col min="3" max="3" width="62.5703125" style="1810" customWidth="1"/>
    <col min="4" max="4" width="11.7109375" style="1810" customWidth="1"/>
    <col min="5" max="10" width="8.7109375" style="1810" customWidth="1"/>
    <col min="11" max="12" width="9.28515625" style="1810" customWidth="1"/>
    <col min="13" max="13" width="8.5703125" style="1810" customWidth="1"/>
    <col min="14" max="14" width="8" style="1810" customWidth="1"/>
    <col min="15" max="15" width="5" style="1810" customWidth="1"/>
    <col min="16" max="16" width="12" style="1810" customWidth="1"/>
    <col min="17" max="21" width="8.7109375" style="1810" customWidth="1"/>
    <col min="22" max="22" width="13.7109375" style="1810" customWidth="1"/>
    <col min="23" max="16384" width="9.140625" style="1810"/>
  </cols>
  <sheetData>
    <row r="1" spans="1:27" ht="13.5">
      <c r="A1" s="1912"/>
      <c r="B1" s="1912"/>
      <c r="C1" s="1913"/>
      <c r="E1" s="1913"/>
      <c r="F1" s="1913"/>
      <c r="G1" s="1913"/>
      <c r="H1" s="1913"/>
      <c r="J1" s="4417"/>
      <c r="L1" s="4417"/>
      <c r="M1" s="5098"/>
      <c r="N1" s="5098"/>
      <c r="O1" s="1622"/>
      <c r="V1" s="4417" t="str">
        <f>'2. Променливи'!R1</f>
        <v>Приложение № 2</v>
      </c>
      <c r="W1" s="4471"/>
    </row>
    <row r="2" spans="1:27" s="1914" customFormat="1" ht="24" customHeight="1">
      <c r="A2" s="5104" t="s">
        <v>1318</v>
      </c>
      <c r="B2" s="5104"/>
      <c r="C2" s="5104"/>
      <c r="D2" s="5104"/>
      <c r="E2" s="5104"/>
      <c r="F2" s="5104"/>
      <c r="G2" s="5104"/>
      <c r="H2" s="5104"/>
      <c r="I2" s="5104"/>
      <c r="J2" s="5104"/>
      <c r="K2" s="5104"/>
      <c r="L2" s="5104"/>
      <c r="M2" s="5104"/>
      <c r="N2" s="5104"/>
      <c r="O2" s="1622"/>
      <c r="V2" s="1889"/>
    </row>
    <row r="3" spans="1:27" s="1914" customFormat="1" ht="18" customHeight="1">
      <c r="A3" s="5104" t="s">
        <v>1317</v>
      </c>
      <c r="B3" s="5104"/>
      <c r="C3" s="5104"/>
      <c r="D3" s="5104"/>
      <c r="E3" s="5104"/>
      <c r="F3" s="5104"/>
      <c r="G3" s="5104"/>
      <c r="H3" s="5104"/>
      <c r="I3" s="5104"/>
      <c r="J3" s="5104"/>
      <c r="K3" s="5104"/>
      <c r="L3" s="5104"/>
      <c r="M3" s="5104"/>
      <c r="N3" s="5104"/>
      <c r="O3" s="1622"/>
    </row>
    <row r="4" spans="1:27" s="1916" customFormat="1" ht="24.75" customHeight="1">
      <c r="A4" s="5080" t="str">
        <f>'1. Обща информация'!A4:D4</f>
        <v>на "Водоснабдяване и канализаиця"ООД, гр. Перник</v>
      </c>
      <c r="B4" s="5080"/>
      <c r="C4" s="5080"/>
      <c r="D4" s="5080"/>
      <c r="E4" s="5080"/>
      <c r="F4" s="5080"/>
      <c r="G4" s="5080"/>
      <c r="H4" s="5080"/>
      <c r="I4" s="5080"/>
      <c r="J4" s="5080"/>
      <c r="K4" s="5080"/>
      <c r="L4" s="5080"/>
      <c r="M4" s="5080"/>
      <c r="N4" s="5080"/>
      <c r="O4" s="1915"/>
    </row>
    <row r="5" spans="1:27" s="1916" customFormat="1" ht="20.25" customHeight="1">
      <c r="A5" s="5080" t="str">
        <f>'1. Обща информация'!A5:D5</f>
        <v>ЕИК по БУЛСТАТ: 823073638</v>
      </c>
      <c r="B5" s="5080"/>
      <c r="C5" s="5080"/>
      <c r="D5" s="5080"/>
      <c r="E5" s="5080"/>
      <c r="F5" s="5080"/>
      <c r="G5" s="5080"/>
      <c r="H5" s="5080"/>
      <c r="I5" s="5080"/>
      <c r="J5" s="5080"/>
      <c r="K5" s="5080"/>
      <c r="L5" s="5080"/>
      <c r="M5" s="5080"/>
      <c r="N5" s="5080"/>
      <c r="O5" s="1915"/>
      <c r="Q5" s="1917"/>
      <c r="R5" s="1917"/>
      <c r="S5" s="1917"/>
      <c r="T5" s="1917"/>
      <c r="U5" s="1917"/>
      <c r="V5" s="1917"/>
    </row>
    <row r="6" spans="1:27" s="1914" customFormat="1" ht="11.25" customHeight="1" thickBot="1">
      <c r="A6" s="1918"/>
      <c r="B6" s="1918"/>
      <c r="C6" s="1919"/>
      <c r="D6" s="1920"/>
      <c r="E6" s="1919"/>
      <c r="F6" s="1919"/>
      <c r="G6" s="1919"/>
      <c r="H6" s="1919"/>
      <c r="I6" s="1919"/>
      <c r="K6" s="707"/>
      <c r="L6" s="707"/>
      <c r="M6" s="1622"/>
      <c r="N6" s="1622"/>
      <c r="O6" s="1622"/>
      <c r="Q6" s="1917"/>
      <c r="R6" s="1917"/>
      <c r="S6" s="1917"/>
      <c r="T6" s="1917"/>
      <c r="U6" s="1917"/>
      <c r="V6" s="1917"/>
    </row>
    <row r="7" spans="1:27" ht="63.75" customHeight="1" thickBot="1">
      <c r="A7" s="355" t="s">
        <v>1</v>
      </c>
      <c r="B7" s="356" t="s">
        <v>781</v>
      </c>
      <c r="C7" s="357" t="s">
        <v>85</v>
      </c>
      <c r="D7" s="358" t="s">
        <v>754</v>
      </c>
      <c r="E7" s="359" t="str">
        <f>'Приложение '!$C12</f>
        <v>2020 г.</v>
      </c>
      <c r="F7" s="358" t="str">
        <f>'Приложение '!$C14</f>
        <v>2022 г.</v>
      </c>
      <c r="G7" s="358" t="str">
        <f>'Приложение '!$C15</f>
        <v>2023 г.</v>
      </c>
      <c r="H7" s="358" t="str">
        <f>'Приложение '!$C16</f>
        <v>2024 г.</v>
      </c>
      <c r="I7" s="358" t="str">
        <f>'Приложение '!$C17</f>
        <v>2025 г.</v>
      </c>
      <c r="J7" s="360" t="str">
        <f>'Приложение '!$C18</f>
        <v>2026 г.</v>
      </c>
      <c r="K7" s="358" t="str">
        <f>"Качество на информацията за "
&amp;'Приложение '!C12</f>
        <v>Качество на информацията за 2020 г.</v>
      </c>
      <c r="L7" s="358" t="str">
        <f>"Качество на информацията за "
&amp;'Приложение '!C18</f>
        <v>Качество на информацията за 2026 г.</v>
      </c>
      <c r="M7" s="358" t="s">
        <v>1319</v>
      </c>
      <c r="N7" s="359" t="s">
        <v>788</v>
      </c>
      <c r="O7" s="942"/>
      <c r="P7" s="4414" t="s">
        <v>1341</v>
      </c>
      <c r="Q7" s="4414" t="s">
        <v>1524</v>
      </c>
      <c r="R7" s="950" t="s">
        <v>1525</v>
      </c>
      <c r="S7" s="949" t="s">
        <v>1526</v>
      </c>
      <c r="T7" s="951" t="s">
        <v>1527</v>
      </c>
      <c r="U7" s="951" t="s">
        <v>1528</v>
      </c>
      <c r="V7" s="4484" t="s">
        <v>1323</v>
      </c>
    </row>
    <row r="8" spans="1:27" ht="15" thickBot="1">
      <c r="A8" s="5100" t="s">
        <v>1123</v>
      </c>
      <c r="B8" s="5101"/>
      <c r="C8" s="5101"/>
      <c r="D8" s="5101"/>
      <c r="E8" s="5101"/>
      <c r="F8" s="5101"/>
      <c r="G8" s="5101"/>
      <c r="H8" s="5101"/>
      <c r="I8" s="5101"/>
      <c r="J8" s="5101"/>
      <c r="K8" s="5101"/>
      <c r="L8" s="5101"/>
      <c r="M8" s="5101"/>
      <c r="N8" s="5102"/>
      <c r="O8" s="943"/>
      <c r="P8" s="871"/>
      <c r="Q8" s="871"/>
      <c r="R8" s="873"/>
      <c r="S8" s="873"/>
      <c r="T8" s="873"/>
      <c r="U8" s="873"/>
      <c r="V8" s="872"/>
      <c r="X8" s="5103"/>
      <c r="Y8" s="5103"/>
      <c r="Z8" s="5103"/>
      <c r="AA8" s="5103"/>
    </row>
    <row r="9" spans="1:27" ht="14.25">
      <c r="A9" s="1921">
        <v>1</v>
      </c>
      <c r="B9" s="1922" t="s">
        <v>120</v>
      </c>
      <c r="C9" s="1923" t="s">
        <v>759</v>
      </c>
      <c r="D9" s="845" t="s">
        <v>174</v>
      </c>
      <c r="E9" s="4472">
        <f>IFERROR(ROUND('2. Променливи'!E10/'2. Променливи'!E13,4),0)</f>
        <v>0.98440000000000005</v>
      </c>
      <c r="F9" s="4473">
        <f>IFERROR(ROUND('2. Променливи'!F10/'2. Променливи'!F13,4),0)</f>
        <v>0.99129999999999996</v>
      </c>
      <c r="G9" s="4473">
        <f>IFERROR(ROUND('2. Променливи'!G10/'2. Променливи'!G13,4),0)</f>
        <v>0.99170000000000003</v>
      </c>
      <c r="H9" s="4473">
        <f>IFERROR(ROUND('2. Променливи'!H10/'2. Променливи'!H13,4),0)</f>
        <v>0.99219999999999997</v>
      </c>
      <c r="I9" s="4473">
        <f>IFERROR(ROUND('2. Променливи'!I10/'2. Променливи'!I13,4),0)</f>
        <v>0.99409999999999998</v>
      </c>
      <c r="J9" s="4473">
        <f>IFERROR(ROUND('2. Променливи'!J10/'2. Променливи'!J13,4),0)</f>
        <v>0.99750000000000005</v>
      </c>
      <c r="K9" s="1003">
        <f>'2. Променливи'!K10</f>
        <v>1</v>
      </c>
      <c r="L9" s="1003">
        <f>'2. Променливи'!P10</f>
        <v>1</v>
      </c>
      <c r="M9" s="445">
        <v>0.99</v>
      </c>
      <c r="N9" s="1924">
        <v>0.99</v>
      </c>
      <c r="O9" s="1925"/>
      <c r="P9" s="945" t="s">
        <v>1356</v>
      </c>
      <c r="Q9" s="864">
        <f>F9-E9</f>
        <v>6.8999999999999062E-3</v>
      </c>
      <c r="R9" s="865">
        <f t="shared" ref="R9:U11" si="0">G9-F9</f>
        <v>4.0000000000006697E-4</v>
      </c>
      <c r="S9" s="865">
        <f t="shared" si="0"/>
        <v>4.9999999999994493E-4</v>
      </c>
      <c r="T9" s="865">
        <f t="shared" si="0"/>
        <v>1.9000000000000128E-3</v>
      </c>
      <c r="U9" s="865">
        <f t="shared" si="0"/>
        <v>3.4000000000000696E-3</v>
      </c>
      <c r="V9" s="868">
        <f t="shared" ref="V9:V37" si="1">J9-M9</f>
        <v>7.5000000000000622E-3</v>
      </c>
      <c r="W9" s="4474"/>
      <c r="Z9" s="3872"/>
      <c r="AA9" s="3872"/>
    </row>
    <row r="10" spans="1:27" ht="14.25">
      <c r="A10" s="1921">
        <v>2</v>
      </c>
      <c r="B10" s="1926" t="s">
        <v>121</v>
      </c>
      <c r="C10" s="1927" t="s">
        <v>760</v>
      </c>
      <c r="D10" s="845" t="s">
        <v>174</v>
      </c>
      <c r="E10" s="1943">
        <f>IFERROR(ROUND('2. Променливи'!E34/'2. Променливи'!E39,4),"-")</f>
        <v>1</v>
      </c>
      <c r="F10" s="4473">
        <f>IFERROR(ROUND('2. Променливи'!F34/'2. Променливи'!F39,4),"-")</f>
        <v>1</v>
      </c>
      <c r="G10" s="4473">
        <f>IFERROR(ROUND('2. Променливи'!G34/'2. Променливи'!G39,4),"-")</f>
        <v>1</v>
      </c>
      <c r="H10" s="4473">
        <f>IFERROR(ROUND('2. Променливи'!H34/'2. Променливи'!H39,4),"-")</f>
        <v>1</v>
      </c>
      <c r="I10" s="4473">
        <f>IFERROR(ROUND('2. Променливи'!I34/'2. Променливи'!I39,4),"-")</f>
        <v>1</v>
      </c>
      <c r="J10" s="4473">
        <f>IFERROR(ROUND('2. Променливи'!J34/'2. Променливи'!J39,4),"-")</f>
        <v>1</v>
      </c>
      <c r="K10" s="1003">
        <f>ROUND(AVERAGE('2. Променливи'!K34,'2. Променливи'!K39),0)</f>
        <v>1</v>
      </c>
      <c r="L10" s="1003">
        <f>ROUND(AVERAGE('2. Променливи'!P34,'2. Променливи'!P39),0)</f>
        <v>1</v>
      </c>
      <c r="M10" s="446">
        <v>0.99</v>
      </c>
      <c r="N10" s="1928">
        <v>0.99</v>
      </c>
      <c r="O10" s="1925"/>
      <c r="P10" s="947" t="s">
        <v>1356</v>
      </c>
      <c r="Q10" s="866">
        <f>IFERROR(F10-E10,"-")</f>
        <v>0</v>
      </c>
      <c r="R10" s="867">
        <f>IFERROR(G10-F10,"-")</f>
        <v>0</v>
      </c>
      <c r="S10" s="867">
        <f>IFERROR(H10-G10,"-")</f>
        <v>0</v>
      </c>
      <c r="T10" s="867">
        <f>IFERROR(I10-H10,"-")</f>
        <v>0</v>
      </c>
      <c r="U10" s="867">
        <f>IFERROR(J10-I10,"-")</f>
        <v>0</v>
      </c>
      <c r="V10" s="869">
        <f>IFERROR(J10-M10,"-")</f>
        <v>1.0000000000000009E-2</v>
      </c>
      <c r="Z10" s="3872"/>
      <c r="AA10" s="3872"/>
    </row>
    <row r="11" spans="1:27" ht="14.25">
      <c r="A11" s="1921">
        <v>3</v>
      </c>
      <c r="B11" s="1926" t="s">
        <v>122</v>
      </c>
      <c r="C11" s="1927" t="s">
        <v>761</v>
      </c>
      <c r="D11" s="845" t="s">
        <v>174</v>
      </c>
      <c r="E11" s="1943">
        <f>IFERROR(ROUND('2. Променливи'!E44/'2. Променливи'!E49,4),0)</f>
        <v>0.99829999999999997</v>
      </c>
      <c r="F11" s="4473">
        <f>IFERROR(ROUND('2. Променливи'!F44/'2. Променливи'!F49,4),0)</f>
        <v>0.99829999999999997</v>
      </c>
      <c r="G11" s="4473">
        <f>IFERROR(ROUND('2. Променливи'!G44/'2. Променливи'!G49,4),0)</f>
        <v>0.99839999999999995</v>
      </c>
      <c r="H11" s="4473">
        <f>IFERROR(ROUND('2. Променливи'!H44/'2. Променливи'!H49,4),0)</f>
        <v>0.99850000000000005</v>
      </c>
      <c r="I11" s="4473">
        <f>IFERROR(ROUND('2. Променливи'!I44/'2. Променливи'!I49,4),0)</f>
        <v>0.99870000000000003</v>
      </c>
      <c r="J11" s="4473">
        <f>IFERROR(ROUND('2. Променливи'!J44/'2. Променливи'!J49,4),0)</f>
        <v>0.99870000000000003</v>
      </c>
      <c r="K11" s="1003">
        <f>ROUND(AVERAGE('2. Променливи'!K44,'2. Променливи'!K49),0)</f>
        <v>1</v>
      </c>
      <c r="L11" s="1003">
        <f>ROUND(AVERAGE('2. Променливи'!P44,'2. Променливи'!P49),0)</f>
        <v>1</v>
      </c>
      <c r="M11" s="4868">
        <v>0.98</v>
      </c>
      <c r="N11" s="1928">
        <v>0.98</v>
      </c>
      <c r="O11" s="1925"/>
      <c r="P11" s="948" t="s">
        <v>1356</v>
      </c>
      <c r="Q11" s="866">
        <f t="shared" ref="Q11" si="2">F11-E11</f>
        <v>0</v>
      </c>
      <c r="R11" s="867">
        <f t="shared" si="0"/>
        <v>9.9999999999988987E-5</v>
      </c>
      <c r="S11" s="867">
        <f t="shared" si="0"/>
        <v>1.0000000000010001E-4</v>
      </c>
      <c r="T11" s="867">
        <f t="shared" si="0"/>
        <v>1.9999999999997797E-4</v>
      </c>
      <c r="U11" s="867">
        <f t="shared" si="0"/>
        <v>0</v>
      </c>
      <c r="V11" s="869">
        <f t="shared" si="1"/>
        <v>1.870000000000005E-2</v>
      </c>
      <c r="Z11" s="3872"/>
      <c r="AA11" s="3872"/>
    </row>
    <row r="12" spans="1:27" ht="14.25">
      <c r="A12" s="1921">
        <v>4</v>
      </c>
      <c r="B12" s="1926" t="s">
        <v>123</v>
      </c>
      <c r="C12" s="1927" t="s">
        <v>762</v>
      </c>
      <c r="D12" s="845" t="s">
        <v>174</v>
      </c>
      <c r="E12" s="1943">
        <f>IFERROR(ROUND('2. Променливи'!E54/'2. Променливи'!E55,4),0)</f>
        <v>1</v>
      </c>
      <c r="F12" s="4473">
        <f>IFERROR(ROUND('2. Променливи'!F54/'2. Променливи'!F55,4),0)</f>
        <v>1</v>
      </c>
      <c r="G12" s="4473">
        <f>IFERROR(ROUND('2. Променливи'!G54/'2. Променливи'!G55,4),0)</f>
        <v>1</v>
      </c>
      <c r="H12" s="4473">
        <f>IFERROR(ROUND('2. Променливи'!H54/'2. Променливи'!H55,4),0)</f>
        <v>1</v>
      </c>
      <c r="I12" s="4473">
        <f>IFERROR(ROUND('2. Променливи'!I54/'2. Променливи'!I55,4),0)</f>
        <v>1</v>
      </c>
      <c r="J12" s="4473">
        <f>IFERROR(ROUND('2. Променливи'!J54/'2. Променливи'!J55,4),0)</f>
        <v>1</v>
      </c>
      <c r="K12" s="1003">
        <f>IFERROR(ROUND(AVERAGE('2. Променливи'!K54,'2. Променливи'!K55),0),0)</f>
        <v>1</v>
      </c>
      <c r="L12" s="1003">
        <f>IFERROR(ROUND(AVERAGE('2. Променливи'!P54,'2. Променливи'!P55),0),0)</f>
        <v>1</v>
      </c>
      <c r="M12" s="446">
        <v>1</v>
      </c>
      <c r="N12" s="1928">
        <v>1</v>
      </c>
      <c r="O12" s="1925"/>
      <c r="P12" s="947" t="s">
        <v>1356</v>
      </c>
      <c r="Q12" s="866">
        <f t="shared" ref="Q12:Q37" si="3">F12-E12</f>
        <v>0</v>
      </c>
      <c r="R12" s="867">
        <f t="shared" ref="R12:R37" si="4">G12-F12</f>
        <v>0</v>
      </c>
      <c r="S12" s="867">
        <f t="shared" ref="S12:S37" si="5">H12-G12</f>
        <v>0</v>
      </c>
      <c r="T12" s="867">
        <f t="shared" ref="T12:T37" si="6">I12-H12</f>
        <v>0</v>
      </c>
      <c r="U12" s="867">
        <f t="shared" ref="U12:U37" si="7">J12-I12</f>
        <v>0</v>
      </c>
      <c r="V12" s="869">
        <f t="shared" si="1"/>
        <v>0</v>
      </c>
      <c r="Z12" s="3872"/>
      <c r="AA12" s="3872"/>
    </row>
    <row r="13" spans="1:27" ht="14.25">
      <c r="A13" s="1921">
        <v>5</v>
      </c>
      <c r="B13" s="1926" t="s">
        <v>124</v>
      </c>
      <c r="C13" s="1927" t="s">
        <v>763</v>
      </c>
      <c r="D13" s="845" t="s">
        <v>1041</v>
      </c>
      <c r="E13" s="4475">
        <f>IFERROR(ROUND('2. Променливи'!E58/('2. Променливи'!E10*24*365)*1000,3),0)</f>
        <v>3.8730000000000002</v>
      </c>
      <c r="F13" s="4475">
        <f>IFERROR(ROUND('2. Променливи'!F58/('2. Променливи'!F10*24*365)*1000,3),0)</f>
        <v>20.187000000000001</v>
      </c>
      <c r="G13" s="4475">
        <f>IFERROR(ROUND('2. Променливи'!G58/('2. Променливи'!G10*24*365)*1000,3),0)</f>
        <v>16.091000000000001</v>
      </c>
      <c r="H13" s="4475">
        <f>IFERROR(ROUND('2. Променливи'!H58/('2. Променливи'!H10*24*365)*1000,3),0)</f>
        <v>12.462999999999999</v>
      </c>
      <c r="I13" s="4475">
        <f>IFERROR(ROUND('2. Променливи'!I58/('2. Променливи'!I10*24*365)*1000,3),0)</f>
        <v>9.2850000000000001</v>
      </c>
      <c r="J13" s="4475">
        <f>IFERROR(ROUND('2. Променливи'!J58/('2. Променливи'!J10*24*365)*1000,3),0)</f>
        <v>7.923</v>
      </c>
      <c r="K13" s="1003">
        <f>IFERROR(ROUND(AVERAGE('2. Променливи'!K58,'2. Променливи'!K10),0),0)</f>
        <v>2</v>
      </c>
      <c r="L13" s="1003">
        <f>IFERROR(ROUND(AVERAGE('2. Променливи'!P58,'2. Променливи'!P10),0),0)</f>
        <v>2</v>
      </c>
      <c r="M13" s="88">
        <v>8</v>
      </c>
      <c r="N13" s="1929">
        <v>8</v>
      </c>
      <c r="O13" s="1930"/>
      <c r="P13" s="944" t="s">
        <v>1357</v>
      </c>
      <c r="Q13" s="1557">
        <f t="shared" si="3"/>
        <v>16.314</v>
      </c>
      <c r="R13" s="1558">
        <f t="shared" si="4"/>
        <v>-4.0960000000000001</v>
      </c>
      <c r="S13" s="1558">
        <f t="shared" si="5"/>
        <v>-3.6280000000000019</v>
      </c>
      <c r="T13" s="1558">
        <f t="shared" si="6"/>
        <v>-3.177999999999999</v>
      </c>
      <c r="U13" s="3911">
        <f t="shared" si="7"/>
        <v>-1.3620000000000001</v>
      </c>
      <c r="V13" s="1558">
        <f t="shared" si="1"/>
        <v>-7.6999999999999957E-2</v>
      </c>
      <c r="Z13" s="3872"/>
      <c r="AA13" s="3872"/>
    </row>
    <row r="14" spans="1:27" ht="14.25">
      <c r="A14" s="1921">
        <v>6</v>
      </c>
      <c r="B14" s="1926" t="s">
        <v>752</v>
      </c>
      <c r="C14" s="1927" t="s">
        <v>764</v>
      </c>
      <c r="D14" s="845" t="s">
        <v>1049</v>
      </c>
      <c r="E14" s="1938">
        <f>IFERROR(ROUND('2. Променливи'!E65/'2. Променливи'!E26/365,2),0)</f>
        <v>40.01</v>
      </c>
      <c r="F14" s="1938">
        <f>IFERROR(ROUND('2. Променливи'!F65/'2. Променливи'!F26/365,2),0)</f>
        <v>31.31</v>
      </c>
      <c r="G14" s="1938">
        <f>IFERROR(ROUND('2. Променливи'!G65/'2. Променливи'!G26/365,2),0)</f>
        <v>19.36</v>
      </c>
      <c r="H14" s="1938">
        <f>IFERROR(ROUND('2. Променливи'!H65/'2. Променливи'!H26/365,2),0)</f>
        <v>14.41</v>
      </c>
      <c r="I14" s="1938">
        <f>IFERROR(ROUND('2. Променливи'!I65/'2. Променливи'!I26/365,2),0)</f>
        <v>11.5</v>
      </c>
      <c r="J14" s="1938">
        <f>IFERROR(ROUND('2. Променливи'!J65/'2. Променливи'!J26/365,2),0)</f>
        <v>9.5299999999999994</v>
      </c>
      <c r="K14" s="1004">
        <f>IFERROR(ROUND(AVERAGE('2. Променливи'!K65,'2. Променливи'!K26),0),0)</f>
        <v>2</v>
      </c>
      <c r="L14" s="1005">
        <f>IFERROR(ROUND(AVERAGE('2. Променливи'!P65,'2. Променливи'!P26),0),0)</f>
        <v>2</v>
      </c>
      <c r="M14" s="88">
        <v>14.25</v>
      </c>
      <c r="N14" s="1929">
        <v>15</v>
      </c>
      <c r="O14" s="1930"/>
      <c r="P14" s="944" t="s">
        <v>1357</v>
      </c>
      <c r="Q14" s="1555">
        <f t="shared" si="3"/>
        <v>-8.6999999999999993</v>
      </c>
      <c r="R14" s="1556">
        <f t="shared" si="4"/>
        <v>-11.95</v>
      </c>
      <c r="S14" s="1556">
        <f t="shared" si="5"/>
        <v>-4.9499999999999993</v>
      </c>
      <c r="T14" s="1556">
        <f t="shared" si="6"/>
        <v>-2.91</v>
      </c>
      <c r="U14" s="1556">
        <f t="shared" si="7"/>
        <v>-1.9700000000000006</v>
      </c>
      <c r="V14" s="4476">
        <f t="shared" si="1"/>
        <v>-4.7200000000000006</v>
      </c>
      <c r="Z14" s="3872"/>
      <c r="AA14" s="3872"/>
    </row>
    <row r="15" spans="1:27" ht="14.25">
      <c r="A15" s="1921">
        <v>7</v>
      </c>
      <c r="B15" s="1926" t="s">
        <v>753</v>
      </c>
      <c r="C15" s="1927" t="s">
        <v>764</v>
      </c>
      <c r="D15" s="845" t="s">
        <v>174</v>
      </c>
      <c r="E15" s="1943">
        <f>IFERROR(ROUND('2. Променливи'!E65/'2. Променливи'!E63,4),0)</f>
        <v>0.80610000000000004</v>
      </c>
      <c r="F15" s="1943">
        <f>IFERROR(ROUND('2. Променливи'!F65/'2. Променливи'!F63,4),0)</f>
        <v>0.75090000000000001</v>
      </c>
      <c r="G15" s="1943">
        <f>IFERROR(ROUND('2. Променливи'!G65/'2. Променливи'!G63,4),0)</f>
        <v>0.65200000000000002</v>
      </c>
      <c r="H15" s="1943">
        <f>IFERROR(ROUND('2. Променливи'!H65/'2. Променливи'!H63,4),0)</f>
        <v>0.58520000000000005</v>
      </c>
      <c r="I15" s="1943">
        <f>IFERROR(ROUND('2. Променливи'!I65/'2. Променливи'!I63,4),0)</f>
        <v>0.53210000000000002</v>
      </c>
      <c r="J15" s="1943">
        <f>IFERROR(ROUND('2. Променливи'!J65/'2. Променливи'!J63,4),0)</f>
        <v>0.48680000000000001</v>
      </c>
      <c r="K15" s="1004">
        <f>IFERROR(ROUND(AVERAGE('2. Променливи'!K65,'2. Променливи'!K63),0),0)</f>
        <v>2</v>
      </c>
      <c r="L15" s="1004">
        <f>IFERROR(ROUND(AVERAGE('2. Променливи'!P65,'2. Променливи'!P63),0),0)</f>
        <v>2</v>
      </c>
      <c r="M15" s="435">
        <v>0.49</v>
      </c>
      <c r="N15" s="1928">
        <v>0.49</v>
      </c>
      <c r="O15" s="1925"/>
      <c r="P15" s="944" t="s">
        <v>1357</v>
      </c>
      <c r="Q15" s="866">
        <f t="shared" si="3"/>
        <v>-5.5200000000000027E-2</v>
      </c>
      <c r="R15" s="867">
        <f t="shared" si="4"/>
        <v>-9.8899999999999988E-2</v>
      </c>
      <c r="S15" s="867">
        <f t="shared" si="5"/>
        <v>-6.6799999999999971E-2</v>
      </c>
      <c r="T15" s="867">
        <f t="shared" si="6"/>
        <v>-5.3100000000000036E-2</v>
      </c>
      <c r="U15" s="867">
        <f t="shared" si="7"/>
        <v>-4.5300000000000007E-2</v>
      </c>
      <c r="V15" s="869">
        <f t="shared" si="1"/>
        <v>-3.1999999999999806E-3</v>
      </c>
      <c r="Z15" s="3872"/>
      <c r="AA15" s="3872"/>
    </row>
    <row r="16" spans="1:27" ht="14.25">
      <c r="A16" s="1921">
        <v>8</v>
      </c>
      <c r="B16" s="1926" t="s">
        <v>125</v>
      </c>
      <c r="C16" s="1927" t="s">
        <v>765</v>
      </c>
      <c r="D16" s="845" t="s">
        <v>757</v>
      </c>
      <c r="E16" s="1938">
        <f>IFERROR(ROUND('2. Променливи'!E59/'2. Променливи'!E25*100,2),0)</f>
        <v>191.47</v>
      </c>
      <c r="F16" s="1938">
        <f>IFERROR(ROUND('2. Променливи'!F59/'2. Променливи'!F25*100,2),0)</f>
        <v>172.79</v>
      </c>
      <c r="G16" s="1938">
        <f>IFERROR(ROUND('2. Променливи'!G59/'2. Променливи'!G25*100,2),0)</f>
        <v>154.16</v>
      </c>
      <c r="H16" s="1938">
        <f>IFERROR(ROUND('2. Променливи'!H59/'2. Променливи'!H25*100,2),0)</f>
        <v>135.57</v>
      </c>
      <c r="I16" s="1938">
        <f>IFERROR(ROUND('2. Променливи'!I59/'2. Променливи'!I25*100,2),0)</f>
        <v>117.25</v>
      </c>
      <c r="J16" s="1938">
        <f>IFERROR(ROUND('2. Променливи'!J59/'2. Променливи'!J25*100,2),0)</f>
        <v>99</v>
      </c>
      <c r="K16" s="1004">
        <f>IFERROR(ROUND(AVERAGE('2. Променливи'!K59,'2. Променливи'!K25),0),0)</f>
        <v>2</v>
      </c>
      <c r="L16" s="1004">
        <f>IFERROR(ROUND(AVERAGE('2. Променливи'!P59,'2. Променливи'!P25),0),0)</f>
        <v>2</v>
      </c>
      <c r="M16" s="88">
        <v>99.06</v>
      </c>
      <c r="N16" s="1929">
        <v>60</v>
      </c>
      <c r="O16" s="1930"/>
      <c r="P16" s="944" t="s">
        <v>1357</v>
      </c>
      <c r="Q16" s="1555">
        <f t="shared" si="3"/>
        <v>-18.680000000000007</v>
      </c>
      <c r="R16" s="1556">
        <f t="shared" si="4"/>
        <v>-18.629999999999995</v>
      </c>
      <c r="S16" s="1556">
        <f t="shared" si="5"/>
        <v>-18.590000000000003</v>
      </c>
      <c r="T16" s="1556">
        <f t="shared" si="6"/>
        <v>-18.319999999999993</v>
      </c>
      <c r="U16" s="1556">
        <f t="shared" si="7"/>
        <v>-18.25</v>
      </c>
      <c r="V16" s="1562">
        <f t="shared" si="1"/>
        <v>-6.0000000000002274E-2</v>
      </c>
      <c r="Z16" s="3872"/>
      <c r="AA16" s="3872"/>
    </row>
    <row r="17" spans="1:27" ht="14.25">
      <c r="A17" s="1921">
        <v>9</v>
      </c>
      <c r="B17" s="1926" t="s">
        <v>1269</v>
      </c>
      <c r="C17" s="1931" t="s">
        <v>766</v>
      </c>
      <c r="D17" s="845" t="s">
        <v>174</v>
      </c>
      <c r="E17" s="1943">
        <f>IFERROR(ROUND('2. Променливи'!E73/'2. Променливи'!E27,4),0)</f>
        <v>0.54679999999999995</v>
      </c>
      <c r="F17" s="1943">
        <f>IFERROR(ROUND('2. Променливи'!F73/'2. Променливи'!F27,4),0)</f>
        <v>0.56830000000000003</v>
      </c>
      <c r="G17" s="1943">
        <f>IFERROR(ROUND('2. Променливи'!G73/'2. Променливи'!G27,4),0)</f>
        <v>0.61150000000000004</v>
      </c>
      <c r="H17" s="1943">
        <f>IFERROR(ROUND('2. Променливи'!H73/'2. Променливи'!H27,4),0)</f>
        <v>0.6835</v>
      </c>
      <c r="I17" s="1943">
        <f>IFERROR(ROUND('2. Променливи'!I73/'2. Променливи'!I27,4),0)</f>
        <v>0.79139999999999999</v>
      </c>
      <c r="J17" s="1943">
        <f>IFERROR(ROUND('2. Променливи'!J73/'2. Променливи'!J27,4),0)</f>
        <v>0.92090000000000005</v>
      </c>
      <c r="K17" s="1004">
        <f>IFERROR(ROUND(AVERAGE('2. Променливи'!K73,'2. Променливи'!K27),0),0)</f>
        <v>2</v>
      </c>
      <c r="L17" s="1004">
        <f>IFERROR(ROUND(AVERAGE('2. Променливи'!P73,'2. Променливи'!P27),0),0)</f>
        <v>2</v>
      </c>
      <c r="M17" s="446">
        <v>0.92090000000000005</v>
      </c>
      <c r="N17" s="1928">
        <v>1</v>
      </c>
      <c r="O17" s="1925"/>
      <c r="P17" s="944" t="s">
        <v>1356</v>
      </c>
      <c r="Q17" s="866">
        <f t="shared" si="3"/>
        <v>2.1500000000000075E-2</v>
      </c>
      <c r="R17" s="867">
        <f t="shared" si="4"/>
        <v>4.3200000000000016E-2</v>
      </c>
      <c r="S17" s="867">
        <f t="shared" si="5"/>
        <v>7.1999999999999953E-2</v>
      </c>
      <c r="T17" s="867">
        <f t="shared" si="6"/>
        <v>0.1079</v>
      </c>
      <c r="U17" s="867">
        <f t="shared" si="7"/>
        <v>0.12950000000000006</v>
      </c>
      <c r="V17" s="869">
        <f t="shared" si="1"/>
        <v>0</v>
      </c>
      <c r="Z17" s="3872"/>
      <c r="AA17" s="3872"/>
    </row>
    <row r="18" spans="1:27" ht="14.25">
      <c r="A18" s="1921">
        <v>10</v>
      </c>
      <c r="B18" s="1926" t="s">
        <v>126</v>
      </c>
      <c r="C18" s="1927" t="s">
        <v>767</v>
      </c>
      <c r="D18" s="845" t="s">
        <v>174</v>
      </c>
      <c r="E18" s="1943">
        <f>IFERROR(ROUND('2. Променливи'!E11/'2. Променливи'!E13,4),"-")</f>
        <v>0.73350000000000004</v>
      </c>
      <c r="F18" s="1943">
        <f>IFERROR(ROUND('2. Променливи'!F11/'2. Променливи'!F13,4),"-")</f>
        <v>0.76419999999999999</v>
      </c>
      <c r="G18" s="1943">
        <f>IFERROR(ROUND('2. Променливи'!G11/'2. Променливи'!G13,4),"-")</f>
        <v>0.77769999999999995</v>
      </c>
      <c r="H18" s="1943">
        <f>IFERROR(ROUND('2. Променливи'!H11/'2. Променливи'!H13,4),"-")</f>
        <v>0.83540000000000003</v>
      </c>
      <c r="I18" s="1943">
        <f>IFERROR(ROUND('2. Променливи'!I11/'2. Променливи'!I13,4),"-")</f>
        <v>0.83809999999999996</v>
      </c>
      <c r="J18" s="1943">
        <f>IFERROR(ROUND('2. Променливи'!J11/'2. Променливи'!J13,4),"-")</f>
        <v>0.84240000000000004</v>
      </c>
      <c r="K18" s="1004">
        <f>'2. Променливи'!K11</f>
        <v>1</v>
      </c>
      <c r="L18" s="1004">
        <f>'2. Променливи'!P11</f>
        <v>1</v>
      </c>
      <c r="M18" s="446">
        <v>0.75</v>
      </c>
      <c r="N18" s="1928">
        <v>0.75</v>
      </c>
      <c r="O18" s="1925"/>
      <c r="P18" s="944" t="s">
        <v>1356</v>
      </c>
      <c r="Q18" s="866">
        <f t="shared" ref="Q18:U21" si="8">IFERROR(F18-E18,"-")</f>
        <v>3.069999999999995E-2</v>
      </c>
      <c r="R18" s="867">
        <f t="shared" si="8"/>
        <v>1.3499999999999956E-2</v>
      </c>
      <c r="S18" s="867">
        <f t="shared" si="8"/>
        <v>5.7700000000000085E-2</v>
      </c>
      <c r="T18" s="867">
        <f t="shared" si="8"/>
        <v>2.6999999999999247E-3</v>
      </c>
      <c r="U18" s="867">
        <f t="shared" si="8"/>
        <v>4.3000000000000815E-3</v>
      </c>
      <c r="V18" s="869">
        <f>IFERROR(J18-M18,"-")</f>
        <v>9.2400000000000038E-2</v>
      </c>
      <c r="Z18" s="3872"/>
      <c r="AA18" s="3872"/>
    </row>
    <row r="19" spans="1:27" ht="14.25">
      <c r="A19" s="1921">
        <v>11</v>
      </c>
      <c r="B19" s="1926" t="s">
        <v>127</v>
      </c>
      <c r="C19" s="1927" t="s">
        <v>768</v>
      </c>
      <c r="D19" s="845" t="s">
        <v>174</v>
      </c>
      <c r="E19" s="1943">
        <f>IFERROR(ROUND('2. Променливи'!E12/'2. Променливи'!E13,4),"-")</f>
        <v>0.68179999999999996</v>
      </c>
      <c r="F19" s="1943">
        <f>IFERROR(ROUND('2. Променливи'!F12/'2. Променливи'!F13,4),"-")</f>
        <v>0.66049999999999998</v>
      </c>
      <c r="G19" s="1943">
        <f>IFERROR(ROUND('2. Променливи'!G12/'2. Променливи'!G13,4),"-")</f>
        <v>0.67400000000000004</v>
      </c>
      <c r="H19" s="1943">
        <f>IFERROR(ROUND('2. Променливи'!H12/'2. Променливи'!H13,4),"-")</f>
        <v>0.83389999999999997</v>
      </c>
      <c r="I19" s="1943">
        <f>IFERROR(ROUND('2. Променливи'!I12/'2. Променливи'!I13,4),"-")</f>
        <v>0.83589999999999998</v>
      </c>
      <c r="J19" s="4477">
        <f>IFERROR(ROUND('2. Променливи'!J12/'2. Променливи'!J13,4),"-")</f>
        <v>0.83799999999999997</v>
      </c>
      <c r="K19" s="1004">
        <f>'2. Променливи'!K12</f>
        <v>1</v>
      </c>
      <c r="L19" s="1004">
        <f>'2. Променливи'!P12</f>
        <v>1</v>
      </c>
      <c r="M19" s="4868">
        <v>0.75</v>
      </c>
      <c r="N19" s="1928">
        <v>0.75</v>
      </c>
      <c r="O19" s="1925"/>
      <c r="P19" s="944" t="s">
        <v>1356</v>
      </c>
      <c r="Q19" s="866">
        <f t="shared" si="8"/>
        <v>-2.1299999999999986E-2</v>
      </c>
      <c r="R19" s="867">
        <f t="shared" si="8"/>
        <v>1.3500000000000068E-2</v>
      </c>
      <c r="S19" s="867">
        <f t="shared" si="8"/>
        <v>0.15989999999999993</v>
      </c>
      <c r="T19" s="867">
        <f t="shared" si="8"/>
        <v>2.0000000000000018E-3</v>
      </c>
      <c r="U19" s="867">
        <f t="shared" si="8"/>
        <v>2.0999999999999908E-3</v>
      </c>
      <c r="V19" s="869">
        <f>IFERROR(J19-M19,"-")</f>
        <v>8.7999999999999967E-2</v>
      </c>
      <c r="Z19" s="3872"/>
      <c r="AA19" s="3872"/>
    </row>
    <row r="20" spans="1:27" ht="14.25">
      <c r="A20" s="1921">
        <v>12</v>
      </c>
      <c r="B20" s="1926" t="s">
        <v>128</v>
      </c>
      <c r="C20" s="1927" t="s">
        <v>769</v>
      </c>
      <c r="D20" s="845" t="s">
        <v>174</v>
      </c>
      <c r="E20" s="1943">
        <f>IFERROR(ROUND('2. Променливи'!E56/'2. Променливи'!E57,4),"-")</f>
        <v>1</v>
      </c>
      <c r="F20" s="1943">
        <f>IFERROR(ROUND('2. Променливи'!F56/'2. Променливи'!F57,4),"-")</f>
        <v>1</v>
      </c>
      <c r="G20" s="1943">
        <f>IFERROR(ROUND('2. Променливи'!G56/'2. Променливи'!G57,4),"-")</f>
        <v>1</v>
      </c>
      <c r="H20" s="1943">
        <f>IFERROR(ROUND('2. Променливи'!H56/'2. Променливи'!H57,4),"-")</f>
        <v>1</v>
      </c>
      <c r="I20" s="1943">
        <f>IFERROR(ROUND('2. Променливи'!I56/'2. Променливи'!I57,4),"-")</f>
        <v>1</v>
      </c>
      <c r="J20" s="1943">
        <f>IFERROR(ROUND('2. Променливи'!J56/'2. Променливи'!J57,4),"-")</f>
        <v>1</v>
      </c>
      <c r="K20" s="1004">
        <f>IFERROR(ROUND(AVERAGE('2. Променливи'!K56,'2. Променливи'!K57),0),0)</f>
        <v>1</v>
      </c>
      <c r="L20" s="1004">
        <f>IFERROR(ROUND(AVERAGE('2. Променливи'!P56,'2. Променливи'!P57),0),0)</f>
        <v>1</v>
      </c>
      <c r="M20" s="446">
        <v>0.93</v>
      </c>
      <c r="N20" s="1928">
        <v>0.93</v>
      </c>
      <c r="O20" s="1925"/>
      <c r="P20" s="944" t="s">
        <v>1356</v>
      </c>
      <c r="Q20" s="866">
        <f t="shared" si="8"/>
        <v>0</v>
      </c>
      <c r="R20" s="867">
        <f t="shared" si="8"/>
        <v>0</v>
      </c>
      <c r="S20" s="867">
        <f t="shared" si="8"/>
        <v>0</v>
      </c>
      <c r="T20" s="867">
        <f t="shared" si="8"/>
        <v>0</v>
      </c>
      <c r="U20" s="867">
        <f t="shared" si="8"/>
        <v>0</v>
      </c>
      <c r="V20" s="869">
        <f>IFERROR(J20-M20,"-")</f>
        <v>6.9999999999999951E-2</v>
      </c>
      <c r="Z20" s="3872"/>
      <c r="AA20" s="3872"/>
    </row>
    <row r="21" spans="1:27" ht="14.25">
      <c r="A21" s="1921">
        <v>13</v>
      </c>
      <c r="B21" s="1926" t="s">
        <v>129</v>
      </c>
      <c r="C21" s="1927" t="s">
        <v>770</v>
      </c>
      <c r="D21" s="845" t="s">
        <v>757</v>
      </c>
      <c r="E21" s="4478">
        <f>IFERROR(ROUND(('2. Променливи'!E60+'2. Променливи'!E61+'2. Променливи'!E62)/'2. Променливи'!E31*100,2),"-")</f>
        <v>276.75</v>
      </c>
      <c r="F21" s="4478">
        <f>IFERROR(ROUND(('2. Променливи'!F60+'2. Променливи'!F61+'2. Променливи'!F62)/'2. Променливи'!F31*100,2),"-")</f>
        <v>259.54000000000002</v>
      </c>
      <c r="G21" s="4478">
        <f>IFERROR(ROUND(('2. Променливи'!G60+'2. Променливи'!G61+'2. Променливи'!G62)/'2. Променливи'!G31*100,2),"-")</f>
        <v>243.55</v>
      </c>
      <c r="H21" s="4478">
        <f>IFERROR(ROUND(('2. Променливи'!H60+'2. Променливи'!H61+'2. Променливи'!H62)/'2. Променливи'!H31*100,2),"-")</f>
        <v>242.96</v>
      </c>
      <c r="I21" s="4478">
        <f>IFERROR(ROUND(('2. Променливи'!I60+'2. Променливи'!I61+'2. Променливи'!I62)/'2. Променливи'!I31*100,2),"-")</f>
        <v>237.11</v>
      </c>
      <c r="J21" s="4478">
        <f>IFERROR(ROUND(('2. Променливи'!J60+'2. Променливи'!J61+'2. Променливи'!J62)/'2. Променливи'!J31*100,2),"-")</f>
        <v>225.11</v>
      </c>
      <c r="K21" s="1004">
        <f>IFERROR(ROUND(AVERAGE('2. Променливи'!K60,'2. Променливи'!K61,'2. Променливи'!K62,'2. Променливи'!K31),0),0)</f>
        <v>2</v>
      </c>
      <c r="L21" s="1004">
        <f>IFERROR(ROUND(AVERAGE('2. Променливи'!P60,'2. Променливи'!P61,'2. Променливи'!P62,'2. Променливи'!P31),0),0)</f>
        <v>2</v>
      </c>
      <c r="M21" s="88">
        <v>145.97</v>
      </c>
      <c r="N21" s="1929">
        <v>120</v>
      </c>
      <c r="O21" s="1930"/>
      <c r="P21" s="944" t="s">
        <v>1357</v>
      </c>
      <c r="Q21" s="1555">
        <f t="shared" si="8"/>
        <v>-17.20999999999998</v>
      </c>
      <c r="R21" s="1556">
        <f t="shared" si="8"/>
        <v>-15.990000000000009</v>
      </c>
      <c r="S21" s="1556">
        <f t="shared" si="8"/>
        <v>-0.59000000000000341</v>
      </c>
      <c r="T21" s="1556">
        <f t="shared" si="8"/>
        <v>-5.8499999999999943</v>
      </c>
      <c r="U21" s="1556">
        <f t="shared" si="8"/>
        <v>-12</v>
      </c>
      <c r="V21" s="870">
        <f>IFERROR(J21-M21,"-")</f>
        <v>79.140000000000015</v>
      </c>
      <c r="Z21" s="3872"/>
      <c r="AA21" s="3872"/>
    </row>
    <row r="22" spans="1:27" ht="18" customHeight="1">
      <c r="A22" s="1921">
        <v>14</v>
      </c>
      <c r="B22" s="1926" t="s">
        <v>130</v>
      </c>
      <c r="C22" s="1931" t="s">
        <v>771</v>
      </c>
      <c r="D22" s="845" t="s">
        <v>758</v>
      </c>
      <c r="E22" s="4479">
        <f>IFERROR(ROUND('2. Променливи'!E105/'2. Променливи'!E14*10000,3),0)</f>
        <v>0.11700000000000001</v>
      </c>
      <c r="F22" s="4479">
        <f>IFERROR(ROUND('2. Променливи'!F105/'2. Променливи'!F14*10000,3),0)</f>
        <v>0</v>
      </c>
      <c r="G22" s="4480">
        <f>IFERROR(ROUND('2. Променливи'!G105/'2. Променливи'!G14*10000,3),0)</f>
        <v>0</v>
      </c>
      <c r="H22" s="4480">
        <f>IFERROR(ROUND('2. Променливи'!H105/'2. Променливи'!H14*10000,3),0)</f>
        <v>0</v>
      </c>
      <c r="I22" s="4480">
        <f>IFERROR(ROUND('2. Променливи'!I105/'2. Променливи'!I14*10000,3),0)</f>
        <v>0</v>
      </c>
      <c r="J22" s="4480">
        <f>IFERROR(ROUND('2. Променливи'!J105/'2. Променливи'!J14*10000,3),0)</f>
        <v>0</v>
      </c>
      <c r="K22" s="1004">
        <f>IFERROR(ROUND(AVERAGE('2. Променливи'!K105,'2. Променливи'!K14),0),0)</f>
        <v>2</v>
      </c>
      <c r="L22" s="1004">
        <f>IFERROR(ROUND(AVERAGE('2. Променливи'!P105,'2. Променливи'!P14),0),0)</f>
        <v>2</v>
      </c>
      <c r="M22" s="88">
        <v>0.5</v>
      </c>
      <c r="N22" s="1929">
        <v>0.5</v>
      </c>
      <c r="O22" s="1930"/>
      <c r="P22" s="944" t="s">
        <v>1357</v>
      </c>
      <c r="Q22" s="1557">
        <f t="shared" si="3"/>
        <v>-0.11700000000000001</v>
      </c>
      <c r="R22" s="1558">
        <f t="shared" si="4"/>
        <v>0</v>
      </c>
      <c r="S22" s="1558">
        <f t="shared" si="5"/>
        <v>0</v>
      </c>
      <c r="T22" s="1558">
        <f t="shared" si="6"/>
        <v>0</v>
      </c>
      <c r="U22" s="1558">
        <f t="shared" si="7"/>
        <v>0</v>
      </c>
      <c r="V22" s="1561">
        <f t="shared" si="1"/>
        <v>-0.5</v>
      </c>
      <c r="Z22" s="3872"/>
      <c r="AA22" s="3872"/>
    </row>
    <row r="23" spans="1:27" ht="25.5">
      <c r="A23" s="1921">
        <v>15</v>
      </c>
      <c r="B23" s="1926" t="s">
        <v>131</v>
      </c>
      <c r="C23" s="1931" t="s">
        <v>1340</v>
      </c>
      <c r="D23" s="845" t="s">
        <v>1050</v>
      </c>
      <c r="E23" s="4475">
        <f>IFERROR(ROUND('2. Променливи'!E80/'2. Променливи'!E63,3),0)</f>
        <v>0.28999999999999998</v>
      </c>
      <c r="F23" s="4475">
        <f>IFERROR(ROUND('2. Променливи'!F80/'2. Променливи'!F63,3),0)</f>
        <v>0.28999999999999998</v>
      </c>
      <c r="G23" s="4475">
        <f>IFERROR(ROUND('2. Променливи'!G80/'2. Променливи'!G63,3),0)</f>
        <v>0.28599999999999998</v>
      </c>
      <c r="H23" s="4475">
        <f>IFERROR(ROUND('2. Променливи'!H80/'2. Променливи'!H63,3),0)</f>
        <v>0.28499999999999998</v>
      </c>
      <c r="I23" s="4475">
        <f>IFERROR(ROUND('2. Променливи'!I80/'2. Променливи'!I63,3),0)</f>
        <v>0.28399999999999997</v>
      </c>
      <c r="J23" s="4475">
        <f>IFERROR(ROUND('2. Променливи'!J80/'2. Променливи'!J63,3),0)</f>
        <v>0.28399999999999997</v>
      </c>
      <c r="K23" s="1004">
        <f>IFERROR(ROUND(AVERAGE('2. Променливи'!K80,'2. Променливи'!K63),0),0)</f>
        <v>1</v>
      </c>
      <c r="L23" s="1004">
        <f>IFERROR(ROUND(AVERAGE('2. Променливи'!P80,'2. Променливи'!P63),0),0)</f>
        <v>1</v>
      </c>
      <c r="M23" s="88">
        <v>0.32</v>
      </c>
      <c r="N23" s="1929">
        <v>0.45</v>
      </c>
      <c r="O23" s="1930"/>
      <c r="P23" s="944" t="s">
        <v>1357</v>
      </c>
      <c r="Q23" s="1557">
        <f t="shared" si="3"/>
        <v>0</v>
      </c>
      <c r="R23" s="1558">
        <f t="shared" si="4"/>
        <v>-4.0000000000000036E-3</v>
      </c>
      <c r="S23" s="1558">
        <f t="shared" si="5"/>
        <v>-1.0000000000000009E-3</v>
      </c>
      <c r="T23" s="1558">
        <f t="shared" si="6"/>
        <v>-1.0000000000000009E-3</v>
      </c>
      <c r="U23" s="1558">
        <f t="shared" si="7"/>
        <v>0</v>
      </c>
      <c r="V23" s="1561">
        <f t="shared" si="1"/>
        <v>-3.6000000000000032E-2</v>
      </c>
      <c r="Z23" s="3872"/>
      <c r="AA23" s="3872"/>
    </row>
    <row r="24" spans="1:27" ht="29.25" customHeight="1">
      <c r="A24" s="1921">
        <v>16</v>
      </c>
      <c r="B24" s="1926" t="s">
        <v>132</v>
      </c>
      <c r="C24" s="1931" t="s">
        <v>772</v>
      </c>
      <c r="D24" s="845" t="s">
        <v>1050</v>
      </c>
      <c r="E24" s="4475">
        <f>IFERROR(ROUND('2. Променливи'!E81/'2. Променливи'!E66,3),"-")</f>
        <v>0.124</v>
      </c>
      <c r="F24" s="4475">
        <f>IFERROR(ROUND('2. Променливи'!F81/'2. Променливи'!F66,3),"-")</f>
        <v>9.8000000000000004E-2</v>
      </c>
      <c r="G24" s="4481">
        <f>IFERROR(ROUND('2. Променливи'!G81/'2. Променливи'!G66,3),"-")</f>
        <v>9.4E-2</v>
      </c>
      <c r="H24" s="4475">
        <f>IFERROR(ROUND('2. Променливи'!H81/'2. Променливи'!H66,3),"-")</f>
        <v>0.24099999999999999</v>
      </c>
      <c r="I24" s="4481">
        <f>IFERROR(ROUND('2. Променливи'!I81/'2. Променливи'!I66,3),"-")</f>
        <v>0.22600000000000001</v>
      </c>
      <c r="J24" s="4475">
        <f>IFERROR(ROUND('2. Променливи'!J81/'2. Променливи'!J66,3),"-")</f>
        <v>0.22</v>
      </c>
      <c r="K24" s="1004">
        <f>IFERROR(ROUND(AVERAGE('2. Променливи'!K81,'2. Променливи'!K66),0),0)</f>
        <v>2</v>
      </c>
      <c r="L24" s="1004">
        <f>IFERROR(ROUND(AVERAGE('2. Променливи'!P81,'2. Променливи'!P66),0),0)</f>
        <v>2</v>
      </c>
      <c r="M24" s="88">
        <v>0.20599999999999999</v>
      </c>
      <c r="N24" s="1929">
        <v>0.25</v>
      </c>
      <c r="O24" s="1930"/>
      <c r="P24" s="944" t="s">
        <v>1357</v>
      </c>
      <c r="Q24" s="1557">
        <f>IFERROR(F24-E24,"-")</f>
        <v>-2.5999999999999995E-2</v>
      </c>
      <c r="R24" s="1558">
        <f>IFERROR(G24-F24,"-")</f>
        <v>-4.0000000000000036E-3</v>
      </c>
      <c r="S24" s="1558">
        <f>IFERROR(H24-G24,"-")</f>
        <v>0.14699999999999999</v>
      </c>
      <c r="T24" s="1558">
        <f>IFERROR(I24-H24,"-")</f>
        <v>-1.4999999999999986E-2</v>
      </c>
      <c r="U24" s="1558">
        <f>IFERROR(J24-I24,"-")</f>
        <v>-6.0000000000000053E-3</v>
      </c>
      <c r="V24" s="1561">
        <f>IFERROR(J24-M24,"-")</f>
        <v>1.4000000000000012E-2</v>
      </c>
      <c r="Z24" s="3872"/>
      <c r="AA24" s="3872"/>
    </row>
    <row r="25" spans="1:27" ht="14.25">
      <c r="A25" s="1921">
        <v>17</v>
      </c>
      <c r="B25" s="1926" t="s">
        <v>133</v>
      </c>
      <c r="C25" s="1927" t="s">
        <v>773</v>
      </c>
      <c r="D25" s="845" t="s">
        <v>174</v>
      </c>
      <c r="E25" s="1943">
        <f>IFERROR(ROUND('2. Променливи'!E82/'2. Променливи'!E83,4),0)</f>
        <v>0</v>
      </c>
      <c r="F25" s="1943">
        <f>IFERROR(ROUND('2. Променливи'!F82/'2. Променливи'!F83,4),0)</f>
        <v>0</v>
      </c>
      <c r="G25" s="1943">
        <f>IFERROR(ROUND('2. Променливи'!G82/'2. Променливи'!G83,4),0)</f>
        <v>0.41799999999999998</v>
      </c>
      <c r="H25" s="1943">
        <f>IFERROR(ROUND('2. Променливи'!H82/'2. Променливи'!H83,4),0)</f>
        <v>1</v>
      </c>
      <c r="I25" s="1943">
        <f>IFERROR(ROUND('2. Променливи'!I82/'2. Променливи'!I83,4),0)</f>
        <v>0.9375</v>
      </c>
      <c r="J25" s="1943">
        <f>IFERROR(ROUND('2. Променливи'!J82/'2. Променливи'!J83,4),0)</f>
        <v>1</v>
      </c>
      <c r="K25" s="1004">
        <f>IFERROR(ROUND(AVERAGE('2. Променливи'!K82,'2. Променливи'!K83),0),0)</f>
        <v>1</v>
      </c>
      <c r="L25" s="1004">
        <f>IFERROR(ROUND(AVERAGE('2. Променливи'!P82,'2. Променливи'!P83),0),0)</f>
        <v>1</v>
      </c>
      <c r="M25" s="446">
        <v>1</v>
      </c>
      <c r="N25" s="1928">
        <v>1</v>
      </c>
      <c r="O25" s="1925"/>
      <c r="P25" s="944" t="s">
        <v>1356</v>
      </c>
      <c r="Q25" s="866">
        <f t="shared" si="3"/>
        <v>0</v>
      </c>
      <c r="R25" s="867">
        <f t="shared" si="4"/>
        <v>0.41799999999999998</v>
      </c>
      <c r="S25" s="867">
        <f t="shared" si="5"/>
        <v>0.58200000000000007</v>
      </c>
      <c r="T25" s="867">
        <f t="shared" si="6"/>
        <v>-6.25E-2</v>
      </c>
      <c r="U25" s="867">
        <f t="shared" si="7"/>
        <v>6.25E-2</v>
      </c>
      <c r="V25" s="869">
        <f t="shared" si="1"/>
        <v>0</v>
      </c>
      <c r="Z25" s="3872"/>
      <c r="AA25" s="3872"/>
    </row>
    <row r="26" spans="1:27" ht="14.25">
      <c r="A26" s="1921">
        <v>18</v>
      </c>
      <c r="B26" s="1926" t="s">
        <v>134</v>
      </c>
      <c r="C26" s="1927" t="s">
        <v>774</v>
      </c>
      <c r="D26" s="845" t="s">
        <v>174</v>
      </c>
      <c r="E26" s="1943">
        <f>IFERROR(ROUND('2. Променливи'!E78/'2. Променливи'!E25,4),0)</f>
        <v>4.3E-3</v>
      </c>
      <c r="F26" s="4473">
        <f>IFERROR(ROUND('2. Променливи'!F78/'2. Променливи'!F25,4),0)</f>
        <v>9.1999999999999998E-3</v>
      </c>
      <c r="G26" s="4473">
        <f>IFERROR(ROUND('2. Променливи'!G78/'2. Променливи'!G25,4),0)</f>
        <v>9.2999999999999992E-3</v>
      </c>
      <c r="H26" s="4473">
        <f>IFERROR(ROUND('2. Променливи'!H78/'2. Променливи'!H25,4),0)</f>
        <v>9.5999999999999992E-3</v>
      </c>
      <c r="I26" s="1943">
        <f>IFERROR(ROUND('2. Променливи'!I78/'2. Променливи'!I25,4),0)</f>
        <v>1.01E-2</v>
      </c>
      <c r="J26" s="1943">
        <f>IFERROR(ROUND('2. Променливи'!J78/'2. Променливи'!J25,4),0)</f>
        <v>1.12E-2</v>
      </c>
      <c r="K26" s="1004">
        <f>IFERROR(ROUND(AVERAGE('2. Променливи'!K78,'2. Променливи'!K25),0),0)</f>
        <v>2</v>
      </c>
      <c r="L26" s="1005">
        <f>IFERROR(ROUND(AVERAGE('2. Променливи'!P78,'2. Променливи'!P25),0),0)</f>
        <v>2</v>
      </c>
      <c r="M26" s="435">
        <v>1.12E-2</v>
      </c>
      <c r="N26" s="1932">
        <v>1.2500000000000001E-2</v>
      </c>
      <c r="O26" s="1933"/>
      <c r="P26" s="944" t="s">
        <v>1356</v>
      </c>
      <c r="Q26" s="866">
        <f t="shared" si="3"/>
        <v>4.8999999999999998E-3</v>
      </c>
      <c r="R26" s="867">
        <f t="shared" si="4"/>
        <v>9.9999999999999395E-5</v>
      </c>
      <c r="S26" s="867">
        <f t="shared" si="5"/>
        <v>2.9999999999999992E-4</v>
      </c>
      <c r="T26" s="867">
        <f t="shared" si="6"/>
        <v>5.0000000000000044E-4</v>
      </c>
      <c r="U26" s="867">
        <f t="shared" si="7"/>
        <v>1.1000000000000003E-3</v>
      </c>
      <c r="V26" s="869">
        <f t="shared" si="1"/>
        <v>0</v>
      </c>
      <c r="Z26" s="3872"/>
      <c r="AA26" s="3872"/>
    </row>
    <row r="27" spans="1:27" ht="14.25">
      <c r="A27" s="1921">
        <v>19</v>
      </c>
      <c r="B27" s="1926" t="s">
        <v>782</v>
      </c>
      <c r="C27" s="1927" t="s">
        <v>783</v>
      </c>
      <c r="D27" s="845" t="s">
        <v>174</v>
      </c>
      <c r="E27" s="1943">
        <f>IFERROR(ROUND('2. Променливи'!E79/'2. Променливи'!E25,4),0)</f>
        <v>2.9999999999999997E-4</v>
      </c>
      <c r="F27" s="1943">
        <f>IFERROR(ROUND('2. Променливи'!F79/'2. Променливи'!F25,4),0)</f>
        <v>1.2999999999999999E-3</v>
      </c>
      <c r="G27" s="1943">
        <f>IFERROR(ROUND('2. Променливи'!G79/'2. Променливи'!G25,4),0)</f>
        <v>3.3999999999999998E-3</v>
      </c>
      <c r="H27" s="1943">
        <f>IFERROR(ROUND('2. Променливи'!H79/'2. Променливи'!H25,4),0)</f>
        <v>5.7000000000000002E-3</v>
      </c>
      <c r="I27" s="1943">
        <f>IFERROR(ROUND('2. Променливи'!I79/'2. Променливи'!I25,4),0)</f>
        <v>8.0999999999999996E-3</v>
      </c>
      <c r="J27" s="1943">
        <f>IFERROR(ROUND('2. Променливи'!J79/'2. Променливи'!J25,4),0)</f>
        <v>1.2500000000000001E-2</v>
      </c>
      <c r="K27" s="1004">
        <f>IFERROR(ROUND(AVERAGE('2. Променливи'!K79,'2. Променливи'!K25),0),0)</f>
        <v>2</v>
      </c>
      <c r="L27" s="1004">
        <f>IFERROR(ROUND(AVERAGE('2. Променливи'!P79,'2. Променливи'!P25),0),0)</f>
        <v>2</v>
      </c>
      <c r="M27" s="435">
        <v>1.2500000000000001E-2</v>
      </c>
      <c r="N27" s="1932">
        <v>1.2500000000000001E-2</v>
      </c>
      <c r="O27" s="1933"/>
      <c r="P27" s="944" t="s">
        <v>1356</v>
      </c>
      <c r="Q27" s="866">
        <f t="shared" si="3"/>
        <v>1E-3</v>
      </c>
      <c r="R27" s="867">
        <f t="shared" si="4"/>
        <v>2.0999999999999999E-3</v>
      </c>
      <c r="S27" s="867">
        <f t="shared" si="5"/>
        <v>2.3000000000000004E-3</v>
      </c>
      <c r="T27" s="867">
        <f t="shared" si="6"/>
        <v>2.3999999999999994E-3</v>
      </c>
      <c r="U27" s="867">
        <f t="shared" si="7"/>
        <v>4.4000000000000011E-3</v>
      </c>
      <c r="V27" s="869">
        <f t="shared" si="1"/>
        <v>0</v>
      </c>
      <c r="Z27" s="3872"/>
      <c r="AA27" s="3872"/>
    </row>
    <row r="28" spans="1:27" ht="14.25">
      <c r="A28" s="1921">
        <v>20</v>
      </c>
      <c r="B28" s="1926" t="s">
        <v>135</v>
      </c>
      <c r="C28" s="1927" t="s">
        <v>50</v>
      </c>
      <c r="D28" s="845" t="s">
        <v>1041</v>
      </c>
      <c r="E28" s="1938">
        <f>IFERROR(ROUND('2. Променливи'!E84/'2. Променливи'!E85,2),0)</f>
        <v>0.62</v>
      </c>
      <c r="F28" s="4482">
        <f>IFERROR(ROUND('2. Променливи'!F84/'2. Променливи'!F85,2),0)</f>
        <v>1.06</v>
      </c>
      <c r="G28" s="1938">
        <f>IFERROR(ROUND('2. Променливи'!G84/'2. Променливи'!G85,2),0)</f>
        <v>1.07</v>
      </c>
      <c r="H28" s="1938">
        <f>IFERROR(ROUND('2. Променливи'!H84/'2. Променливи'!H85,2),0)</f>
        <v>1.07</v>
      </c>
      <c r="I28" s="1938">
        <f>IFERROR(ROUND('2. Променливи'!I84/'2. Променливи'!I85,2),0)</f>
        <v>1.07</v>
      </c>
      <c r="J28" s="1938">
        <f>IFERROR(ROUND('2. Променливи'!J84/'2. Променливи'!J85,2),0)</f>
        <v>1.07</v>
      </c>
      <c r="K28" s="1004">
        <f>IFERROR(ROUND(AVERAGE('2. Променливи'!K84,'2. Променливи'!K85),0),0)</f>
        <v>1</v>
      </c>
      <c r="L28" s="1004">
        <f>IFERROR(ROUND(AVERAGE('2. Променливи'!P84,'2. Променливи'!P85),0),0)</f>
        <v>1</v>
      </c>
      <c r="M28" s="88">
        <v>1.1000000000000001</v>
      </c>
      <c r="N28" s="1929">
        <v>1.1000000000000001</v>
      </c>
      <c r="O28" s="1930"/>
      <c r="P28" s="944" t="s">
        <v>1356</v>
      </c>
      <c r="Q28" s="1555">
        <f t="shared" si="3"/>
        <v>0.44000000000000006</v>
      </c>
      <c r="R28" s="1556">
        <f t="shared" si="4"/>
        <v>1.0000000000000009E-2</v>
      </c>
      <c r="S28" s="1556">
        <f t="shared" si="5"/>
        <v>0</v>
      </c>
      <c r="T28" s="1556">
        <f t="shared" si="6"/>
        <v>0</v>
      </c>
      <c r="U28" s="1556">
        <f t="shared" si="7"/>
        <v>0</v>
      </c>
      <c r="V28" s="870">
        <f t="shared" si="1"/>
        <v>-3.0000000000000027E-2</v>
      </c>
      <c r="Z28" s="3872"/>
      <c r="AA28" s="3872"/>
    </row>
    <row r="29" spans="1:27" ht="14.25">
      <c r="A29" s="1921">
        <v>21</v>
      </c>
      <c r="B29" s="1926" t="s">
        <v>136</v>
      </c>
      <c r="C29" s="1927" t="s">
        <v>53</v>
      </c>
      <c r="D29" s="845" t="s">
        <v>1041</v>
      </c>
      <c r="E29" s="1938">
        <f>IFERROR(ROUND('2. Променливи'!E86/'2. Променливи'!E87,2),"-")</f>
        <v>1.48</v>
      </c>
      <c r="F29" s="4482">
        <f>IFERROR(ROUND('2. Променливи'!F86/'2. Променливи'!F87,2),"-")</f>
        <v>1.17</v>
      </c>
      <c r="G29" s="1938">
        <f>IFERROR(ROUND('2. Променливи'!G86/'2. Променливи'!G87,2),"-")</f>
        <v>1.46</v>
      </c>
      <c r="H29" s="4482">
        <f>IFERROR(ROUND('2. Променливи'!H86/'2. Променливи'!H87,2),"-")</f>
        <v>1.33</v>
      </c>
      <c r="I29" s="1938">
        <f>IFERROR(ROUND('2. Променливи'!I86/'2. Променливи'!I87,2),"-")</f>
        <v>1.27</v>
      </c>
      <c r="J29" s="4482">
        <f>IFERROR(ROUND('2. Променливи'!J86/'2. Променливи'!J87,2),"-")</f>
        <v>1.26</v>
      </c>
      <c r="K29" s="1004">
        <f>IFERROR(ROUND(AVERAGE('2. Променливи'!K86,'2. Променливи'!K87),0),0)</f>
        <v>1</v>
      </c>
      <c r="L29" s="1004">
        <f>IFERROR(ROUND(AVERAGE('2. Променливи'!P86,'2. Променливи'!P87),0),0)</f>
        <v>1</v>
      </c>
      <c r="M29" s="88">
        <v>1.1000000000000001</v>
      </c>
      <c r="N29" s="1929">
        <v>1.1000000000000001</v>
      </c>
      <c r="O29" s="1930"/>
      <c r="P29" s="944" t="s">
        <v>1356</v>
      </c>
      <c r="Q29" s="1555">
        <f t="shared" ref="Q29:U30" si="9">IFERROR(F29-E29,"-")</f>
        <v>-0.31000000000000005</v>
      </c>
      <c r="R29" s="1556">
        <f t="shared" si="9"/>
        <v>0.29000000000000004</v>
      </c>
      <c r="S29" s="1556">
        <f t="shared" si="9"/>
        <v>-0.12999999999999989</v>
      </c>
      <c r="T29" s="1556">
        <f t="shared" si="9"/>
        <v>-6.0000000000000053E-2</v>
      </c>
      <c r="U29" s="1556">
        <f t="shared" si="9"/>
        <v>-1.0000000000000009E-2</v>
      </c>
      <c r="V29" s="870">
        <f>IFERROR(J29-M29,"-")</f>
        <v>0.15999999999999992</v>
      </c>
      <c r="Z29" s="3872"/>
      <c r="AA29" s="3872"/>
    </row>
    <row r="30" spans="1:27" ht="14.25">
      <c r="A30" s="1921">
        <v>22</v>
      </c>
      <c r="B30" s="1926" t="s">
        <v>137</v>
      </c>
      <c r="C30" s="1927" t="s">
        <v>56</v>
      </c>
      <c r="D30" s="845" t="s">
        <v>1041</v>
      </c>
      <c r="E30" s="1938">
        <f>IFERROR(ROUND('2. Променливи'!E88/'2. Променливи'!E89,2),"-")</f>
        <v>0.76</v>
      </c>
      <c r="F30" s="1938">
        <f>IFERROR(ROUND('2. Променливи'!F88/'2. Променливи'!F89,2),"-")</f>
        <v>1.08</v>
      </c>
      <c r="G30" s="1938">
        <f>IFERROR(ROUND('2. Променливи'!G88/'2. Променливи'!G89,2),"-")</f>
        <v>1.1200000000000001</v>
      </c>
      <c r="H30" s="1938">
        <f>IFERROR(ROUND('2. Променливи'!H88/'2. Променливи'!H89,2),"-")</f>
        <v>1.1100000000000001</v>
      </c>
      <c r="I30" s="1938">
        <f>IFERROR(ROUND('2. Променливи'!I88/'2. Променливи'!I89,2),"-")</f>
        <v>1.1000000000000001</v>
      </c>
      <c r="J30" s="1938">
        <f>IFERROR(ROUND('2. Променливи'!J88/'2. Променливи'!J89,2),"-")</f>
        <v>1.0900000000000001</v>
      </c>
      <c r="K30" s="1004">
        <f>IFERROR(ROUND(AVERAGE('2. Променливи'!K88,'2. Променливи'!K89),0),0)</f>
        <v>1</v>
      </c>
      <c r="L30" s="1004">
        <f>IFERROR(ROUND(AVERAGE('2. Променливи'!P88,'2. Променливи'!P89),0),0)</f>
        <v>1</v>
      </c>
      <c r="M30" s="88">
        <v>1.1000000000000001</v>
      </c>
      <c r="N30" s="1929">
        <v>1.1000000000000001</v>
      </c>
      <c r="O30" s="1930"/>
      <c r="P30" s="944" t="s">
        <v>1356</v>
      </c>
      <c r="Q30" s="1555">
        <f t="shared" si="9"/>
        <v>0.32000000000000006</v>
      </c>
      <c r="R30" s="1556">
        <f t="shared" si="9"/>
        <v>4.0000000000000036E-2</v>
      </c>
      <c r="S30" s="1556">
        <f t="shared" si="9"/>
        <v>-1.0000000000000009E-2</v>
      </c>
      <c r="T30" s="1556">
        <f t="shared" si="9"/>
        <v>-1.0000000000000009E-2</v>
      </c>
      <c r="U30" s="1556">
        <f t="shared" si="9"/>
        <v>-1.0000000000000009E-2</v>
      </c>
      <c r="V30" s="870">
        <f>IFERROR(J30-M30,"-")</f>
        <v>-1.0000000000000009E-2</v>
      </c>
      <c r="Z30" s="3872"/>
      <c r="AA30" s="3872"/>
    </row>
    <row r="31" spans="1:27" ht="15" customHeight="1">
      <c r="A31" s="1921">
        <v>23</v>
      </c>
      <c r="B31" s="1926" t="s">
        <v>138</v>
      </c>
      <c r="C31" s="1927" t="s">
        <v>775</v>
      </c>
      <c r="D31" s="845" t="s">
        <v>174</v>
      </c>
      <c r="E31" s="1943">
        <f>IFERROR(ROUND(('2. Променливи'!E90-('2. Променливи'!E91-'2. Променливи'!E92))/('2. Променливи'!E90+'2. Променливи'!E92),4),0)</f>
        <v>0.74590000000000001</v>
      </c>
      <c r="F31" s="4473">
        <f>IFERROR(ROUND(('2. Променливи'!F90-('2. Променливи'!F91-'2. Променливи'!F92))/('2. Променливи'!F90+'2. Променливи'!F92),4),0)</f>
        <v>0.78790000000000004</v>
      </c>
      <c r="G31" s="1943">
        <f>IFERROR(ROUND(('2. Променливи'!G90-('2. Променливи'!G91-'2. Променливи'!G92))/('2. Променливи'!G90+'2. Променливи'!G92),4),0)</f>
        <v>0.82569999999999999</v>
      </c>
      <c r="H31" s="1943">
        <f>IFERROR(ROUND(('2. Променливи'!H90-('2. Променливи'!H91-'2. Променливи'!H92))/('2. Променливи'!H90+'2. Променливи'!H92),4),0)</f>
        <v>0.84909999999999997</v>
      </c>
      <c r="I31" s="1943">
        <f>IFERROR(ROUND(('2. Променливи'!I90-('2. Променливи'!I91-'2. Променливи'!I92))/('2. Променливи'!I90+'2. Променливи'!I92),4),0)</f>
        <v>0.87319999999999998</v>
      </c>
      <c r="J31" s="4473">
        <f>IFERROR(ROUND(('2. Променливи'!J90-('2. Променливи'!J91-'2. Променливи'!J92))/('2. Променливи'!J90+'2. Променливи'!J92),4),0)</f>
        <v>0.9002</v>
      </c>
      <c r="K31" s="1004">
        <f>IFERROR(ROUND(AVERAGE('2. Променливи'!K90,'2. Променливи'!K91,'2. Променливи'!K92),0),0)</f>
        <v>1</v>
      </c>
      <c r="L31" s="1004">
        <f>IFERROR(ROUND(AVERAGE('2. Променливи'!P90,'2. Променливи'!P91,'2. Променливи'!P92),0),0)</f>
        <v>1</v>
      </c>
      <c r="M31" s="435">
        <v>0.9</v>
      </c>
      <c r="N31" s="1928">
        <v>0.95</v>
      </c>
      <c r="O31" s="1925"/>
      <c r="P31" s="944" t="s">
        <v>1356</v>
      </c>
      <c r="Q31" s="866">
        <f t="shared" si="3"/>
        <v>4.2000000000000037E-2</v>
      </c>
      <c r="R31" s="867">
        <f t="shared" si="4"/>
        <v>3.7799999999999945E-2</v>
      </c>
      <c r="S31" s="867">
        <f t="shared" si="5"/>
        <v>2.3399999999999976E-2</v>
      </c>
      <c r="T31" s="867">
        <f t="shared" si="6"/>
        <v>2.410000000000001E-2</v>
      </c>
      <c r="U31" s="867">
        <f t="shared" si="7"/>
        <v>2.7000000000000024E-2</v>
      </c>
      <c r="V31" s="869">
        <f t="shared" si="1"/>
        <v>1.9999999999997797E-4</v>
      </c>
      <c r="Z31" s="3872"/>
      <c r="AA31" s="3872"/>
    </row>
    <row r="32" spans="1:27" ht="14.25">
      <c r="A32" s="1921">
        <v>24</v>
      </c>
      <c r="B32" s="1926" t="s">
        <v>784</v>
      </c>
      <c r="C32" s="1927" t="s">
        <v>786</v>
      </c>
      <c r="D32" s="845" t="s">
        <v>174</v>
      </c>
      <c r="E32" s="1943">
        <f>IFERROR(ROUND('2. Променливи'!E74/'2. Променливи'!E29,4),0)</f>
        <v>7.3300000000000004E-2</v>
      </c>
      <c r="F32" s="1943">
        <f>IFERROR(ROUND('2. Променливи'!F74/'2. Променливи'!F29,4),0)</f>
        <v>7.5499999999999998E-2</v>
      </c>
      <c r="G32" s="1943">
        <f>IFERROR(ROUND('2. Променливи'!G74/'2. Променливи'!G29,4),0)</f>
        <v>9.5899999999999999E-2</v>
      </c>
      <c r="H32" s="1943">
        <f>IFERROR(ROUND('2. Променливи'!H74/'2. Променливи'!H29,4),0)</f>
        <v>0.11650000000000001</v>
      </c>
      <c r="I32" s="1943">
        <f>IFERROR(ROUND('2. Променливи'!I74/'2. Променливи'!I29,4),0)</f>
        <v>0.14130000000000001</v>
      </c>
      <c r="J32" s="1943">
        <f>IFERROR(ROUND('2. Променливи'!J74/'2. Променливи'!J29,4),0)</f>
        <v>0.1714</v>
      </c>
      <c r="K32" s="1004">
        <f>IFERROR(ROUND(AVERAGE('2. Променливи'!K74,'2. Променливи'!K29),0),0)</f>
        <v>2</v>
      </c>
      <c r="L32" s="1004">
        <f>IFERROR(ROUND(AVERAGE('2. Променливи'!P74,'2. Променливи'!P29),0),0)</f>
        <v>2</v>
      </c>
      <c r="M32" s="446">
        <v>0.1714</v>
      </c>
      <c r="N32" s="1928">
        <v>0.2</v>
      </c>
      <c r="O32" s="1925"/>
      <c r="P32" s="944" t="s">
        <v>1356</v>
      </c>
      <c r="Q32" s="866">
        <f t="shared" si="3"/>
        <v>2.1999999999999936E-3</v>
      </c>
      <c r="R32" s="867">
        <f t="shared" si="4"/>
        <v>2.0400000000000001E-2</v>
      </c>
      <c r="S32" s="867">
        <f t="shared" si="5"/>
        <v>2.0600000000000007E-2</v>
      </c>
      <c r="T32" s="867">
        <f t="shared" si="6"/>
        <v>2.4800000000000003E-2</v>
      </c>
      <c r="U32" s="867">
        <f t="shared" si="7"/>
        <v>3.0099999999999988E-2</v>
      </c>
      <c r="V32" s="869">
        <f t="shared" si="1"/>
        <v>0</v>
      </c>
      <c r="Z32" s="3872"/>
      <c r="AA32" s="3872"/>
    </row>
    <row r="33" spans="1:27" ht="14.25">
      <c r="A33" s="1921">
        <v>25</v>
      </c>
      <c r="B33" s="1926" t="s">
        <v>785</v>
      </c>
      <c r="C33" s="1927" t="s">
        <v>787</v>
      </c>
      <c r="D33" s="845" t="s">
        <v>174</v>
      </c>
      <c r="E33" s="1943">
        <f>IFERROR(ROUND('2. Променливи'!E75/'2. Променливи'!E29,4),0)</f>
        <v>1</v>
      </c>
      <c r="F33" s="1943">
        <f>IFERROR(ROUND('2. Променливи'!F75/'2. Променливи'!F29,4),0)</f>
        <v>1</v>
      </c>
      <c r="G33" s="1943">
        <f>IFERROR(ROUND('2. Променливи'!G75/'2. Променливи'!G29,4),0)</f>
        <v>1</v>
      </c>
      <c r="H33" s="1943">
        <f>IFERROR(ROUND('2. Променливи'!H75/'2. Променливи'!H29,4),0)</f>
        <v>1</v>
      </c>
      <c r="I33" s="1943">
        <f>IFERROR(ROUND('2. Променливи'!I75/'2. Променливи'!I29,4),0)</f>
        <v>1</v>
      </c>
      <c r="J33" s="1943">
        <f>IFERROR(ROUND('2. Променливи'!J75/'2. Променливи'!J29,4),0)</f>
        <v>1</v>
      </c>
      <c r="K33" s="1004">
        <f>IFERROR(ROUND(AVERAGE('2. Променливи'!K75,'2. Променливи'!K29),0),0)</f>
        <v>2</v>
      </c>
      <c r="L33" s="1004">
        <f>IFERROR(ROUND(AVERAGE('2. Променливи'!P75,'2. Променливи'!P29),0),0)</f>
        <v>2</v>
      </c>
      <c r="M33" s="435">
        <v>1</v>
      </c>
      <c r="N33" s="1928">
        <v>0.9</v>
      </c>
      <c r="O33" s="1925"/>
      <c r="P33" s="944" t="s">
        <v>1356</v>
      </c>
      <c r="Q33" s="866">
        <f t="shared" si="3"/>
        <v>0</v>
      </c>
      <c r="R33" s="867">
        <f t="shared" si="4"/>
        <v>0</v>
      </c>
      <c r="S33" s="867">
        <f t="shared" si="5"/>
        <v>0</v>
      </c>
      <c r="T33" s="867">
        <f t="shared" si="6"/>
        <v>0</v>
      </c>
      <c r="U33" s="867">
        <f t="shared" si="7"/>
        <v>0</v>
      </c>
      <c r="V33" s="869">
        <f t="shared" si="1"/>
        <v>0</v>
      </c>
      <c r="Z33" s="3872"/>
      <c r="AA33" s="3872"/>
    </row>
    <row r="34" spans="1:27" ht="14.25">
      <c r="A34" s="1921">
        <v>26</v>
      </c>
      <c r="B34" s="1926" t="s">
        <v>139</v>
      </c>
      <c r="C34" s="1931" t="s">
        <v>776</v>
      </c>
      <c r="D34" s="845" t="s">
        <v>174</v>
      </c>
      <c r="E34" s="1943">
        <f>IFERROR(ROUND('2. Променливи'!E93/'2. Променливи'!E97,4),0)</f>
        <v>0.57069999999999999</v>
      </c>
      <c r="F34" s="1943">
        <f>IFERROR(ROUND('2. Променливи'!F93/'2. Променливи'!F97,4),0)</f>
        <v>0.60119999999999996</v>
      </c>
      <c r="G34" s="1943">
        <f>IFERROR(ROUND('2. Променливи'!G93/'2. Променливи'!G97,4),0)</f>
        <v>0.63639999999999997</v>
      </c>
      <c r="H34" s="1943">
        <f>IFERROR(ROUND('2. Променливи'!H93/'2. Променливи'!H97,4),0)</f>
        <v>0.69030000000000002</v>
      </c>
      <c r="I34" s="1943">
        <f>IFERROR(ROUND('2. Променливи'!I93/'2. Променливи'!I97,4),0)</f>
        <v>0.79520000000000002</v>
      </c>
      <c r="J34" s="1943">
        <f>IFERROR(ROUND('2. Променливи'!J93/'2. Променливи'!J97,4),0)</f>
        <v>1</v>
      </c>
      <c r="K34" s="1004">
        <f>IFERROR(ROUND(AVERAGE('2. Променливи'!K93,'2. Променливи'!K97),0),0)</f>
        <v>2</v>
      </c>
      <c r="L34" s="1004">
        <f>IFERROR(ROUND(AVERAGE('2. Променливи'!P93,'2. Променливи'!P97),0),0)</f>
        <v>2</v>
      </c>
      <c r="M34" s="446">
        <v>1</v>
      </c>
      <c r="N34" s="1928">
        <v>1</v>
      </c>
      <c r="O34" s="1925"/>
      <c r="P34" s="944" t="s">
        <v>1356</v>
      </c>
      <c r="Q34" s="866">
        <f t="shared" si="3"/>
        <v>3.0499999999999972E-2</v>
      </c>
      <c r="R34" s="867">
        <f t="shared" si="4"/>
        <v>3.5200000000000009E-2</v>
      </c>
      <c r="S34" s="867">
        <f t="shared" si="5"/>
        <v>5.3900000000000059E-2</v>
      </c>
      <c r="T34" s="867">
        <f t="shared" si="6"/>
        <v>0.10489999999999999</v>
      </c>
      <c r="U34" s="867">
        <f t="shared" si="7"/>
        <v>0.20479999999999998</v>
      </c>
      <c r="V34" s="869">
        <f t="shared" si="1"/>
        <v>0</v>
      </c>
      <c r="Z34" s="3872"/>
      <c r="AA34" s="3872"/>
    </row>
    <row r="35" spans="1:27" ht="15" customHeight="1">
      <c r="A35" s="1921">
        <v>27</v>
      </c>
      <c r="B35" s="1926" t="s">
        <v>140</v>
      </c>
      <c r="C35" s="1931" t="s">
        <v>777</v>
      </c>
      <c r="D35" s="845" t="s">
        <v>174</v>
      </c>
      <c r="E35" s="1943">
        <f>IFERROR(ROUND('2. Променливи'!E109/'2. Променливи'!E110,4),0)</f>
        <v>0</v>
      </c>
      <c r="F35" s="1943">
        <f>IFERROR(ROUND('2. Променливи'!F109/'2. Променливи'!F110,4),0)</f>
        <v>1</v>
      </c>
      <c r="G35" s="1943">
        <f>IFERROR(ROUND('2. Променливи'!G109/'2. Променливи'!G110,4),0)</f>
        <v>1</v>
      </c>
      <c r="H35" s="1943">
        <f>IFERROR(ROUND('2. Променливи'!H109/'2. Променливи'!H110,4),0)</f>
        <v>1</v>
      </c>
      <c r="I35" s="1943">
        <f>IFERROR(ROUND('2. Променливи'!I109/'2. Променливи'!I110,4),0)</f>
        <v>1</v>
      </c>
      <c r="J35" s="1943">
        <f>IFERROR(ROUND('2. Променливи'!J109/'2. Променливи'!J110,4),0)</f>
        <v>1</v>
      </c>
      <c r="K35" s="1004">
        <f>IFERROR(ROUND(AVERAGE('2. Променливи'!K109,'2. Променливи'!K110),0),0)</f>
        <v>1</v>
      </c>
      <c r="L35" s="1004">
        <f>IFERROR(ROUND(AVERAGE('2. Променливи'!P109,'2. Променливи'!P110),0),0)</f>
        <v>1</v>
      </c>
      <c r="M35" s="435">
        <v>1</v>
      </c>
      <c r="N35" s="1928">
        <v>1</v>
      </c>
      <c r="O35" s="1925"/>
      <c r="P35" s="944" t="s">
        <v>1356</v>
      </c>
      <c r="Q35" s="866">
        <f t="shared" si="3"/>
        <v>1</v>
      </c>
      <c r="R35" s="867">
        <f t="shared" si="4"/>
        <v>0</v>
      </c>
      <c r="S35" s="867">
        <f t="shared" si="5"/>
        <v>0</v>
      </c>
      <c r="T35" s="867">
        <f t="shared" si="6"/>
        <v>0</v>
      </c>
      <c r="U35" s="867">
        <f t="shared" si="7"/>
        <v>0</v>
      </c>
      <c r="V35" s="869">
        <f t="shared" si="1"/>
        <v>0</v>
      </c>
      <c r="Z35" s="3872"/>
      <c r="AA35" s="3872"/>
    </row>
    <row r="36" spans="1:27" ht="18" customHeight="1">
      <c r="A36" s="1921">
        <v>28</v>
      </c>
      <c r="B36" s="1926" t="s">
        <v>141</v>
      </c>
      <c r="C36" s="1927" t="s">
        <v>778</v>
      </c>
      <c r="D36" s="845" t="s">
        <v>174</v>
      </c>
      <c r="E36" s="1943" t="str">
        <f>IFERROR(ROUND('2. Променливи'!E111/'2. Променливи'!E112,4),"-")</f>
        <v>-</v>
      </c>
      <c r="F36" s="1943">
        <f>IFERROR(ROUND('2. Променливи'!F111/'2. Променливи'!F112,4),"-")</f>
        <v>1</v>
      </c>
      <c r="G36" s="1943">
        <f>IFERROR(ROUND('2. Променливи'!G111/'2. Променливи'!G112,4),"-")</f>
        <v>1</v>
      </c>
      <c r="H36" s="1943">
        <f>IFERROR(ROUND('2. Променливи'!H111/'2. Променливи'!H112,4),"-")</f>
        <v>1</v>
      </c>
      <c r="I36" s="1943">
        <f>IFERROR(ROUND('2. Променливи'!I111/'2. Променливи'!I112,4),"-")</f>
        <v>1</v>
      </c>
      <c r="J36" s="1943">
        <f>IFERROR(ROUND('2. Променливи'!J111/'2. Променливи'!J112,4),"-")</f>
        <v>1</v>
      </c>
      <c r="K36" s="1004">
        <f>IFERROR(ROUND(AVERAGE('2. Променливи'!K111,'2. Променливи'!K112),0),0)</f>
        <v>1</v>
      </c>
      <c r="L36" s="1004">
        <f>IFERROR(ROUND(AVERAGE('2. Променливи'!P111,'2. Променливи'!P112),0),0)</f>
        <v>1</v>
      </c>
      <c r="M36" s="435">
        <v>1</v>
      </c>
      <c r="N36" s="1928">
        <v>1</v>
      </c>
      <c r="O36" s="1925"/>
      <c r="P36" s="944" t="s">
        <v>1356</v>
      </c>
      <c r="Q36" s="866" t="str">
        <f>IFERROR(F36-E36,"-")</f>
        <v>-</v>
      </c>
      <c r="R36" s="867">
        <f>IFERROR(G36-F36,"-")</f>
        <v>0</v>
      </c>
      <c r="S36" s="867">
        <f>IFERROR(H36-G36,"-")</f>
        <v>0</v>
      </c>
      <c r="T36" s="867">
        <f>IFERROR(I36-H36,"-")</f>
        <v>0</v>
      </c>
      <c r="U36" s="867">
        <f>IFERROR(J36-I36,"-")</f>
        <v>0</v>
      </c>
      <c r="V36" s="869">
        <f>IFERROR(J36-M36,"-")</f>
        <v>0</v>
      </c>
      <c r="Z36" s="3872"/>
      <c r="AA36" s="3872"/>
    </row>
    <row r="37" spans="1:27" ht="24.95" customHeight="1">
      <c r="A37" s="1921">
        <v>29</v>
      </c>
      <c r="B37" s="1926" t="s">
        <v>142</v>
      </c>
      <c r="C37" s="1931" t="s">
        <v>779</v>
      </c>
      <c r="D37" s="845" t="s">
        <v>755</v>
      </c>
      <c r="E37" s="1938">
        <f>IFERROR(ROUND('2. Променливи'!E113/'2. Променливи'!E28*1000,2),0)</f>
        <v>4.45</v>
      </c>
      <c r="F37" s="1938">
        <f>IFERROR(ROUND('2. Променливи'!F113/'2. Променливи'!F28*1000,2),0)</f>
        <v>4.4000000000000004</v>
      </c>
      <c r="G37" s="1938">
        <f>IFERROR(ROUND('2. Променливи'!G113/'2. Променливи'!G28*1000,2),0)</f>
        <v>4.4000000000000004</v>
      </c>
      <c r="H37" s="4482">
        <f>IFERROR(ROUND('2. Променливи'!H113/'2. Променливи'!H28*1000,2),0)</f>
        <v>4.4000000000000004</v>
      </c>
      <c r="I37" s="1938">
        <f>IFERROR(ROUND('2. Променливи'!I113/'2. Променливи'!I28*1000,2),0)</f>
        <v>4.4000000000000004</v>
      </c>
      <c r="J37" s="1938">
        <f>IFERROR(ROUND('2. Променливи'!J113/'2. Променливи'!J28*1000,2),0)</f>
        <v>3.83</v>
      </c>
      <c r="K37" s="1004">
        <f>IFERROR(ROUND(AVERAGE('2. Променливи'!K113,'2. Променливи'!K28),0),0)</f>
        <v>2</v>
      </c>
      <c r="L37" s="1004">
        <f>IFERROR(ROUND(AVERAGE('2. Променливи'!P113,'2. Променливи'!P28),0),0)</f>
        <v>2</v>
      </c>
      <c r="M37" s="88">
        <v>3.99</v>
      </c>
      <c r="N37" s="1929">
        <v>4</v>
      </c>
      <c r="O37" s="1930"/>
      <c r="P37" s="944" t="s">
        <v>1357</v>
      </c>
      <c r="Q37" s="1555">
        <f t="shared" si="3"/>
        <v>-4.9999999999999822E-2</v>
      </c>
      <c r="R37" s="1556">
        <f t="shared" si="4"/>
        <v>0</v>
      </c>
      <c r="S37" s="1556">
        <f t="shared" si="5"/>
        <v>0</v>
      </c>
      <c r="T37" s="1556">
        <f t="shared" si="6"/>
        <v>0</v>
      </c>
      <c r="U37" s="1556">
        <f t="shared" si="7"/>
        <v>-0.57000000000000028</v>
      </c>
      <c r="V37" s="1562">
        <f t="shared" si="1"/>
        <v>-0.16000000000000014</v>
      </c>
      <c r="Z37" s="3872"/>
      <c r="AA37" s="3872"/>
    </row>
    <row r="38" spans="1:27" ht="15" thickBot="1">
      <c r="A38" s="1934">
        <v>30</v>
      </c>
      <c r="B38" s="1935" t="s">
        <v>143</v>
      </c>
      <c r="C38" s="1936" t="s">
        <v>780</v>
      </c>
      <c r="D38" s="846" t="s">
        <v>756</v>
      </c>
      <c r="E38" s="4483">
        <f>IFERROR(ROUND('2. Променливи'!E114/'2. Променливи'!E30*1000,2),"-")</f>
        <v>3.32</v>
      </c>
      <c r="F38" s="1938">
        <f>IFERROR(ROUND('2. Променливи'!F114/'2. Променливи'!F30*1000,2),"-")</f>
        <v>3.09</v>
      </c>
      <c r="G38" s="1938">
        <f>IFERROR(ROUND('2. Променливи'!G114/'2. Променливи'!G30*1000,2),"-")</f>
        <v>2.89</v>
      </c>
      <c r="H38" s="1938">
        <f>IFERROR(ROUND('2. Променливи'!H114/'2. Променливи'!H30*1000,2),"-")</f>
        <v>2.89</v>
      </c>
      <c r="I38" s="1938">
        <f>IFERROR(ROUND('2. Променливи'!I114/'2. Променливи'!I30*1000,2),"-")</f>
        <v>2.89</v>
      </c>
      <c r="J38" s="1938">
        <f>IFERROR(ROUND('2. Променливи'!J114/'2. Променливи'!J30*1000,2),"-")</f>
        <v>3.06</v>
      </c>
      <c r="K38" s="1006">
        <f>IFERROR(ROUND(AVERAGE('2. Променливи'!K114,'2. Променливи'!K30),0),0)</f>
        <v>2</v>
      </c>
      <c r="L38" s="1006">
        <f>IFERROR(ROUND(AVERAGE('2. Променливи'!P114,'2. Променливи'!P30),0),0)</f>
        <v>2</v>
      </c>
      <c r="M38" s="444">
        <v>2.95</v>
      </c>
      <c r="N38" s="1937">
        <v>3</v>
      </c>
      <c r="O38" s="1930"/>
      <c r="P38" s="946" t="s">
        <v>1357</v>
      </c>
      <c r="Q38" s="1559">
        <f>IFERROR(F38-E38,"-")</f>
        <v>-0.22999999999999998</v>
      </c>
      <c r="R38" s="1559">
        <f>IFERROR(G38-F38,"-")</f>
        <v>-0.19999999999999973</v>
      </c>
      <c r="S38" s="1559">
        <f>IFERROR(H38-G38,"-")</f>
        <v>0</v>
      </c>
      <c r="T38" s="1559">
        <f>IFERROR(I38-H38,"-")</f>
        <v>0</v>
      </c>
      <c r="U38" s="1559">
        <f>IFERROR(J38-I38,"-")</f>
        <v>0.16999999999999993</v>
      </c>
      <c r="V38" s="1563">
        <f>IFERROR(J38-M38,"-")</f>
        <v>0.10999999999999988</v>
      </c>
      <c r="Z38" s="3872"/>
      <c r="AA38" s="3872"/>
    </row>
    <row r="39" spans="1:27" ht="13.5" thickBot="1">
      <c r="A39" s="5100" t="s">
        <v>1117</v>
      </c>
      <c r="B39" s="5101"/>
      <c r="C39" s="5101"/>
      <c r="D39" s="5101"/>
      <c r="E39" s="5101"/>
      <c r="F39" s="5101"/>
      <c r="G39" s="5101"/>
      <c r="H39" s="5101"/>
      <c r="I39" s="5101"/>
      <c r="J39" s="5101"/>
      <c r="K39" s="5101"/>
      <c r="L39" s="5101"/>
      <c r="M39" s="5101"/>
      <c r="N39" s="5102"/>
      <c r="O39" s="943"/>
      <c r="Q39" s="1913"/>
      <c r="R39" s="1913"/>
    </row>
    <row r="40" spans="1:27" ht="14.25">
      <c r="A40" s="1921">
        <v>1</v>
      </c>
      <c r="B40" s="1926" t="s">
        <v>752</v>
      </c>
      <c r="C40" s="1927" t="s">
        <v>764</v>
      </c>
      <c r="D40" s="845" t="s">
        <v>1049</v>
      </c>
      <c r="E40" s="1938">
        <f>IFERROR(ROUND('2. Променливи'!E129/'2. Променливи'!E123/365,2),0)</f>
        <v>0</v>
      </c>
      <c r="F40" s="1938">
        <f>IFERROR(ROUND('2. Променливи'!F129/'2. Променливи'!F123/365,2),0)</f>
        <v>0</v>
      </c>
      <c r="G40" s="1938">
        <f>IFERROR(ROUND('2. Променливи'!G129/'2. Променливи'!G123/365,2),0)</f>
        <v>0</v>
      </c>
      <c r="H40" s="1938">
        <f>IFERROR(ROUND('2. Променливи'!H129/'2. Променливи'!H123/365,2),0)</f>
        <v>0</v>
      </c>
      <c r="I40" s="1938">
        <f>IFERROR(ROUND('2. Променливи'!I129/'2. Променливи'!I123/365,2),0)</f>
        <v>0</v>
      </c>
      <c r="J40" s="1938">
        <f>IFERROR(ROUND('2. Променливи'!J129/'2. Променливи'!J123/365,2),0)</f>
        <v>0</v>
      </c>
      <c r="K40" s="1007">
        <f>IFERROR(ROUND(AVERAGE('2. Променливи'!K129,'2. Променливи'!K123),0),0)</f>
        <v>1</v>
      </c>
      <c r="L40" s="1007">
        <f>IFERROR(ROUND(AVERAGE('2. Променливи'!P129,'2. Променливи'!P123),0),0)</f>
        <v>1</v>
      </c>
      <c r="M40" s="1939"/>
      <c r="N40" s="1940"/>
      <c r="O40" s="1941"/>
      <c r="P40" s="1050" t="s">
        <v>1357</v>
      </c>
      <c r="Q40" s="1564">
        <f t="shared" ref="Q40:Q44" si="10">F40-E40</f>
        <v>0</v>
      </c>
      <c r="R40" s="1560">
        <f t="shared" ref="R40:R44" si="11">G40-F40</f>
        <v>0</v>
      </c>
      <c r="S40" s="1560">
        <f t="shared" ref="S40:S44" si="12">H40-G40</f>
        <v>0</v>
      </c>
      <c r="T40" s="1560">
        <f t="shared" ref="T40:T44" si="13">I40-H40</f>
        <v>0</v>
      </c>
      <c r="U40" s="1560">
        <f t="shared" ref="U40:U44" si="14">J40-I40</f>
        <v>0</v>
      </c>
      <c r="V40" s="1942"/>
    </row>
    <row r="41" spans="1:27" ht="14.25">
      <c r="A41" s="1921">
        <v>2</v>
      </c>
      <c r="B41" s="1926" t="s">
        <v>753</v>
      </c>
      <c r="C41" s="1927" t="s">
        <v>764</v>
      </c>
      <c r="D41" s="845" t="s">
        <v>174</v>
      </c>
      <c r="E41" s="1943">
        <f>IFERROR(ROUND('2. Променливи'!E129/'2. Променливи'!E127,4),0)</f>
        <v>0</v>
      </c>
      <c r="F41" s="1943">
        <f>IFERROR(ROUND('2. Променливи'!F129/'2. Променливи'!F127,4),0)</f>
        <v>0</v>
      </c>
      <c r="G41" s="1943">
        <f>IFERROR(ROUND('2. Променливи'!G129/'2. Променливи'!G127,4),0)</f>
        <v>0</v>
      </c>
      <c r="H41" s="1943">
        <f>IFERROR(ROUND('2. Променливи'!H129/'2. Променливи'!H127,4),0)</f>
        <v>0</v>
      </c>
      <c r="I41" s="1943">
        <f>IFERROR(ROUND('2. Променливи'!I129/'2. Променливи'!I127,4),0)</f>
        <v>0</v>
      </c>
      <c r="J41" s="1943">
        <f>IFERROR(ROUND('2. Променливи'!J129/'2. Променливи'!J127,4),0)</f>
        <v>0</v>
      </c>
      <c r="K41" s="1007">
        <f>IFERROR(ROUND(AVERAGE('2. Променливи'!K129,'2. Променливи'!K127),0),0)</f>
        <v>1</v>
      </c>
      <c r="L41" s="1007">
        <f>IFERROR(ROUND(AVERAGE('2. Променливи'!P129,'2. Променливи'!P127),0),0)</f>
        <v>1</v>
      </c>
      <c r="M41" s="1944"/>
      <c r="N41" s="1945"/>
      <c r="O41" s="1946"/>
      <c r="P41" s="1051" t="s">
        <v>1357</v>
      </c>
      <c r="Q41" s="866">
        <f t="shared" si="10"/>
        <v>0</v>
      </c>
      <c r="R41" s="867">
        <f t="shared" si="11"/>
        <v>0</v>
      </c>
      <c r="S41" s="867">
        <f t="shared" si="12"/>
        <v>0</v>
      </c>
      <c r="T41" s="867">
        <f t="shared" si="13"/>
        <v>0</v>
      </c>
      <c r="U41" s="867">
        <f t="shared" si="14"/>
        <v>0</v>
      </c>
      <c r="V41" s="1947"/>
    </row>
    <row r="42" spans="1:27" ht="15" customHeight="1">
      <c r="A42" s="1921">
        <v>3</v>
      </c>
      <c r="B42" s="1926" t="s">
        <v>125</v>
      </c>
      <c r="C42" s="1927" t="s">
        <v>765</v>
      </c>
      <c r="D42" s="845" t="s">
        <v>757</v>
      </c>
      <c r="E42" s="1938">
        <f>IFERROR(ROUND('2. Променливи'!E126/'2. Променливи'!E122*100,2),0)</f>
        <v>0</v>
      </c>
      <c r="F42" s="1938">
        <f>IFERROR(ROUND('2. Променливи'!F126/'2. Променливи'!F122*100,2),0)</f>
        <v>0</v>
      </c>
      <c r="G42" s="1938">
        <f>IFERROR(ROUND('2. Променливи'!G126/'2. Променливи'!G122*100,2),0)</f>
        <v>0</v>
      </c>
      <c r="H42" s="1938">
        <f>IFERROR(ROUND('2. Променливи'!H126/'2. Променливи'!H122*100,2),0)</f>
        <v>0</v>
      </c>
      <c r="I42" s="1938">
        <f>IFERROR(ROUND('2. Променливи'!I126/'2. Променливи'!I122*100,2),0)</f>
        <v>0</v>
      </c>
      <c r="J42" s="1938">
        <f>IFERROR(ROUND('2. Променливи'!J126/'2. Променливи'!J122*100,2),0)</f>
        <v>0</v>
      </c>
      <c r="K42" s="1007">
        <f>IFERROR(ROUND(AVERAGE('2. Променливи'!K126,'2. Променливи'!K122),0),0)</f>
        <v>1</v>
      </c>
      <c r="L42" s="1007">
        <f>IFERROR(ROUND(AVERAGE('2. Променливи'!P126,'2. Променливи'!P122),0),0)</f>
        <v>1</v>
      </c>
      <c r="M42" s="1948"/>
      <c r="N42" s="1949"/>
      <c r="O42" s="1941"/>
      <c r="P42" s="1052" t="s">
        <v>1357</v>
      </c>
      <c r="Q42" s="1555">
        <f t="shared" si="10"/>
        <v>0</v>
      </c>
      <c r="R42" s="1556">
        <f t="shared" si="11"/>
        <v>0</v>
      </c>
      <c r="S42" s="1556">
        <f t="shared" si="12"/>
        <v>0</v>
      </c>
      <c r="T42" s="1556">
        <f t="shared" si="13"/>
        <v>0</v>
      </c>
      <c r="U42" s="1556">
        <f t="shared" si="14"/>
        <v>0</v>
      </c>
      <c r="V42" s="1950"/>
    </row>
    <row r="43" spans="1:27" ht="15" customHeight="1">
      <c r="A43" s="1921">
        <v>4</v>
      </c>
      <c r="B43" s="1926" t="s">
        <v>134</v>
      </c>
      <c r="C43" s="1927" t="s">
        <v>774</v>
      </c>
      <c r="D43" s="845" t="s">
        <v>174</v>
      </c>
      <c r="E43" s="1943">
        <f>IFERROR(ROUND('2. Променливи'!E130/'2. Променливи'!E122,4),0)</f>
        <v>0</v>
      </c>
      <c r="F43" s="1943">
        <f>IFERROR(ROUND('2. Променливи'!F130/'2. Променливи'!F122,4),0)</f>
        <v>0</v>
      </c>
      <c r="G43" s="1943">
        <f>IFERROR(ROUND('2. Променливи'!G130/'2. Променливи'!G122,4),0)</f>
        <v>0</v>
      </c>
      <c r="H43" s="1943">
        <f>IFERROR(ROUND('2. Променливи'!H130/'2. Променливи'!H122,4),0)</f>
        <v>0</v>
      </c>
      <c r="I43" s="1943">
        <f>IFERROR(ROUND('2. Променливи'!I130/'2. Променливи'!I122,4),0)</f>
        <v>0</v>
      </c>
      <c r="J43" s="1943">
        <f>IFERROR(ROUND('2. Променливи'!J130/'2. Променливи'!J122,4),0)</f>
        <v>0</v>
      </c>
      <c r="K43" s="1007">
        <f>IFERROR(ROUND(AVERAGE('2. Променливи'!K130,'2. Променливи'!K122),0),0)</f>
        <v>1</v>
      </c>
      <c r="L43" s="1007">
        <f>IFERROR(ROUND(AVERAGE('2. Променливи'!P130,'2. Променливи'!P122),0),0)</f>
        <v>1</v>
      </c>
      <c r="M43" s="1948"/>
      <c r="N43" s="1951"/>
      <c r="O43" s="1952"/>
      <c r="P43" s="1053" t="s">
        <v>1356</v>
      </c>
      <c r="Q43" s="866">
        <f t="shared" si="10"/>
        <v>0</v>
      </c>
      <c r="R43" s="867">
        <f t="shared" si="11"/>
        <v>0</v>
      </c>
      <c r="S43" s="867">
        <f t="shared" si="12"/>
        <v>0</v>
      </c>
      <c r="T43" s="867">
        <f t="shared" si="13"/>
        <v>0</v>
      </c>
      <c r="U43" s="867">
        <f t="shared" si="14"/>
        <v>0</v>
      </c>
      <c r="V43" s="1950"/>
    </row>
    <row r="44" spans="1:27" ht="29.25" customHeight="1" thickBot="1">
      <c r="A44" s="1934">
        <v>5</v>
      </c>
      <c r="B44" s="1935" t="s">
        <v>135</v>
      </c>
      <c r="C44" s="1953" t="s">
        <v>50</v>
      </c>
      <c r="D44" s="846" t="s">
        <v>1041</v>
      </c>
      <c r="E44" s="1954">
        <f>IFERROR(ROUND('2. Променливи'!E132/'2. Променливи'!E133,2),0)</f>
        <v>1.0900000000000001</v>
      </c>
      <c r="F44" s="1954">
        <f>IFERROR(ROUND('2. Променливи'!F132/'2. Променливи'!F133,2),0)</f>
        <v>1.02</v>
      </c>
      <c r="G44" s="1954">
        <f>IFERROR(ROUND('2. Променливи'!G132/'2. Променливи'!G133,2),0)</f>
        <v>1.02</v>
      </c>
      <c r="H44" s="1954">
        <f>IFERROR(ROUND('2. Променливи'!H132/'2. Променливи'!H133,2),0)</f>
        <v>1.02</v>
      </c>
      <c r="I44" s="1954">
        <f>IFERROR(ROUND('2. Променливи'!I132/'2. Променливи'!I133,2),0)</f>
        <v>1.02</v>
      </c>
      <c r="J44" s="1954">
        <f>IFERROR(ROUND('2. Променливи'!J132/'2. Променливи'!J133,2),0)</f>
        <v>1.02</v>
      </c>
      <c r="K44" s="376">
        <f>IFERROR(ROUND(AVERAGE('2. Променливи'!K132,'2. Променливи'!K133),0),0)</f>
        <v>1</v>
      </c>
      <c r="L44" s="1008">
        <f>IFERROR(ROUND(AVERAGE('2. Променливи'!P132,'2. Променливи'!P133),0),0)</f>
        <v>1</v>
      </c>
      <c r="M44" s="1955"/>
      <c r="N44" s="1956"/>
      <c r="O44" s="1941"/>
      <c r="P44" s="1054" t="s">
        <v>1356</v>
      </c>
      <c r="Q44" s="1565">
        <f t="shared" si="10"/>
        <v>-7.0000000000000062E-2</v>
      </c>
      <c r="R44" s="1559">
        <f t="shared" si="11"/>
        <v>0</v>
      </c>
      <c r="S44" s="1559">
        <f t="shared" si="12"/>
        <v>0</v>
      </c>
      <c r="T44" s="1559">
        <f t="shared" si="13"/>
        <v>0</v>
      </c>
      <c r="U44" s="1559">
        <f t="shared" si="14"/>
        <v>0</v>
      </c>
      <c r="V44" s="1957"/>
    </row>
    <row r="45" spans="1:27">
      <c r="F45" s="1959"/>
      <c r="G45" s="1959"/>
      <c r="L45" s="1960"/>
      <c r="Q45" s="1913"/>
      <c r="R45" s="1913"/>
    </row>
    <row r="46" spans="1:27" hidden="1">
      <c r="E46" s="1959"/>
    </row>
    <row r="47" spans="1:27" hidden="1">
      <c r="E47" s="1959"/>
      <c r="F47" s="1959"/>
      <c r="G47" s="1959"/>
    </row>
    <row r="48" spans="1:27">
      <c r="E48" s="1959"/>
      <c r="F48" s="1959"/>
      <c r="G48" s="1959"/>
    </row>
    <row r="49" spans="1:14">
      <c r="C49" s="1891" t="str">
        <f>'Приложение '!B81</f>
        <v>Дата: 24 юни 2021 година</v>
      </c>
      <c r="M49" s="1889" t="str">
        <f>'Приложение '!C81</f>
        <v xml:space="preserve">Гл. счетоводител/Фин.директор: </v>
      </c>
      <c r="N49" s="1810" t="str">
        <f>'Приложение '!D81</f>
        <v>..............................................</v>
      </c>
    </row>
    <row r="50" spans="1:14">
      <c r="D50" s="5099"/>
      <c r="E50" s="5099"/>
      <c r="M50" s="1889"/>
      <c r="N50" s="1961" t="str">
        <f>'Приложение '!D82</f>
        <v>(подпис)</v>
      </c>
    </row>
    <row r="51" spans="1:14">
      <c r="M51" s="1889"/>
    </row>
    <row r="52" spans="1:14">
      <c r="M52" s="1889"/>
    </row>
    <row r="53" spans="1:14">
      <c r="M53" s="1889" t="str">
        <f>'Приложение '!C85</f>
        <v xml:space="preserve">Управител/Изп.директор: </v>
      </c>
      <c r="N53" s="1810" t="str">
        <f>'Приложение '!D85</f>
        <v>.............................................</v>
      </c>
    </row>
    <row r="54" spans="1:14">
      <c r="E54" s="1914"/>
      <c r="M54" s="1889"/>
      <c r="N54" s="1961" t="str">
        <f>'Приложение '!D86</f>
        <v>(подпис и печат)</v>
      </c>
    </row>
    <row r="55" spans="1:14">
      <c r="A55" s="1893" t="s">
        <v>561</v>
      </c>
    </row>
    <row r="56" spans="1:14">
      <c r="A56" s="4422" t="s">
        <v>1493</v>
      </c>
    </row>
    <row r="57" spans="1:14">
      <c r="A57" s="4419" t="s">
        <v>1494</v>
      </c>
    </row>
    <row r="58" spans="1:14">
      <c r="A58" s="4419" t="s">
        <v>1537</v>
      </c>
      <c r="B58" s="4419"/>
    </row>
    <row r="59" spans="1:14">
      <c r="A59" s="4419" t="s">
        <v>1536</v>
      </c>
    </row>
  </sheetData>
  <sheetProtection password="EB75" sheet="1" objects="1" scenarios="1" formatCells="0" formatColumns="0" formatRows="0"/>
  <mergeCells count="9">
    <mergeCell ref="M1:N1"/>
    <mergeCell ref="D50:E50"/>
    <mergeCell ref="A39:N39"/>
    <mergeCell ref="X8:AA8"/>
    <mergeCell ref="A8:N8"/>
    <mergeCell ref="A3:N3"/>
    <mergeCell ref="A4:N4"/>
    <mergeCell ref="A5:N5"/>
    <mergeCell ref="A2:N2"/>
  </mergeCells>
  <conditionalFormatting sqref="V9:V12">
    <cfRule type="cellIs" dxfId="257" priority="229" operator="lessThan">
      <formula>0</formula>
    </cfRule>
  </conditionalFormatting>
  <conditionalFormatting sqref="V15">
    <cfRule type="cellIs" dxfId="256" priority="228" operator="greaterThan">
      <formula>0</formula>
    </cfRule>
  </conditionalFormatting>
  <conditionalFormatting sqref="V17">
    <cfRule type="cellIs" dxfId="255" priority="227" operator="lessThan">
      <formula>0</formula>
    </cfRule>
  </conditionalFormatting>
  <conditionalFormatting sqref="V18">
    <cfRule type="cellIs" dxfId="254" priority="225" operator="lessThan">
      <formula>0</formula>
    </cfRule>
    <cfRule type="cellIs" dxfId="253" priority="226" operator="lessThan">
      <formula>0</formula>
    </cfRule>
  </conditionalFormatting>
  <conditionalFormatting sqref="V19">
    <cfRule type="cellIs" dxfId="252" priority="224" operator="lessThan">
      <formula>0</formula>
    </cfRule>
  </conditionalFormatting>
  <conditionalFormatting sqref="V20">
    <cfRule type="cellIs" dxfId="251" priority="223" operator="lessThan">
      <formula>0</formula>
    </cfRule>
  </conditionalFormatting>
  <conditionalFormatting sqref="V22">
    <cfRule type="cellIs" dxfId="250" priority="222" operator="greaterThan">
      <formula>0</formula>
    </cfRule>
  </conditionalFormatting>
  <conditionalFormatting sqref="V23">
    <cfRule type="cellIs" dxfId="249" priority="221" operator="greaterThan">
      <formula>0</formula>
    </cfRule>
  </conditionalFormatting>
  <conditionalFormatting sqref="V24">
    <cfRule type="cellIs" dxfId="248" priority="220" operator="greaterThan">
      <formula>0</formula>
    </cfRule>
  </conditionalFormatting>
  <conditionalFormatting sqref="V25:V36">
    <cfRule type="cellIs" dxfId="247" priority="219" operator="lessThan">
      <formula>0</formula>
    </cfRule>
  </conditionalFormatting>
  <conditionalFormatting sqref="Q9:T12">
    <cfRule type="cellIs" dxfId="246" priority="218" operator="lessThan">
      <formula>0</formula>
    </cfRule>
  </conditionalFormatting>
  <conditionalFormatting sqref="V14">
    <cfRule type="cellIs" dxfId="245" priority="217" operator="greaterThan">
      <formula>$E$14</formula>
    </cfRule>
  </conditionalFormatting>
  <conditionalFormatting sqref="P9:P38">
    <cfRule type="cellIs" dxfId="244" priority="216" operator="lessThan">
      <formula>0</formula>
    </cfRule>
  </conditionalFormatting>
  <conditionalFormatting sqref="Q13:T16">
    <cfRule type="cellIs" dxfId="243" priority="213" operator="greaterThan">
      <formula>0</formula>
    </cfRule>
    <cfRule type="cellIs" priority="214" operator="greaterThan">
      <formula>0</formula>
    </cfRule>
    <cfRule type="cellIs" priority="215" operator="greaterThan">
      <formula>0</formula>
    </cfRule>
  </conditionalFormatting>
  <conditionalFormatting sqref="Q17:T20">
    <cfRule type="cellIs" dxfId="242" priority="212" operator="lessThan">
      <formula>0</formula>
    </cfRule>
  </conditionalFormatting>
  <conditionalFormatting sqref="Q21:T24">
    <cfRule type="cellIs" dxfId="241" priority="211" operator="greaterThan">
      <formula>0</formula>
    </cfRule>
  </conditionalFormatting>
  <conditionalFormatting sqref="Q25:T36">
    <cfRule type="cellIs" dxfId="240" priority="210" operator="lessThan">
      <formula>0</formula>
    </cfRule>
  </conditionalFormatting>
  <conditionalFormatting sqref="Q37:S37">
    <cfRule type="cellIs" dxfId="239" priority="209" operator="greaterThan">
      <formula>0</formula>
    </cfRule>
  </conditionalFormatting>
  <conditionalFormatting sqref="U9:U12">
    <cfRule type="cellIs" dxfId="238" priority="208" operator="lessThan">
      <formula>0</formula>
    </cfRule>
  </conditionalFormatting>
  <conditionalFormatting sqref="U13:U16">
    <cfRule type="cellIs" dxfId="237" priority="205" operator="greaterThan">
      <formula>0</formula>
    </cfRule>
    <cfRule type="cellIs" priority="206" operator="greaterThan">
      <formula>0</formula>
    </cfRule>
    <cfRule type="cellIs" priority="207" operator="greaterThan">
      <formula>0</formula>
    </cfRule>
  </conditionalFormatting>
  <conditionalFormatting sqref="U17:U20">
    <cfRule type="cellIs" dxfId="236" priority="204" operator="lessThan">
      <formula>0</formula>
    </cfRule>
  </conditionalFormatting>
  <conditionalFormatting sqref="U21:U24">
    <cfRule type="cellIs" dxfId="235" priority="203" operator="greaterThan">
      <formula>0</formula>
    </cfRule>
  </conditionalFormatting>
  <conditionalFormatting sqref="U25:U36">
    <cfRule type="cellIs" dxfId="234" priority="202" operator="lessThan">
      <formula>0</formula>
    </cfRule>
  </conditionalFormatting>
  <conditionalFormatting sqref="V16">
    <cfRule type="cellIs" dxfId="233" priority="199" operator="greaterThan">
      <formula>0</formula>
    </cfRule>
    <cfRule type="cellIs" priority="200" operator="greaterThan">
      <formula>0</formula>
    </cfRule>
    <cfRule type="cellIs" priority="201" operator="greaterThan">
      <formula>0</formula>
    </cfRule>
  </conditionalFormatting>
  <conditionalFormatting sqref="V21">
    <cfRule type="cellIs" dxfId="232" priority="198" operator="greaterThan">
      <formula>0</formula>
    </cfRule>
  </conditionalFormatting>
  <conditionalFormatting sqref="V37">
    <cfRule type="cellIs" dxfId="231" priority="197" operator="greaterThan">
      <formula>0</formula>
    </cfRule>
  </conditionalFormatting>
  <conditionalFormatting sqref="T37:U37">
    <cfRule type="cellIs" dxfId="230" priority="196" operator="greaterThan">
      <formula>0</formula>
    </cfRule>
  </conditionalFormatting>
  <conditionalFormatting sqref="Q38:V38">
    <cfRule type="cellIs" dxfId="229" priority="195" operator="greaterThan">
      <formula>0</formula>
    </cfRule>
  </conditionalFormatting>
  <conditionalFormatting sqref="F9">
    <cfRule type="cellIs" dxfId="228" priority="194" operator="lessThan">
      <formula>$E$9</formula>
    </cfRule>
  </conditionalFormatting>
  <conditionalFormatting sqref="G9">
    <cfRule type="cellIs" dxfId="227" priority="193" operator="lessThan">
      <formula>$F$9</formula>
    </cfRule>
  </conditionalFormatting>
  <conditionalFormatting sqref="H9">
    <cfRule type="cellIs" dxfId="226" priority="192" operator="lessThan">
      <formula>$G$9</formula>
    </cfRule>
  </conditionalFormatting>
  <conditionalFormatting sqref="I9">
    <cfRule type="cellIs" dxfId="225" priority="191" operator="lessThan">
      <formula>$H$9</formula>
    </cfRule>
  </conditionalFormatting>
  <conditionalFormatting sqref="J9">
    <cfRule type="cellIs" dxfId="224" priority="190" operator="lessThan">
      <formula>$I$9</formula>
    </cfRule>
  </conditionalFormatting>
  <conditionalFormatting sqref="F10">
    <cfRule type="cellIs" dxfId="223" priority="189" operator="lessThan">
      <formula>$E$10</formula>
    </cfRule>
  </conditionalFormatting>
  <conditionalFormatting sqref="G10">
    <cfRule type="cellIs" dxfId="222" priority="188" operator="lessThan">
      <formula>$F$10</formula>
    </cfRule>
  </conditionalFormatting>
  <conditionalFormatting sqref="H10">
    <cfRule type="cellIs" dxfId="221" priority="187" operator="lessThan">
      <formula>$G$10</formula>
    </cfRule>
  </conditionalFormatting>
  <conditionalFormatting sqref="I10">
    <cfRule type="cellIs" dxfId="220" priority="186" operator="lessThan">
      <formula>$H$10</formula>
    </cfRule>
  </conditionalFormatting>
  <conditionalFormatting sqref="J10">
    <cfRule type="cellIs" dxfId="219" priority="185" operator="lessThan">
      <formula>$I$10</formula>
    </cfRule>
  </conditionalFormatting>
  <conditionalFormatting sqref="F11">
    <cfRule type="cellIs" dxfId="218" priority="184" operator="lessThan">
      <formula>$E$11</formula>
    </cfRule>
  </conditionalFormatting>
  <conditionalFormatting sqref="G11">
    <cfRule type="cellIs" dxfId="217" priority="183" operator="lessThan">
      <formula>$F$11</formula>
    </cfRule>
  </conditionalFormatting>
  <conditionalFormatting sqref="H11">
    <cfRule type="cellIs" dxfId="216" priority="182" operator="lessThan">
      <formula>$G$11</formula>
    </cfRule>
  </conditionalFormatting>
  <conditionalFormatting sqref="I11">
    <cfRule type="cellIs" dxfId="215" priority="181" operator="lessThan">
      <formula>$H$11</formula>
    </cfRule>
  </conditionalFormatting>
  <conditionalFormatting sqref="J11">
    <cfRule type="cellIs" dxfId="214" priority="180" operator="lessThan">
      <formula>$I$11</formula>
    </cfRule>
  </conditionalFormatting>
  <conditionalFormatting sqref="F12">
    <cfRule type="cellIs" dxfId="213" priority="179" operator="lessThan">
      <formula>$E$12</formula>
    </cfRule>
  </conditionalFormatting>
  <conditionalFormatting sqref="G12">
    <cfRule type="cellIs" dxfId="212" priority="178" operator="lessThan">
      <formula>$F$12</formula>
    </cfRule>
  </conditionalFormatting>
  <conditionalFormatting sqref="H12">
    <cfRule type="cellIs" dxfId="211" priority="177" operator="lessThan">
      <formula>$G$12</formula>
    </cfRule>
  </conditionalFormatting>
  <conditionalFormatting sqref="I12">
    <cfRule type="cellIs" dxfId="210" priority="176" operator="lessThan">
      <formula>$H$12</formula>
    </cfRule>
  </conditionalFormatting>
  <conditionalFormatting sqref="J12">
    <cfRule type="cellIs" dxfId="209" priority="175" operator="lessThan">
      <formula>$I$12</formula>
    </cfRule>
  </conditionalFormatting>
  <conditionalFormatting sqref="F13">
    <cfRule type="cellIs" dxfId="208" priority="174" operator="greaterThan">
      <formula>$E$13</formula>
    </cfRule>
  </conditionalFormatting>
  <conditionalFormatting sqref="G13">
    <cfRule type="cellIs" dxfId="207" priority="173" operator="greaterThan">
      <formula>$F$13</formula>
    </cfRule>
  </conditionalFormatting>
  <conditionalFormatting sqref="H13">
    <cfRule type="cellIs" dxfId="206" priority="172" operator="greaterThan">
      <formula>$G$13</formula>
    </cfRule>
  </conditionalFormatting>
  <conditionalFormatting sqref="I13">
    <cfRule type="cellIs" dxfId="205" priority="171" operator="greaterThan">
      <formula>$H$13</formula>
    </cfRule>
  </conditionalFormatting>
  <conditionalFormatting sqref="J13">
    <cfRule type="cellIs" dxfId="204" priority="170" operator="greaterThan">
      <formula>$I$13</formula>
    </cfRule>
  </conditionalFormatting>
  <conditionalFormatting sqref="Q40:S40">
    <cfRule type="cellIs" dxfId="203" priority="169" operator="greaterThan">
      <formula>0</formula>
    </cfRule>
  </conditionalFormatting>
  <conditionalFormatting sqref="T40:U40">
    <cfRule type="cellIs" dxfId="202" priority="168" operator="greaterThan">
      <formula>0</formula>
    </cfRule>
  </conditionalFormatting>
  <conditionalFormatting sqref="Q41:T41">
    <cfRule type="cellIs" dxfId="201" priority="165" operator="greaterThan">
      <formula>0</formula>
    </cfRule>
    <cfRule type="cellIs" priority="166" operator="greaterThan">
      <formula>0</formula>
    </cfRule>
    <cfRule type="cellIs" priority="167" operator="greaterThan">
      <formula>0</formula>
    </cfRule>
  </conditionalFormatting>
  <conditionalFormatting sqref="U41">
    <cfRule type="cellIs" dxfId="200" priority="162" operator="greaterThan">
      <formula>0</formula>
    </cfRule>
    <cfRule type="cellIs" priority="163" operator="greaterThan">
      <formula>0</formula>
    </cfRule>
    <cfRule type="cellIs" priority="164" operator="greaterThan">
      <formula>0</formula>
    </cfRule>
  </conditionalFormatting>
  <conditionalFormatting sqref="Q44:T44">
    <cfRule type="cellIs" dxfId="199" priority="161" operator="lessThan">
      <formula>0</formula>
    </cfRule>
  </conditionalFormatting>
  <conditionalFormatting sqref="U44">
    <cfRule type="cellIs" dxfId="198" priority="160" operator="lessThan">
      <formula>0</formula>
    </cfRule>
  </conditionalFormatting>
  <conditionalFormatting sqref="Q42:T42">
    <cfRule type="cellIs" dxfId="197" priority="157" operator="greaterThan">
      <formula>0</formula>
    </cfRule>
    <cfRule type="cellIs" priority="158" operator="greaterThan">
      <formula>0</formula>
    </cfRule>
    <cfRule type="cellIs" priority="159" operator="greaterThan">
      <formula>0</formula>
    </cfRule>
  </conditionalFormatting>
  <conditionalFormatting sqref="U42">
    <cfRule type="cellIs" dxfId="196" priority="154" operator="greaterThan">
      <formula>0</formula>
    </cfRule>
    <cfRule type="cellIs" priority="155" operator="greaterThan">
      <formula>0</formula>
    </cfRule>
    <cfRule type="cellIs" priority="156" operator="greaterThan">
      <formula>0</formula>
    </cfRule>
  </conditionalFormatting>
  <conditionalFormatting sqref="Q43:T43">
    <cfRule type="cellIs" dxfId="195" priority="153" operator="lessThan">
      <formula>0</formula>
    </cfRule>
  </conditionalFormatting>
  <conditionalFormatting sqref="U43">
    <cfRule type="cellIs" dxfId="194" priority="152" operator="lessThan">
      <formula>0</formula>
    </cfRule>
  </conditionalFormatting>
  <conditionalFormatting sqref="F14">
    <cfRule type="cellIs" dxfId="193" priority="151" operator="greaterThan">
      <formula>$E$14</formula>
    </cfRule>
  </conditionalFormatting>
  <conditionalFormatting sqref="G14">
    <cfRule type="cellIs" dxfId="192" priority="150" operator="greaterThan">
      <formula>$F$14</formula>
    </cfRule>
  </conditionalFormatting>
  <conditionalFormatting sqref="H14">
    <cfRule type="cellIs" dxfId="191" priority="149" operator="greaterThan">
      <formula>$G$14</formula>
    </cfRule>
  </conditionalFormatting>
  <conditionalFormatting sqref="I14">
    <cfRule type="cellIs" dxfId="190" priority="148" operator="greaterThan">
      <formula>$H$14</formula>
    </cfRule>
  </conditionalFormatting>
  <conditionalFormatting sqref="J14">
    <cfRule type="cellIs" dxfId="189" priority="147" operator="greaterThan">
      <formula>$I$14</formula>
    </cfRule>
  </conditionalFormatting>
  <conditionalFormatting sqref="F15">
    <cfRule type="cellIs" dxfId="188" priority="146" operator="greaterThan">
      <formula>$E$15</formula>
    </cfRule>
  </conditionalFormatting>
  <conditionalFormatting sqref="G15">
    <cfRule type="cellIs" dxfId="187" priority="145" operator="greaterThan">
      <formula>$F$15</formula>
    </cfRule>
  </conditionalFormatting>
  <conditionalFormatting sqref="H15">
    <cfRule type="cellIs" dxfId="186" priority="144" operator="greaterThan">
      <formula>$G$15</formula>
    </cfRule>
  </conditionalFormatting>
  <conditionalFormatting sqref="I15">
    <cfRule type="cellIs" dxfId="185" priority="143" operator="greaterThan">
      <formula>$H$15</formula>
    </cfRule>
  </conditionalFormatting>
  <conditionalFormatting sqref="J15">
    <cfRule type="cellIs" dxfId="184" priority="142" operator="greaterThan">
      <formula>$I$15</formula>
    </cfRule>
  </conditionalFormatting>
  <conditionalFormatting sqref="F16">
    <cfRule type="cellIs" dxfId="183" priority="141" operator="greaterThan">
      <formula>$E$16</formula>
    </cfRule>
  </conditionalFormatting>
  <conditionalFormatting sqref="G16">
    <cfRule type="cellIs" dxfId="182" priority="140" operator="greaterThan">
      <formula>$F$16</formula>
    </cfRule>
  </conditionalFormatting>
  <conditionalFormatting sqref="H16">
    <cfRule type="cellIs" dxfId="181" priority="139" operator="greaterThan">
      <formula>$G$16</formula>
    </cfRule>
  </conditionalFormatting>
  <conditionalFormatting sqref="I16">
    <cfRule type="cellIs" dxfId="180" priority="138" operator="greaterThan">
      <formula>$H$16</formula>
    </cfRule>
  </conditionalFormatting>
  <conditionalFormatting sqref="J16">
    <cfRule type="cellIs" dxfId="179" priority="137" operator="greaterThan">
      <formula>$I$16</formula>
    </cfRule>
  </conditionalFormatting>
  <conditionalFormatting sqref="F17 I17">
    <cfRule type="cellIs" dxfId="178" priority="136" operator="lessThan">
      <formula>$E$17</formula>
    </cfRule>
  </conditionalFormatting>
  <conditionalFormatting sqref="G17 J17">
    <cfRule type="cellIs" dxfId="177" priority="135" operator="lessThan">
      <formula>$F$17</formula>
    </cfRule>
  </conditionalFormatting>
  <conditionalFormatting sqref="H17">
    <cfRule type="cellIs" dxfId="176" priority="134" operator="lessThan">
      <formula>$G$17</formula>
    </cfRule>
  </conditionalFormatting>
  <conditionalFormatting sqref="F18">
    <cfRule type="cellIs" dxfId="175" priority="133" operator="lessThan">
      <formula>$E$18</formula>
    </cfRule>
  </conditionalFormatting>
  <conditionalFormatting sqref="G18">
    <cfRule type="cellIs" dxfId="174" priority="132" operator="lessThan">
      <formula>$F$18</formula>
    </cfRule>
  </conditionalFormatting>
  <conditionalFormatting sqref="H18">
    <cfRule type="cellIs" dxfId="173" priority="131" operator="lessThan">
      <formula>$G$18</formula>
    </cfRule>
  </conditionalFormatting>
  <conditionalFormatting sqref="I18">
    <cfRule type="cellIs" dxfId="172" priority="130" operator="lessThan">
      <formula>$H$18</formula>
    </cfRule>
  </conditionalFormatting>
  <conditionalFormatting sqref="J18">
    <cfRule type="cellIs" dxfId="171" priority="129" operator="lessThan">
      <formula>$I$18</formula>
    </cfRule>
  </conditionalFormatting>
  <conditionalFormatting sqref="F19">
    <cfRule type="cellIs" dxfId="170" priority="128" operator="lessThan">
      <formula>$E$19</formula>
    </cfRule>
  </conditionalFormatting>
  <conditionalFormatting sqref="G19">
    <cfRule type="cellIs" dxfId="169" priority="127" operator="lessThan">
      <formula>$F$19</formula>
    </cfRule>
  </conditionalFormatting>
  <conditionalFormatting sqref="H19">
    <cfRule type="cellIs" dxfId="168" priority="126" operator="lessThan">
      <formula>$G$19</formula>
    </cfRule>
  </conditionalFormatting>
  <conditionalFormatting sqref="I19">
    <cfRule type="cellIs" dxfId="167" priority="125" operator="lessThan">
      <formula>$H$19</formula>
    </cfRule>
  </conditionalFormatting>
  <conditionalFormatting sqref="J19">
    <cfRule type="cellIs" dxfId="166" priority="124" operator="lessThan">
      <formula>$I$19</formula>
    </cfRule>
  </conditionalFormatting>
  <conditionalFormatting sqref="F20">
    <cfRule type="cellIs" dxfId="165" priority="123" operator="lessThan">
      <formula>$E$20</formula>
    </cfRule>
  </conditionalFormatting>
  <conditionalFormatting sqref="G20">
    <cfRule type="cellIs" dxfId="164" priority="122" operator="lessThan">
      <formula>$F$20</formula>
    </cfRule>
  </conditionalFormatting>
  <conditionalFormatting sqref="H20">
    <cfRule type="cellIs" dxfId="163" priority="121" operator="lessThan">
      <formula>$G$20</formula>
    </cfRule>
  </conditionalFormatting>
  <conditionalFormatting sqref="I20">
    <cfRule type="cellIs" dxfId="162" priority="120" operator="lessThan">
      <formula>$H$20</formula>
    </cfRule>
  </conditionalFormatting>
  <conditionalFormatting sqref="J20">
    <cfRule type="cellIs" dxfId="161" priority="119" operator="lessThan">
      <formula>$I$20</formula>
    </cfRule>
  </conditionalFormatting>
  <conditionalFormatting sqref="F21">
    <cfRule type="cellIs" dxfId="160" priority="118" operator="greaterThan">
      <formula>$E$21</formula>
    </cfRule>
  </conditionalFormatting>
  <conditionalFormatting sqref="G21">
    <cfRule type="cellIs" dxfId="159" priority="117" operator="greaterThan">
      <formula>$F$21</formula>
    </cfRule>
  </conditionalFormatting>
  <conditionalFormatting sqref="H21">
    <cfRule type="cellIs" dxfId="158" priority="116" operator="greaterThan">
      <formula>$G$21</formula>
    </cfRule>
  </conditionalFormatting>
  <conditionalFormatting sqref="I21">
    <cfRule type="cellIs" dxfId="157" priority="115" operator="greaterThan">
      <formula>$H$21</formula>
    </cfRule>
  </conditionalFormatting>
  <conditionalFormatting sqref="J21">
    <cfRule type="cellIs" dxfId="156" priority="114" operator="greaterThan">
      <formula>$I$21</formula>
    </cfRule>
  </conditionalFormatting>
  <conditionalFormatting sqref="F22">
    <cfRule type="cellIs" dxfId="155" priority="113" operator="greaterThan">
      <formula>$E$22</formula>
    </cfRule>
  </conditionalFormatting>
  <conditionalFormatting sqref="G22">
    <cfRule type="cellIs" dxfId="154" priority="112" operator="greaterThan">
      <formula>$F$22</formula>
    </cfRule>
  </conditionalFormatting>
  <conditionalFormatting sqref="H22">
    <cfRule type="cellIs" dxfId="153" priority="111" operator="greaterThan">
      <formula>$G$22</formula>
    </cfRule>
  </conditionalFormatting>
  <conditionalFormatting sqref="I22">
    <cfRule type="cellIs" dxfId="152" priority="110" operator="greaterThan">
      <formula>$H$22</formula>
    </cfRule>
  </conditionalFormatting>
  <conditionalFormatting sqref="J22">
    <cfRule type="cellIs" dxfId="151" priority="109" operator="greaterThan">
      <formula>$I$22</formula>
    </cfRule>
  </conditionalFormatting>
  <conditionalFormatting sqref="F23">
    <cfRule type="cellIs" dxfId="150" priority="108" operator="greaterThan">
      <formula>$E$23</formula>
    </cfRule>
  </conditionalFormatting>
  <conditionalFormatting sqref="G23">
    <cfRule type="cellIs" dxfId="149" priority="107" operator="greaterThan">
      <formula>$F$23</formula>
    </cfRule>
  </conditionalFormatting>
  <conditionalFormatting sqref="H23">
    <cfRule type="cellIs" dxfId="148" priority="106" operator="greaterThan">
      <formula>$G$23</formula>
    </cfRule>
  </conditionalFormatting>
  <conditionalFormatting sqref="I23">
    <cfRule type="cellIs" dxfId="147" priority="105" operator="greaterThan">
      <formula>$H$23</formula>
    </cfRule>
  </conditionalFormatting>
  <conditionalFormatting sqref="J23">
    <cfRule type="cellIs" dxfId="146" priority="104" operator="greaterThan">
      <formula>$I$23</formula>
    </cfRule>
  </conditionalFormatting>
  <conditionalFormatting sqref="F24">
    <cfRule type="cellIs" dxfId="145" priority="103" operator="greaterThan">
      <formula>$E$24</formula>
    </cfRule>
  </conditionalFormatting>
  <conditionalFormatting sqref="G24">
    <cfRule type="cellIs" dxfId="144" priority="102" operator="greaterThan">
      <formula>$F$24</formula>
    </cfRule>
  </conditionalFormatting>
  <conditionalFormatting sqref="H24">
    <cfRule type="cellIs" dxfId="143" priority="101" operator="greaterThan">
      <formula>$G$24</formula>
    </cfRule>
  </conditionalFormatting>
  <conditionalFormatting sqref="I24">
    <cfRule type="cellIs" dxfId="142" priority="100" operator="greaterThan">
      <formula>$H$24</formula>
    </cfRule>
  </conditionalFormatting>
  <conditionalFormatting sqref="J24">
    <cfRule type="cellIs" dxfId="141" priority="99" operator="greaterThan">
      <formula>$I$24</formula>
    </cfRule>
  </conditionalFormatting>
  <conditionalFormatting sqref="G25">
    <cfRule type="cellIs" dxfId="140" priority="98" operator="lessThan">
      <formula>$F$25</formula>
    </cfRule>
  </conditionalFormatting>
  <conditionalFormatting sqref="H25">
    <cfRule type="cellIs" dxfId="139" priority="97" operator="lessThan">
      <formula>$G$25</formula>
    </cfRule>
  </conditionalFormatting>
  <conditionalFormatting sqref="I25">
    <cfRule type="cellIs" dxfId="138" priority="96" operator="lessThan">
      <formula>$H$25</formula>
    </cfRule>
  </conditionalFormatting>
  <conditionalFormatting sqref="J25">
    <cfRule type="cellIs" dxfId="137" priority="95" operator="lessThan">
      <formula>$I$25</formula>
    </cfRule>
  </conditionalFormatting>
  <conditionalFormatting sqref="F26">
    <cfRule type="cellIs" dxfId="136" priority="94" operator="lessThan">
      <formula>$E$26</formula>
    </cfRule>
  </conditionalFormatting>
  <conditionalFormatting sqref="G26">
    <cfRule type="cellIs" dxfId="135" priority="93" operator="lessThan">
      <formula>$F$26</formula>
    </cfRule>
  </conditionalFormatting>
  <conditionalFormatting sqref="H26">
    <cfRule type="cellIs" dxfId="134" priority="92" operator="lessThan">
      <formula>$G$26</formula>
    </cfRule>
  </conditionalFormatting>
  <conditionalFormatting sqref="I26">
    <cfRule type="cellIs" dxfId="133" priority="90" operator="lessThan">
      <formula>$H$26</formula>
    </cfRule>
    <cfRule type="cellIs" dxfId="132" priority="91" operator="lessThan">
      <formula>$H$26</formula>
    </cfRule>
  </conditionalFormatting>
  <conditionalFormatting sqref="J26">
    <cfRule type="cellIs" dxfId="131" priority="89" operator="lessThan">
      <formula>$I$26</formula>
    </cfRule>
  </conditionalFormatting>
  <conditionalFormatting sqref="F27">
    <cfRule type="cellIs" dxfId="130" priority="88" operator="lessThan">
      <formula>$E$27</formula>
    </cfRule>
  </conditionalFormatting>
  <conditionalFormatting sqref="G27">
    <cfRule type="cellIs" dxfId="129" priority="87" operator="lessThan">
      <formula>$F$27</formula>
    </cfRule>
  </conditionalFormatting>
  <conditionalFormatting sqref="H27">
    <cfRule type="cellIs" dxfId="128" priority="86" operator="lessThan">
      <formula>$G$27</formula>
    </cfRule>
  </conditionalFormatting>
  <conditionalFormatting sqref="I27">
    <cfRule type="cellIs" dxfId="127" priority="85" operator="lessThan">
      <formula>$H$27</formula>
    </cfRule>
  </conditionalFormatting>
  <conditionalFormatting sqref="J27">
    <cfRule type="cellIs" dxfId="126" priority="84" operator="lessThan">
      <formula>$I$27</formula>
    </cfRule>
  </conditionalFormatting>
  <conditionalFormatting sqref="F28">
    <cfRule type="cellIs" dxfId="125" priority="83" operator="lessThan">
      <formula>$E$28</formula>
    </cfRule>
  </conditionalFormatting>
  <conditionalFormatting sqref="G28">
    <cfRule type="cellIs" dxfId="124" priority="82" operator="lessThan">
      <formula>$F$28</formula>
    </cfRule>
  </conditionalFormatting>
  <conditionalFormatting sqref="H28">
    <cfRule type="cellIs" dxfId="123" priority="81" operator="lessThan">
      <formula>$G$28</formula>
    </cfRule>
  </conditionalFormatting>
  <conditionalFormatting sqref="I28">
    <cfRule type="cellIs" dxfId="122" priority="80" operator="lessThan">
      <formula>$H$28</formula>
    </cfRule>
  </conditionalFormatting>
  <conditionalFormatting sqref="J28">
    <cfRule type="cellIs" dxfId="121" priority="79" operator="lessThan">
      <formula>$I$28</formula>
    </cfRule>
  </conditionalFormatting>
  <conditionalFormatting sqref="F29">
    <cfRule type="cellIs" dxfId="120" priority="78" operator="lessThan">
      <formula>$E$29</formula>
    </cfRule>
  </conditionalFormatting>
  <conditionalFormatting sqref="G29">
    <cfRule type="cellIs" dxfId="119" priority="77" operator="lessThan">
      <formula>$F$29</formula>
    </cfRule>
  </conditionalFormatting>
  <conditionalFormatting sqref="H29">
    <cfRule type="cellIs" dxfId="118" priority="76" operator="lessThan">
      <formula>$G$29</formula>
    </cfRule>
  </conditionalFormatting>
  <conditionalFormatting sqref="I29">
    <cfRule type="cellIs" dxfId="117" priority="75" operator="lessThan">
      <formula>$H$29</formula>
    </cfRule>
  </conditionalFormatting>
  <conditionalFormatting sqref="J29">
    <cfRule type="cellIs" dxfId="116" priority="74" operator="lessThan">
      <formula>$I$29</formula>
    </cfRule>
  </conditionalFormatting>
  <conditionalFormatting sqref="F30">
    <cfRule type="cellIs" dxfId="115" priority="73" operator="lessThan">
      <formula>$E$30</formula>
    </cfRule>
  </conditionalFormatting>
  <conditionalFormatting sqref="G30">
    <cfRule type="cellIs" dxfId="114" priority="72" operator="lessThan">
      <formula>$F$30</formula>
    </cfRule>
  </conditionalFormatting>
  <conditionalFormatting sqref="H30">
    <cfRule type="cellIs" dxfId="113" priority="71" operator="lessThan">
      <formula>$G$30</formula>
    </cfRule>
  </conditionalFormatting>
  <conditionalFormatting sqref="I30">
    <cfRule type="cellIs" dxfId="112" priority="70" operator="lessThan">
      <formula>$H$30</formula>
    </cfRule>
  </conditionalFormatting>
  <conditionalFormatting sqref="J30">
    <cfRule type="cellIs" dxfId="111" priority="69" operator="lessThan">
      <formula>$I$30</formula>
    </cfRule>
  </conditionalFormatting>
  <conditionalFormatting sqref="F31">
    <cfRule type="cellIs" dxfId="110" priority="68" operator="lessThan">
      <formula>$E$31</formula>
    </cfRule>
  </conditionalFormatting>
  <conditionalFormatting sqref="G31">
    <cfRule type="cellIs" dxfId="109" priority="67" operator="lessThan">
      <formula>$F$31</formula>
    </cfRule>
  </conditionalFormatting>
  <conditionalFormatting sqref="H31">
    <cfRule type="cellIs" dxfId="108" priority="66" operator="lessThan">
      <formula>$G$31</formula>
    </cfRule>
  </conditionalFormatting>
  <conditionalFormatting sqref="I31">
    <cfRule type="cellIs" dxfId="107" priority="65" operator="lessThan">
      <formula>$H$31</formula>
    </cfRule>
  </conditionalFormatting>
  <conditionalFormatting sqref="J31">
    <cfRule type="cellIs" dxfId="106" priority="64" operator="lessThan">
      <formula>$I$31</formula>
    </cfRule>
  </conditionalFormatting>
  <conditionalFormatting sqref="F32">
    <cfRule type="cellIs" dxfId="105" priority="63" operator="lessThan">
      <formula>$E$32</formula>
    </cfRule>
  </conditionalFormatting>
  <conditionalFormatting sqref="G32">
    <cfRule type="cellIs" dxfId="104" priority="62" operator="lessThan">
      <formula>$F$32</formula>
    </cfRule>
  </conditionalFormatting>
  <conditionalFormatting sqref="H32">
    <cfRule type="cellIs" dxfId="103" priority="61" operator="lessThan">
      <formula>$G$32</formula>
    </cfRule>
  </conditionalFormatting>
  <conditionalFormatting sqref="I32">
    <cfRule type="cellIs" dxfId="102" priority="60" operator="lessThan">
      <formula>$H$32</formula>
    </cfRule>
  </conditionalFormatting>
  <conditionalFormatting sqref="J32">
    <cfRule type="cellIs" dxfId="101" priority="59" operator="lessThan">
      <formula>$I$32</formula>
    </cfRule>
  </conditionalFormatting>
  <conditionalFormatting sqref="F33">
    <cfRule type="cellIs" dxfId="100" priority="58" operator="lessThan">
      <formula>$E$33</formula>
    </cfRule>
  </conditionalFormatting>
  <conditionalFormatting sqref="G33">
    <cfRule type="cellIs" dxfId="99" priority="57" operator="lessThan">
      <formula>$F$33</formula>
    </cfRule>
  </conditionalFormatting>
  <conditionalFormatting sqref="H33">
    <cfRule type="cellIs" dxfId="98" priority="56" operator="lessThan">
      <formula>$G$33</formula>
    </cfRule>
  </conditionalFormatting>
  <conditionalFormatting sqref="I33">
    <cfRule type="cellIs" dxfId="97" priority="55" operator="lessThan">
      <formula>$H$33</formula>
    </cfRule>
  </conditionalFormatting>
  <conditionalFormatting sqref="J33">
    <cfRule type="cellIs" dxfId="96" priority="54" operator="lessThan">
      <formula>$I$33</formula>
    </cfRule>
  </conditionalFormatting>
  <conditionalFormatting sqref="F34">
    <cfRule type="cellIs" dxfId="95" priority="53" operator="lessThan">
      <formula>$E$34</formula>
    </cfRule>
  </conditionalFormatting>
  <conditionalFormatting sqref="F35">
    <cfRule type="cellIs" dxfId="94" priority="52" operator="lessThan">
      <formula>$E$35</formula>
    </cfRule>
  </conditionalFormatting>
  <conditionalFormatting sqref="F36">
    <cfRule type="cellIs" dxfId="93" priority="51" operator="lessThan">
      <formula>$E$36</formula>
    </cfRule>
  </conditionalFormatting>
  <conditionalFormatting sqref="G34">
    <cfRule type="cellIs" dxfId="92" priority="50" operator="lessThan">
      <formula>$F$34</formula>
    </cfRule>
  </conditionalFormatting>
  <conditionalFormatting sqref="H34">
    <cfRule type="cellIs" dxfId="91" priority="49" operator="lessThan">
      <formula>$G$34</formula>
    </cfRule>
  </conditionalFormatting>
  <conditionalFormatting sqref="I34">
    <cfRule type="cellIs" dxfId="90" priority="48" operator="lessThan">
      <formula>$H$34</formula>
    </cfRule>
  </conditionalFormatting>
  <conditionalFormatting sqref="J34">
    <cfRule type="cellIs" dxfId="89" priority="47" operator="lessThan">
      <formula>$I$34</formula>
    </cfRule>
  </conditionalFormatting>
  <conditionalFormatting sqref="G35">
    <cfRule type="cellIs" dxfId="88" priority="46" operator="lessThan">
      <formula>$F$35</formula>
    </cfRule>
  </conditionalFormatting>
  <conditionalFormatting sqref="H35">
    <cfRule type="cellIs" dxfId="87" priority="45" operator="lessThan">
      <formula>$G$35</formula>
    </cfRule>
  </conditionalFormatting>
  <conditionalFormatting sqref="I35">
    <cfRule type="cellIs" dxfId="86" priority="44" operator="lessThan">
      <formula>$H$35</formula>
    </cfRule>
  </conditionalFormatting>
  <conditionalFormatting sqref="J35">
    <cfRule type="cellIs" dxfId="85" priority="43" operator="lessThan">
      <formula>$I$35</formula>
    </cfRule>
  </conditionalFormatting>
  <conditionalFormatting sqref="G36">
    <cfRule type="cellIs" dxfId="84" priority="42" operator="lessThan">
      <formula>$F$36</formula>
    </cfRule>
  </conditionalFormatting>
  <conditionalFormatting sqref="H36">
    <cfRule type="cellIs" dxfId="83" priority="41" operator="lessThan">
      <formula>$G$36</formula>
    </cfRule>
  </conditionalFormatting>
  <conditionalFormatting sqref="I36">
    <cfRule type="cellIs" dxfId="82" priority="40" operator="lessThan">
      <formula>$H$36</formula>
    </cfRule>
  </conditionalFormatting>
  <conditionalFormatting sqref="J36">
    <cfRule type="cellIs" dxfId="81" priority="39" operator="lessThan">
      <formula>$I$36</formula>
    </cfRule>
  </conditionalFormatting>
  <conditionalFormatting sqref="F37">
    <cfRule type="cellIs" dxfId="80" priority="38" operator="greaterThan">
      <formula>$E$37</formula>
    </cfRule>
  </conditionalFormatting>
  <conditionalFormatting sqref="F38">
    <cfRule type="cellIs" dxfId="79" priority="37" operator="greaterThan">
      <formula>$E$38</formula>
    </cfRule>
  </conditionalFormatting>
  <conditionalFormatting sqref="G37">
    <cfRule type="cellIs" dxfId="78" priority="36" operator="greaterThan">
      <formula>$F$37</formula>
    </cfRule>
  </conditionalFormatting>
  <conditionalFormatting sqref="G38">
    <cfRule type="cellIs" dxfId="77" priority="35" operator="greaterThan">
      <formula>$F$38</formula>
    </cfRule>
  </conditionalFormatting>
  <conditionalFormatting sqref="H37">
    <cfRule type="cellIs" dxfId="76" priority="34" operator="greaterThan">
      <formula>$G$37</formula>
    </cfRule>
  </conditionalFormatting>
  <conditionalFormatting sqref="I37">
    <cfRule type="cellIs" dxfId="75" priority="33" operator="greaterThan">
      <formula>$H$37</formula>
    </cfRule>
  </conditionalFormatting>
  <conditionalFormatting sqref="J37">
    <cfRule type="cellIs" dxfId="74" priority="32" operator="greaterThan">
      <formula>$I$37</formula>
    </cfRule>
  </conditionalFormatting>
  <conditionalFormatting sqref="H38">
    <cfRule type="cellIs" dxfId="73" priority="31" operator="greaterThan">
      <formula>$G$38</formula>
    </cfRule>
  </conditionalFormatting>
  <conditionalFormatting sqref="I38">
    <cfRule type="cellIs" dxfId="72" priority="30" operator="greaterThan">
      <formula>$H$38</formula>
    </cfRule>
  </conditionalFormatting>
  <conditionalFormatting sqref="J38">
    <cfRule type="cellIs" dxfId="71" priority="29" operator="greaterThan">
      <formula>$I$38</formula>
    </cfRule>
  </conditionalFormatting>
  <conditionalFormatting sqref="F40">
    <cfRule type="cellIs" dxfId="70" priority="28" operator="greaterThan">
      <formula>$E$40</formula>
    </cfRule>
  </conditionalFormatting>
  <conditionalFormatting sqref="G40">
    <cfRule type="cellIs" dxfId="69" priority="27" operator="greaterThan">
      <formula>$F$40</formula>
    </cfRule>
  </conditionalFormatting>
  <conditionalFormatting sqref="H40">
    <cfRule type="cellIs" dxfId="68" priority="26" operator="greaterThan">
      <formula>$G$40</formula>
    </cfRule>
  </conditionalFormatting>
  <conditionalFormatting sqref="I40">
    <cfRule type="cellIs" dxfId="67" priority="25" operator="greaterThan">
      <formula>$H$40</formula>
    </cfRule>
  </conditionalFormatting>
  <conditionalFormatting sqref="J40">
    <cfRule type="cellIs" dxfId="66" priority="24" operator="greaterThan">
      <formula>$I$40</formula>
    </cfRule>
  </conditionalFormatting>
  <conditionalFormatting sqref="F41">
    <cfRule type="cellIs" dxfId="65" priority="23" operator="greaterThan">
      <formula>$E$41</formula>
    </cfRule>
  </conditionalFormatting>
  <conditionalFormatting sqref="G41">
    <cfRule type="cellIs" dxfId="64" priority="22" operator="greaterThan">
      <formula>$F$41</formula>
    </cfRule>
  </conditionalFormatting>
  <conditionalFormatting sqref="H41">
    <cfRule type="cellIs" dxfId="63" priority="21" operator="greaterThan">
      <formula>$G$41</formula>
    </cfRule>
  </conditionalFormatting>
  <conditionalFormatting sqref="I41">
    <cfRule type="cellIs" dxfId="62" priority="20" operator="greaterThan">
      <formula>$H$41</formula>
    </cfRule>
  </conditionalFormatting>
  <conditionalFormatting sqref="J41">
    <cfRule type="cellIs" dxfId="61" priority="19" operator="greaterThan">
      <formula>$I$41</formula>
    </cfRule>
  </conditionalFormatting>
  <conditionalFormatting sqref="F42">
    <cfRule type="cellIs" dxfId="60" priority="18" operator="greaterThan">
      <formula>$E$42</formula>
    </cfRule>
  </conditionalFormatting>
  <conditionalFormatting sqref="G42">
    <cfRule type="cellIs" dxfId="59" priority="17" operator="greaterThan">
      <formula>$F$42</formula>
    </cfRule>
  </conditionalFormatting>
  <conditionalFormatting sqref="H42">
    <cfRule type="cellIs" dxfId="58" priority="16" operator="greaterThan">
      <formula>$G$42</formula>
    </cfRule>
  </conditionalFormatting>
  <conditionalFormatting sqref="I42">
    <cfRule type="cellIs" dxfId="57" priority="15" operator="greaterThan">
      <formula>$H$42</formula>
    </cfRule>
  </conditionalFormatting>
  <conditionalFormatting sqref="J42">
    <cfRule type="cellIs" dxfId="56" priority="14" operator="greaterThan">
      <formula>$I$42</formula>
    </cfRule>
  </conditionalFormatting>
  <conditionalFormatting sqref="F43">
    <cfRule type="cellIs" dxfId="55" priority="13" operator="lessThan">
      <formula>$E$43</formula>
    </cfRule>
  </conditionalFormatting>
  <conditionalFormatting sqref="G43">
    <cfRule type="cellIs" dxfId="54" priority="12" operator="lessThan">
      <formula>$F$43</formula>
    </cfRule>
  </conditionalFormatting>
  <conditionalFormatting sqref="H43">
    <cfRule type="cellIs" dxfId="53" priority="11" operator="lessThan">
      <formula>$G$43</formula>
    </cfRule>
  </conditionalFormatting>
  <conditionalFormatting sqref="I43">
    <cfRule type="cellIs" dxfId="52" priority="10" operator="lessThan">
      <formula>$H$43</formula>
    </cfRule>
  </conditionalFormatting>
  <conditionalFormatting sqref="J43">
    <cfRule type="cellIs" dxfId="51" priority="9" operator="lessThan">
      <formula>$I$43</formula>
    </cfRule>
  </conditionalFormatting>
  <conditionalFormatting sqref="F44">
    <cfRule type="cellIs" dxfId="50" priority="8" operator="lessThan">
      <formula>$E$44</formula>
    </cfRule>
  </conditionalFormatting>
  <conditionalFormatting sqref="G44">
    <cfRule type="cellIs" dxfId="49" priority="7" operator="lessThan">
      <formula>$F$44</formula>
    </cfRule>
  </conditionalFormatting>
  <conditionalFormatting sqref="H44">
    <cfRule type="cellIs" dxfId="48" priority="6" operator="lessThan">
      <formula>$G$44</formula>
    </cfRule>
  </conditionalFormatting>
  <conditionalFormatting sqref="I44">
    <cfRule type="cellIs" dxfId="47" priority="5" operator="lessThan">
      <formula>$H$44</formula>
    </cfRule>
  </conditionalFormatting>
  <conditionalFormatting sqref="J44">
    <cfRule type="cellIs" dxfId="46" priority="4" operator="lessThan">
      <formula>$I$44</formula>
    </cfRule>
  </conditionalFormatting>
  <conditionalFormatting sqref="V13">
    <cfRule type="cellIs" dxfId="45" priority="1" operator="greaterThan">
      <formula>0</formula>
    </cfRule>
    <cfRule type="cellIs" priority="2" operator="greaterThan">
      <formula>0</formula>
    </cfRule>
    <cfRule type="cellIs" priority="3" operator="greaterThan">
      <formula>0</formula>
    </cfRule>
  </conditionalFormatting>
  <printOptions horizontalCentered="1"/>
  <pageMargins left="0" right="0" top="0.27559055118110237" bottom="0.35433070866141736" header="0.31496062992125984" footer="0.11811023622047245"/>
  <pageSetup paperSize="9" scale="59"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P125"/>
  <sheetViews>
    <sheetView view="pageBreakPreview" zoomScale="85" zoomScaleNormal="85" zoomScaleSheetLayoutView="85" workbookViewId="0">
      <pane xSplit="9" ySplit="7" topLeftCell="J8" activePane="bottomRight" state="frozen"/>
      <selection pane="topRight" activeCell="K1" sqref="K1"/>
      <selection pane="bottomLeft" activeCell="A9" sqref="A9"/>
      <selection pane="bottomRight" activeCell="D69" sqref="D69:I69"/>
    </sheetView>
  </sheetViews>
  <sheetFormatPr defaultRowHeight="12.75"/>
  <cols>
    <col min="1" max="1" width="8.28515625" style="1962" customWidth="1"/>
    <col min="2" max="2" width="42" style="1962" customWidth="1"/>
    <col min="3" max="3" width="8.28515625" style="1962" customWidth="1"/>
    <col min="4" max="7" width="10.7109375" style="1962" customWidth="1"/>
    <col min="8" max="8" width="11" style="1962" customWidth="1"/>
    <col min="9" max="9" width="10.7109375" style="1962" customWidth="1"/>
    <col min="10" max="10" width="12.7109375" style="1962" customWidth="1"/>
    <col min="11" max="11" width="9.7109375" style="1962" bestFit="1" customWidth="1"/>
    <col min="12" max="254" width="9.140625" style="1962"/>
    <col min="255" max="255" width="5.28515625" style="1962" customWidth="1"/>
    <col min="256" max="256" width="56.42578125" style="1962" customWidth="1"/>
    <col min="257" max="257" width="10.28515625" style="1962" customWidth="1"/>
    <col min="258" max="264" width="10.7109375" style="1962" customWidth="1"/>
    <col min="265" max="265" width="9.140625" style="1962"/>
    <col min="266" max="266" width="11.28515625" style="1962" bestFit="1" customWidth="1"/>
    <col min="267" max="267" width="9.7109375" style="1962" bestFit="1" customWidth="1"/>
    <col min="268" max="510" width="9.140625" style="1962"/>
    <col min="511" max="511" width="5.28515625" style="1962" customWidth="1"/>
    <col min="512" max="512" width="56.42578125" style="1962" customWidth="1"/>
    <col min="513" max="513" width="10.28515625" style="1962" customWidth="1"/>
    <col min="514" max="520" width="10.7109375" style="1962" customWidth="1"/>
    <col min="521" max="521" width="9.140625" style="1962"/>
    <col min="522" max="522" width="11.28515625" style="1962" bestFit="1" customWidth="1"/>
    <col min="523" max="523" width="9.7109375" style="1962" bestFit="1" customWidth="1"/>
    <col min="524" max="766" width="9.140625" style="1962"/>
    <col min="767" max="767" width="5.28515625" style="1962" customWidth="1"/>
    <col min="768" max="768" width="56.42578125" style="1962" customWidth="1"/>
    <col min="769" max="769" width="10.28515625" style="1962" customWidth="1"/>
    <col min="770" max="776" width="10.7109375" style="1962" customWidth="1"/>
    <col min="777" max="777" width="9.140625" style="1962"/>
    <col min="778" max="778" width="11.28515625" style="1962" bestFit="1" customWidth="1"/>
    <col min="779" max="779" width="9.7109375" style="1962" bestFit="1" customWidth="1"/>
    <col min="780" max="1022" width="9.140625" style="1962"/>
    <col min="1023" max="1023" width="5.28515625" style="1962" customWidth="1"/>
    <col min="1024" max="1024" width="56.42578125" style="1962" customWidth="1"/>
    <col min="1025" max="1025" width="10.28515625" style="1962" customWidth="1"/>
    <col min="1026" max="1032" width="10.7109375" style="1962" customWidth="1"/>
    <col min="1033" max="1033" width="9.140625" style="1962"/>
    <col min="1034" max="1034" width="11.28515625" style="1962" bestFit="1" customWidth="1"/>
    <col min="1035" max="1035" width="9.7109375" style="1962" bestFit="1" customWidth="1"/>
    <col min="1036" max="1278" width="9.140625" style="1962"/>
    <col min="1279" max="1279" width="5.28515625" style="1962" customWidth="1"/>
    <col min="1280" max="1280" width="56.42578125" style="1962" customWidth="1"/>
    <col min="1281" max="1281" width="10.28515625" style="1962" customWidth="1"/>
    <col min="1282" max="1288" width="10.7109375" style="1962" customWidth="1"/>
    <col min="1289" max="1289" width="9.140625" style="1962"/>
    <col min="1290" max="1290" width="11.28515625" style="1962" bestFit="1" customWidth="1"/>
    <col min="1291" max="1291" width="9.7109375" style="1962" bestFit="1" customWidth="1"/>
    <col min="1292" max="1534" width="9.140625" style="1962"/>
    <col min="1535" max="1535" width="5.28515625" style="1962" customWidth="1"/>
    <col min="1536" max="1536" width="56.42578125" style="1962" customWidth="1"/>
    <col min="1537" max="1537" width="10.28515625" style="1962" customWidth="1"/>
    <col min="1538" max="1544" width="10.7109375" style="1962" customWidth="1"/>
    <col min="1545" max="1545" width="9.140625" style="1962"/>
    <col min="1546" max="1546" width="11.28515625" style="1962" bestFit="1" customWidth="1"/>
    <col min="1547" max="1547" width="9.7109375" style="1962" bestFit="1" customWidth="1"/>
    <col min="1548" max="1790" width="9.140625" style="1962"/>
    <col min="1791" max="1791" width="5.28515625" style="1962" customWidth="1"/>
    <col min="1792" max="1792" width="56.42578125" style="1962" customWidth="1"/>
    <col min="1793" max="1793" width="10.28515625" style="1962" customWidth="1"/>
    <col min="1794" max="1800" width="10.7109375" style="1962" customWidth="1"/>
    <col min="1801" max="1801" width="9.140625" style="1962"/>
    <col min="1802" max="1802" width="11.28515625" style="1962" bestFit="1" customWidth="1"/>
    <col min="1803" max="1803" width="9.7109375" style="1962" bestFit="1" customWidth="1"/>
    <col min="1804" max="2046" width="9.140625" style="1962"/>
    <col min="2047" max="2047" width="5.28515625" style="1962" customWidth="1"/>
    <col min="2048" max="2048" width="56.42578125" style="1962" customWidth="1"/>
    <col min="2049" max="2049" width="10.28515625" style="1962" customWidth="1"/>
    <col min="2050" max="2056" width="10.7109375" style="1962" customWidth="1"/>
    <col min="2057" max="2057" width="9.140625" style="1962"/>
    <col min="2058" max="2058" width="11.28515625" style="1962" bestFit="1" customWidth="1"/>
    <col min="2059" max="2059" width="9.7109375" style="1962" bestFit="1" customWidth="1"/>
    <col min="2060" max="2302" width="9.140625" style="1962"/>
    <col min="2303" max="2303" width="5.28515625" style="1962" customWidth="1"/>
    <col min="2304" max="2304" width="56.42578125" style="1962" customWidth="1"/>
    <col min="2305" max="2305" width="10.28515625" style="1962" customWidth="1"/>
    <col min="2306" max="2312" width="10.7109375" style="1962" customWidth="1"/>
    <col min="2313" max="2313" width="9.140625" style="1962"/>
    <col min="2314" max="2314" width="11.28515625" style="1962" bestFit="1" customWidth="1"/>
    <col min="2315" max="2315" width="9.7109375" style="1962" bestFit="1" customWidth="1"/>
    <col min="2316" max="2558" width="9.140625" style="1962"/>
    <col min="2559" max="2559" width="5.28515625" style="1962" customWidth="1"/>
    <col min="2560" max="2560" width="56.42578125" style="1962" customWidth="1"/>
    <col min="2561" max="2561" width="10.28515625" style="1962" customWidth="1"/>
    <col min="2562" max="2568" width="10.7109375" style="1962" customWidth="1"/>
    <col min="2569" max="2569" width="9.140625" style="1962"/>
    <col min="2570" max="2570" width="11.28515625" style="1962" bestFit="1" customWidth="1"/>
    <col min="2571" max="2571" width="9.7109375" style="1962" bestFit="1" customWidth="1"/>
    <col min="2572" max="2814" width="9.140625" style="1962"/>
    <col min="2815" max="2815" width="5.28515625" style="1962" customWidth="1"/>
    <col min="2816" max="2816" width="56.42578125" style="1962" customWidth="1"/>
    <col min="2817" max="2817" width="10.28515625" style="1962" customWidth="1"/>
    <col min="2818" max="2824" width="10.7109375" style="1962" customWidth="1"/>
    <col min="2825" max="2825" width="9.140625" style="1962"/>
    <col min="2826" max="2826" width="11.28515625" style="1962" bestFit="1" customWidth="1"/>
    <col min="2827" max="2827" width="9.7109375" style="1962" bestFit="1" customWidth="1"/>
    <col min="2828" max="3070" width="9.140625" style="1962"/>
    <col min="3071" max="3071" width="5.28515625" style="1962" customWidth="1"/>
    <col min="3072" max="3072" width="56.42578125" style="1962" customWidth="1"/>
    <col min="3073" max="3073" width="10.28515625" style="1962" customWidth="1"/>
    <col min="3074" max="3080" width="10.7109375" style="1962" customWidth="1"/>
    <col min="3081" max="3081" width="9.140625" style="1962"/>
    <col min="3082" max="3082" width="11.28515625" style="1962" bestFit="1" customWidth="1"/>
    <col min="3083" max="3083" width="9.7109375" style="1962" bestFit="1" customWidth="1"/>
    <col min="3084" max="3326" width="9.140625" style="1962"/>
    <col min="3327" max="3327" width="5.28515625" style="1962" customWidth="1"/>
    <col min="3328" max="3328" width="56.42578125" style="1962" customWidth="1"/>
    <col min="3329" max="3329" width="10.28515625" style="1962" customWidth="1"/>
    <col min="3330" max="3336" width="10.7109375" style="1962" customWidth="1"/>
    <col min="3337" max="3337" width="9.140625" style="1962"/>
    <col min="3338" max="3338" width="11.28515625" style="1962" bestFit="1" customWidth="1"/>
    <col min="3339" max="3339" width="9.7109375" style="1962" bestFit="1" customWidth="1"/>
    <col min="3340" max="3582" width="9.140625" style="1962"/>
    <col min="3583" max="3583" width="5.28515625" style="1962" customWidth="1"/>
    <col min="3584" max="3584" width="56.42578125" style="1962" customWidth="1"/>
    <col min="3585" max="3585" width="10.28515625" style="1962" customWidth="1"/>
    <col min="3586" max="3592" width="10.7109375" style="1962" customWidth="1"/>
    <col min="3593" max="3593" width="9.140625" style="1962"/>
    <col min="3594" max="3594" width="11.28515625" style="1962" bestFit="1" customWidth="1"/>
    <col min="3595" max="3595" width="9.7109375" style="1962" bestFit="1" customWidth="1"/>
    <col min="3596" max="3838" width="9.140625" style="1962"/>
    <col min="3839" max="3839" width="5.28515625" style="1962" customWidth="1"/>
    <col min="3840" max="3840" width="56.42578125" style="1962" customWidth="1"/>
    <col min="3841" max="3841" width="10.28515625" style="1962" customWidth="1"/>
    <col min="3842" max="3848" width="10.7109375" style="1962" customWidth="1"/>
    <col min="3849" max="3849" width="9.140625" style="1962"/>
    <col min="3850" max="3850" width="11.28515625" style="1962" bestFit="1" customWidth="1"/>
    <col min="3851" max="3851" width="9.7109375" style="1962" bestFit="1" customWidth="1"/>
    <col min="3852" max="4094" width="9.140625" style="1962"/>
    <col min="4095" max="4095" width="5.28515625" style="1962" customWidth="1"/>
    <col min="4096" max="4096" width="56.42578125" style="1962" customWidth="1"/>
    <col min="4097" max="4097" width="10.28515625" style="1962" customWidth="1"/>
    <col min="4098" max="4104" width="10.7109375" style="1962" customWidth="1"/>
    <col min="4105" max="4105" width="9.140625" style="1962"/>
    <col min="4106" max="4106" width="11.28515625" style="1962" bestFit="1" customWidth="1"/>
    <col min="4107" max="4107" width="9.7109375" style="1962" bestFit="1" customWidth="1"/>
    <col min="4108" max="4350" width="9.140625" style="1962"/>
    <col min="4351" max="4351" width="5.28515625" style="1962" customWidth="1"/>
    <col min="4352" max="4352" width="56.42578125" style="1962" customWidth="1"/>
    <col min="4353" max="4353" width="10.28515625" style="1962" customWidth="1"/>
    <col min="4354" max="4360" width="10.7109375" style="1962" customWidth="1"/>
    <col min="4361" max="4361" width="9.140625" style="1962"/>
    <col min="4362" max="4362" width="11.28515625" style="1962" bestFit="1" customWidth="1"/>
    <col min="4363" max="4363" width="9.7109375" style="1962" bestFit="1" customWidth="1"/>
    <col min="4364" max="4606" width="9.140625" style="1962"/>
    <col min="4607" max="4607" width="5.28515625" style="1962" customWidth="1"/>
    <col min="4608" max="4608" width="56.42578125" style="1962" customWidth="1"/>
    <col min="4609" max="4609" width="10.28515625" style="1962" customWidth="1"/>
    <col min="4610" max="4616" width="10.7109375" style="1962" customWidth="1"/>
    <col min="4617" max="4617" width="9.140625" style="1962"/>
    <col min="4618" max="4618" width="11.28515625" style="1962" bestFit="1" customWidth="1"/>
    <col min="4619" max="4619" width="9.7109375" style="1962" bestFit="1" customWidth="1"/>
    <col min="4620" max="4862" width="9.140625" style="1962"/>
    <col min="4863" max="4863" width="5.28515625" style="1962" customWidth="1"/>
    <col min="4864" max="4864" width="56.42578125" style="1962" customWidth="1"/>
    <col min="4865" max="4865" width="10.28515625" style="1962" customWidth="1"/>
    <col min="4866" max="4872" width="10.7109375" style="1962" customWidth="1"/>
    <col min="4873" max="4873" width="9.140625" style="1962"/>
    <col min="4874" max="4874" width="11.28515625" style="1962" bestFit="1" customWidth="1"/>
    <col min="4875" max="4875" width="9.7109375" style="1962" bestFit="1" customWidth="1"/>
    <col min="4876" max="5118" width="9.140625" style="1962"/>
    <col min="5119" max="5119" width="5.28515625" style="1962" customWidth="1"/>
    <col min="5120" max="5120" width="56.42578125" style="1962" customWidth="1"/>
    <col min="5121" max="5121" width="10.28515625" style="1962" customWidth="1"/>
    <col min="5122" max="5128" width="10.7109375" style="1962" customWidth="1"/>
    <col min="5129" max="5129" width="9.140625" style="1962"/>
    <col min="5130" max="5130" width="11.28515625" style="1962" bestFit="1" customWidth="1"/>
    <col min="5131" max="5131" width="9.7109375" style="1962" bestFit="1" customWidth="1"/>
    <col min="5132" max="5374" width="9.140625" style="1962"/>
    <col min="5375" max="5375" width="5.28515625" style="1962" customWidth="1"/>
    <col min="5376" max="5376" width="56.42578125" style="1962" customWidth="1"/>
    <col min="5377" max="5377" width="10.28515625" style="1962" customWidth="1"/>
    <col min="5378" max="5384" width="10.7109375" style="1962" customWidth="1"/>
    <col min="5385" max="5385" width="9.140625" style="1962"/>
    <col min="5386" max="5386" width="11.28515625" style="1962" bestFit="1" customWidth="1"/>
    <col min="5387" max="5387" width="9.7109375" style="1962" bestFit="1" customWidth="1"/>
    <col min="5388" max="5630" width="9.140625" style="1962"/>
    <col min="5631" max="5631" width="5.28515625" style="1962" customWidth="1"/>
    <col min="5632" max="5632" width="56.42578125" style="1962" customWidth="1"/>
    <col min="5633" max="5633" width="10.28515625" style="1962" customWidth="1"/>
    <col min="5634" max="5640" width="10.7109375" style="1962" customWidth="1"/>
    <col min="5641" max="5641" width="9.140625" style="1962"/>
    <col min="5642" max="5642" width="11.28515625" style="1962" bestFit="1" customWidth="1"/>
    <col min="5643" max="5643" width="9.7109375" style="1962" bestFit="1" customWidth="1"/>
    <col min="5644" max="5886" width="9.140625" style="1962"/>
    <col min="5887" max="5887" width="5.28515625" style="1962" customWidth="1"/>
    <col min="5888" max="5888" width="56.42578125" style="1962" customWidth="1"/>
    <col min="5889" max="5889" width="10.28515625" style="1962" customWidth="1"/>
    <col min="5890" max="5896" width="10.7109375" style="1962" customWidth="1"/>
    <col min="5897" max="5897" width="9.140625" style="1962"/>
    <col min="5898" max="5898" width="11.28515625" style="1962" bestFit="1" customWidth="1"/>
    <col min="5899" max="5899" width="9.7109375" style="1962" bestFit="1" customWidth="1"/>
    <col min="5900" max="6142" width="9.140625" style="1962"/>
    <col min="6143" max="6143" width="5.28515625" style="1962" customWidth="1"/>
    <col min="6144" max="6144" width="56.42578125" style="1962" customWidth="1"/>
    <col min="6145" max="6145" width="10.28515625" style="1962" customWidth="1"/>
    <col min="6146" max="6152" width="10.7109375" style="1962" customWidth="1"/>
    <col min="6153" max="6153" width="9.140625" style="1962"/>
    <col min="6154" max="6154" width="11.28515625" style="1962" bestFit="1" customWidth="1"/>
    <col min="6155" max="6155" width="9.7109375" style="1962" bestFit="1" customWidth="1"/>
    <col min="6156" max="6398" width="9.140625" style="1962"/>
    <col min="6399" max="6399" width="5.28515625" style="1962" customWidth="1"/>
    <col min="6400" max="6400" width="56.42578125" style="1962" customWidth="1"/>
    <col min="6401" max="6401" width="10.28515625" style="1962" customWidth="1"/>
    <col min="6402" max="6408" width="10.7109375" style="1962" customWidth="1"/>
    <col min="6409" max="6409" width="9.140625" style="1962"/>
    <col min="6410" max="6410" width="11.28515625" style="1962" bestFit="1" customWidth="1"/>
    <col min="6411" max="6411" width="9.7109375" style="1962" bestFit="1" customWidth="1"/>
    <col min="6412" max="6654" width="9.140625" style="1962"/>
    <col min="6655" max="6655" width="5.28515625" style="1962" customWidth="1"/>
    <col min="6656" max="6656" width="56.42578125" style="1962" customWidth="1"/>
    <col min="6657" max="6657" width="10.28515625" style="1962" customWidth="1"/>
    <col min="6658" max="6664" width="10.7109375" style="1962" customWidth="1"/>
    <col min="6665" max="6665" width="9.140625" style="1962"/>
    <col min="6666" max="6666" width="11.28515625" style="1962" bestFit="1" customWidth="1"/>
    <col min="6667" max="6667" width="9.7109375" style="1962" bestFit="1" customWidth="1"/>
    <col min="6668" max="6910" width="9.140625" style="1962"/>
    <col min="6911" max="6911" width="5.28515625" style="1962" customWidth="1"/>
    <col min="6912" max="6912" width="56.42578125" style="1962" customWidth="1"/>
    <col min="6913" max="6913" width="10.28515625" style="1962" customWidth="1"/>
    <col min="6914" max="6920" width="10.7109375" style="1962" customWidth="1"/>
    <col min="6921" max="6921" width="9.140625" style="1962"/>
    <col min="6922" max="6922" width="11.28515625" style="1962" bestFit="1" customWidth="1"/>
    <col min="6923" max="6923" width="9.7109375" style="1962" bestFit="1" customWidth="1"/>
    <col min="6924" max="7166" width="9.140625" style="1962"/>
    <col min="7167" max="7167" width="5.28515625" style="1962" customWidth="1"/>
    <col min="7168" max="7168" width="56.42578125" style="1962" customWidth="1"/>
    <col min="7169" max="7169" width="10.28515625" style="1962" customWidth="1"/>
    <col min="7170" max="7176" width="10.7109375" style="1962" customWidth="1"/>
    <col min="7177" max="7177" width="9.140625" style="1962"/>
    <col min="7178" max="7178" width="11.28515625" style="1962" bestFit="1" customWidth="1"/>
    <col min="7179" max="7179" width="9.7109375" style="1962" bestFit="1" customWidth="1"/>
    <col min="7180" max="7422" width="9.140625" style="1962"/>
    <col min="7423" max="7423" width="5.28515625" style="1962" customWidth="1"/>
    <col min="7424" max="7424" width="56.42578125" style="1962" customWidth="1"/>
    <col min="7425" max="7425" width="10.28515625" style="1962" customWidth="1"/>
    <col min="7426" max="7432" width="10.7109375" style="1962" customWidth="1"/>
    <col min="7433" max="7433" width="9.140625" style="1962"/>
    <col min="7434" max="7434" width="11.28515625" style="1962" bestFit="1" customWidth="1"/>
    <col min="7435" max="7435" width="9.7109375" style="1962" bestFit="1" customWidth="1"/>
    <col min="7436" max="7678" width="9.140625" style="1962"/>
    <col min="7679" max="7679" width="5.28515625" style="1962" customWidth="1"/>
    <col min="7680" max="7680" width="56.42578125" style="1962" customWidth="1"/>
    <col min="7681" max="7681" width="10.28515625" style="1962" customWidth="1"/>
    <col min="7682" max="7688" width="10.7109375" style="1962" customWidth="1"/>
    <col min="7689" max="7689" width="9.140625" style="1962"/>
    <col min="7690" max="7690" width="11.28515625" style="1962" bestFit="1" customWidth="1"/>
    <col min="7691" max="7691" width="9.7109375" style="1962" bestFit="1" customWidth="1"/>
    <col min="7692" max="7934" width="9.140625" style="1962"/>
    <col min="7935" max="7935" width="5.28515625" style="1962" customWidth="1"/>
    <col min="7936" max="7936" width="56.42578125" style="1962" customWidth="1"/>
    <col min="7937" max="7937" width="10.28515625" style="1962" customWidth="1"/>
    <col min="7938" max="7944" width="10.7109375" style="1962" customWidth="1"/>
    <col min="7945" max="7945" width="9.140625" style="1962"/>
    <col min="7946" max="7946" width="11.28515625" style="1962" bestFit="1" customWidth="1"/>
    <col min="7947" max="7947" width="9.7109375" style="1962" bestFit="1" customWidth="1"/>
    <col min="7948" max="8190" width="9.140625" style="1962"/>
    <col min="8191" max="8191" width="5.28515625" style="1962" customWidth="1"/>
    <col min="8192" max="8192" width="56.42578125" style="1962" customWidth="1"/>
    <col min="8193" max="8193" width="10.28515625" style="1962" customWidth="1"/>
    <col min="8194" max="8200" width="10.7109375" style="1962" customWidth="1"/>
    <col min="8201" max="8201" width="9.140625" style="1962"/>
    <col min="8202" max="8202" width="11.28515625" style="1962" bestFit="1" customWidth="1"/>
    <col min="8203" max="8203" width="9.7109375" style="1962" bestFit="1" customWidth="1"/>
    <col min="8204" max="8446" width="9.140625" style="1962"/>
    <col min="8447" max="8447" width="5.28515625" style="1962" customWidth="1"/>
    <col min="8448" max="8448" width="56.42578125" style="1962" customWidth="1"/>
    <col min="8449" max="8449" width="10.28515625" style="1962" customWidth="1"/>
    <col min="8450" max="8456" width="10.7109375" style="1962" customWidth="1"/>
    <col min="8457" max="8457" width="9.140625" style="1962"/>
    <col min="8458" max="8458" width="11.28515625" style="1962" bestFit="1" customWidth="1"/>
    <col min="8459" max="8459" width="9.7109375" style="1962" bestFit="1" customWidth="1"/>
    <col min="8460" max="8702" width="9.140625" style="1962"/>
    <col min="8703" max="8703" width="5.28515625" style="1962" customWidth="1"/>
    <col min="8704" max="8704" width="56.42578125" style="1962" customWidth="1"/>
    <col min="8705" max="8705" width="10.28515625" style="1962" customWidth="1"/>
    <col min="8706" max="8712" width="10.7109375" style="1962" customWidth="1"/>
    <col min="8713" max="8713" width="9.140625" style="1962"/>
    <col min="8714" max="8714" width="11.28515625" style="1962" bestFit="1" customWidth="1"/>
    <col min="8715" max="8715" width="9.7109375" style="1962" bestFit="1" customWidth="1"/>
    <col min="8716" max="8958" width="9.140625" style="1962"/>
    <col min="8959" max="8959" width="5.28515625" style="1962" customWidth="1"/>
    <col min="8960" max="8960" width="56.42578125" style="1962" customWidth="1"/>
    <col min="8961" max="8961" width="10.28515625" style="1962" customWidth="1"/>
    <col min="8962" max="8968" width="10.7109375" style="1962" customWidth="1"/>
    <col min="8969" max="8969" width="9.140625" style="1962"/>
    <col min="8970" max="8970" width="11.28515625" style="1962" bestFit="1" customWidth="1"/>
    <col min="8971" max="8971" width="9.7109375" style="1962" bestFit="1" customWidth="1"/>
    <col min="8972" max="9214" width="9.140625" style="1962"/>
    <col min="9215" max="9215" width="5.28515625" style="1962" customWidth="1"/>
    <col min="9216" max="9216" width="56.42578125" style="1962" customWidth="1"/>
    <col min="9217" max="9217" width="10.28515625" style="1962" customWidth="1"/>
    <col min="9218" max="9224" width="10.7109375" style="1962" customWidth="1"/>
    <col min="9225" max="9225" width="9.140625" style="1962"/>
    <col min="9226" max="9226" width="11.28515625" style="1962" bestFit="1" customWidth="1"/>
    <col min="9227" max="9227" width="9.7109375" style="1962" bestFit="1" customWidth="1"/>
    <col min="9228" max="9470" width="9.140625" style="1962"/>
    <col min="9471" max="9471" width="5.28515625" style="1962" customWidth="1"/>
    <col min="9472" max="9472" width="56.42578125" style="1962" customWidth="1"/>
    <col min="9473" max="9473" width="10.28515625" style="1962" customWidth="1"/>
    <col min="9474" max="9480" width="10.7109375" style="1962" customWidth="1"/>
    <col min="9481" max="9481" width="9.140625" style="1962"/>
    <col min="9482" max="9482" width="11.28515625" style="1962" bestFit="1" customWidth="1"/>
    <col min="9483" max="9483" width="9.7109375" style="1962" bestFit="1" customWidth="1"/>
    <col min="9484" max="9726" width="9.140625" style="1962"/>
    <col min="9727" max="9727" width="5.28515625" style="1962" customWidth="1"/>
    <col min="9728" max="9728" width="56.42578125" style="1962" customWidth="1"/>
    <col min="9729" max="9729" width="10.28515625" style="1962" customWidth="1"/>
    <col min="9730" max="9736" width="10.7109375" style="1962" customWidth="1"/>
    <col min="9737" max="9737" width="9.140625" style="1962"/>
    <col min="9738" max="9738" width="11.28515625" style="1962" bestFit="1" customWidth="1"/>
    <col min="9739" max="9739" width="9.7109375" style="1962" bestFit="1" customWidth="1"/>
    <col min="9740" max="9982" width="9.140625" style="1962"/>
    <col min="9983" max="9983" width="5.28515625" style="1962" customWidth="1"/>
    <col min="9984" max="9984" width="56.42578125" style="1962" customWidth="1"/>
    <col min="9985" max="9985" width="10.28515625" style="1962" customWidth="1"/>
    <col min="9986" max="9992" width="10.7109375" style="1962" customWidth="1"/>
    <col min="9993" max="9993" width="9.140625" style="1962"/>
    <col min="9994" max="9994" width="11.28515625" style="1962" bestFit="1" customWidth="1"/>
    <col min="9995" max="9995" width="9.7109375" style="1962" bestFit="1" customWidth="1"/>
    <col min="9996" max="10238" width="9.140625" style="1962"/>
    <col min="10239" max="10239" width="5.28515625" style="1962" customWidth="1"/>
    <col min="10240" max="10240" width="56.42578125" style="1962" customWidth="1"/>
    <col min="10241" max="10241" width="10.28515625" style="1962" customWidth="1"/>
    <col min="10242" max="10248" width="10.7109375" style="1962" customWidth="1"/>
    <col min="10249" max="10249" width="9.140625" style="1962"/>
    <col min="10250" max="10250" width="11.28515625" style="1962" bestFit="1" customWidth="1"/>
    <col min="10251" max="10251" width="9.7109375" style="1962" bestFit="1" customWidth="1"/>
    <col min="10252" max="10494" width="9.140625" style="1962"/>
    <col min="10495" max="10495" width="5.28515625" style="1962" customWidth="1"/>
    <col min="10496" max="10496" width="56.42578125" style="1962" customWidth="1"/>
    <col min="10497" max="10497" width="10.28515625" style="1962" customWidth="1"/>
    <col min="10498" max="10504" width="10.7109375" style="1962" customWidth="1"/>
    <col min="10505" max="10505" width="9.140625" style="1962"/>
    <col min="10506" max="10506" width="11.28515625" style="1962" bestFit="1" customWidth="1"/>
    <col min="10507" max="10507" width="9.7109375" style="1962" bestFit="1" customWidth="1"/>
    <col min="10508" max="10750" width="9.140625" style="1962"/>
    <col min="10751" max="10751" width="5.28515625" style="1962" customWidth="1"/>
    <col min="10752" max="10752" width="56.42578125" style="1962" customWidth="1"/>
    <col min="10753" max="10753" width="10.28515625" style="1962" customWidth="1"/>
    <col min="10754" max="10760" width="10.7109375" style="1962" customWidth="1"/>
    <col min="10761" max="10761" width="9.140625" style="1962"/>
    <col min="10762" max="10762" width="11.28515625" style="1962" bestFit="1" customWidth="1"/>
    <col min="10763" max="10763" width="9.7109375" style="1962" bestFit="1" customWidth="1"/>
    <col min="10764" max="11006" width="9.140625" style="1962"/>
    <col min="11007" max="11007" width="5.28515625" style="1962" customWidth="1"/>
    <col min="11008" max="11008" width="56.42578125" style="1962" customWidth="1"/>
    <col min="11009" max="11009" width="10.28515625" style="1962" customWidth="1"/>
    <col min="11010" max="11016" width="10.7109375" style="1962" customWidth="1"/>
    <col min="11017" max="11017" width="9.140625" style="1962"/>
    <col min="11018" max="11018" width="11.28515625" style="1962" bestFit="1" customWidth="1"/>
    <col min="11019" max="11019" width="9.7109375" style="1962" bestFit="1" customWidth="1"/>
    <col min="11020" max="11262" width="9.140625" style="1962"/>
    <col min="11263" max="11263" width="5.28515625" style="1962" customWidth="1"/>
    <col min="11264" max="11264" width="56.42578125" style="1962" customWidth="1"/>
    <col min="11265" max="11265" width="10.28515625" style="1962" customWidth="1"/>
    <col min="11266" max="11272" width="10.7109375" style="1962" customWidth="1"/>
    <col min="11273" max="11273" width="9.140625" style="1962"/>
    <col min="11274" max="11274" width="11.28515625" style="1962" bestFit="1" customWidth="1"/>
    <col min="11275" max="11275" width="9.7109375" style="1962" bestFit="1" customWidth="1"/>
    <col min="11276" max="11518" width="9.140625" style="1962"/>
    <col min="11519" max="11519" width="5.28515625" style="1962" customWidth="1"/>
    <col min="11520" max="11520" width="56.42578125" style="1962" customWidth="1"/>
    <col min="11521" max="11521" width="10.28515625" style="1962" customWidth="1"/>
    <col min="11522" max="11528" width="10.7109375" style="1962" customWidth="1"/>
    <col min="11529" max="11529" width="9.140625" style="1962"/>
    <col min="11530" max="11530" width="11.28515625" style="1962" bestFit="1" customWidth="1"/>
    <col min="11531" max="11531" width="9.7109375" style="1962" bestFit="1" customWidth="1"/>
    <col min="11532" max="11774" width="9.140625" style="1962"/>
    <col min="11775" max="11775" width="5.28515625" style="1962" customWidth="1"/>
    <col min="11776" max="11776" width="56.42578125" style="1962" customWidth="1"/>
    <col min="11777" max="11777" width="10.28515625" style="1962" customWidth="1"/>
    <col min="11778" max="11784" width="10.7109375" style="1962" customWidth="1"/>
    <col min="11785" max="11785" width="9.140625" style="1962"/>
    <col min="11786" max="11786" width="11.28515625" style="1962" bestFit="1" customWidth="1"/>
    <col min="11787" max="11787" width="9.7109375" style="1962" bestFit="1" customWidth="1"/>
    <col min="11788" max="12030" width="9.140625" style="1962"/>
    <col min="12031" max="12031" width="5.28515625" style="1962" customWidth="1"/>
    <col min="12032" max="12032" width="56.42578125" style="1962" customWidth="1"/>
    <col min="12033" max="12033" width="10.28515625" style="1962" customWidth="1"/>
    <col min="12034" max="12040" width="10.7109375" style="1962" customWidth="1"/>
    <col min="12041" max="12041" width="9.140625" style="1962"/>
    <col min="12042" max="12042" width="11.28515625" style="1962" bestFit="1" customWidth="1"/>
    <col min="12043" max="12043" width="9.7109375" style="1962" bestFit="1" customWidth="1"/>
    <col min="12044" max="12286" width="9.140625" style="1962"/>
    <col min="12287" max="12287" width="5.28515625" style="1962" customWidth="1"/>
    <col min="12288" max="12288" width="56.42578125" style="1962" customWidth="1"/>
    <col min="12289" max="12289" width="10.28515625" style="1962" customWidth="1"/>
    <col min="12290" max="12296" width="10.7109375" style="1962" customWidth="1"/>
    <col min="12297" max="12297" width="9.140625" style="1962"/>
    <col min="12298" max="12298" width="11.28515625" style="1962" bestFit="1" customWidth="1"/>
    <col min="12299" max="12299" width="9.7109375" style="1962" bestFit="1" customWidth="1"/>
    <col min="12300" max="12542" width="9.140625" style="1962"/>
    <col min="12543" max="12543" width="5.28515625" style="1962" customWidth="1"/>
    <col min="12544" max="12544" width="56.42578125" style="1962" customWidth="1"/>
    <col min="12545" max="12545" width="10.28515625" style="1962" customWidth="1"/>
    <col min="12546" max="12552" width="10.7109375" style="1962" customWidth="1"/>
    <col min="12553" max="12553" width="9.140625" style="1962"/>
    <col min="12554" max="12554" width="11.28515625" style="1962" bestFit="1" customWidth="1"/>
    <col min="12555" max="12555" width="9.7109375" style="1962" bestFit="1" customWidth="1"/>
    <col min="12556" max="12798" width="9.140625" style="1962"/>
    <col min="12799" max="12799" width="5.28515625" style="1962" customWidth="1"/>
    <col min="12800" max="12800" width="56.42578125" style="1962" customWidth="1"/>
    <col min="12801" max="12801" width="10.28515625" style="1962" customWidth="1"/>
    <col min="12802" max="12808" width="10.7109375" style="1962" customWidth="1"/>
    <col min="12809" max="12809" width="9.140625" style="1962"/>
    <col min="12810" max="12810" width="11.28515625" style="1962" bestFit="1" customWidth="1"/>
    <col min="12811" max="12811" width="9.7109375" style="1962" bestFit="1" customWidth="1"/>
    <col min="12812" max="13054" width="9.140625" style="1962"/>
    <col min="13055" max="13055" width="5.28515625" style="1962" customWidth="1"/>
    <col min="13056" max="13056" width="56.42578125" style="1962" customWidth="1"/>
    <col min="13057" max="13057" width="10.28515625" style="1962" customWidth="1"/>
    <col min="13058" max="13064" width="10.7109375" style="1962" customWidth="1"/>
    <col min="13065" max="13065" width="9.140625" style="1962"/>
    <col min="13066" max="13066" width="11.28515625" style="1962" bestFit="1" customWidth="1"/>
    <col min="13067" max="13067" width="9.7109375" style="1962" bestFit="1" customWidth="1"/>
    <col min="13068" max="13310" width="9.140625" style="1962"/>
    <col min="13311" max="13311" width="5.28515625" style="1962" customWidth="1"/>
    <col min="13312" max="13312" width="56.42578125" style="1962" customWidth="1"/>
    <col min="13313" max="13313" width="10.28515625" style="1962" customWidth="1"/>
    <col min="13314" max="13320" width="10.7109375" style="1962" customWidth="1"/>
    <col min="13321" max="13321" width="9.140625" style="1962"/>
    <col min="13322" max="13322" width="11.28515625" style="1962" bestFit="1" customWidth="1"/>
    <col min="13323" max="13323" width="9.7109375" style="1962" bestFit="1" customWidth="1"/>
    <col min="13324" max="13566" width="9.140625" style="1962"/>
    <col min="13567" max="13567" width="5.28515625" style="1962" customWidth="1"/>
    <col min="13568" max="13568" width="56.42578125" style="1962" customWidth="1"/>
    <col min="13569" max="13569" width="10.28515625" style="1962" customWidth="1"/>
    <col min="13570" max="13576" width="10.7109375" style="1962" customWidth="1"/>
    <col min="13577" max="13577" width="9.140625" style="1962"/>
    <col min="13578" max="13578" width="11.28515625" style="1962" bestFit="1" customWidth="1"/>
    <col min="13579" max="13579" width="9.7109375" style="1962" bestFit="1" customWidth="1"/>
    <col min="13580" max="13822" width="9.140625" style="1962"/>
    <col min="13823" max="13823" width="5.28515625" style="1962" customWidth="1"/>
    <col min="13824" max="13824" width="56.42578125" style="1962" customWidth="1"/>
    <col min="13825" max="13825" width="10.28515625" style="1962" customWidth="1"/>
    <col min="13826" max="13832" width="10.7109375" style="1962" customWidth="1"/>
    <col min="13833" max="13833" width="9.140625" style="1962"/>
    <col min="13834" max="13834" width="11.28515625" style="1962" bestFit="1" customWidth="1"/>
    <col min="13835" max="13835" width="9.7109375" style="1962" bestFit="1" customWidth="1"/>
    <col min="13836" max="14078" width="9.140625" style="1962"/>
    <col min="14079" max="14079" width="5.28515625" style="1962" customWidth="1"/>
    <col min="14080" max="14080" width="56.42578125" style="1962" customWidth="1"/>
    <col min="14081" max="14081" width="10.28515625" style="1962" customWidth="1"/>
    <col min="14082" max="14088" width="10.7109375" style="1962" customWidth="1"/>
    <col min="14089" max="14089" width="9.140625" style="1962"/>
    <col min="14090" max="14090" width="11.28515625" style="1962" bestFit="1" customWidth="1"/>
    <col min="14091" max="14091" width="9.7109375" style="1962" bestFit="1" customWidth="1"/>
    <col min="14092" max="14334" width="9.140625" style="1962"/>
    <col min="14335" max="14335" width="5.28515625" style="1962" customWidth="1"/>
    <col min="14336" max="14336" width="56.42578125" style="1962" customWidth="1"/>
    <col min="14337" max="14337" width="10.28515625" style="1962" customWidth="1"/>
    <col min="14338" max="14344" width="10.7109375" style="1962" customWidth="1"/>
    <col min="14345" max="14345" width="9.140625" style="1962"/>
    <col min="14346" max="14346" width="11.28515625" style="1962" bestFit="1" customWidth="1"/>
    <col min="14347" max="14347" width="9.7109375" style="1962" bestFit="1" customWidth="1"/>
    <col min="14348" max="14590" width="9.140625" style="1962"/>
    <col min="14591" max="14591" width="5.28515625" style="1962" customWidth="1"/>
    <col min="14592" max="14592" width="56.42578125" style="1962" customWidth="1"/>
    <col min="14593" max="14593" width="10.28515625" style="1962" customWidth="1"/>
    <col min="14594" max="14600" width="10.7109375" style="1962" customWidth="1"/>
    <col min="14601" max="14601" width="9.140625" style="1962"/>
    <col min="14602" max="14602" width="11.28515625" style="1962" bestFit="1" customWidth="1"/>
    <col min="14603" max="14603" width="9.7109375" style="1962" bestFit="1" customWidth="1"/>
    <col min="14604" max="14846" width="9.140625" style="1962"/>
    <col min="14847" max="14847" width="5.28515625" style="1962" customWidth="1"/>
    <col min="14848" max="14848" width="56.42578125" style="1962" customWidth="1"/>
    <col min="14849" max="14849" width="10.28515625" style="1962" customWidth="1"/>
    <col min="14850" max="14856" width="10.7109375" style="1962" customWidth="1"/>
    <col min="14857" max="14857" width="9.140625" style="1962"/>
    <col min="14858" max="14858" width="11.28515625" style="1962" bestFit="1" customWidth="1"/>
    <col min="14859" max="14859" width="9.7109375" style="1962" bestFit="1" customWidth="1"/>
    <col min="14860" max="15102" width="9.140625" style="1962"/>
    <col min="15103" max="15103" width="5.28515625" style="1962" customWidth="1"/>
    <col min="15104" max="15104" width="56.42578125" style="1962" customWidth="1"/>
    <col min="15105" max="15105" width="10.28515625" style="1962" customWidth="1"/>
    <col min="15106" max="15112" width="10.7109375" style="1962" customWidth="1"/>
    <col min="15113" max="15113" width="9.140625" style="1962"/>
    <col min="15114" max="15114" width="11.28515625" style="1962" bestFit="1" customWidth="1"/>
    <col min="15115" max="15115" width="9.7109375" style="1962" bestFit="1" customWidth="1"/>
    <col min="15116" max="15358" width="9.140625" style="1962"/>
    <col min="15359" max="15359" width="5.28515625" style="1962" customWidth="1"/>
    <col min="15360" max="15360" width="56.42578125" style="1962" customWidth="1"/>
    <col min="15361" max="15361" width="10.28515625" style="1962" customWidth="1"/>
    <col min="15362" max="15368" width="10.7109375" style="1962" customWidth="1"/>
    <col min="15369" max="15369" width="9.140625" style="1962"/>
    <col min="15370" max="15370" width="11.28515625" style="1962" bestFit="1" customWidth="1"/>
    <col min="15371" max="15371" width="9.7109375" style="1962" bestFit="1" customWidth="1"/>
    <col min="15372" max="15614" width="9.140625" style="1962"/>
    <col min="15615" max="15615" width="5.28515625" style="1962" customWidth="1"/>
    <col min="15616" max="15616" width="56.42578125" style="1962" customWidth="1"/>
    <col min="15617" max="15617" width="10.28515625" style="1962" customWidth="1"/>
    <col min="15618" max="15624" width="10.7109375" style="1962" customWidth="1"/>
    <col min="15625" max="15625" width="9.140625" style="1962"/>
    <col min="15626" max="15626" width="11.28515625" style="1962" bestFit="1" customWidth="1"/>
    <col min="15627" max="15627" width="9.7109375" style="1962" bestFit="1" customWidth="1"/>
    <col min="15628" max="15870" width="9.140625" style="1962"/>
    <col min="15871" max="15871" width="5.28515625" style="1962" customWidth="1"/>
    <col min="15872" max="15872" width="56.42578125" style="1962" customWidth="1"/>
    <col min="15873" max="15873" width="10.28515625" style="1962" customWidth="1"/>
    <col min="15874" max="15880" width="10.7109375" style="1962" customWidth="1"/>
    <col min="15881" max="15881" width="9.140625" style="1962"/>
    <col min="15882" max="15882" width="11.28515625" style="1962" bestFit="1" customWidth="1"/>
    <col min="15883" max="15883" width="9.7109375" style="1962" bestFit="1" customWidth="1"/>
    <col min="15884" max="16126" width="9.140625" style="1962"/>
    <col min="16127" max="16127" width="5.28515625" style="1962" customWidth="1"/>
    <col min="16128" max="16128" width="56.42578125" style="1962" customWidth="1"/>
    <col min="16129" max="16129" width="10.28515625" style="1962" customWidth="1"/>
    <col min="16130" max="16136" width="10.7109375" style="1962" customWidth="1"/>
    <col min="16137" max="16137" width="9.140625" style="1962"/>
    <col min="16138" max="16138" width="11.28515625" style="1962" bestFit="1" customWidth="1"/>
    <col min="16139" max="16139" width="9.7109375" style="1962" bestFit="1" customWidth="1"/>
    <col min="16140" max="16384" width="9.140625" style="1962"/>
  </cols>
  <sheetData>
    <row r="1" spans="1:11" ht="13.5">
      <c r="B1" s="1963"/>
      <c r="C1" s="1963"/>
      <c r="D1" s="1963"/>
      <c r="E1" s="1963"/>
      <c r="F1" s="1963"/>
      <c r="G1" s="1963"/>
      <c r="H1" s="1963"/>
      <c r="I1" s="1964" t="s">
        <v>0</v>
      </c>
    </row>
    <row r="2" spans="1:11" s="2312" customFormat="1" ht="18.75">
      <c r="A2" s="5106" t="s">
        <v>1321</v>
      </c>
      <c r="B2" s="5106"/>
      <c r="C2" s="5106"/>
      <c r="D2" s="5106"/>
      <c r="E2" s="5106"/>
      <c r="F2" s="5106"/>
      <c r="G2" s="5106"/>
      <c r="H2" s="5106"/>
      <c r="I2" s="5106"/>
    </row>
    <row r="3" spans="1:11" s="2312" customFormat="1" ht="18.75">
      <c r="A3" s="5106" t="s">
        <v>1322</v>
      </c>
      <c r="B3" s="5106"/>
      <c r="C3" s="5106"/>
      <c r="D3" s="5106"/>
      <c r="E3" s="5106"/>
      <c r="F3" s="5106"/>
      <c r="G3" s="5106"/>
      <c r="H3" s="5106"/>
      <c r="I3" s="5106"/>
    </row>
    <row r="4" spans="1:11" ht="15.75">
      <c r="A4" s="5152" t="str">
        <f>'1. Обща информация'!A4:D4</f>
        <v>на "Водоснабдяване и канализаиця"ООД, гр. Перник</v>
      </c>
      <c r="B4" s="5152"/>
      <c r="C4" s="5152"/>
      <c r="D4" s="5152"/>
      <c r="E4" s="5152"/>
      <c r="F4" s="5152"/>
      <c r="G4" s="5152"/>
      <c r="H4" s="5152"/>
      <c r="I4" s="5152"/>
    </row>
    <row r="5" spans="1:11" ht="15.75">
      <c r="A5" s="5152" t="str">
        <f>'1. Обща информация'!A5:D5</f>
        <v>ЕИК по БУЛСТАТ: 823073638</v>
      </c>
      <c r="B5" s="5152"/>
      <c r="C5" s="5152"/>
      <c r="D5" s="5152"/>
      <c r="E5" s="5152"/>
      <c r="F5" s="5152"/>
      <c r="G5" s="5152"/>
      <c r="H5" s="5152"/>
      <c r="I5" s="5152"/>
      <c r="J5" s="4485"/>
    </row>
    <row r="6" spans="1:11" ht="13.5" thickBot="1"/>
    <row r="7" spans="1:11" s="2312" customFormat="1" ht="13.5" thickBot="1">
      <c r="A7" s="190" t="s">
        <v>1</v>
      </c>
      <c r="B7" s="398" t="s">
        <v>90</v>
      </c>
      <c r="C7" s="399" t="s">
        <v>170</v>
      </c>
      <c r="D7" s="191" t="str">
        <f>'Приложение '!$C12</f>
        <v>2020 г.</v>
      </c>
      <c r="E7" s="191" t="str">
        <f>'Приложение '!$C14</f>
        <v>2022 г.</v>
      </c>
      <c r="F7" s="191" t="str">
        <f>'Приложение '!$C15</f>
        <v>2023 г.</v>
      </c>
      <c r="G7" s="191" t="str">
        <f>'Приложение '!$C16</f>
        <v>2024 г.</v>
      </c>
      <c r="H7" s="191" t="str">
        <f>'Приложение '!$C17</f>
        <v>2025 г.</v>
      </c>
      <c r="I7" s="192" t="str">
        <f>'Приложение '!$C18</f>
        <v>2026 г.</v>
      </c>
      <c r="J7" s="4486"/>
      <c r="K7" s="4487"/>
    </row>
    <row r="8" spans="1:11" ht="13.5" thickBot="1">
      <c r="A8" s="183" t="s">
        <v>171</v>
      </c>
      <c r="B8" s="1481" t="s">
        <v>172</v>
      </c>
      <c r="C8" s="400"/>
      <c r="D8" s="1645"/>
      <c r="E8" s="188"/>
      <c r="F8" s="188"/>
      <c r="G8" s="188"/>
      <c r="H8" s="188"/>
      <c r="I8" s="189"/>
      <c r="J8" s="4485"/>
    </row>
    <row r="9" spans="1:11" ht="28.5" customHeight="1">
      <c r="A9" s="184" t="s">
        <v>210</v>
      </c>
      <c r="B9" s="187" t="s">
        <v>576</v>
      </c>
      <c r="C9" s="401" t="s">
        <v>789</v>
      </c>
      <c r="D9" s="221">
        <f>D10+D11+D12+D13-D14-D15-D16-D17</f>
        <v>26840866.98</v>
      </c>
      <c r="E9" s="221">
        <f t="shared" ref="E9:I9" si="0">E10+E11+E12+E13-E14-E15-E16-E17</f>
        <v>22574258.29352463</v>
      </c>
      <c r="F9" s="221">
        <f t="shared" si="0"/>
        <v>16090453.515435454</v>
      </c>
      <c r="G9" s="221">
        <f t="shared" si="0"/>
        <v>13347149.172197709</v>
      </c>
      <c r="H9" s="221">
        <f t="shared" si="0"/>
        <v>11713844.828960024</v>
      </c>
      <c r="I9" s="222">
        <f t="shared" si="0"/>
        <v>10606612.383868609</v>
      </c>
      <c r="J9" s="4485"/>
    </row>
    <row r="10" spans="1:11" ht="15.75">
      <c r="A10" s="185" t="s">
        <v>93</v>
      </c>
      <c r="B10" s="402" t="s">
        <v>914</v>
      </c>
      <c r="C10" s="403" t="s">
        <v>789</v>
      </c>
      <c r="D10" s="223">
        <v>16862327</v>
      </c>
      <c r="E10" s="223">
        <v>14177247.431267546</v>
      </c>
      <c r="F10" s="223">
        <v>10443688.418912314</v>
      </c>
      <c r="G10" s="223">
        <v>7710129.4065570785</v>
      </c>
      <c r="H10" s="223">
        <v>7026570.3942019045</v>
      </c>
      <c r="I10" s="224">
        <v>6256638.7803612687</v>
      </c>
      <c r="J10" s="4485"/>
    </row>
    <row r="11" spans="1:11" ht="15.75">
      <c r="A11" s="185" t="s">
        <v>94</v>
      </c>
      <c r="B11" s="402" t="s">
        <v>915</v>
      </c>
      <c r="C11" s="403" t="s">
        <v>789</v>
      </c>
      <c r="D11" s="223">
        <v>8841089.9800000004</v>
      </c>
      <c r="E11" s="223">
        <v>7347010.8622570839</v>
      </c>
      <c r="F11" s="223">
        <v>4596765.0965231396</v>
      </c>
      <c r="G11" s="223">
        <v>4587019.7656406304</v>
      </c>
      <c r="H11" s="223">
        <v>3687274.4347581202</v>
      </c>
      <c r="I11" s="224">
        <v>3349973.60350734</v>
      </c>
      <c r="J11" s="4488"/>
    </row>
    <row r="12" spans="1:11" ht="24">
      <c r="A12" s="185" t="s">
        <v>96</v>
      </c>
      <c r="B12" s="402" t="s">
        <v>916</v>
      </c>
      <c r="C12" s="403" t="s">
        <v>789</v>
      </c>
      <c r="D12" s="1022">
        <f>'4.2. Продад. и закупени кол-ва'!D103</f>
        <v>0</v>
      </c>
      <c r="E12" s="1022">
        <f>'4.2. Продад. и закупени кол-ва'!E103</f>
        <v>0</v>
      </c>
      <c r="F12" s="1022">
        <f>'4.2. Продад. и закупени кол-ва'!F103</f>
        <v>0</v>
      </c>
      <c r="G12" s="1022">
        <f>'4.2. Продад. и закупени кол-ва'!G103</f>
        <v>0</v>
      </c>
      <c r="H12" s="1022">
        <f>'4.2. Продад. и закупени кол-ва'!H103</f>
        <v>0</v>
      </c>
      <c r="I12" s="4489">
        <f>'4.2. Продад. и закупени кол-ва'!I103</f>
        <v>0</v>
      </c>
      <c r="J12" s="1482"/>
    </row>
    <row r="13" spans="1:11" ht="24">
      <c r="A13" s="185" t="s">
        <v>149</v>
      </c>
      <c r="B13" s="402" t="s">
        <v>917</v>
      </c>
      <c r="C13" s="403" t="s">
        <v>789</v>
      </c>
      <c r="D13" s="1536">
        <f>'4.2. Продад. и закупени кол-ва'!D105</f>
        <v>1137450</v>
      </c>
      <c r="E13" s="1536">
        <f>'4.2. Продад. и закупени кол-ва'!E105</f>
        <v>1050000</v>
      </c>
      <c r="F13" s="1536">
        <f>'4.2. Продад. и закупени кол-ва'!F105</f>
        <v>1050000</v>
      </c>
      <c r="G13" s="1536">
        <f>'4.2. Продад. и закупени кол-ва'!G105</f>
        <v>1050000</v>
      </c>
      <c r="H13" s="1536">
        <f>'4.2. Продад. и закупени кол-ва'!H105</f>
        <v>1000000</v>
      </c>
      <c r="I13" s="1537">
        <f>'4.2. Продад. и закупени кол-ва'!I105</f>
        <v>1000000</v>
      </c>
      <c r="J13" s="1482"/>
    </row>
    <row r="14" spans="1:11" ht="15.75">
      <c r="A14" s="185" t="s">
        <v>151</v>
      </c>
      <c r="B14" s="402" t="s">
        <v>1003</v>
      </c>
      <c r="C14" s="403" t="s">
        <v>789</v>
      </c>
      <c r="D14" s="223"/>
      <c r="E14" s="225"/>
      <c r="F14" s="225"/>
      <c r="G14" s="225"/>
      <c r="H14" s="225"/>
      <c r="I14" s="226"/>
      <c r="J14" s="1482"/>
    </row>
    <row r="15" spans="1:11" ht="24">
      <c r="A15" s="185" t="s">
        <v>153</v>
      </c>
      <c r="B15" s="402" t="s">
        <v>1046</v>
      </c>
      <c r="C15" s="403" t="s">
        <v>789</v>
      </c>
      <c r="D15" s="223"/>
      <c r="E15" s="225"/>
      <c r="F15" s="225"/>
      <c r="G15" s="225"/>
      <c r="H15" s="225"/>
      <c r="I15" s="226"/>
      <c r="J15" s="1482"/>
    </row>
    <row r="16" spans="1:11" ht="15.75">
      <c r="A16" s="185" t="s">
        <v>155</v>
      </c>
      <c r="B16" s="402" t="s">
        <v>1004</v>
      </c>
      <c r="C16" s="403" t="s">
        <v>789</v>
      </c>
      <c r="D16" s="223"/>
      <c r="E16" s="225"/>
      <c r="F16" s="225"/>
      <c r="G16" s="225"/>
      <c r="H16" s="225"/>
      <c r="I16" s="226"/>
      <c r="J16" s="1482"/>
    </row>
    <row r="17" spans="1:11" ht="24.75" thickBot="1">
      <c r="A17" s="186" t="s">
        <v>157</v>
      </c>
      <c r="B17" s="648" t="s">
        <v>1047</v>
      </c>
      <c r="C17" s="407" t="s">
        <v>789</v>
      </c>
      <c r="D17" s="1000"/>
      <c r="E17" s="228"/>
      <c r="F17" s="878"/>
      <c r="G17" s="878"/>
      <c r="H17" s="878"/>
      <c r="I17" s="879"/>
      <c r="J17" s="1482"/>
    </row>
    <row r="18" spans="1:11" ht="15.75">
      <c r="A18" s="5142" t="s">
        <v>98</v>
      </c>
      <c r="B18" s="5154" t="s">
        <v>577</v>
      </c>
      <c r="C18" s="404" t="s">
        <v>789</v>
      </c>
      <c r="D18" s="881">
        <f t="shared" ref="D18:I18" si="1">D20+D26</f>
        <v>6381134.7682503499</v>
      </c>
      <c r="E18" s="230">
        <f t="shared" si="1"/>
        <v>6269902.415472405</v>
      </c>
      <c r="F18" s="248">
        <f t="shared" si="1"/>
        <v>5977935.7868444212</v>
      </c>
      <c r="G18" s="248">
        <f t="shared" si="1"/>
        <v>5862737.7760031158</v>
      </c>
      <c r="H18" s="248">
        <f t="shared" si="1"/>
        <v>5754241.1651618108</v>
      </c>
      <c r="I18" s="249">
        <f t="shared" si="1"/>
        <v>5664510.6211072607</v>
      </c>
      <c r="J18" s="1482"/>
      <c r="K18" s="4485"/>
    </row>
    <row r="19" spans="1:11" ht="13.5" thickBot="1">
      <c r="A19" s="5153"/>
      <c r="B19" s="5155"/>
      <c r="C19" s="405" t="s">
        <v>174</v>
      </c>
      <c r="D19" s="232">
        <f>IFERROR(D18/D9,0)</f>
        <v>0.23773951761711498</v>
      </c>
      <c r="E19" s="233">
        <f t="shared" ref="E19:I19" si="2">IFERROR(E18/E9,0)</f>
        <v>0.27774566649974547</v>
      </c>
      <c r="F19" s="233">
        <f t="shared" si="2"/>
        <v>0.37152065236134157</v>
      </c>
      <c r="G19" s="233">
        <f t="shared" si="2"/>
        <v>0.43925018746439709</v>
      </c>
      <c r="H19" s="233">
        <f t="shared" si="2"/>
        <v>0.49123419758264653</v>
      </c>
      <c r="I19" s="234">
        <f t="shared" si="2"/>
        <v>0.53405464592279295</v>
      </c>
      <c r="J19" s="1482"/>
    </row>
    <row r="20" spans="1:11" ht="15.75">
      <c r="A20" s="5156" t="s">
        <v>99</v>
      </c>
      <c r="B20" s="5158" t="s">
        <v>1941</v>
      </c>
      <c r="C20" s="406" t="s">
        <v>789</v>
      </c>
      <c r="D20" s="235">
        <f>'4.1. Фактурирани количества'!F39</f>
        <v>5203167</v>
      </c>
      <c r="E20" s="235">
        <f>'4.1. Фактурирани количества'!G39</f>
        <v>5622674.666666667</v>
      </c>
      <c r="F20" s="235">
        <f>'4.1. Фактурирани количества'!H39</f>
        <v>5599116.7078386834</v>
      </c>
      <c r="G20" s="235">
        <f>'4.1. Фактурирани количества'!I39</f>
        <v>5536584.7838621326</v>
      </c>
      <c r="H20" s="235">
        <f>'4.1. Фактурирани количества'!J39</f>
        <v>5480754.2598855821</v>
      </c>
      <c r="I20" s="235">
        <f>'4.1. Фактурирани количества'!K39</f>
        <v>5443689.8026957856</v>
      </c>
      <c r="J20" s="1482"/>
    </row>
    <row r="21" spans="1:11">
      <c r="A21" s="5157"/>
      <c r="B21" s="5159"/>
      <c r="C21" s="403" t="s">
        <v>174</v>
      </c>
      <c r="D21" s="238">
        <f>IFERROR(D20/D9,0)</f>
        <v>0.19385241929320124</v>
      </c>
      <c r="E21" s="239">
        <f t="shared" ref="E21:I21" si="3">IFERROR(E20/E9,0)</f>
        <v>0.24907461381708018</v>
      </c>
      <c r="F21" s="239">
        <f t="shared" si="3"/>
        <v>0.34797755715632828</v>
      </c>
      <c r="G21" s="239">
        <f t="shared" si="3"/>
        <v>0.41481403350124485</v>
      </c>
      <c r="H21" s="239">
        <f t="shared" si="3"/>
        <v>0.4678868757366127</v>
      </c>
      <c r="I21" s="240">
        <f t="shared" si="3"/>
        <v>0.5132354804418976</v>
      </c>
      <c r="J21" s="1482"/>
    </row>
    <row r="22" spans="1:11" ht="15.75">
      <c r="A22" s="91" t="s">
        <v>579</v>
      </c>
      <c r="B22" s="101" t="s">
        <v>580</v>
      </c>
      <c r="C22" s="403" t="s">
        <v>789</v>
      </c>
      <c r="D22" s="1022">
        <f>'4.1. Фактурирани количества'!F26</f>
        <v>4384456</v>
      </c>
      <c r="E22" s="1022">
        <f>'4.1. Фактурирани количества'!G26</f>
        <v>4564146.666666667</v>
      </c>
      <c r="F22" s="1022">
        <f>'4.1. Фактурирани количества'!H26</f>
        <v>4513332.8810611246</v>
      </c>
      <c r="G22" s="1022">
        <f>'4.1. Фактурирани количества'!I26</f>
        <v>4463044.6954555819</v>
      </c>
      <c r="H22" s="1022">
        <f>'4.1. Фактурирани количества'!J26</f>
        <v>4419457.9098500395</v>
      </c>
      <c r="I22" s="4489">
        <f>'4.1. Фактурирани количества'!K26</f>
        <v>4383494.4602596266</v>
      </c>
      <c r="J22" s="1482"/>
    </row>
    <row r="23" spans="1:11" ht="15.75">
      <c r="A23" s="91" t="s">
        <v>583</v>
      </c>
      <c r="B23" s="1483" t="s">
        <v>581</v>
      </c>
      <c r="C23" s="403" t="s">
        <v>789</v>
      </c>
      <c r="D23" s="1022">
        <f>'4.1. Фактурирани количества'!F30</f>
        <v>744216</v>
      </c>
      <c r="E23" s="1022">
        <f>'4.1. Фактурирани количества'!G30</f>
        <v>970628.33333333337</v>
      </c>
      <c r="F23" s="1022">
        <f>'4.1. Фактурирани количества'!H30</f>
        <v>959401.30923116452</v>
      </c>
      <c r="G23" s="1022">
        <f>'4.1. Фактурирани количества'!I30</f>
        <v>948174.28512899578</v>
      </c>
      <c r="H23" s="1022">
        <f>'4.1. Фактурирани количества'!J30</f>
        <v>936947.26102682692</v>
      </c>
      <c r="I23" s="4489">
        <f>'4.1. Фактурирани количества'!K30</f>
        <v>925851.11540021782</v>
      </c>
      <c r="J23" s="1482"/>
    </row>
    <row r="24" spans="1:11" ht="15.75">
      <c r="A24" s="91" t="s">
        <v>1195</v>
      </c>
      <c r="B24" s="101" t="s">
        <v>582</v>
      </c>
      <c r="C24" s="403" t="s">
        <v>789</v>
      </c>
      <c r="D24" s="1022">
        <f>'4.1. Фактурирани количества'!F34</f>
        <v>74495</v>
      </c>
      <c r="E24" s="1022">
        <f>'4.1. Фактурирани количества'!G34</f>
        <v>87899.666666666672</v>
      </c>
      <c r="F24" s="1022">
        <f>'4.1. Фактурирани количества'!H34</f>
        <v>86882.952397827816</v>
      </c>
      <c r="G24" s="1022">
        <f>'4.1. Фактурирани количества'!I34</f>
        <v>85866.238128988974</v>
      </c>
      <c r="H24" s="1022">
        <f>'4.1. Фактурирани количества'!J34</f>
        <v>84849.523860150119</v>
      </c>
      <c r="I24" s="4489">
        <f>'4.1. Фактурирани количества'!K34</f>
        <v>83844.66188737606</v>
      </c>
      <c r="J24" s="1482"/>
    </row>
    <row r="25" spans="1:11" ht="16.5" thickBot="1">
      <c r="A25" s="4846" t="s">
        <v>1226</v>
      </c>
      <c r="B25" s="4847" t="s">
        <v>1942</v>
      </c>
      <c r="C25" s="4848" t="s">
        <v>789</v>
      </c>
      <c r="D25" s="4851"/>
      <c r="E25" s="4849">
        <f>'4.1. Фактурирани количества'!G38</f>
        <v>0</v>
      </c>
      <c r="F25" s="4849">
        <f>'4.1. Фактурирани количества'!H38</f>
        <v>39499.565148565802</v>
      </c>
      <c r="G25" s="4849">
        <f>'4.1. Фактурирани количества'!I38</f>
        <v>39499.565148565802</v>
      </c>
      <c r="H25" s="4849">
        <f>'4.1. Фактурирани количества'!J38</f>
        <v>39499.565148565802</v>
      </c>
      <c r="I25" s="4850">
        <f>'4.1. Фактурирани количества'!K38</f>
        <v>50499.565148565802</v>
      </c>
      <c r="J25" s="1482"/>
    </row>
    <row r="26" spans="1:11" ht="15.75">
      <c r="A26" s="5160" t="s">
        <v>100</v>
      </c>
      <c r="B26" s="5158" t="s">
        <v>694</v>
      </c>
      <c r="C26" s="406" t="s">
        <v>789</v>
      </c>
      <c r="D26" s="235">
        <f>D28+D29</f>
        <v>1177967.7682503499</v>
      </c>
      <c r="E26" s="236">
        <f t="shared" ref="E26:I26" si="4">E28+E29</f>
        <v>647227.7488057384</v>
      </c>
      <c r="F26" s="236">
        <f t="shared" si="4"/>
        <v>378819.07900573791</v>
      </c>
      <c r="G26" s="236">
        <f t="shared" si="4"/>
        <v>326152.99214098352</v>
      </c>
      <c r="H26" s="236">
        <f t="shared" si="4"/>
        <v>273486.90527622914</v>
      </c>
      <c r="I26" s="237">
        <f t="shared" si="4"/>
        <v>220820.81841147479</v>
      </c>
      <c r="J26" s="1482"/>
    </row>
    <row r="27" spans="1:11">
      <c r="A27" s="5161"/>
      <c r="B27" s="5159"/>
      <c r="C27" s="403" t="s">
        <v>174</v>
      </c>
      <c r="D27" s="244">
        <f t="shared" ref="D27:I27" si="5">IFERROR(D26/D9,0)</f>
        <v>4.3887098323913749E-2</v>
      </c>
      <c r="E27" s="245">
        <f t="shared" si="5"/>
        <v>2.8671052682665284E-2</v>
      </c>
      <c r="F27" s="245">
        <f t="shared" si="5"/>
        <v>2.3543095205013305E-2</v>
      </c>
      <c r="G27" s="245">
        <f t="shared" si="5"/>
        <v>2.4436153963152265E-2</v>
      </c>
      <c r="H27" s="245">
        <f t="shared" si="5"/>
        <v>2.3347321846033862E-2</v>
      </c>
      <c r="I27" s="246">
        <f t="shared" si="5"/>
        <v>2.081916548089538E-2</v>
      </c>
      <c r="J27" s="1482"/>
    </row>
    <row r="28" spans="1:11" ht="28.5" customHeight="1">
      <c r="A28" s="4736" t="s">
        <v>163</v>
      </c>
      <c r="B28" s="4735" t="s">
        <v>584</v>
      </c>
      <c r="C28" s="403" t="s">
        <v>789</v>
      </c>
      <c r="D28" s="223"/>
      <c r="E28" s="223"/>
      <c r="F28" s="223">
        <v>378819.07900573791</v>
      </c>
      <c r="G28" s="223">
        <v>326152.99214098352</v>
      </c>
      <c r="H28" s="223">
        <v>273486.90527622914</v>
      </c>
      <c r="I28" s="224">
        <v>220820.81841147479</v>
      </c>
      <c r="J28" s="1482"/>
    </row>
    <row r="29" spans="1:11" ht="27.75" customHeight="1" thickBot="1">
      <c r="A29" s="92" t="s">
        <v>168</v>
      </c>
      <c r="B29" s="102" t="s">
        <v>585</v>
      </c>
      <c r="C29" s="407" t="s">
        <v>789</v>
      </c>
      <c r="D29" s="227">
        <v>1177967.7682503499</v>
      </c>
      <c r="E29" s="227">
        <v>647227.7488057384</v>
      </c>
      <c r="F29" s="227"/>
      <c r="G29" s="227"/>
      <c r="H29" s="227"/>
      <c r="I29" s="247"/>
      <c r="J29" s="1482"/>
    </row>
    <row r="30" spans="1:11" ht="15.75">
      <c r="A30" s="5162" t="s">
        <v>102</v>
      </c>
      <c r="B30" s="5154" t="s">
        <v>695</v>
      </c>
      <c r="C30" s="401" t="s">
        <v>789</v>
      </c>
      <c r="D30" s="221">
        <f>D33+D37</f>
        <v>20459732.211749654</v>
      </c>
      <c r="E30" s="248">
        <f t="shared" ref="E30:I30" si="6">E33+E37</f>
        <v>16304355.878052223</v>
      </c>
      <c r="F30" s="248">
        <f t="shared" si="6"/>
        <v>10112517.72859103</v>
      </c>
      <c r="G30" s="248">
        <f t="shared" si="6"/>
        <v>7484411.396194593</v>
      </c>
      <c r="H30" s="248">
        <f t="shared" si="6"/>
        <v>5959603.6637982111</v>
      </c>
      <c r="I30" s="249">
        <f t="shared" si="6"/>
        <v>4942101.7627613479</v>
      </c>
      <c r="J30" s="1482"/>
    </row>
    <row r="31" spans="1:11">
      <c r="A31" s="5143"/>
      <c r="B31" s="5163"/>
      <c r="C31" s="408" t="s">
        <v>174</v>
      </c>
      <c r="D31" s="250">
        <f t="shared" ref="D31:I31" si="7">IFERROR(D30/D9,0)</f>
        <v>0.76226048238288513</v>
      </c>
      <c r="E31" s="251">
        <f t="shared" si="7"/>
        <v>0.72225433350025448</v>
      </c>
      <c r="F31" s="251">
        <f t="shared" si="7"/>
        <v>0.62847934763865831</v>
      </c>
      <c r="G31" s="251">
        <f t="shared" si="7"/>
        <v>0.56074981253560297</v>
      </c>
      <c r="H31" s="251">
        <f t="shared" si="7"/>
        <v>0.50876580241735325</v>
      </c>
      <c r="I31" s="252">
        <f t="shared" si="7"/>
        <v>0.46594535407720705</v>
      </c>
      <c r="J31" s="1482"/>
    </row>
    <row r="32" spans="1:11" ht="29.25" thickBot="1">
      <c r="A32" s="5153"/>
      <c r="B32" s="5164"/>
      <c r="C32" s="405" t="s">
        <v>1051</v>
      </c>
      <c r="D32" s="253">
        <f>IFERROR(D30/'2. Променливи'!E26/365,0)</f>
        <v>37.830374850669351</v>
      </c>
      <c r="E32" s="254">
        <f>IFERROR(E30/'2. Променливи'!F26/365,0)</f>
        <v>30.115716761276129</v>
      </c>
      <c r="F32" s="254">
        <f>IFERROR(F30/'2. Променливи'!G26/365,0)</f>
        <v>18.659421716133725</v>
      </c>
      <c r="G32" s="254">
        <f>IFERROR(G30/'2. Променливи'!H26/365,0)</f>
        <v>13.810090848472621</v>
      </c>
      <c r="H32" s="254">
        <f>IFERROR(H30/'2. Променливи'!I26/365,0)</f>
        <v>10.996545173851601</v>
      </c>
      <c r="I32" s="255">
        <f>IFERROR(I30/'2. Променливи'!J26/365,0)</f>
        <v>9.1190703868620417</v>
      </c>
      <c r="J32" s="1482"/>
    </row>
    <row r="33" spans="1:16" s="4491" customFormat="1" ht="15.75">
      <c r="A33" s="5156" t="s">
        <v>175</v>
      </c>
      <c r="B33" s="5165" t="s">
        <v>586</v>
      </c>
      <c r="C33" s="406" t="s">
        <v>789</v>
      </c>
      <c r="D33" s="256">
        <f>D35+D36</f>
        <v>882117</v>
      </c>
      <c r="E33" s="257">
        <f t="shared" ref="E33:I33" si="8">E35+E36</f>
        <v>323613.87440286926</v>
      </c>
      <c r="F33" s="257">
        <f t="shared" si="8"/>
        <v>284114.30925430346</v>
      </c>
      <c r="G33" s="257">
        <f t="shared" si="8"/>
        <v>244614.74410573766</v>
      </c>
      <c r="H33" s="257">
        <f t="shared" si="8"/>
        <v>205115.17895717185</v>
      </c>
      <c r="I33" s="258">
        <f t="shared" si="8"/>
        <v>154615.61380860608</v>
      </c>
      <c r="J33" s="1484"/>
      <c r="K33" s="4490"/>
      <c r="L33" s="4490"/>
      <c r="M33" s="4490"/>
      <c r="N33" s="4490"/>
    </row>
    <row r="34" spans="1:16" s="4491" customFormat="1">
      <c r="A34" s="5157"/>
      <c r="B34" s="5166"/>
      <c r="C34" s="403" t="s">
        <v>174</v>
      </c>
      <c r="D34" s="259">
        <f t="shared" ref="D34:I34" si="9">IFERROR(D33/D9,0)</f>
        <v>3.286469847107748E-2</v>
      </c>
      <c r="E34" s="260">
        <f t="shared" si="9"/>
        <v>1.4335526341332646E-2</v>
      </c>
      <c r="F34" s="260">
        <f t="shared" si="9"/>
        <v>1.765732140375998E-2</v>
      </c>
      <c r="G34" s="260">
        <f t="shared" si="9"/>
        <v>1.8327115472364201E-2</v>
      </c>
      <c r="H34" s="260">
        <f t="shared" si="9"/>
        <v>1.7510491384525397E-2</v>
      </c>
      <c r="I34" s="261">
        <f t="shared" si="9"/>
        <v>1.4577285207834877E-2</v>
      </c>
      <c r="J34" s="1484"/>
    </row>
    <row r="35" spans="1:16" s="4491" customFormat="1" ht="15.75">
      <c r="A35" s="93" t="s">
        <v>587</v>
      </c>
      <c r="B35" s="103" t="s">
        <v>588</v>
      </c>
      <c r="C35" s="403" t="s">
        <v>789</v>
      </c>
      <c r="D35" s="223">
        <v>528926</v>
      </c>
      <c r="E35" s="223">
        <v>215742.58293524617</v>
      </c>
      <c r="F35" s="223">
        <v>189409.53950286895</v>
      </c>
      <c r="G35" s="223">
        <v>163076.49607049176</v>
      </c>
      <c r="H35" s="223">
        <v>136743.45263811457</v>
      </c>
      <c r="I35" s="224">
        <v>110410.40920573739</v>
      </c>
      <c r="J35" s="1484"/>
    </row>
    <row r="36" spans="1:16" s="4491" customFormat="1" ht="16.5" thickBot="1">
      <c r="A36" s="94" t="s">
        <v>589</v>
      </c>
      <c r="B36" s="104" t="s">
        <v>590</v>
      </c>
      <c r="C36" s="407" t="s">
        <v>789</v>
      </c>
      <c r="D36" s="227">
        <v>353191</v>
      </c>
      <c r="E36" s="227">
        <v>107871.29146762309</v>
      </c>
      <c r="F36" s="227">
        <v>94704.769751434476</v>
      </c>
      <c r="G36" s="227">
        <v>81538.248035245881</v>
      </c>
      <c r="H36" s="227">
        <v>68371.726319057285</v>
      </c>
      <c r="I36" s="247">
        <v>44205.204602868696</v>
      </c>
      <c r="J36" s="1484"/>
    </row>
    <row r="37" spans="1:16" s="4491" customFormat="1" ht="15.75">
      <c r="A37" s="5156" t="s">
        <v>176</v>
      </c>
      <c r="B37" s="5148" t="s">
        <v>591</v>
      </c>
      <c r="C37" s="406" t="s">
        <v>789</v>
      </c>
      <c r="D37" s="256">
        <f>SUM(D39:D42)</f>
        <v>19577615.211749654</v>
      </c>
      <c r="E37" s="257">
        <f t="shared" ref="E37:I37" si="10">SUM(E39:E42)</f>
        <v>15980742.003649354</v>
      </c>
      <c r="F37" s="257">
        <f t="shared" si="10"/>
        <v>9828403.4193367269</v>
      </c>
      <c r="G37" s="257">
        <f t="shared" si="10"/>
        <v>7239796.6520888554</v>
      </c>
      <c r="H37" s="257">
        <f t="shared" si="10"/>
        <v>5754488.4848410394</v>
      </c>
      <c r="I37" s="258">
        <f t="shared" si="10"/>
        <v>4787486.1489527421</v>
      </c>
      <c r="J37" s="1484"/>
    </row>
    <row r="38" spans="1:16" s="4491" customFormat="1">
      <c r="A38" s="5157"/>
      <c r="B38" s="5149"/>
      <c r="C38" s="403" t="s">
        <v>174</v>
      </c>
      <c r="D38" s="259">
        <f t="shared" ref="D38:I38" si="11">IFERROR(D37/D9,0)</f>
        <v>0.7293957839118077</v>
      </c>
      <c r="E38" s="260">
        <f t="shared" si="11"/>
        <v>0.70791880715892175</v>
      </c>
      <c r="F38" s="260">
        <f t="shared" si="11"/>
        <v>0.61082202623489834</v>
      </c>
      <c r="G38" s="260">
        <f t="shared" si="11"/>
        <v>0.54242269706323876</v>
      </c>
      <c r="H38" s="260">
        <f t="shared" si="11"/>
        <v>0.49125531103282793</v>
      </c>
      <c r="I38" s="261">
        <f t="shared" si="11"/>
        <v>0.4513680688693722</v>
      </c>
      <c r="J38" s="1484"/>
    </row>
    <row r="39" spans="1:16" s="4491" customFormat="1" ht="25.5">
      <c r="A39" s="93" t="s">
        <v>592</v>
      </c>
      <c r="B39" s="105" t="s">
        <v>593</v>
      </c>
      <c r="C39" s="403" t="s">
        <v>789</v>
      </c>
      <c r="D39" s="223">
        <v>6274044.5948219895</v>
      </c>
      <c r="E39" s="223">
        <v>5392076.5564815961</v>
      </c>
      <c r="F39" s="223">
        <v>2788190.7900573802</v>
      </c>
      <c r="G39" s="223">
        <v>1446147.4410573801</v>
      </c>
      <c r="H39" s="223">
        <v>820460.71582868742</v>
      </c>
      <c r="I39" s="224">
        <v>672662.45523442398</v>
      </c>
      <c r="J39" s="1484"/>
    </row>
    <row r="40" spans="1:16" s="4491" customFormat="1" ht="15.75">
      <c r="A40" s="93" t="s">
        <v>594</v>
      </c>
      <c r="B40" s="103" t="s">
        <v>595</v>
      </c>
      <c r="C40" s="403" t="s">
        <v>789</v>
      </c>
      <c r="D40" s="223">
        <v>11436796.199059619</v>
      </c>
      <c r="E40" s="223">
        <v>10049308.989829641</v>
      </c>
      <c r="F40" s="223">
        <v>6566688.7805221733</v>
      </c>
      <c r="G40" s="223">
        <v>5385957.9708552463</v>
      </c>
      <c r="H40" s="223">
        <v>4592169.1374170668</v>
      </c>
      <c r="I40" s="224">
        <v>3831007.670703975</v>
      </c>
      <c r="J40" s="1484"/>
    </row>
    <row r="41" spans="1:16" s="4491" customFormat="1" ht="15.75">
      <c r="A41" s="93" t="s">
        <v>596</v>
      </c>
      <c r="B41" s="103" t="s">
        <v>597</v>
      </c>
      <c r="C41" s="403" t="s">
        <v>789</v>
      </c>
      <c r="D41" s="223">
        <v>505184.44745831238</v>
      </c>
      <c r="E41" s="223">
        <v>107871.29146762309</v>
      </c>
      <c r="F41" s="223">
        <v>94704.769751434476</v>
      </c>
      <c r="G41" s="223">
        <v>81538.248035245881</v>
      </c>
      <c r="H41" s="223">
        <v>68371.726319057285</v>
      </c>
      <c r="I41" s="224">
        <v>62935.204602868696</v>
      </c>
      <c r="J41" s="1484"/>
    </row>
    <row r="42" spans="1:16" ht="16.5" thickBot="1">
      <c r="A42" s="94" t="s">
        <v>598</v>
      </c>
      <c r="B42" s="106" t="s">
        <v>599</v>
      </c>
      <c r="C42" s="407" t="s">
        <v>789</v>
      </c>
      <c r="D42" s="227">
        <v>1361589.970409733</v>
      </c>
      <c r="E42" s="227">
        <v>431485.16587049235</v>
      </c>
      <c r="F42" s="227">
        <v>378819.07900573791</v>
      </c>
      <c r="G42" s="227">
        <v>326152.99214098352</v>
      </c>
      <c r="H42" s="227">
        <v>273486.90527622914</v>
      </c>
      <c r="I42" s="247">
        <v>220880.81841147499</v>
      </c>
      <c r="J42" s="1482"/>
    </row>
    <row r="43" spans="1:16" ht="15.75">
      <c r="A43" s="5142" t="s">
        <v>103</v>
      </c>
      <c r="B43" s="5145" t="s">
        <v>600</v>
      </c>
      <c r="C43" s="404" t="s">
        <v>789</v>
      </c>
      <c r="D43" s="229">
        <f t="shared" ref="D43:I43" si="12">D30+D26</f>
        <v>21637699.980000004</v>
      </c>
      <c r="E43" s="230">
        <f t="shared" si="12"/>
        <v>16951583.626857962</v>
      </c>
      <c r="F43" s="230">
        <f t="shared" si="12"/>
        <v>10491336.807596769</v>
      </c>
      <c r="G43" s="230">
        <f t="shared" si="12"/>
        <v>7810564.3883355763</v>
      </c>
      <c r="H43" s="230">
        <f t="shared" si="12"/>
        <v>6233090.5690744407</v>
      </c>
      <c r="I43" s="231">
        <f t="shared" si="12"/>
        <v>5162922.581172823</v>
      </c>
      <c r="J43" s="1482"/>
      <c r="L43" s="1962" t="s">
        <v>207</v>
      </c>
    </row>
    <row r="44" spans="1:16">
      <c r="A44" s="5143"/>
      <c r="B44" s="5146"/>
      <c r="C44" s="408" t="s">
        <v>174</v>
      </c>
      <c r="D44" s="1034">
        <f t="shared" ref="D44:I44" si="13">IFERROR(D43/D9,0)</f>
        <v>0.80614758070679893</v>
      </c>
      <c r="E44" s="1035">
        <f t="shared" si="13"/>
        <v>0.75092538618291982</v>
      </c>
      <c r="F44" s="1035">
        <f t="shared" si="13"/>
        <v>0.65202244284367172</v>
      </c>
      <c r="G44" s="1035">
        <f t="shared" si="13"/>
        <v>0.58518596649875521</v>
      </c>
      <c r="H44" s="1035">
        <f t="shared" si="13"/>
        <v>0.53211312426338719</v>
      </c>
      <c r="I44" s="1036">
        <f t="shared" si="13"/>
        <v>0.48676451955810246</v>
      </c>
      <c r="J44" s="1482"/>
    </row>
    <row r="45" spans="1:16" ht="28.5">
      <c r="A45" s="5143"/>
      <c r="B45" s="5146"/>
      <c r="C45" s="408" t="s">
        <v>1051</v>
      </c>
      <c r="D45" s="262">
        <f>IFERROR(D43/'2. Променливи'!E26/365,0)</f>
        <v>40.008456253383187</v>
      </c>
      <c r="E45" s="263">
        <f>IFERROR(E43/'2. Променливи'!F26/365,0)</f>
        <v>31.311208794746175</v>
      </c>
      <c r="F45" s="263">
        <f>IFERROR(F43/'2. Променливи'!G26/365,0)</f>
        <v>19.358411338599417</v>
      </c>
      <c r="G45" s="263">
        <f>IFERROR(G43/'2. Променливи'!H26/365,0)</f>
        <v>14.411902028207916</v>
      </c>
      <c r="H45" s="263">
        <f>IFERROR(H43/'2. Променливи'!I26/365,0)</f>
        <v>11.501177910856503</v>
      </c>
      <c r="I45" s="264">
        <f>IFERROR(I43/'2. Променливи'!J26/365,0)</f>
        <v>9.5265246811365483</v>
      </c>
      <c r="J45" s="1482"/>
    </row>
    <row r="46" spans="1:16" ht="13.5" thickBot="1">
      <c r="A46" s="5144"/>
      <c r="B46" s="5147"/>
      <c r="C46" s="409" t="s">
        <v>733</v>
      </c>
      <c r="D46" s="265">
        <f t="shared" ref="D46:I46" si="14">D9-D20-D43</f>
        <v>0</v>
      </c>
      <c r="E46" s="266">
        <f t="shared" si="14"/>
        <v>0</v>
      </c>
      <c r="F46" s="266">
        <f t="shared" si="14"/>
        <v>0</v>
      </c>
      <c r="G46" s="266">
        <f t="shared" si="14"/>
        <v>0</v>
      </c>
      <c r="H46" s="266">
        <f t="shared" si="14"/>
        <v>0</v>
      </c>
      <c r="I46" s="267">
        <f t="shared" si="14"/>
        <v>0</v>
      </c>
      <c r="J46" s="1482"/>
    </row>
    <row r="47" spans="1:16" ht="18.75" customHeight="1" thickBot="1">
      <c r="A47" s="95" t="s">
        <v>177</v>
      </c>
      <c r="B47" s="1485" t="s">
        <v>178</v>
      </c>
      <c r="C47" s="410"/>
      <c r="D47" s="1965"/>
      <c r="E47" s="1965"/>
      <c r="F47" s="1965"/>
      <c r="G47" s="1965"/>
      <c r="H47" s="1965"/>
      <c r="I47" s="1966"/>
      <c r="J47" s="4485"/>
      <c r="K47" s="4492"/>
      <c r="L47" s="4485"/>
      <c r="M47" s="4485"/>
      <c r="N47" s="4485"/>
      <c r="O47" s="4485"/>
      <c r="P47" s="4485"/>
    </row>
    <row r="48" spans="1:16" ht="15.75">
      <c r="A48" s="5137">
        <v>5</v>
      </c>
      <c r="B48" s="5139" t="s">
        <v>179</v>
      </c>
      <c r="C48" s="401" t="s">
        <v>789</v>
      </c>
      <c r="D48" s="215">
        <f t="shared" ref="D48:I48" si="15">D50+D51</f>
        <v>3525852</v>
      </c>
      <c r="E48" s="216">
        <f t="shared" si="15"/>
        <v>3883130.9666666663</v>
      </c>
      <c r="F48" s="216">
        <f t="shared" si="15"/>
        <v>3871190.3909444464</v>
      </c>
      <c r="G48" s="216">
        <f t="shared" si="15"/>
        <v>4082709.0899444488</v>
      </c>
      <c r="H48" s="216">
        <f t="shared" si="15"/>
        <v>4046078.8889444517</v>
      </c>
      <c r="I48" s="217">
        <f t="shared" si="15"/>
        <v>4016279.4053974506</v>
      </c>
      <c r="J48" s="4493"/>
    </row>
    <row r="49" spans="1:10" ht="13.5" thickBot="1">
      <c r="A49" s="5138"/>
      <c r="B49" s="5140"/>
      <c r="C49" s="405" t="s">
        <v>174</v>
      </c>
      <c r="D49" s="218">
        <f t="shared" ref="D49:I49" si="16">IFERROR(D48/D20,0)</f>
        <v>0.67763575530056985</v>
      </c>
      <c r="E49" s="219">
        <f t="shared" si="16"/>
        <v>0.69061989122140199</v>
      </c>
      <c r="F49" s="219">
        <f t="shared" si="16"/>
        <v>0.69139305232284853</v>
      </c>
      <c r="G49" s="219">
        <f t="shared" si="16"/>
        <v>0.73740568406802043</v>
      </c>
      <c r="H49" s="219">
        <f t="shared" si="16"/>
        <v>0.73823395413990311</v>
      </c>
      <c r="I49" s="220">
        <f t="shared" si="16"/>
        <v>0.73778623524957965</v>
      </c>
      <c r="J49" s="4493"/>
    </row>
    <row r="50" spans="1:10" ht="33" customHeight="1">
      <c r="A50" s="96" t="s">
        <v>108</v>
      </c>
      <c r="B50" s="1486" t="s">
        <v>181</v>
      </c>
      <c r="C50" s="406" t="s">
        <v>789</v>
      </c>
      <c r="D50" s="1538">
        <f>'4.1. Фактурирани количества'!F62+'4.1. Фактурирани количества'!F66</f>
        <v>3451357</v>
      </c>
      <c r="E50" s="1539">
        <f>'4.1. Фактурирани количества'!G62+'4.1. Фактурирани количества'!G66</f>
        <v>3795231.3</v>
      </c>
      <c r="F50" s="1539">
        <f>'4.1. Фактурирани количества'!H62+'4.1. Фактурирани количества'!H66</f>
        <v>3784307.4385466184</v>
      </c>
      <c r="G50" s="1539">
        <f>'4.1. Фактурирани количества'!I62+'4.1. Фактурирани количества'!I66</f>
        <v>3996842.8518154598</v>
      </c>
      <c r="H50" s="1539">
        <f>'4.1. Фактурирани количества'!J62+'4.1. Фактурирани количества'!J66</f>
        <v>3961229.3650843017</v>
      </c>
      <c r="I50" s="1540">
        <f>'4.1. Фактурирани количества'!K62+'4.1. Фактурирани количества'!K66</f>
        <v>3932434.7435100744</v>
      </c>
      <c r="J50" s="4485"/>
    </row>
    <row r="51" spans="1:10" ht="16.5" thickBot="1">
      <c r="A51" s="97" t="s">
        <v>112</v>
      </c>
      <c r="B51" s="1487" t="s">
        <v>183</v>
      </c>
      <c r="C51" s="403" t="s">
        <v>789</v>
      </c>
      <c r="D51" s="1541">
        <f>'4.1. Фактурирани количества'!F70</f>
        <v>74495</v>
      </c>
      <c r="E51" s="1542">
        <f>'4.1. Фактурирани количества'!G70</f>
        <v>87899.666666666672</v>
      </c>
      <c r="F51" s="1542">
        <f>'4.1. Фактурирани количества'!H70</f>
        <v>86882.95239782783</v>
      </c>
      <c r="G51" s="1542">
        <f>'4.1. Фактурирани количества'!I70</f>
        <v>85866.238128989004</v>
      </c>
      <c r="H51" s="1542">
        <f>'4.1. Фактурирани количества'!J70</f>
        <v>84849.523860150162</v>
      </c>
      <c r="I51" s="1543">
        <f>'4.1. Фактурирани количества'!K70</f>
        <v>83844.661887376089</v>
      </c>
    </row>
    <row r="52" spans="1:10" ht="18" customHeight="1" thickBot="1">
      <c r="A52" s="98" t="s">
        <v>187</v>
      </c>
      <c r="B52" s="1485" t="s">
        <v>188</v>
      </c>
      <c r="C52" s="410"/>
      <c r="D52" s="1967"/>
      <c r="E52" s="1967"/>
      <c r="F52" s="1967"/>
      <c r="G52" s="1967"/>
      <c r="H52" s="1967"/>
      <c r="I52" s="1968"/>
    </row>
    <row r="53" spans="1:10" ht="15.75">
      <c r="A53" s="5137">
        <v>6</v>
      </c>
      <c r="B53" s="5139" t="s">
        <v>189</v>
      </c>
      <c r="C53" s="401" t="s">
        <v>789</v>
      </c>
      <c r="D53" s="215">
        <f t="shared" ref="D53:I53" si="17">D55+D56</f>
        <v>2746016</v>
      </c>
      <c r="E53" s="216">
        <f t="shared" si="17"/>
        <v>3093106</v>
      </c>
      <c r="F53" s="216">
        <f t="shared" si="17"/>
        <v>3090296.6133213681</v>
      </c>
      <c r="G53" s="216">
        <f t="shared" si="17"/>
        <v>3855178.7126394287</v>
      </c>
      <c r="H53" s="216">
        <f t="shared" si="17"/>
        <v>3818919.5006830194</v>
      </c>
      <c r="I53" s="217">
        <f t="shared" si="17"/>
        <v>3783088.2184252776</v>
      </c>
    </row>
    <row r="54" spans="1:10" ht="13.5" thickBot="1">
      <c r="A54" s="5138"/>
      <c r="B54" s="5140"/>
      <c r="C54" s="405" t="s">
        <v>174</v>
      </c>
      <c r="D54" s="218">
        <f t="shared" ref="D54:I54" si="18">IFERROR(D53/D20,0)</f>
        <v>0.52775857472958299</v>
      </c>
      <c r="E54" s="219">
        <f t="shared" si="18"/>
        <v>0.55011292371886589</v>
      </c>
      <c r="F54" s="219">
        <f t="shared" si="18"/>
        <v>0.55192573660681099</v>
      </c>
      <c r="G54" s="219">
        <f t="shared" si="18"/>
        <v>0.69630988472828692</v>
      </c>
      <c r="H54" s="219">
        <f t="shared" si="18"/>
        <v>0.69678721570026103</v>
      </c>
      <c r="I54" s="220">
        <f t="shared" si="18"/>
        <v>0.69494926337497098</v>
      </c>
      <c r="J54" s="4485"/>
    </row>
    <row r="55" spans="1:10" ht="32.25" customHeight="1">
      <c r="A55" s="99" t="s">
        <v>273</v>
      </c>
      <c r="B55" s="1486" t="s">
        <v>181</v>
      </c>
      <c r="C55" s="1544" t="s">
        <v>789</v>
      </c>
      <c r="D55" s="1538">
        <f>'4.1. Фактурирани количества'!F95+'4.1. Фактурирани количества'!F99</f>
        <v>2704248</v>
      </c>
      <c r="E55" s="1539">
        <f>'4.1. Фактурирани количества'!G95+'4.1. Фактурирани количества'!G99</f>
        <v>3046893</v>
      </c>
      <c r="F55" s="1539">
        <f>'4.1. Фактурирани количества'!H95+'4.1. Фактурирани количества'!H99</f>
        <v>3044618.1479594121</v>
      </c>
      <c r="G55" s="1539">
        <f>'4.1. Фактурирани количества'!I95+'4.1. Фактурирани количества'!I99</f>
        <v>3772534.7819155166</v>
      </c>
      <c r="H55" s="1539">
        <f>'4.1. Фактурирани количества'!J95+'4.1. Фактурирани количества'!J99</f>
        <v>3737292.1045971513</v>
      </c>
      <c r="I55" s="1540">
        <f>'4.1. Фактурирани количества'!K95+'4.1. Фактурирани количества'!K99</f>
        <v>3702465.4174026097</v>
      </c>
    </row>
    <row r="56" spans="1:10" ht="15.75">
      <c r="A56" s="97" t="s">
        <v>275</v>
      </c>
      <c r="B56" s="1487" t="s">
        <v>183</v>
      </c>
      <c r="C56" s="1545" t="s">
        <v>789</v>
      </c>
      <c r="D56" s="241">
        <f>'4.1. Фактурирани количества'!F103</f>
        <v>41768</v>
      </c>
      <c r="E56" s="242">
        <f>'4.1. Фактурирани количества'!G103</f>
        <v>46213</v>
      </c>
      <c r="F56" s="242">
        <f>'4.1. Фактурирани количества'!H103</f>
        <v>45678.465361956063</v>
      </c>
      <c r="G56" s="242">
        <f>'4.1. Фактурирани количества'!I103</f>
        <v>82643.930723912126</v>
      </c>
      <c r="H56" s="242">
        <f>'4.1. Фактурирани количества'!J103</f>
        <v>81627.396085868182</v>
      </c>
      <c r="I56" s="243">
        <f>'4.1. Фактурирани количества'!K103</f>
        <v>80622.801022667671</v>
      </c>
    </row>
    <row r="57" spans="1:10" ht="30" customHeight="1">
      <c r="A57" s="1488"/>
      <c r="B57" s="4494" t="s">
        <v>190</v>
      </c>
      <c r="C57" s="1545" t="s">
        <v>1491</v>
      </c>
      <c r="D57" s="1547">
        <f>D56-SUM(D58:D60)</f>
        <v>0</v>
      </c>
      <c r="E57" s="1548">
        <f t="shared" ref="E57:I57" si="19">E56-SUM(E58:E60)</f>
        <v>0</v>
      </c>
      <c r="F57" s="1548">
        <f t="shared" si="19"/>
        <v>0</v>
      </c>
      <c r="G57" s="1548">
        <f t="shared" si="19"/>
        <v>0</v>
      </c>
      <c r="H57" s="1548">
        <f t="shared" si="19"/>
        <v>0</v>
      </c>
      <c r="I57" s="1549">
        <f t="shared" si="19"/>
        <v>0</v>
      </c>
    </row>
    <row r="58" spans="1:10" ht="15.75">
      <c r="A58" s="97" t="s">
        <v>356</v>
      </c>
      <c r="B58" s="1489" t="s">
        <v>1005</v>
      </c>
      <c r="C58" s="1545" t="s">
        <v>789</v>
      </c>
      <c r="D58" s="223">
        <v>9039</v>
      </c>
      <c r="E58" s="225">
        <v>10000.941079295153</v>
      </c>
      <c r="F58" s="225">
        <v>9885.2626031105319</v>
      </c>
      <c r="G58" s="225">
        <v>18582.286114918868</v>
      </c>
      <c r="H58" s="225">
        <v>18362.298167368615</v>
      </c>
      <c r="I58" s="226">
        <v>18144.894059528422</v>
      </c>
    </row>
    <row r="59" spans="1:10" ht="15.75">
      <c r="A59" s="97" t="s">
        <v>725</v>
      </c>
      <c r="B59" s="1489" t="s">
        <v>1006</v>
      </c>
      <c r="C59" s="1545" t="s">
        <v>789</v>
      </c>
      <c r="D59" s="223">
        <v>32729</v>
      </c>
      <c r="E59" s="223">
        <v>36212.058920704847</v>
      </c>
      <c r="F59" s="225">
        <v>35793.202758845531</v>
      </c>
      <c r="G59" s="223">
        <v>64061.644608993258</v>
      </c>
      <c r="H59" s="225">
        <v>63265.097918499567</v>
      </c>
      <c r="I59" s="224">
        <v>62477.906963139249</v>
      </c>
    </row>
    <row r="60" spans="1:10" ht="16.5" thickBot="1">
      <c r="A60" s="100" t="s">
        <v>726</v>
      </c>
      <c r="B60" s="1490" t="s">
        <v>1007</v>
      </c>
      <c r="C60" s="1546" t="s">
        <v>789</v>
      </c>
      <c r="D60" s="227"/>
      <c r="E60" s="227"/>
      <c r="F60" s="228"/>
      <c r="G60" s="227"/>
      <c r="H60" s="228"/>
      <c r="I60" s="247"/>
    </row>
    <row r="61" spans="1:10" s="4495" customFormat="1" ht="16.5" customHeight="1" thickBot="1">
      <c r="A61" s="553" t="s">
        <v>1126</v>
      </c>
      <c r="B61" s="1969" t="s">
        <v>1037</v>
      </c>
      <c r="C61" s="1021"/>
      <c r="D61" s="554"/>
      <c r="E61" s="555"/>
      <c r="F61" s="555"/>
      <c r="G61" s="555"/>
      <c r="H61" s="555"/>
      <c r="I61" s="556"/>
    </row>
    <row r="62" spans="1:10" s="4495" customFormat="1" ht="27" customHeight="1" thickBot="1">
      <c r="A62" s="557" t="s">
        <v>210</v>
      </c>
      <c r="B62" s="558" t="s">
        <v>576</v>
      </c>
      <c r="C62" s="559" t="s">
        <v>789</v>
      </c>
      <c r="D62" s="560">
        <f>D63+D64+D65+D66</f>
        <v>236289</v>
      </c>
      <c r="E62" s="561">
        <f t="shared" ref="E62:I62" si="20">E63+E64+E65+E66</f>
        <v>1363303.8333333333</v>
      </c>
      <c r="F62" s="561">
        <f t="shared" si="20"/>
        <v>1347534.8263202687</v>
      </c>
      <c r="G62" s="561">
        <f t="shared" si="20"/>
        <v>1331765.8193072043</v>
      </c>
      <c r="H62" s="561">
        <f t="shared" si="20"/>
        <v>1315996.81229414</v>
      </c>
      <c r="I62" s="562">
        <f t="shared" si="20"/>
        <v>1300411.6316967113</v>
      </c>
    </row>
    <row r="63" spans="1:10" s="4496" customFormat="1" ht="30" customHeight="1">
      <c r="A63" s="563" t="s">
        <v>93</v>
      </c>
      <c r="B63" s="1486" t="s">
        <v>914</v>
      </c>
      <c r="C63" s="564" t="s">
        <v>789</v>
      </c>
      <c r="D63" s="565">
        <v>236289</v>
      </c>
      <c r="E63" s="566">
        <v>1363303.8333333333</v>
      </c>
      <c r="F63" s="566">
        <v>1347534.8263202687</v>
      </c>
      <c r="G63" s="566">
        <v>1331765.8193072043</v>
      </c>
      <c r="H63" s="566">
        <v>1315996.81229414</v>
      </c>
      <c r="I63" s="567">
        <v>1300411.6316967113</v>
      </c>
    </row>
    <row r="64" spans="1:10" s="4496" customFormat="1" ht="27" customHeight="1">
      <c r="A64" s="563" t="s">
        <v>94</v>
      </c>
      <c r="B64" s="1487" t="s">
        <v>915</v>
      </c>
      <c r="C64" s="564" t="s">
        <v>789</v>
      </c>
      <c r="D64" s="565"/>
      <c r="E64" s="566"/>
      <c r="F64" s="566"/>
      <c r="G64" s="566"/>
      <c r="H64" s="566"/>
      <c r="I64" s="567"/>
    </row>
    <row r="65" spans="1:10" s="4496" customFormat="1" ht="34.5" customHeight="1">
      <c r="A65" s="563" t="s">
        <v>96</v>
      </c>
      <c r="B65" s="1487" t="s">
        <v>916</v>
      </c>
      <c r="C65" s="564" t="s">
        <v>789</v>
      </c>
      <c r="D65" s="565"/>
      <c r="E65" s="566"/>
      <c r="F65" s="566"/>
      <c r="G65" s="566"/>
      <c r="H65" s="566"/>
      <c r="I65" s="567"/>
    </row>
    <row r="66" spans="1:10" s="4496" customFormat="1" ht="38.25" customHeight="1" thickBot="1">
      <c r="A66" s="568" t="s">
        <v>149</v>
      </c>
      <c r="B66" s="4497" t="s">
        <v>917</v>
      </c>
      <c r="C66" s="564" t="s">
        <v>789</v>
      </c>
      <c r="D66" s="565"/>
      <c r="E66" s="566"/>
      <c r="F66" s="566"/>
      <c r="G66" s="566"/>
      <c r="H66" s="566"/>
      <c r="I66" s="567"/>
    </row>
    <row r="67" spans="1:10" s="4495" customFormat="1" ht="15.75">
      <c r="A67" s="5111" t="s">
        <v>98</v>
      </c>
      <c r="B67" s="5130" t="s">
        <v>577</v>
      </c>
      <c r="C67" s="559" t="s">
        <v>789</v>
      </c>
      <c r="D67" s="569">
        <f t="shared" ref="D67:I67" si="21">D69+D71</f>
        <v>236289</v>
      </c>
      <c r="E67" s="570">
        <f t="shared" si="21"/>
        <v>1363303.8333333333</v>
      </c>
      <c r="F67" s="570">
        <f t="shared" si="21"/>
        <v>1347534.8263202687</v>
      </c>
      <c r="G67" s="570">
        <f t="shared" si="21"/>
        <v>1331765.8193072043</v>
      </c>
      <c r="H67" s="570">
        <f t="shared" si="21"/>
        <v>1315996.81229414</v>
      </c>
      <c r="I67" s="571">
        <f t="shared" si="21"/>
        <v>1300411.6316967113</v>
      </c>
    </row>
    <row r="68" spans="1:10" s="4495" customFormat="1">
      <c r="A68" s="5129"/>
      <c r="B68" s="5136"/>
      <c r="C68" s="572" t="s">
        <v>174</v>
      </c>
      <c r="D68" s="573">
        <f>IFERROR(D67/D62,0)</f>
        <v>1</v>
      </c>
      <c r="E68" s="574">
        <f t="shared" ref="E68:I68" si="22">IFERROR(E67/E62,0)</f>
        <v>1</v>
      </c>
      <c r="F68" s="574">
        <f t="shared" si="22"/>
        <v>1</v>
      </c>
      <c r="G68" s="574">
        <f t="shared" si="22"/>
        <v>1</v>
      </c>
      <c r="H68" s="574">
        <f t="shared" si="22"/>
        <v>1</v>
      </c>
      <c r="I68" s="575">
        <f t="shared" si="22"/>
        <v>1</v>
      </c>
    </row>
    <row r="69" spans="1:10" s="4495" customFormat="1" ht="15.75">
      <c r="A69" s="5108" t="s">
        <v>99</v>
      </c>
      <c r="B69" s="5141" t="s">
        <v>578</v>
      </c>
      <c r="C69" s="576" t="s">
        <v>789</v>
      </c>
      <c r="D69" s="1979">
        <v>236289</v>
      </c>
      <c r="E69" s="1980">
        <v>1363303.8333333333</v>
      </c>
      <c r="F69" s="1980">
        <v>1347534.8263202687</v>
      </c>
      <c r="G69" s="1980">
        <v>1331765.8193072043</v>
      </c>
      <c r="H69" s="1980">
        <v>1315996.81229414</v>
      </c>
      <c r="I69" s="4740">
        <v>1300411.6316967113</v>
      </c>
    </row>
    <row r="70" spans="1:10" s="4495" customFormat="1">
      <c r="A70" s="5133"/>
      <c r="B70" s="5135"/>
      <c r="C70" s="564" t="s">
        <v>174</v>
      </c>
      <c r="D70" s="580">
        <f t="shared" ref="D70:I70" si="23">IFERROR(D69/D62,0)</f>
        <v>1</v>
      </c>
      <c r="E70" s="581">
        <f t="shared" si="23"/>
        <v>1</v>
      </c>
      <c r="F70" s="581">
        <f t="shared" si="23"/>
        <v>1</v>
      </c>
      <c r="G70" s="581">
        <f t="shared" si="23"/>
        <v>1</v>
      </c>
      <c r="H70" s="581">
        <f t="shared" si="23"/>
        <v>1</v>
      </c>
      <c r="I70" s="582">
        <f t="shared" si="23"/>
        <v>1</v>
      </c>
    </row>
    <row r="71" spans="1:10" s="4495" customFormat="1" ht="15.75">
      <c r="A71" s="5126" t="s">
        <v>100</v>
      </c>
      <c r="B71" s="5128" t="s">
        <v>694</v>
      </c>
      <c r="C71" s="576" t="s">
        <v>789</v>
      </c>
      <c r="D71" s="577">
        <f>D73+D74</f>
        <v>0</v>
      </c>
      <c r="E71" s="578">
        <f t="shared" ref="E71:I71" si="24">E73+E74</f>
        <v>0</v>
      </c>
      <c r="F71" s="578">
        <f t="shared" si="24"/>
        <v>0</v>
      </c>
      <c r="G71" s="578">
        <f t="shared" si="24"/>
        <v>0</v>
      </c>
      <c r="H71" s="578">
        <f t="shared" si="24"/>
        <v>0</v>
      </c>
      <c r="I71" s="579">
        <f t="shared" si="24"/>
        <v>0</v>
      </c>
    </row>
    <row r="72" spans="1:10" s="4495" customFormat="1">
      <c r="A72" s="5127"/>
      <c r="B72" s="5119"/>
      <c r="C72" s="564" t="s">
        <v>174</v>
      </c>
      <c r="D72" s="580">
        <f t="shared" ref="D72:I72" si="25">IFERROR(D71/D62,0)</f>
        <v>0</v>
      </c>
      <c r="E72" s="581">
        <f t="shared" si="25"/>
        <v>0</v>
      </c>
      <c r="F72" s="581">
        <f t="shared" si="25"/>
        <v>0</v>
      </c>
      <c r="G72" s="581">
        <f t="shared" si="25"/>
        <v>0</v>
      </c>
      <c r="H72" s="581">
        <f t="shared" si="25"/>
        <v>0</v>
      </c>
      <c r="I72" s="582">
        <f t="shared" si="25"/>
        <v>0</v>
      </c>
    </row>
    <row r="73" spans="1:10" s="4495" customFormat="1" ht="27" customHeight="1">
      <c r="A73" s="584" t="s">
        <v>163</v>
      </c>
      <c r="B73" s="585" t="s">
        <v>584</v>
      </c>
      <c r="C73" s="564" t="s">
        <v>789</v>
      </c>
      <c r="D73" s="565"/>
      <c r="E73" s="566"/>
      <c r="F73" s="566"/>
      <c r="G73" s="566"/>
      <c r="H73" s="566"/>
      <c r="I73" s="567"/>
    </row>
    <row r="74" spans="1:10" s="4495" customFormat="1" ht="27.75" customHeight="1" thickBot="1">
      <c r="A74" s="586" t="s">
        <v>168</v>
      </c>
      <c r="B74" s="587" t="s">
        <v>585</v>
      </c>
      <c r="C74" s="583" t="s">
        <v>789</v>
      </c>
      <c r="D74" s="588"/>
      <c r="E74" s="589"/>
      <c r="F74" s="589"/>
      <c r="G74" s="589"/>
      <c r="H74" s="589"/>
      <c r="I74" s="590"/>
    </row>
    <row r="75" spans="1:10" s="4495" customFormat="1" ht="15.75">
      <c r="A75" s="5111" t="s">
        <v>102</v>
      </c>
      <c r="B75" s="5130" t="s">
        <v>695</v>
      </c>
      <c r="C75" s="559" t="s">
        <v>789</v>
      </c>
      <c r="D75" s="569">
        <f>D78+D82</f>
        <v>0</v>
      </c>
      <c r="E75" s="570">
        <f t="shared" ref="E75:I75" si="26">E78+E82</f>
        <v>0</v>
      </c>
      <c r="F75" s="570">
        <f t="shared" si="26"/>
        <v>0</v>
      </c>
      <c r="G75" s="570">
        <f t="shared" si="26"/>
        <v>0</v>
      </c>
      <c r="H75" s="570">
        <f t="shared" si="26"/>
        <v>0</v>
      </c>
      <c r="I75" s="571">
        <f t="shared" si="26"/>
        <v>0</v>
      </c>
    </row>
    <row r="76" spans="1:10" s="4498" customFormat="1">
      <c r="A76" s="5112"/>
      <c r="B76" s="5131"/>
      <c r="C76" s="572" t="s">
        <v>174</v>
      </c>
      <c r="D76" s="573">
        <f t="shared" ref="D76:I76" si="27">IFERROR(D75/D62,0)</f>
        <v>0</v>
      </c>
      <c r="E76" s="574">
        <f t="shared" si="27"/>
        <v>0</v>
      </c>
      <c r="F76" s="574">
        <f t="shared" si="27"/>
        <v>0</v>
      </c>
      <c r="G76" s="574">
        <f t="shared" si="27"/>
        <v>0</v>
      </c>
      <c r="H76" s="574">
        <f t="shared" si="27"/>
        <v>0</v>
      </c>
      <c r="I76" s="575">
        <f t="shared" si="27"/>
        <v>0</v>
      </c>
    </row>
    <row r="77" spans="1:10" s="4498" customFormat="1" ht="28.5">
      <c r="A77" s="5129"/>
      <c r="B77" s="5136"/>
      <c r="C77" s="572" t="s">
        <v>1125</v>
      </c>
      <c r="D77" s="614">
        <f>IFERROR(D75/'2. Променливи'!E123/365,0)</f>
        <v>0</v>
      </c>
      <c r="E77" s="615">
        <f>IFERROR(E75/'2. Променливи'!F123/365,0)</f>
        <v>0</v>
      </c>
      <c r="F77" s="615">
        <f>IFERROR(F75/'2. Променливи'!G123/365,0)</f>
        <v>0</v>
      </c>
      <c r="G77" s="592">
        <f>IFERROR(G75/'2. Променливи'!H123/365,0)</f>
        <v>0</v>
      </c>
      <c r="H77" s="592">
        <f>IFERROR(H75/'2. Променливи'!I123/365,0)</f>
        <v>0</v>
      </c>
      <c r="I77" s="4499">
        <f>IFERROR(I75/'2. Променливи'!J123/365,0)</f>
        <v>0</v>
      </c>
      <c r="J77" s="4738"/>
    </row>
    <row r="78" spans="1:10" s="4498" customFormat="1" ht="15.75">
      <c r="A78" s="5107" t="s">
        <v>175</v>
      </c>
      <c r="B78" s="5124" t="s">
        <v>586</v>
      </c>
      <c r="C78" s="576" t="s">
        <v>789</v>
      </c>
      <c r="D78" s="593">
        <f>D80+D81</f>
        <v>0</v>
      </c>
      <c r="E78" s="594">
        <f t="shared" ref="E78:I78" si="28">E80+E81</f>
        <v>0</v>
      </c>
      <c r="F78" s="594">
        <f t="shared" si="28"/>
        <v>0</v>
      </c>
      <c r="G78" s="594">
        <f t="shared" si="28"/>
        <v>0</v>
      </c>
      <c r="H78" s="594">
        <f t="shared" si="28"/>
        <v>0</v>
      </c>
      <c r="I78" s="595">
        <f t="shared" si="28"/>
        <v>0</v>
      </c>
    </row>
    <row r="79" spans="1:10" s="4498" customFormat="1">
      <c r="A79" s="5108"/>
      <c r="B79" s="5125"/>
      <c r="C79" s="564" t="s">
        <v>174</v>
      </c>
      <c r="D79" s="596">
        <f t="shared" ref="D79:I79" si="29">IFERROR(D78/D62,0)</f>
        <v>0</v>
      </c>
      <c r="E79" s="597">
        <f t="shared" si="29"/>
        <v>0</v>
      </c>
      <c r="F79" s="597">
        <f t="shared" si="29"/>
        <v>0</v>
      </c>
      <c r="G79" s="597">
        <f>IFERROR(G78/G62,0)</f>
        <v>0</v>
      </c>
      <c r="H79" s="597">
        <f t="shared" si="29"/>
        <v>0</v>
      </c>
      <c r="I79" s="598">
        <f t="shared" si="29"/>
        <v>0</v>
      </c>
    </row>
    <row r="80" spans="1:10" s="4498" customFormat="1" ht="15.75">
      <c r="A80" s="599" t="s">
        <v>587</v>
      </c>
      <c r="B80" s="600" t="s">
        <v>588</v>
      </c>
      <c r="C80" s="564" t="s">
        <v>789</v>
      </c>
      <c r="D80" s="565"/>
      <c r="E80" s="566"/>
      <c r="F80" s="566"/>
      <c r="G80" s="566"/>
      <c r="H80" s="566"/>
      <c r="I80" s="567"/>
    </row>
    <row r="81" spans="1:10" s="4498" customFormat="1" ht="16.5" thickBot="1">
      <c r="A81" s="601" t="s">
        <v>589</v>
      </c>
      <c r="B81" s="602" t="s">
        <v>590</v>
      </c>
      <c r="C81" s="583" t="s">
        <v>789</v>
      </c>
      <c r="D81" s="588"/>
      <c r="E81" s="589"/>
      <c r="F81" s="589"/>
      <c r="G81" s="589"/>
      <c r="H81" s="589"/>
      <c r="I81" s="590"/>
    </row>
    <row r="82" spans="1:10" s="4498" customFormat="1" ht="15.75">
      <c r="A82" s="5107" t="s">
        <v>176</v>
      </c>
      <c r="B82" s="5109" t="s">
        <v>591</v>
      </c>
      <c r="C82" s="603" t="s">
        <v>789</v>
      </c>
      <c r="D82" s="593">
        <f>SUM(D84:D87)</f>
        <v>0</v>
      </c>
      <c r="E82" s="594">
        <f t="shared" ref="E82:I82" si="30">SUM(E84:E87)</f>
        <v>0</v>
      </c>
      <c r="F82" s="594">
        <f t="shared" si="30"/>
        <v>0</v>
      </c>
      <c r="G82" s="594">
        <f t="shared" si="30"/>
        <v>0</v>
      </c>
      <c r="H82" s="594">
        <f t="shared" si="30"/>
        <v>0</v>
      </c>
      <c r="I82" s="595">
        <f t="shared" si="30"/>
        <v>0</v>
      </c>
    </row>
    <row r="83" spans="1:10" s="4498" customFormat="1">
      <c r="A83" s="5108"/>
      <c r="B83" s="5110"/>
      <c r="C83" s="564" t="s">
        <v>174</v>
      </c>
      <c r="D83" s="596">
        <f t="shared" ref="D83:I83" si="31">IFERROR(D82/D62,0)</f>
        <v>0</v>
      </c>
      <c r="E83" s="597">
        <f t="shared" si="31"/>
        <v>0</v>
      </c>
      <c r="F83" s="597">
        <f t="shared" si="31"/>
        <v>0</v>
      </c>
      <c r="G83" s="597">
        <f t="shared" si="31"/>
        <v>0</v>
      </c>
      <c r="H83" s="597">
        <f t="shared" si="31"/>
        <v>0</v>
      </c>
      <c r="I83" s="598">
        <f t="shared" si="31"/>
        <v>0</v>
      </c>
    </row>
    <row r="84" spans="1:10" s="4498" customFormat="1" ht="36.75" customHeight="1">
      <c r="A84" s="599" t="s">
        <v>592</v>
      </c>
      <c r="B84" s="604" t="s">
        <v>593</v>
      </c>
      <c r="C84" s="564" t="s">
        <v>789</v>
      </c>
      <c r="D84" s="565"/>
      <c r="E84" s="566"/>
      <c r="F84" s="566"/>
      <c r="G84" s="566"/>
      <c r="H84" s="566"/>
      <c r="I84" s="567"/>
    </row>
    <row r="85" spans="1:10" s="4495" customFormat="1" ht="31.5" customHeight="1">
      <c r="A85" s="599" t="s">
        <v>594</v>
      </c>
      <c r="B85" s="604" t="s">
        <v>595</v>
      </c>
      <c r="C85" s="564" t="s">
        <v>789</v>
      </c>
      <c r="D85" s="565"/>
      <c r="E85" s="566"/>
      <c r="F85" s="566"/>
      <c r="G85" s="566"/>
      <c r="H85" s="566"/>
      <c r="I85" s="567"/>
    </row>
    <row r="86" spans="1:10" s="4495" customFormat="1" ht="36" customHeight="1">
      <c r="A86" s="599" t="s">
        <v>596</v>
      </c>
      <c r="B86" s="604" t="s">
        <v>597</v>
      </c>
      <c r="C86" s="564" t="s">
        <v>789</v>
      </c>
      <c r="D86" s="565"/>
      <c r="E86" s="566"/>
      <c r="F86" s="566"/>
      <c r="G86" s="566"/>
      <c r="H86" s="566"/>
      <c r="I86" s="567"/>
    </row>
    <row r="87" spans="1:10" s="4495" customFormat="1" ht="16.5" thickBot="1">
      <c r="A87" s="601" t="s">
        <v>598</v>
      </c>
      <c r="B87" s="605" t="s">
        <v>599</v>
      </c>
      <c r="C87" s="583" t="s">
        <v>789</v>
      </c>
      <c r="D87" s="588"/>
      <c r="E87" s="589"/>
      <c r="F87" s="589"/>
      <c r="G87" s="589"/>
      <c r="H87" s="589"/>
      <c r="I87" s="590"/>
    </row>
    <row r="88" spans="1:10" s="4495" customFormat="1" ht="15.75">
      <c r="A88" s="5111" t="s">
        <v>103</v>
      </c>
      <c r="B88" s="5114" t="s">
        <v>600</v>
      </c>
      <c r="C88" s="606" t="s">
        <v>789</v>
      </c>
      <c r="D88" s="569">
        <f>D75+D71</f>
        <v>0</v>
      </c>
      <c r="E88" s="570">
        <f t="shared" ref="E88:I88" si="32">E75+E71</f>
        <v>0</v>
      </c>
      <c r="F88" s="570">
        <f t="shared" si="32"/>
        <v>0</v>
      </c>
      <c r="G88" s="570">
        <f t="shared" si="32"/>
        <v>0</v>
      </c>
      <c r="H88" s="570">
        <f t="shared" si="32"/>
        <v>0</v>
      </c>
      <c r="I88" s="571">
        <f t="shared" si="32"/>
        <v>0</v>
      </c>
    </row>
    <row r="89" spans="1:10" s="4495" customFormat="1">
      <c r="A89" s="5112"/>
      <c r="B89" s="5115"/>
      <c r="C89" s="572" t="s">
        <v>174</v>
      </c>
      <c r="D89" s="1031">
        <f t="shared" ref="D89:I89" si="33">IFERROR(D88/D62,0)</f>
        <v>0</v>
      </c>
      <c r="E89" s="1032">
        <f t="shared" si="33"/>
        <v>0</v>
      </c>
      <c r="F89" s="1032">
        <f t="shared" si="33"/>
        <v>0</v>
      </c>
      <c r="G89" s="1032">
        <f t="shared" si="33"/>
        <v>0</v>
      </c>
      <c r="H89" s="1032">
        <f t="shared" si="33"/>
        <v>0</v>
      </c>
      <c r="I89" s="1033">
        <f t="shared" si="33"/>
        <v>0</v>
      </c>
    </row>
    <row r="90" spans="1:10" s="4495" customFormat="1" ht="28.5">
      <c r="A90" s="5112"/>
      <c r="B90" s="5115"/>
      <c r="C90" s="572" t="s">
        <v>1125</v>
      </c>
      <c r="D90" s="591">
        <f>IFERROR(D88/'2. Променливи'!E123/365,0)</f>
        <v>0</v>
      </c>
      <c r="E90" s="592">
        <f>IFERROR(E88/'2. Променливи'!F123/365,0)</f>
        <v>0</v>
      </c>
      <c r="F90" s="616">
        <f>IFERROR(F88/'2. Променливи'!G123/365,0)</f>
        <v>0</v>
      </c>
      <c r="G90" s="615">
        <f>IFERROR(G88/'2. Променливи'!H123/365,0)</f>
        <v>0</v>
      </c>
      <c r="H90" s="615">
        <f>IFERROR(H88/'2. Променливи'!I123/365,0)</f>
        <v>0</v>
      </c>
      <c r="I90" s="617">
        <f>IFERROR(I88/'2. Променливи'!J123/365,0)</f>
        <v>0</v>
      </c>
    </row>
    <row r="91" spans="1:10" s="4495" customFormat="1" ht="13.5" thickBot="1">
      <c r="A91" s="5113"/>
      <c r="B91" s="5116"/>
      <c r="C91" s="607" t="s">
        <v>733</v>
      </c>
      <c r="D91" s="608">
        <f t="shared" ref="D91:I91" si="34">D62-D69-D88</f>
        <v>0</v>
      </c>
      <c r="E91" s="609">
        <f t="shared" si="34"/>
        <v>0</v>
      </c>
      <c r="F91" s="609">
        <f t="shared" si="34"/>
        <v>0</v>
      </c>
      <c r="G91" s="609">
        <f t="shared" si="34"/>
        <v>0</v>
      </c>
      <c r="H91" s="609">
        <f t="shared" si="34"/>
        <v>0</v>
      </c>
      <c r="I91" s="610">
        <f t="shared" si="34"/>
        <v>0</v>
      </c>
    </row>
    <row r="92" spans="1:10" s="4495" customFormat="1" ht="27" customHeight="1" thickBot="1">
      <c r="A92" s="553" t="s">
        <v>1127</v>
      </c>
      <c r="B92" s="4500" t="s">
        <v>1320</v>
      </c>
      <c r="C92" s="1021"/>
      <c r="D92" s="554"/>
      <c r="E92" s="555"/>
      <c r="F92" s="555"/>
      <c r="G92" s="555"/>
      <c r="H92" s="555"/>
      <c r="I92" s="556"/>
    </row>
    <row r="93" spans="1:10" s="4495" customFormat="1" ht="24.75" customHeight="1">
      <c r="A93" s="557" t="s">
        <v>210</v>
      </c>
      <c r="B93" s="558" t="s">
        <v>576</v>
      </c>
      <c r="C93" s="559" t="s">
        <v>789</v>
      </c>
      <c r="D93" s="560">
        <f>D94+D95+D96+D97</f>
        <v>0</v>
      </c>
      <c r="E93" s="561">
        <f t="shared" ref="E93:I93" si="35">E94+E95+E96+E97</f>
        <v>0</v>
      </c>
      <c r="F93" s="561">
        <f t="shared" si="35"/>
        <v>0</v>
      </c>
      <c r="G93" s="561">
        <f t="shared" si="35"/>
        <v>0</v>
      </c>
      <c r="H93" s="561">
        <f t="shared" si="35"/>
        <v>0</v>
      </c>
      <c r="I93" s="562">
        <f t="shared" si="35"/>
        <v>0</v>
      </c>
    </row>
    <row r="94" spans="1:10" s="4501" customFormat="1" ht="33" customHeight="1">
      <c r="A94" s="563" t="s">
        <v>93</v>
      </c>
      <c r="B94" s="604" t="s">
        <v>914</v>
      </c>
      <c r="C94" s="564" t="s">
        <v>789</v>
      </c>
      <c r="D94" s="1022">
        <f>'4.2. Продад. и закупени кол-ва'!D11+'4.2. Продад. и закупени кол-ва'!D30+'4.2. Продад. и закупени кол-ва'!D49</f>
        <v>0</v>
      </c>
      <c r="E94" s="1022">
        <f>'4.2. Продад. и закупени кол-ва'!E11+'4.2. Продад. и закупени кол-ва'!E30+'4.2. Продад. и закупени кол-ва'!E49</f>
        <v>0</v>
      </c>
      <c r="F94" s="1022">
        <f>'4.2. Продад. и закупени кол-ва'!F11+'4.2. Продад. и закупени кол-ва'!F30+'4.2. Продад. и закупени кол-ва'!F49</f>
        <v>0</v>
      </c>
      <c r="G94" s="1022">
        <f>'4.2. Продад. и закупени кол-ва'!G11+'4.2. Продад. и закупени кол-ва'!G30+'4.2. Продад. и закупени кол-ва'!G49</f>
        <v>0</v>
      </c>
      <c r="H94" s="1022">
        <f>'4.2. Продад. и закупени кол-ва'!H11+'4.2. Продад. и закупени кол-ва'!H30+'4.2. Продад. и закупени кол-ва'!H49</f>
        <v>0</v>
      </c>
      <c r="I94" s="1023">
        <f>'4.2. Продад. и закупени кол-ва'!I11+'4.2. Продад. и закупени кол-ва'!I30+'4.2. Продад. и закупени кол-ва'!I49</f>
        <v>0</v>
      </c>
    </row>
    <row r="95" spans="1:10" s="4501" customFormat="1" ht="22.5" customHeight="1">
      <c r="A95" s="563" t="s">
        <v>94</v>
      </c>
      <c r="B95" s="604" t="s">
        <v>915</v>
      </c>
      <c r="C95" s="564" t="s">
        <v>789</v>
      </c>
      <c r="D95" s="1022">
        <f>'4.2. Продад. и закупени кол-ва'!D12+'4.2. Продад. и закупени кол-ва'!D31+'4.2. Продад. и закупени кол-ва'!D50</f>
        <v>0</v>
      </c>
      <c r="E95" s="1022">
        <f>'4.2. Продад. и закупени кол-ва'!E12+'4.2. Продад. и закупени кол-ва'!E31+'4.2. Продад. и закупени кол-ва'!E50</f>
        <v>0</v>
      </c>
      <c r="F95" s="1022">
        <f>'4.2. Продад. и закупени кол-ва'!F12+'4.2. Продад. и закупени кол-ва'!F31+'4.2. Продад. и закупени кол-ва'!F50</f>
        <v>0</v>
      </c>
      <c r="G95" s="1022">
        <f>'4.2. Продад. и закупени кол-ва'!G12+'4.2. Продад. и закупени кол-ва'!G31+'4.2. Продад. и закупени кол-ва'!G50</f>
        <v>0</v>
      </c>
      <c r="H95" s="1022">
        <f>'4.2. Продад. и закупени кол-ва'!H12+'4.2. Продад. и закупени кол-ва'!H31+'4.2. Продад. и закупени кол-ва'!H50</f>
        <v>0</v>
      </c>
      <c r="I95" s="4489">
        <f>'4.2. Продад. и закупени кол-ва'!I12+'4.2. Продад. и закупени кол-ва'!I31+'4.2. Продад. и закупени кол-ва'!I50</f>
        <v>0</v>
      </c>
      <c r="J95" s="4739"/>
    </row>
    <row r="96" spans="1:10" s="4501" customFormat="1" ht="36" customHeight="1">
      <c r="A96" s="563" t="s">
        <v>96</v>
      </c>
      <c r="B96" s="604" t="s">
        <v>916</v>
      </c>
      <c r="C96" s="564" t="s">
        <v>789</v>
      </c>
      <c r="D96" s="1022">
        <f>'4.2. Продад. и закупени кол-ва'!D13+'4.2. Продад. и закупени кол-ва'!D32+'4.2. Продад. и закупени кол-ва'!D51</f>
        <v>0</v>
      </c>
      <c r="E96" s="1022">
        <f>'4.2. Продад. и закупени кол-ва'!E13+'4.2. Продад. и закупени кол-ва'!E32+'4.2. Продад. и закупени кол-ва'!E51</f>
        <v>0</v>
      </c>
      <c r="F96" s="1022">
        <f>'4.2. Продад. и закупени кол-ва'!F13+'4.2. Продад. и закупени кол-ва'!F32+'4.2. Продад. и закупени кол-ва'!F51</f>
        <v>0</v>
      </c>
      <c r="G96" s="1022">
        <f>'4.2. Продад. и закупени кол-ва'!G13+'4.2. Продад. и закупени кол-ва'!G32+'4.2. Продад. и закупени кол-ва'!G51</f>
        <v>0</v>
      </c>
      <c r="H96" s="1022">
        <f>'4.2. Продад. и закупени кол-ва'!H13+'4.2. Продад. и закупени кол-ва'!H32+'4.2. Продад. и закупени кол-ва'!H51</f>
        <v>0</v>
      </c>
      <c r="I96" s="1023">
        <f>'4.2. Продад. и закупени кол-ва'!I13+'4.2. Продад. и закупени кол-ва'!I32+'4.2. Продад. и закупени кол-ва'!I51</f>
        <v>0</v>
      </c>
    </row>
    <row r="97" spans="1:10" s="4501" customFormat="1" ht="34.5" customHeight="1" thickBot="1">
      <c r="A97" s="568" t="s">
        <v>149</v>
      </c>
      <c r="B97" s="604" t="s">
        <v>917</v>
      </c>
      <c r="C97" s="564" t="s">
        <v>789</v>
      </c>
      <c r="D97" s="1022">
        <f>'4.2. Продад. и закупени кол-ва'!D14+'4.2. Продад. и закупени кол-ва'!D33+'4.2. Продад. и закупени кол-ва'!D52</f>
        <v>0</v>
      </c>
      <c r="E97" s="1022">
        <f>'4.2. Продад. и закупени кол-ва'!E14+'4.2. Продад. и закупени кол-ва'!E33+'4.2. Продад. и закупени кол-ва'!E52</f>
        <v>0</v>
      </c>
      <c r="F97" s="1022">
        <f>'4.2. Продад. и закупени кол-ва'!F14+'4.2. Продад. и закупени кол-ва'!F33+'4.2. Продад. и закупени кол-ва'!F52</f>
        <v>0</v>
      </c>
      <c r="G97" s="1022">
        <f>'4.2. Продад. и закупени кол-ва'!G14+'4.2. Продад. и закупени кол-ва'!G33+'4.2. Продад. и закупени кол-ва'!G52</f>
        <v>0</v>
      </c>
      <c r="H97" s="1022">
        <f>'4.2. Продад. и закупени кол-ва'!H14+'4.2. Продад. и закупени кол-ва'!H33+'4.2. Продад. и закупени кол-ва'!H52</f>
        <v>0</v>
      </c>
      <c r="I97" s="1024">
        <f>'4.2. Продад. и закупени кол-ва'!I14+'4.2. Продад. и закупени кол-ва'!I33+'4.2. Продад. и закупени кол-ва'!I52</f>
        <v>0</v>
      </c>
      <c r="J97" s="4739"/>
    </row>
    <row r="98" spans="1:10" s="4501" customFormat="1" ht="15.75">
      <c r="A98" s="5111" t="s">
        <v>98</v>
      </c>
      <c r="B98" s="5130" t="s">
        <v>577</v>
      </c>
      <c r="C98" s="559" t="s">
        <v>789</v>
      </c>
      <c r="D98" s="569">
        <f t="shared" ref="D98:I98" si="36">D100+D102</f>
        <v>0</v>
      </c>
      <c r="E98" s="570">
        <f t="shared" si="36"/>
        <v>0</v>
      </c>
      <c r="F98" s="570">
        <f t="shared" si="36"/>
        <v>0</v>
      </c>
      <c r="G98" s="570">
        <f t="shared" si="36"/>
        <v>0</v>
      </c>
      <c r="H98" s="570">
        <f t="shared" si="36"/>
        <v>0</v>
      </c>
      <c r="I98" s="571">
        <f t="shared" si="36"/>
        <v>0</v>
      </c>
    </row>
    <row r="99" spans="1:10" s="4501" customFormat="1" ht="13.5" thickBot="1">
      <c r="A99" s="5112"/>
      <c r="B99" s="5131"/>
      <c r="C99" s="834" t="s">
        <v>174</v>
      </c>
      <c r="D99" s="835">
        <f t="shared" ref="D99:I99" si="37">IFERROR(D98/D93,0)</f>
        <v>0</v>
      </c>
      <c r="E99" s="837">
        <f t="shared" si="37"/>
        <v>0</v>
      </c>
      <c r="F99" s="837">
        <f t="shared" si="37"/>
        <v>0</v>
      </c>
      <c r="G99" s="837">
        <f t="shared" si="37"/>
        <v>0</v>
      </c>
      <c r="H99" s="837">
        <f t="shared" si="37"/>
        <v>0</v>
      </c>
      <c r="I99" s="840">
        <f t="shared" si="37"/>
        <v>0</v>
      </c>
    </row>
    <row r="100" spans="1:10" s="4501" customFormat="1" ht="15.75">
      <c r="A100" s="5132" t="s">
        <v>99</v>
      </c>
      <c r="B100" s="5134" t="s">
        <v>578</v>
      </c>
      <c r="C100" s="603" t="s">
        <v>789</v>
      </c>
      <c r="D100" s="1550">
        <f>'4.2. Продад. и закупени кол-ва'!D15+'4.2. Продад. и закупени кол-ва'!D34+'4.2. Продад. и закупени кол-ва'!D53</f>
        <v>0</v>
      </c>
      <c r="E100" s="885">
        <f>'4.2. Продад. и закупени кол-ва'!E15+'4.2. Продад. и закупени кол-ва'!E34+'4.2. Продад. и закупени кол-ва'!E53</f>
        <v>0</v>
      </c>
      <c r="F100" s="885">
        <f>'4.2. Продад. и закупени кол-ва'!F15+'4.2. Продад. и закупени кол-ва'!F34+'4.2. Продад. и закупени кол-ва'!F53</f>
        <v>0</v>
      </c>
      <c r="G100" s="885">
        <f>'4.2. Продад. и закупени кол-ва'!G15+'4.2. Продад. и закупени кол-ва'!G34+'4.2. Продад. и закупени кол-ва'!G53</f>
        <v>0</v>
      </c>
      <c r="H100" s="885">
        <f>'4.2. Продад. и закупени кол-ва'!H15+'4.2. Продад. и закупени кол-ва'!H34+'4.2. Продад. и закупени кол-ва'!H53</f>
        <v>0</v>
      </c>
      <c r="I100" s="886">
        <f>'4.2. Продад. и закупени кол-ва'!I15+'4.2. Продад. и закупени кол-ва'!I34+'4.2. Продад. и закупени кол-ва'!I53</f>
        <v>0</v>
      </c>
    </row>
    <row r="101" spans="1:10" s="4501" customFormat="1">
      <c r="A101" s="5133"/>
      <c r="B101" s="5135"/>
      <c r="C101" s="564" t="s">
        <v>174</v>
      </c>
      <c r="D101" s="580">
        <f t="shared" ref="D101:I101" si="38">IFERROR(D100/D93,0)</f>
        <v>0</v>
      </c>
      <c r="E101" s="581">
        <f t="shared" si="38"/>
        <v>0</v>
      </c>
      <c r="F101" s="581">
        <f t="shared" si="38"/>
        <v>0</v>
      </c>
      <c r="G101" s="581">
        <f t="shared" si="38"/>
        <v>0</v>
      </c>
      <c r="H101" s="581">
        <f t="shared" si="38"/>
        <v>0</v>
      </c>
      <c r="I101" s="582">
        <f t="shared" si="38"/>
        <v>0</v>
      </c>
    </row>
    <row r="102" spans="1:10" s="4501" customFormat="1" ht="15.75">
      <c r="A102" s="5117" t="s">
        <v>100</v>
      </c>
      <c r="B102" s="5119" t="s">
        <v>694</v>
      </c>
      <c r="C102" s="564" t="s">
        <v>789</v>
      </c>
      <c r="D102" s="4502">
        <f>'4.2. Продад. и закупени кол-ва'!D17+'4.2. Продад. и закупени кол-ва'!D36+'4.2. Продад. и закупени кол-ва'!D55</f>
        <v>0</v>
      </c>
      <c r="E102" s="4503">
        <f>'4.2. Продад. и закупени кол-ва'!E17+'4.2. Продад. и закупени кол-ва'!E36+'4.2. Продад. и закупени кол-ва'!E55</f>
        <v>0</v>
      </c>
      <c r="F102" s="4503">
        <f>'4.2. Продад. и закупени кол-ва'!F17+'4.2. Продад. и закупени кол-ва'!F36+'4.2. Продад. и закупени кол-ва'!F55</f>
        <v>0</v>
      </c>
      <c r="G102" s="4503">
        <f>'4.2. Продад. и закупени кол-ва'!G17+'4.2. Продад. и закупени кол-ва'!G36+'4.2. Продад. и закупени кол-ва'!G55</f>
        <v>0</v>
      </c>
      <c r="H102" s="4503">
        <f>'4.2. Продад. и закупени кол-ва'!H17+'4.2. Продад. и закупени кол-ва'!H36+'4.2. Продад. и закупени кол-ва'!H55</f>
        <v>0</v>
      </c>
      <c r="I102" s="4504">
        <f>'4.2. Продад. и закупени кол-ва'!I17+'4.2. Продад. и закупени кол-ва'!I36+'4.2. Продад. и закупени кол-ва'!I55</f>
        <v>0</v>
      </c>
    </row>
    <row r="103" spans="1:10" s="4501" customFormat="1" ht="13.5" thickBot="1">
      <c r="A103" s="5118"/>
      <c r="B103" s="5120"/>
      <c r="C103" s="583" t="s">
        <v>174</v>
      </c>
      <c r="D103" s="1015">
        <f t="shared" ref="D103:I103" si="39">IFERROR(D102/D93,0)</f>
        <v>0</v>
      </c>
      <c r="E103" s="1016">
        <f t="shared" si="39"/>
        <v>0</v>
      </c>
      <c r="F103" s="1016">
        <f t="shared" si="39"/>
        <v>0</v>
      </c>
      <c r="G103" s="1016">
        <f t="shared" si="39"/>
        <v>0</v>
      </c>
      <c r="H103" s="1016">
        <f t="shared" si="39"/>
        <v>0</v>
      </c>
      <c r="I103" s="1017">
        <f t="shared" si="39"/>
        <v>0</v>
      </c>
    </row>
    <row r="104" spans="1:10" s="4501" customFormat="1" ht="15.75">
      <c r="A104" s="5111" t="s">
        <v>102</v>
      </c>
      <c r="B104" s="5121" t="s">
        <v>695</v>
      </c>
      <c r="C104" s="559" t="s">
        <v>789</v>
      </c>
      <c r="D104" s="569">
        <f t="shared" ref="D104:I104" si="40">D106+D108</f>
        <v>0</v>
      </c>
      <c r="E104" s="570">
        <f t="shared" si="40"/>
        <v>0</v>
      </c>
      <c r="F104" s="570">
        <f t="shared" si="40"/>
        <v>0</v>
      </c>
      <c r="G104" s="570">
        <f t="shared" si="40"/>
        <v>0</v>
      </c>
      <c r="H104" s="570">
        <f t="shared" si="40"/>
        <v>0</v>
      </c>
      <c r="I104" s="571">
        <f t="shared" si="40"/>
        <v>0</v>
      </c>
    </row>
    <row r="105" spans="1:10" s="4501" customFormat="1" ht="13.5" thickBot="1">
      <c r="A105" s="5113"/>
      <c r="B105" s="5122"/>
      <c r="C105" s="607" t="s">
        <v>174</v>
      </c>
      <c r="D105" s="1012">
        <f t="shared" ref="D105:I105" si="41">IFERROR(D104/D93,0)</f>
        <v>0</v>
      </c>
      <c r="E105" s="839">
        <f t="shared" si="41"/>
        <v>0</v>
      </c>
      <c r="F105" s="839">
        <f t="shared" si="41"/>
        <v>0</v>
      </c>
      <c r="G105" s="839">
        <f t="shared" si="41"/>
        <v>0</v>
      </c>
      <c r="H105" s="839">
        <f t="shared" si="41"/>
        <v>0</v>
      </c>
      <c r="I105" s="1013">
        <f t="shared" si="41"/>
        <v>0</v>
      </c>
    </row>
    <row r="106" spans="1:10" s="4501" customFormat="1" ht="15.75">
      <c r="A106" s="5123" t="s">
        <v>175</v>
      </c>
      <c r="B106" s="5124" t="s">
        <v>586</v>
      </c>
      <c r="C106" s="603" t="s">
        <v>789</v>
      </c>
      <c r="D106" s="836">
        <f>'4.2. Продад. и закупени кол-ва'!D21+'4.2. Продад. и закупени кол-ва'!D40+'4.2. Продад. и закупени кол-ва'!D59</f>
        <v>0</v>
      </c>
      <c r="E106" s="838">
        <f>'4.2. Продад. и закупени кол-ва'!E21+'4.2. Продад. и закупени кол-ва'!E40+'4.2. Продад. и закупени кол-ва'!E59</f>
        <v>0</v>
      </c>
      <c r="F106" s="594">
        <f>'4.2. Продад. и закупени кол-ва'!F21+'4.2. Продад. и закупени кол-ва'!F40+'4.2. Продад. и закупени кол-ва'!F59</f>
        <v>0</v>
      </c>
      <c r="G106" s="838">
        <f>'4.2. Продад. и закупени кол-ва'!G21+'4.2. Продад. и закупени кол-ва'!G40+'4.2. Продад. и закупени кол-ва'!G59</f>
        <v>0</v>
      </c>
      <c r="H106" s="594">
        <f>'4.2. Продад. и закупени кол-ва'!H21+'4.2. Продад. и закупени кол-ва'!H40+'4.2. Продад. и закупени кол-ва'!H59</f>
        <v>0</v>
      </c>
      <c r="I106" s="841">
        <f>'4.2. Продад. и закупени кол-ва'!I21+'4.2. Продад. и закупени кол-ва'!I40+'4.2. Продад. и закупени кол-ва'!I59</f>
        <v>0</v>
      </c>
    </row>
    <row r="107" spans="1:10" s="4501" customFormat="1">
      <c r="A107" s="5108"/>
      <c r="B107" s="5125"/>
      <c r="C107" s="1014" t="s">
        <v>174</v>
      </c>
      <c r="D107" s="596">
        <f t="shared" ref="D107:I107" si="42">IFERROR(D106/D93,0)</f>
        <v>0</v>
      </c>
      <c r="E107" s="597">
        <f t="shared" si="42"/>
        <v>0</v>
      </c>
      <c r="F107" s="597">
        <f t="shared" si="42"/>
        <v>0</v>
      </c>
      <c r="G107" s="597">
        <f t="shared" si="42"/>
        <v>0</v>
      </c>
      <c r="H107" s="597">
        <f t="shared" si="42"/>
        <v>0</v>
      </c>
      <c r="I107" s="598">
        <f t="shared" si="42"/>
        <v>0</v>
      </c>
    </row>
    <row r="108" spans="1:10" s="4501" customFormat="1" ht="15.75">
      <c r="A108" s="5107" t="s">
        <v>176</v>
      </c>
      <c r="B108" s="5109" t="s">
        <v>591</v>
      </c>
      <c r="C108" s="564" t="s">
        <v>789</v>
      </c>
      <c r="D108" s="593">
        <f>'4.2. Продад. и закупени кол-ва'!D23+'4.2. Продад. и закупени кол-ва'!D42+'4.2. Продад. и закупени кол-ва'!D61</f>
        <v>0</v>
      </c>
      <c r="E108" s="594">
        <f>'4.2. Продад. и закупени кол-ва'!E23+'4.2. Продад. и закупени кол-ва'!E42+'4.2. Продад. и закупени кол-ва'!E61</f>
        <v>0</v>
      </c>
      <c r="F108" s="594">
        <f>'4.2. Продад. и закупени кол-ва'!F23+'4.2. Продад. и закупени кол-ва'!F42+'4.2. Продад. и закупени кол-ва'!F61</f>
        <v>0</v>
      </c>
      <c r="G108" s="594">
        <f>'4.2. Продад. и закупени кол-ва'!G23+'4.2. Продад. и закупени кол-ва'!G42+'4.2. Продад. и закупени кол-ва'!G61</f>
        <v>0</v>
      </c>
      <c r="H108" s="594">
        <f>'4.2. Продад. и закупени кол-ва'!H23+'4.2. Продад. и закупени кол-ва'!H42+'4.2. Продад. и закупени кол-ва'!H61</f>
        <v>0</v>
      </c>
      <c r="I108" s="595">
        <f>'4.2. Продад. и закупени кол-ва'!I23+'4.2. Продад. и закупени кол-ва'!I42+'4.2. Продад. и закупени кол-ва'!I61</f>
        <v>0</v>
      </c>
    </row>
    <row r="109" spans="1:10" s="4501" customFormat="1" ht="13.5" thickBot="1">
      <c r="A109" s="5108"/>
      <c r="B109" s="5110"/>
      <c r="C109" s="564" t="s">
        <v>174</v>
      </c>
      <c r="D109" s="596">
        <f t="shared" ref="D109:I109" si="43">IFERROR(D108/D93,0)</f>
        <v>0</v>
      </c>
      <c r="E109" s="597">
        <f t="shared" si="43"/>
        <v>0</v>
      </c>
      <c r="F109" s="597">
        <f t="shared" si="43"/>
        <v>0</v>
      </c>
      <c r="G109" s="597">
        <f t="shared" si="43"/>
        <v>0</v>
      </c>
      <c r="H109" s="597">
        <f t="shared" si="43"/>
        <v>0</v>
      </c>
      <c r="I109" s="598">
        <f t="shared" si="43"/>
        <v>0</v>
      </c>
    </row>
    <row r="110" spans="1:10" s="4501" customFormat="1" ht="15.75">
      <c r="A110" s="5111" t="s">
        <v>103</v>
      </c>
      <c r="B110" s="5114" t="s">
        <v>600</v>
      </c>
      <c r="C110" s="606" t="s">
        <v>789</v>
      </c>
      <c r="D110" s="874">
        <f t="shared" ref="D110:I110" si="44">D104+D102</f>
        <v>0</v>
      </c>
      <c r="E110" s="570">
        <f t="shared" si="44"/>
        <v>0</v>
      </c>
      <c r="F110" s="1001">
        <f t="shared" si="44"/>
        <v>0</v>
      </c>
      <c r="G110" s="1002">
        <f t="shared" si="44"/>
        <v>0</v>
      </c>
      <c r="H110" s="1002">
        <f t="shared" si="44"/>
        <v>0</v>
      </c>
      <c r="I110" s="571">
        <f t="shared" si="44"/>
        <v>0</v>
      </c>
      <c r="J110" s="4739"/>
    </row>
    <row r="111" spans="1:10" s="4501" customFormat="1">
      <c r="A111" s="5112"/>
      <c r="B111" s="5115"/>
      <c r="C111" s="572" t="s">
        <v>174</v>
      </c>
      <c r="D111" s="1031">
        <f t="shared" ref="D111:I111" si="45">IFERROR(D110/D93,0)</f>
        <v>0</v>
      </c>
      <c r="E111" s="1032">
        <f t="shared" si="45"/>
        <v>0</v>
      </c>
      <c r="F111" s="1032">
        <f t="shared" si="45"/>
        <v>0</v>
      </c>
      <c r="G111" s="1032">
        <f t="shared" si="45"/>
        <v>0</v>
      </c>
      <c r="H111" s="1032">
        <f t="shared" si="45"/>
        <v>0</v>
      </c>
      <c r="I111" s="1033">
        <f t="shared" si="45"/>
        <v>0</v>
      </c>
    </row>
    <row r="112" spans="1:10" s="4501" customFormat="1" ht="13.5" thickBot="1">
      <c r="A112" s="5113"/>
      <c r="B112" s="5116"/>
      <c r="C112" s="607" t="s">
        <v>733</v>
      </c>
      <c r="D112" s="608">
        <f t="shared" ref="D112:I112" si="46">D93-D100-D110</f>
        <v>0</v>
      </c>
      <c r="E112" s="609">
        <f t="shared" si="46"/>
        <v>0</v>
      </c>
      <c r="F112" s="609">
        <f t="shared" si="46"/>
        <v>0</v>
      </c>
      <c r="G112" s="609">
        <f t="shared" si="46"/>
        <v>0</v>
      </c>
      <c r="H112" s="609">
        <f t="shared" si="46"/>
        <v>0</v>
      </c>
      <c r="I112" s="610">
        <f t="shared" si="46"/>
        <v>0</v>
      </c>
    </row>
    <row r="113" spans="1:12" s="4501" customFormat="1" ht="25.5">
      <c r="A113" s="998"/>
      <c r="B113" s="1025" t="s">
        <v>1363</v>
      </c>
      <c r="C113" s="1026"/>
      <c r="D113" s="1026">
        <f t="shared" ref="D113:I113" si="47">D100-(D14+D16)</f>
        <v>0</v>
      </c>
      <c r="E113" s="1027">
        <f t="shared" si="47"/>
        <v>0</v>
      </c>
      <c r="F113" s="1027">
        <f t="shared" si="47"/>
        <v>0</v>
      </c>
      <c r="G113" s="1027">
        <f t="shared" si="47"/>
        <v>0</v>
      </c>
      <c r="H113" s="1026">
        <f t="shared" si="47"/>
        <v>0</v>
      </c>
      <c r="I113" s="1026">
        <f t="shared" si="47"/>
        <v>0</v>
      </c>
    </row>
    <row r="114" spans="1:12" s="4501" customFormat="1" ht="25.5">
      <c r="A114" s="999"/>
      <c r="B114" s="1025" t="s">
        <v>1364</v>
      </c>
      <c r="C114" s="1028"/>
      <c r="D114" s="1029">
        <f t="shared" ref="D114:I114" si="48">D110-(D15+D17)</f>
        <v>0</v>
      </c>
      <c r="E114" s="1030">
        <f t="shared" si="48"/>
        <v>0</v>
      </c>
      <c r="F114" s="1030">
        <f t="shared" si="48"/>
        <v>0</v>
      </c>
      <c r="G114" s="1030">
        <f t="shared" si="48"/>
        <v>0</v>
      </c>
      <c r="H114" s="1029">
        <f t="shared" si="48"/>
        <v>0</v>
      </c>
      <c r="I114" s="1029">
        <f t="shared" si="48"/>
        <v>0</v>
      </c>
    </row>
    <row r="115" spans="1:12">
      <c r="J115" s="51"/>
      <c r="K115" s="51"/>
    </row>
    <row r="116" spans="1:12">
      <c r="B116" s="1970" t="str">
        <f>'Приложение '!B81</f>
        <v>Дата: 24 юни 2021 година</v>
      </c>
      <c r="F116" s="1971" t="str">
        <f>'Приложение '!C81</f>
        <v xml:space="preserve">Гл. счетоводител/Фин.директор: </v>
      </c>
      <c r="G116" s="1962" t="str">
        <f>'Приложение '!D81</f>
        <v>..............................................</v>
      </c>
      <c r="J116" s="53"/>
      <c r="K116" s="53"/>
    </row>
    <row r="117" spans="1:12">
      <c r="B117" s="1972"/>
      <c r="C117" s="5150"/>
      <c r="D117" s="5150"/>
      <c r="E117" s="1972"/>
      <c r="F117" s="1971"/>
      <c r="G117" s="1973" t="str">
        <f>'Приложение '!D82</f>
        <v>(подпис)</v>
      </c>
      <c r="I117" s="1974"/>
      <c r="J117" s="53"/>
      <c r="K117" s="53"/>
      <c r="L117" s="52"/>
    </row>
    <row r="118" spans="1:12">
      <c r="E118" s="1972"/>
      <c r="F118" s="1971"/>
      <c r="I118" s="1974"/>
      <c r="J118" s="53"/>
      <c r="K118" s="53"/>
      <c r="L118" s="52"/>
    </row>
    <row r="119" spans="1:12">
      <c r="E119" s="1972"/>
      <c r="F119" s="1971"/>
      <c r="I119" s="1974"/>
      <c r="J119" s="53"/>
      <c r="K119" s="53"/>
      <c r="L119" s="52"/>
    </row>
    <row r="120" spans="1:12">
      <c r="E120" s="1972"/>
      <c r="F120" s="1971" t="str">
        <f>'Приложение '!C85</f>
        <v xml:space="preserve">Управител/Изп.директор: </v>
      </c>
      <c r="G120" s="1962" t="str">
        <f>'Приложение '!D85</f>
        <v>.............................................</v>
      </c>
      <c r="I120" s="1974"/>
      <c r="J120" s="53"/>
      <c r="K120" s="53"/>
      <c r="L120" s="52"/>
    </row>
    <row r="121" spans="1:12">
      <c r="A121" s="1975" t="s">
        <v>191</v>
      </c>
      <c r="E121" s="1972"/>
      <c r="G121" s="1976" t="str">
        <f>'Приложение '!D86</f>
        <v>(подпис и печат)</v>
      </c>
      <c r="I121" s="1974"/>
      <c r="J121" s="53"/>
      <c r="K121" s="53"/>
      <c r="L121" s="1974"/>
    </row>
    <row r="122" spans="1:12">
      <c r="A122" s="1977" t="s">
        <v>192</v>
      </c>
      <c r="B122" s="1975"/>
      <c r="C122" s="1975"/>
      <c r="D122" s="1975"/>
      <c r="E122" s="1978"/>
      <c r="F122" s="1978"/>
    </row>
    <row r="123" spans="1:12" s="1975" customFormat="1" ht="30.75" customHeight="1">
      <c r="A123" s="5105" t="s">
        <v>734</v>
      </c>
      <c r="B123" s="5105"/>
      <c r="C123" s="5105"/>
      <c r="D123" s="5105"/>
      <c r="E123" s="5105"/>
      <c r="F123" s="5105"/>
      <c r="G123" s="5105"/>
      <c r="H123" s="5105"/>
      <c r="I123" s="5105"/>
    </row>
    <row r="124" spans="1:12" s="1975" customFormat="1" ht="63" customHeight="1">
      <c r="A124" s="5105" t="s">
        <v>1544</v>
      </c>
      <c r="B124" s="5105"/>
      <c r="C124" s="5105"/>
      <c r="D124" s="5105"/>
      <c r="E124" s="5105"/>
      <c r="F124" s="5105"/>
      <c r="G124" s="5105"/>
      <c r="H124" s="5105"/>
      <c r="I124" s="5105"/>
    </row>
    <row r="125" spans="1:12" ht="79.5" customHeight="1">
      <c r="A125" s="5151" t="s">
        <v>1535</v>
      </c>
      <c r="B125" s="5151"/>
      <c r="C125" s="5151"/>
      <c r="D125" s="5151"/>
      <c r="E125" s="5151"/>
      <c r="F125" s="5151"/>
      <c r="G125" s="5151"/>
      <c r="H125" s="5151"/>
      <c r="I125" s="5151"/>
    </row>
  </sheetData>
  <sheetProtection password="EB75" sheet="1" objects="1" scenarios="1" formatCells="0" formatColumns="0" formatRows="0"/>
  <mergeCells count="54">
    <mergeCell ref="C117:D117"/>
    <mergeCell ref="A125:I125"/>
    <mergeCell ref="A123:I123"/>
    <mergeCell ref="A4:I4"/>
    <mergeCell ref="A5:I5"/>
    <mergeCell ref="A18:A19"/>
    <mergeCell ref="B18:B19"/>
    <mergeCell ref="A20:A21"/>
    <mergeCell ref="B20:B21"/>
    <mergeCell ref="A26:A27"/>
    <mergeCell ref="B26:B27"/>
    <mergeCell ref="A30:A32"/>
    <mergeCell ref="B30:B32"/>
    <mergeCell ref="A33:A34"/>
    <mergeCell ref="B33:B34"/>
    <mergeCell ref="A37:A38"/>
    <mergeCell ref="A43:A46"/>
    <mergeCell ref="B43:B46"/>
    <mergeCell ref="B37:B38"/>
    <mergeCell ref="A48:A49"/>
    <mergeCell ref="B48:B49"/>
    <mergeCell ref="A53:A54"/>
    <mergeCell ref="B53:B54"/>
    <mergeCell ref="A67:A68"/>
    <mergeCell ref="B67:B68"/>
    <mergeCell ref="A69:A70"/>
    <mergeCell ref="B69:B70"/>
    <mergeCell ref="A71:A72"/>
    <mergeCell ref="B71:B72"/>
    <mergeCell ref="A75:A77"/>
    <mergeCell ref="B98:B99"/>
    <mergeCell ref="A100:A101"/>
    <mergeCell ref="B100:B101"/>
    <mergeCell ref="B75:B77"/>
    <mergeCell ref="A78:A79"/>
    <mergeCell ref="B78:B79"/>
    <mergeCell ref="A82:A83"/>
    <mergeCell ref="B82:B83"/>
    <mergeCell ref="A124:I124"/>
    <mergeCell ref="A2:I2"/>
    <mergeCell ref="A3:I3"/>
    <mergeCell ref="A108:A109"/>
    <mergeCell ref="B108:B109"/>
    <mergeCell ref="A110:A112"/>
    <mergeCell ref="B110:B112"/>
    <mergeCell ref="A102:A103"/>
    <mergeCell ref="B102:B103"/>
    <mergeCell ref="A104:A105"/>
    <mergeCell ref="B104:B105"/>
    <mergeCell ref="A106:A107"/>
    <mergeCell ref="B106:B107"/>
    <mergeCell ref="A88:A91"/>
    <mergeCell ref="B88:B91"/>
    <mergeCell ref="A98:A99"/>
  </mergeCells>
  <printOptions horizontalCentered="1"/>
  <pageMargins left="0.59055118110236227" right="0.19685039370078741" top="0.59055118110236227" bottom="0.19685039370078741" header="0.31496062992125984" footer="0.11811023622047245"/>
  <pageSetup paperSize="9" scale="79" orientation="portrait" r:id="rId1"/>
  <headerFooter alignWithMargins="0">
    <oddFooter>&amp;C&amp;A&amp;RСтр. &amp;P от &amp;N</oddFooter>
  </headerFooter>
  <rowBreaks count="2" manualBreakCount="2">
    <brk id="56" max="8" man="1"/>
    <brk id="103" max="8" man="1"/>
  </rowBreaks>
  <ignoredErrors>
    <ignoredError sqref="D18 D43 E18:I18 E43:I43" unlockedFormula="1"/>
    <ignoredError sqref="A18:A21 A9:A14 A26:A3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142"/>
  <sheetViews>
    <sheetView showGridLines="0" view="pageBreakPreview" topLeftCell="B66" zoomScaleNormal="70" zoomScaleSheetLayoutView="100" workbookViewId="0">
      <selection activeCell="F13" sqref="F13:K13"/>
    </sheetView>
  </sheetViews>
  <sheetFormatPr defaultColWidth="9.140625" defaultRowHeight="12.75"/>
  <cols>
    <col min="1" max="1" width="46.85546875" style="1981" customWidth="1"/>
    <col min="2" max="2" width="62.85546875" style="1981" customWidth="1"/>
    <col min="3" max="3" width="6.85546875" style="1981" customWidth="1"/>
    <col min="4" max="6" width="8.7109375" style="1981" customWidth="1"/>
    <col min="7" max="7" width="10.28515625" style="1981" customWidth="1"/>
    <col min="8" max="11" width="8.7109375" style="1981" customWidth="1"/>
    <col min="12" max="12" width="11.42578125" style="1981" customWidth="1"/>
    <col min="13" max="13" width="15.7109375" style="1981" customWidth="1"/>
    <col min="14" max="14" width="11.5703125" style="1981" customWidth="1"/>
    <col min="15" max="16384" width="9.140625" style="1981"/>
  </cols>
  <sheetData>
    <row r="1" spans="1:14" ht="13.5">
      <c r="M1" s="1982" t="s">
        <v>0</v>
      </c>
    </row>
    <row r="2" spans="1:14" ht="15.75">
      <c r="A2" s="5218" t="s">
        <v>1182</v>
      </c>
      <c r="B2" s="5218"/>
      <c r="C2" s="5218"/>
      <c r="D2" s="5218"/>
      <c r="E2" s="5218"/>
      <c r="F2" s="5218"/>
      <c r="G2" s="5218"/>
      <c r="H2" s="5218"/>
      <c r="I2" s="5218"/>
      <c r="J2" s="5218"/>
      <c r="K2" s="5218"/>
      <c r="L2" s="5218"/>
      <c r="M2" s="5218"/>
    </row>
    <row r="3" spans="1:14" ht="15.75">
      <c r="A3" s="5219" t="s">
        <v>1840</v>
      </c>
      <c r="B3" s="5219"/>
      <c r="C3" s="5219"/>
      <c r="D3" s="5219"/>
      <c r="E3" s="5219"/>
      <c r="F3" s="5219"/>
      <c r="G3" s="5219"/>
      <c r="H3" s="5219"/>
      <c r="I3" s="5219"/>
      <c r="J3" s="5219"/>
      <c r="K3" s="5219"/>
      <c r="L3" s="5219"/>
      <c r="M3" s="5219"/>
    </row>
    <row r="4" spans="1:14" ht="15.75">
      <c r="A4" s="5219" t="str">
        <f>'1. Обща информация'!A4</f>
        <v>на "Водоснабдяване и канализаиця"ООД, гр. Перник</v>
      </c>
      <c r="B4" s="5219"/>
      <c r="C4" s="5219"/>
      <c r="D4" s="5219"/>
      <c r="E4" s="5219"/>
      <c r="F4" s="5219"/>
      <c r="G4" s="5219"/>
      <c r="H4" s="5219"/>
      <c r="I4" s="5219"/>
      <c r="J4" s="5219"/>
      <c r="K4" s="5219"/>
      <c r="L4" s="5219"/>
      <c r="M4" s="5219"/>
    </row>
    <row r="5" spans="1:14" ht="15.75">
      <c r="A5" s="5220" t="str">
        <f>'1. Обща информация'!A5</f>
        <v>ЕИК по БУЛСТАТ: 823073638</v>
      </c>
      <c r="B5" s="5220"/>
      <c r="C5" s="5220"/>
      <c r="D5" s="5220"/>
      <c r="E5" s="5220"/>
      <c r="F5" s="5220"/>
      <c r="G5" s="5220"/>
      <c r="H5" s="5220"/>
      <c r="I5" s="5220"/>
      <c r="J5" s="5220"/>
      <c r="K5" s="5220"/>
      <c r="L5" s="5220"/>
      <c r="M5" s="5220"/>
      <c r="N5" s="2004"/>
    </row>
    <row r="6" spans="1:14" ht="18" customHeight="1" thickBot="1">
      <c r="A6" s="5221" t="s">
        <v>1452</v>
      </c>
      <c r="B6" s="5221"/>
      <c r="C6" s="1983"/>
      <c r="G6" s="1984"/>
      <c r="H6" s="1984"/>
      <c r="I6" s="1984"/>
      <c r="J6" s="1984"/>
      <c r="K6" s="1984"/>
      <c r="N6" s="2004"/>
    </row>
    <row r="7" spans="1:14" ht="16.5" customHeight="1">
      <c r="A7" s="5197" t="s">
        <v>85</v>
      </c>
      <c r="B7" s="5207" t="s">
        <v>1143</v>
      </c>
      <c r="C7" s="5188" t="s">
        <v>170</v>
      </c>
      <c r="D7" s="1985" t="s">
        <v>1180</v>
      </c>
      <c r="E7" s="1986" t="s">
        <v>1181</v>
      </c>
      <c r="F7" s="4786" t="str">
        <f>'Приложение '!$C12</f>
        <v>2020 г.</v>
      </c>
      <c r="G7" s="1987" t="str">
        <f>'Приложение '!$C14</f>
        <v>2022 г.</v>
      </c>
      <c r="H7" s="1987" t="str">
        <f>'Приложение '!$C15</f>
        <v>2023 г.</v>
      </c>
      <c r="I7" s="1987" t="str">
        <f>'Приложение '!$C16</f>
        <v>2024 г.</v>
      </c>
      <c r="J7" s="1987" t="str">
        <f>'Приложение '!$C17</f>
        <v>2025 г.</v>
      </c>
      <c r="K7" s="1988" t="str">
        <f>'Приложение '!$C18</f>
        <v>2026 г.</v>
      </c>
      <c r="L7" s="5193" t="s">
        <v>1484</v>
      </c>
      <c r="M7" s="5188" t="s">
        <v>1144</v>
      </c>
    </row>
    <row r="8" spans="1:14" ht="20.25" customHeight="1" thickBot="1">
      <c r="A8" s="5198"/>
      <c r="B8" s="5208"/>
      <c r="C8" s="5189"/>
      <c r="D8" s="5199" t="s">
        <v>1359</v>
      </c>
      <c r="E8" s="5200"/>
      <c r="F8" s="5201"/>
      <c r="G8" s="5200" t="s">
        <v>1360</v>
      </c>
      <c r="H8" s="5200"/>
      <c r="I8" s="5200"/>
      <c r="J8" s="5200"/>
      <c r="K8" s="5201"/>
      <c r="L8" s="5194"/>
      <c r="M8" s="5189"/>
    </row>
    <row r="9" spans="1:14">
      <c r="A9" s="5213" t="s">
        <v>1473</v>
      </c>
      <c r="B9" s="4819" t="s">
        <v>1145</v>
      </c>
      <c r="C9" s="1989" t="s">
        <v>682</v>
      </c>
      <c r="D9" s="1086"/>
      <c r="E9" s="1087"/>
      <c r="F9" s="1088"/>
      <c r="G9" s="1009">
        <v>114677.11487708034</v>
      </c>
      <c r="H9" s="808">
        <v>113350.6723156205</v>
      </c>
      <c r="I9" s="808">
        <v>112024.22975416067</v>
      </c>
      <c r="J9" s="808">
        <v>110697.78719270084</v>
      </c>
      <c r="K9" s="807">
        <v>109386.80756948549</v>
      </c>
      <c r="L9" s="5209">
        <f>IFERROR(AVERAGE(D13:F13),0)</f>
        <v>118859</v>
      </c>
      <c r="M9" s="803"/>
    </row>
    <row r="10" spans="1:14">
      <c r="A10" s="5214"/>
      <c r="B10" s="4820" t="s">
        <v>1485</v>
      </c>
      <c r="C10" s="1990" t="s">
        <v>174</v>
      </c>
      <c r="D10" s="1091"/>
      <c r="E10" s="1092"/>
      <c r="F10" s="4785"/>
      <c r="G10" s="1991"/>
      <c r="H10" s="1094">
        <f>IFERROR((H9-G9)/G9,0)</f>
        <v>-1.1566759094712368E-2</v>
      </c>
      <c r="I10" s="1094">
        <f>IFERROR((I9-H9)/H9,0)</f>
        <v>-1.1702114635600945E-2</v>
      </c>
      <c r="J10" s="1094">
        <f>IFERROR((J9-I9)/I9,0)</f>
        <v>-1.1840675578584502E-2</v>
      </c>
      <c r="K10" s="1095">
        <f>IFERROR((K9-J9)/J9,0)</f>
        <v>-1.1842871085880105E-2</v>
      </c>
      <c r="L10" s="5210"/>
      <c r="M10" s="4830"/>
    </row>
    <row r="11" spans="1:14" ht="22.5" customHeight="1">
      <c r="A11" s="5215"/>
      <c r="B11" s="4821" t="s">
        <v>1940</v>
      </c>
      <c r="C11" s="1993" t="s">
        <v>682</v>
      </c>
      <c r="D11" s="1102"/>
      <c r="E11" s="1103"/>
      <c r="F11" s="1104"/>
      <c r="G11" s="1010">
        <v>15</v>
      </c>
      <c r="H11" s="820">
        <v>45</v>
      </c>
      <c r="I11" s="820">
        <v>57</v>
      </c>
      <c r="J11" s="820">
        <v>210</v>
      </c>
      <c r="K11" s="820">
        <v>370</v>
      </c>
      <c r="L11" s="5210"/>
      <c r="M11" s="806"/>
    </row>
    <row r="12" spans="1:14" ht="25.5">
      <c r="A12" s="5216"/>
      <c r="B12" s="4817" t="s">
        <v>1939</v>
      </c>
      <c r="C12" s="1993" t="s">
        <v>682</v>
      </c>
      <c r="D12" s="1102"/>
      <c r="E12" s="1103"/>
      <c r="F12" s="1104"/>
      <c r="G12" s="4808">
        <f>G11</f>
        <v>15</v>
      </c>
      <c r="H12" s="4809">
        <f>SUM(G11:H11)</f>
        <v>60</v>
      </c>
      <c r="I12" s="4809">
        <f>SUM(G11:I11)</f>
        <v>117</v>
      </c>
      <c r="J12" s="4809">
        <f>SUM(G11:J11)</f>
        <v>327</v>
      </c>
      <c r="K12" s="4809">
        <f>SUM(G11:K11)</f>
        <v>697</v>
      </c>
      <c r="L12" s="5210"/>
      <c r="M12" s="4830"/>
    </row>
    <row r="13" spans="1:14" ht="13.5" thickBot="1">
      <c r="A13" s="5217"/>
      <c r="B13" s="4822" t="s">
        <v>1036</v>
      </c>
      <c r="C13" s="1995" t="s">
        <v>682</v>
      </c>
      <c r="D13" s="2101">
        <v>120339</v>
      </c>
      <c r="E13" s="2102">
        <v>118908</v>
      </c>
      <c r="F13" s="2103">
        <v>117330</v>
      </c>
      <c r="G13" s="4802">
        <f>G9+G12</f>
        <v>114692.11487708034</v>
      </c>
      <c r="H13" s="4802">
        <f t="shared" ref="H13:K13" si="0">H9+H12</f>
        <v>113410.6723156205</v>
      </c>
      <c r="I13" s="4802">
        <f t="shared" si="0"/>
        <v>112141.22975416067</v>
      </c>
      <c r="J13" s="4802">
        <f t="shared" si="0"/>
        <v>111024.78719270084</v>
      </c>
      <c r="K13" s="4802">
        <f t="shared" si="0"/>
        <v>110083.80756948549</v>
      </c>
      <c r="L13" s="5211"/>
      <c r="M13" s="806"/>
    </row>
    <row r="14" spans="1:14" ht="12.75" customHeight="1">
      <c r="A14" s="5168" t="s">
        <v>1146</v>
      </c>
      <c r="B14" s="4819" t="s">
        <v>1145</v>
      </c>
      <c r="C14" s="1989" t="s">
        <v>682</v>
      </c>
      <c r="D14" s="1086"/>
      <c r="E14" s="1087"/>
      <c r="F14" s="1088"/>
      <c r="G14" s="4833">
        <v>83420.739998310382</v>
      </c>
      <c r="H14" s="818">
        <v>82456.109997465566</v>
      </c>
      <c r="I14" s="818">
        <v>81491.479996620765</v>
      </c>
      <c r="J14" s="818">
        <v>80526.849995775949</v>
      </c>
      <c r="K14" s="817">
        <v>79573.465121230038</v>
      </c>
      <c r="L14" s="5209">
        <f>IFERROR(AVERAGE(D17:F17),0)</f>
        <v>84501.333333333328</v>
      </c>
      <c r="M14" s="803"/>
    </row>
    <row r="15" spans="1:14" ht="25.5">
      <c r="A15" s="5169"/>
      <c r="B15" s="4821" t="s">
        <v>1938</v>
      </c>
      <c r="C15" s="1993" t="s">
        <v>682</v>
      </c>
      <c r="D15" s="1102"/>
      <c r="E15" s="1103"/>
      <c r="F15" s="1104"/>
      <c r="G15" s="4953">
        <v>6.5217391304347831</v>
      </c>
      <c r="H15" s="4954">
        <v>19.565217391304348</v>
      </c>
      <c r="I15" s="4954">
        <v>24.782608695652176</v>
      </c>
      <c r="J15" s="4954">
        <v>91.304347826086968</v>
      </c>
      <c r="K15" s="4955">
        <v>160.86956521739131</v>
      </c>
      <c r="L15" s="5210"/>
      <c r="M15" s="802"/>
    </row>
    <row r="16" spans="1:14" ht="25.5">
      <c r="A16" s="5169"/>
      <c r="B16" s="4817" t="s">
        <v>1939</v>
      </c>
      <c r="C16" s="1993" t="s">
        <v>682</v>
      </c>
      <c r="D16" s="1102"/>
      <c r="E16" s="1103"/>
      <c r="F16" s="1104"/>
      <c r="G16" s="4808">
        <f>G15</f>
        <v>6.5217391304347831</v>
      </c>
      <c r="H16" s="4809">
        <f>SUM(G15:H15)</f>
        <v>26.086956521739133</v>
      </c>
      <c r="I16" s="4809">
        <f>SUM(G15:I15)</f>
        <v>50.869565217391312</v>
      </c>
      <c r="J16" s="4809">
        <f>SUM(G15:J15)</f>
        <v>142.17391304347828</v>
      </c>
      <c r="K16" s="4809">
        <f>SUM(G15:K15)</f>
        <v>303.04347826086962</v>
      </c>
      <c r="L16" s="5210"/>
      <c r="M16" s="4830"/>
    </row>
    <row r="17" spans="1:13">
      <c r="A17" s="5169"/>
      <c r="B17" s="4823" t="s">
        <v>1036</v>
      </c>
      <c r="C17" s="1997" t="s">
        <v>682</v>
      </c>
      <c r="D17" s="1998">
        <f>D18+D19+D20</f>
        <v>83929</v>
      </c>
      <c r="E17" s="1999">
        <f>E18+E19+E20</f>
        <v>84225</v>
      </c>
      <c r="F17" s="1107">
        <f>F18+F19+F20</f>
        <v>85350</v>
      </c>
      <c r="G17" s="4803">
        <f>G14+G16</f>
        <v>83427.261737440815</v>
      </c>
      <c r="H17" s="4803">
        <f t="shared" ref="H17:K17" si="1">H14+H16</f>
        <v>82482.19695398731</v>
      </c>
      <c r="I17" s="4803">
        <f t="shared" si="1"/>
        <v>81542.349561838157</v>
      </c>
      <c r="J17" s="4803">
        <f t="shared" si="1"/>
        <v>80669.023908819421</v>
      </c>
      <c r="K17" s="4803">
        <f t="shared" si="1"/>
        <v>79876.508599490902</v>
      </c>
      <c r="L17" s="5212"/>
      <c r="M17" s="4830"/>
    </row>
    <row r="18" spans="1:13">
      <c r="A18" s="5169"/>
      <c r="B18" s="4824" t="s">
        <v>1147</v>
      </c>
      <c r="C18" s="1993" t="s">
        <v>682</v>
      </c>
      <c r="D18" s="810">
        <v>80825</v>
      </c>
      <c r="E18" s="809">
        <v>81121</v>
      </c>
      <c r="F18" s="816">
        <v>81869</v>
      </c>
      <c r="G18" s="4956">
        <v>80024.426093274218</v>
      </c>
      <c r="H18" s="4957">
        <v>79118.443487737415</v>
      </c>
      <c r="I18" s="4957">
        <v>78217.678273504964</v>
      </c>
      <c r="J18" s="4957">
        <v>77383.43479840293</v>
      </c>
      <c r="K18" s="4957">
        <v>76629.546068444179</v>
      </c>
      <c r="L18" s="1522">
        <f>IFERROR(AVERAGE(D18:F18),0)</f>
        <v>81271.666666666672</v>
      </c>
      <c r="M18" s="802"/>
    </row>
    <row r="19" spans="1:13">
      <c r="A19" s="5169"/>
      <c r="B19" s="4824" t="s">
        <v>1148</v>
      </c>
      <c r="C19" s="1993" t="s">
        <v>682</v>
      </c>
      <c r="D19" s="810">
        <v>3078</v>
      </c>
      <c r="E19" s="809">
        <v>3078</v>
      </c>
      <c r="F19" s="816">
        <v>3457</v>
      </c>
      <c r="G19" s="809">
        <v>3378.835644166596</v>
      </c>
      <c r="H19" s="805">
        <v>3339.7534662498938</v>
      </c>
      <c r="I19" s="805">
        <v>3300.671288333192</v>
      </c>
      <c r="J19" s="805">
        <v>3261.5891104164898</v>
      </c>
      <c r="K19" s="804">
        <v>3222.9625310467172</v>
      </c>
      <c r="L19" s="1522">
        <f>IFERROR(AVERAGE(D19:F19),0)</f>
        <v>3204.3333333333335</v>
      </c>
      <c r="M19" s="802"/>
    </row>
    <row r="20" spans="1:13">
      <c r="A20" s="5169"/>
      <c r="B20" s="4824" t="s">
        <v>1149</v>
      </c>
      <c r="C20" s="4794" t="s">
        <v>682</v>
      </c>
      <c r="D20" s="810">
        <v>26</v>
      </c>
      <c r="E20" s="4790">
        <v>26</v>
      </c>
      <c r="F20" s="4791">
        <v>24</v>
      </c>
      <c r="G20" s="4790">
        <v>24</v>
      </c>
      <c r="H20" s="4792">
        <v>24</v>
      </c>
      <c r="I20" s="4792">
        <v>24</v>
      </c>
      <c r="J20" s="4792">
        <v>24</v>
      </c>
      <c r="K20" s="804">
        <v>24</v>
      </c>
      <c r="L20" s="1522">
        <f>IFERROR(AVERAGE(D20:F20),0)</f>
        <v>25.333333333333332</v>
      </c>
      <c r="M20" s="802"/>
    </row>
    <row r="21" spans="1:13" ht="13.5" thickBot="1">
      <c r="A21" s="5170"/>
      <c r="B21" s="4818" t="s">
        <v>1937</v>
      </c>
      <c r="C21" s="4836" t="s">
        <v>682</v>
      </c>
      <c r="D21" s="4796"/>
      <c r="E21" s="4797"/>
      <c r="F21" s="4800"/>
      <c r="G21" s="4810">
        <f>G17-G18-G19-G20</f>
        <v>4.5474735088646412E-13</v>
      </c>
      <c r="H21" s="4811">
        <f>H17-H18-H19-H20</f>
        <v>9.0949470177292824E-13</v>
      </c>
      <c r="I21" s="4812">
        <f>I17-I18-I19-I20</f>
        <v>9.0949470177292824E-13</v>
      </c>
      <c r="J21" s="4813">
        <f>J17-J18-J19-J20</f>
        <v>1.3642420526593924E-12</v>
      </c>
      <c r="K21" s="4814">
        <f>K17-K18-K19-K20</f>
        <v>6.3664629124104977E-12</v>
      </c>
      <c r="L21" s="4798"/>
      <c r="M21" s="4842"/>
    </row>
    <row r="22" spans="1:13" ht="15.75">
      <c r="A22" s="5180" t="s">
        <v>1150</v>
      </c>
      <c r="B22" s="4825" t="s">
        <v>1336</v>
      </c>
      <c r="C22" s="2000" t="s">
        <v>1486</v>
      </c>
      <c r="D22" s="2001"/>
      <c r="E22" s="2002"/>
      <c r="F22" s="2003"/>
      <c r="G22" s="1092">
        <f>L22</f>
        <v>4563489.666666667</v>
      </c>
      <c r="H22" s="1108">
        <f>(G22+(H10)*G22)</f>
        <v>4510704.8810611246</v>
      </c>
      <c r="I22" s="1108">
        <f>(H22+(I10)*H22)</f>
        <v>4457920.0954555823</v>
      </c>
      <c r="J22" s="1108">
        <f>(I22+(J10)*I22)</f>
        <v>4405135.3098500399</v>
      </c>
      <c r="K22" s="4831">
        <f>(J22+(K10)*J22)</f>
        <v>4352965.860259627</v>
      </c>
      <c r="L22" s="5203">
        <f>IFERROR(AVERAGE(D26:F26),0)</f>
        <v>4563489.666666667</v>
      </c>
      <c r="M22" s="4832"/>
    </row>
    <row r="23" spans="1:13">
      <c r="A23" s="5180"/>
      <c r="B23" s="4820" t="s">
        <v>1485</v>
      </c>
      <c r="C23" s="1990" t="s">
        <v>174</v>
      </c>
      <c r="D23" s="1091"/>
      <c r="E23" s="1092"/>
      <c r="F23" s="4785"/>
      <c r="G23" s="1093"/>
      <c r="H23" s="1094">
        <f>IFERROR((H22-G22)/G22,0)</f>
        <v>-1.1566759094712319E-2</v>
      </c>
      <c r="I23" s="1094">
        <f t="shared" ref="I23:K23" si="2">IFERROR((I22-H22)/H22,0)</f>
        <v>-1.1702114635601025E-2</v>
      </c>
      <c r="J23" s="1094">
        <f t="shared" si="2"/>
        <v>-1.1840675578584581E-2</v>
      </c>
      <c r="K23" s="1109">
        <f t="shared" si="2"/>
        <v>-1.1842871085880188E-2</v>
      </c>
      <c r="L23" s="5203"/>
      <c r="M23" s="4830"/>
    </row>
    <row r="24" spans="1:13" ht="25.5">
      <c r="A24" s="5181"/>
      <c r="B24" s="4821" t="s">
        <v>1337</v>
      </c>
      <c r="C24" s="2000" t="s">
        <v>1486</v>
      </c>
      <c r="D24" s="1102"/>
      <c r="E24" s="1103"/>
      <c r="F24" s="1104"/>
      <c r="G24" s="4953">
        <v>657</v>
      </c>
      <c r="H24" s="4954">
        <v>1971</v>
      </c>
      <c r="I24" s="4954">
        <v>2496.6</v>
      </c>
      <c r="J24" s="4954">
        <v>9198</v>
      </c>
      <c r="K24" s="4954">
        <v>16206</v>
      </c>
      <c r="L24" s="5203"/>
      <c r="M24" s="806"/>
    </row>
    <row r="25" spans="1:13" ht="25.5">
      <c r="A25" s="5182"/>
      <c r="B25" s="4817" t="s">
        <v>1939</v>
      </c>
      <c r="C25" s="1993" t="s">
        <v>682</v>
      </c>
      <c r="D25" s="1102"/>
      <c r="E25" s="1103"/>
      <c r="F25" s="1104"/>
      <c r="G25" s="4808">
        <f>G24</f>
        <v>657</v>
      </c>
      <c r="H25" s="4809">
        <f>SUM(G24:H24)</f>
        <v>2628</v>
      </c>
      <c r="I25" s="4809">
        <f>SUM(G24:I24)</f>
        <v>5124.6000000000004</v>
      </c>
      <c r="J25" s="4809">
        <f>SUM(G24:J24)</f>
        <v>14322.6</v>
      </c>
      <c r="K25" s="4809">
        <f>SUM(G24:K24)</f>
        <v>30528.6</v>
      </c>
      <c r="L25" s="5203"/>
      <c r="M25" s="4830"/>
    </row>
    <row r="26" spans="1:13" ht="16.5" thickBot="1">
      <c r="A26" s="5182"/>
      <c r="B26" s="4826" t="s">
        <v>1036</v>
      </c>
      <c r="C26" s="2004" t="s">
        <v>1486</v>
      </c>
      <c r="D26" s="2104">
        <v>4660480</v>
      </c>
      <c r="E26" s="2105">
        <v>4645533</v>
      </c>
      <c r="F26" s="2106">
        <v>4384456</v>
      </c>
      <c r="G26" s="4802">
        <f>G22+G25</f>
        <v>4564146.666666667</v>
      </c>
      <c r="H26" s="4802">
        <f t="shared" ref="H26:K26" si="3">H22+H25</f>
        <v>4513332.8810611246</v>
      </c>
      <c r="I26" s="4802">
        <f t="shared" si="3"/>
        <v>4463044.6954555819</v>
      </c>
      <c r="J26" s="4802">
        <f t="shared" si="3"/>
        <v>4419457.9098500395</v>
      </c>
      <c r="K26" s="4802">
        <f t="shared" si="3"/>
        <v>4383494.4602596266</v>
      </c>
      <c r="L26" s="5204"/>
      <c r="M26" s="4799"/>
    </row>
    <row r="27" spans="1:13" ht="15.75">
      <c r="A27" s="5179" t="s">
        <v>1152</v>
      </c>
      <c r="B27" s="4819" t="s">
        <v>1338</v>
      </c>
      <c r="C27" s="1989" t="s">
        <v>1486</v>
      </c>
      <c r="D27" s="1086"/>
      <c r="E27" s="1087"/>
      <c r="F27" s="1088"/>
      <c r="G27" s="1089">
        <f>L27</f>
        <v>970628.33333333337</v>
      </c>
      <c r="H27" s="808">
        <v>959401.30923116452</v>
      </c>
      <c r="I27" s="808">
        <v>948174.28512899578</v>
      </c>
      <c r="J27" s="808">
        <v>936947.26102682692</v>
      </c>
      <c r="K27" s="813">
        <v>925851.11540021782</v>
      </c>
      <c r="L27" s="5202">
        <f>IFERROR(AVERAGE(D30:F30),0)</f>
        <v>970628.33333333337</v>
      </c>
      <c r="M27" s="803"/>
    </row>
    <row r="28" spans="1:13" ht="25.5">
      <c r="A28" s="5181"/>
      <c r="B28" s="4821" t="s">
        <v>1337</v>
      </c>
      <c r="C28" s="2000" t="s">
        <v>1486</v>
      </c>
      <c r="D28" s="1102"/>
      <c r="E28" s="1103"/>
      <c r="F28" s="1104"/>
      <c r="G28" s="1011">
        <v>0</v>
      </c>
      <c r="H28" s="812">
        <v>0</v>
      </c>
      <c r="I28" s="812">
        <v>0</v>
      </c>
      <c r="J28" s="812">
        <v>0</v>
      </c>
      <c r="K28" s="811">
        <v>0</v>
      </c>
      <c r="L28" s="5203"/>
      <c r="M28" s="806"/>
    </row>
    <row r="29" spans="1:13" ht="25.5">
      <c r="A29" s="5182"/>
      <c r="B29" s="4817" t="s">
        <v>1939</v>
      </c>
      <c r="C29" s="1993" t="s">
        <v>682</v>
      </c>
      <c r="D29" s="1102"/>
      <c r="E29" s="1103"/>
      <c r="F29" s="1104"/>
      <c r="G29" s="4808">
        <f>G28</f>
        <v>0</v>
      </c>
      <c r="H29" s="4809">
        <f>SUM(G28:H28)</f>
        <v>0</v>
      </c>
      <c r="I29" s="4809">
        <f>SUM(G28:I28)</f>
        <v>0</v>
      </c>
      <c r="J29" s="4809">
        <f>SUM(G28:J28)</f>
        <v>0</v>
      </c>
      <c r="K29" s="4809">
        <f>SUM(G28:K28)</f>
        <v>0</v>
      </c>
      <c r="L29" s="5203"/>
      <c r="M29" s="4830"/>
    </row>
    <row r="30" spans="1:13" ht="16.5" thickBot="1">
      <c r="A30" s="5183"/>
      <c r="B30" s="4822" t="s">
        <v>1036</v>
      </c>
      <c r="C30" s="2005" t="s">
        <v>1486</v>
      </c>
      <c r="D30" s="2101">
        <v>1134532</v>
      </c>
      <c r="E30" s="2102">
        <v>1033137</v>
      </c>
      <c r="F30" s="2103">
        <v>744216</v>
      </c>
      <c r="G30" s="4802">
        <f>G27+G29</f>
        <v>970628.33333333337</v>
      </c>
      <c r="H30" s="4802">
        <f t="shared" ref="H30:K30" si="4">H27+H29</f>
        <v>959401.30923116452</v>
      </c>
      <c r="I30" s="4802">
        <f t="shared" si="4"/>
        <v>948174.28512899578</v>
      </c>
      <c r="J30" s="4802">
        <f t="shared" si="4"/>
        <v>936947.26102682692</v>
      </c>
      <c r="K30" s="4802">
        <f t="shared" si="4"/>
        <v>925851.11540021782</v>
      </c>
      <c r="L30" s="5204"/>
      <c r="M30" s="806"/>
    </row>
    <row r="31" spans="1:13" ht="15.75">
      <c r="A31" s="5180" t="s">
        <v>1153</v>
      </c>
      <c r="B31" s="4825" t="s">
        <v>1338</v>
      </c>
      <c r="C31" s="2000" t="s">
        <v>1486</v>
      </c>
      <c r="D31" s="2001"/>
      <c r="E31" s="2002"/>
      <c r="F31" s="2003"/>
      <c r="G31" s="1089">
        <f>L31</f>
        <v>87899.666666666672</v>
      </c>
      <c r="H31" s="808">
        <v>86882.952397827816</v>
      </c>
      <c r="I31" s="808">
        <v>85866.238128988974</v>
      </c>
      <c r="J31" s="808">
        <v>84849.523860150119</v>
      </c>
      <c r="K31" s="813">
        <v>83844.66188737606</v>
      </c>
      <c r="L31" s="5202">
        <f>IFERROR(AVERAGE(D34:F34),0)</f>
        <v>87899.666666666672</v>
      </c>
      <c r="M31" s="803"/>
    </row>
    <row r="32" spans="1:13" ht="25.5">
      <c r="A32" s="5181"/>
      <c r="B32" s="4821" t="s">
        <v>1337</v>
      </c>
      <c r="C32" s="2000" t="s">
        <v>1486</v>
      </c>
      <c r="D32" s="1102"/>
      <c r="E32" s="1103"/>
      <c r="F32" s="1104"/>
      <c r="G32" s="1011">
        <v>0</v>
      </c>
      <c r="H32" s="812">
        <v>0</v>
      </c>
      <c r="I32" s="812">
        <v>0</v>
      </c>
      <c r="J32" s="812">
        <v>0</v>
      </c>
      <c r="K32" s="811">
        <v>0</v>
      </c>
      <c r="L32" s="5203"/>
      <c r="M32" s="806"/>
    </row>
    <row r="33" spans="1:13" ht="25.5">
      <c r="A33" s="5182"/>
      <c r="B33" s="4817" t="s">
        <v>1939</v>
      </c>
      <c r="C33" s="1993" t="s">
        <v>682</v>
      </c>
      <c r="D33" s="1102"/>
      <c r="E33" s="1103"/>
      <c r="F33" s="1104"/>
      <c r="G33" s="4808">
        <f>G32</f>
        <v>0</v>
      </c>
      <c r="H33" s="4809">
        <f>SUM(G32:H32)</f>
        <v>0</v>
      </c>
      <c r="I33" s="4809">
        <f>SUM(G32:I32)</f>
        <v>0</v>
      </c>
      <c r="J33" s="4809">
        <f>SUM(G32:J32)</f>
        <v>0</v>
      </c>
      <c r="K33" s="4809">
        <f>SUM(G32:K32)</f>
        <v>0</v>
      </c>
      <c r="L33" s="5203"/>
      <c r="M33" s="4830"/>
    </row>
    <row r="34" spans="1:13" ht="16.5" thickBot="1">
      <c r="A34" s="5182"/>
      <c r="B34" s="4826" t="s">
        <v>1036</v>
      </c>
      <c r="C34" s="2004" t="s">
        <v>1486</v>
      </c>
      <c r="D34" s="2104">
        <v>103113</v>
      </c>
      <c r="E34" s="2105">
        <v>86091</v>
      </c>
      <c r="F34" s="2106">
        <v>74495</v>
      </c>
      <c r="G34" s="4802">
        <f>G31+G33</f>
        <v>87899.666666666672</v>
      </c>
      <c r="H34" s="4802">
        <f t="shared" ref="H34:K34" si="5">H31+H33</f>
        <v>86882.952397827816</v>
      </c>
      <c r="I34" s="4802">
        <f t="shared" si="5"/>
        <v>85866.238128988974</v>
      </c>
      <c r="J34" s="4802">
        <f t="shared" si="5"/>
        <v>84849.523860150119</v>
      </c>
      <c r="K34" s="4802">
        <f t="shared" si="5"/>
        <v>83844.66188737606</v>
      </c>
      <c r="L34" s="5204"/>
      <c r="M34" s="806"/>
    </row>
    <row r="35" spans="1:13" ht="15.75">
      <c r="A35" s="5222" t="s">
        <v>1154</v>
      </c>
      <c r="B35" s="4819" t="s">
        <v>1339</v>
      </c>
      <c r="C35" s="1989" t="s">
        <v>1486</v>
      </c>
      <c r="D35" s="1086"/>
      <c r="E35" s="1087"/>
      <c r="F35" s="1088"/>
      <c r="G35" s="1096">
        <f>G22+G27+G31</f>
        <v>5622017.666666667</v>
      </c>
      <c r="H35" s="1097">
        <f>H22+H27+H31</f>
        <v>5556989.1426901175</v>
      </c>
      <c r="I35" s="1097">
        <f>I22+I27+I31</f>
        <v>5491960.618713567</v>
      </c>
      <c r="J35" s="1097">
        <f>J22+J27+J31</f>
        <v>5426932.0947370166</v>
      </c>
      <c r="K35" s="2006">
        <f>K22+K27+K31</f>
        <v>5362661.6375472201</v>
      </c>
      <c r="L35" s="5202">
        <f>IFERROR(AVERAGE(D39:F39),0)</f>
        <v>5622017.666666667</v>
      </c>
      <c r="M35" s="4843"/>
    </row>
    <row r="36" spans="1:13" ht="25.5">
      <c r="A36" s="5223"/>
      <c r="B36" s="4821" t="s">
        <v>1337</v>
      </c>
      <c r="C36" s="2000" t="s">
        <v>1486</v>
      </c>
      <c r="D36" s="1102"/>
      <c r="E36" s="1103"/>
      <c r="F36" s="1104"/>
      <c r="G36" s="1099">
        <f t="shared" ref="G36:K37" si="6">G24+G28+G32</f>
        <v>657</v>
      </c>
      <c r="H36" s="1100">
        <f t="shared" si="6"/>
        <v>1971</v>
      </c>
      <c r="I36" s="1100">
        <f t="shared" si="6"/>
        <v>2496.6</v>
      </c>
      <c r="J36" s="1100">
        <f t="shared" si="6"/>
        <v>9198</v>
      </c>
      <c r="K36" s="2007">
        <f t="shared" si="6"/>
        <v>16206</v>
      </c>
      <c r="L36" s="5203"/>
      <c r="M36" s="4830"/>
    </row>
    <row r="37" spans="1:13" ht="25.5">
      <c r="A37" s="5223"/>
      <c r="B37" s="4817" t="s">
        <v>1939</v>
      </c>
      <c r="C37" s="1993" t="s">
        <v>682</v>
      </c>
      <c r="D37" s="1102"/>
      <c r="E37" s="1103"/>
      <c r="F37" s="1104"/>
      <c r="G37" s="4804">
        <f t="shared" si="6"/>
        <v>657</v>
      </c>
      <c r="H37" s="4805">
        <f t="shared" si="6"/>
        <v>2628</v>
      </c>
      <c r="I37" s="4805">
        <f t="shared" si="6"/>
        <v>5124.6000000000004</v>
      </c>
      <c r="J37" s="4805">
        <f t="shared" si="6"/>
        <v>14322.6</v>
      </c>
      <c r="K37" s="4806">
        <f t="shared" si="6"/>
        <v>30528.6</v>
      </c>
      <c r="L37" s="5203"/>
      <c r="M37" s="4830"/>
    </row>
    <row r="38" spans="1:13" ht="15.75">
      <c r="A38" s="5223"/>
      <c r="B38" s="1992" t="s">
        <v>1151</v>
      </c>
      <c r="C38" s="2000" t="s">
        <v>1486</v>
      </c>
      <c r="D38" s="1102"/>
      <c r="E38" s="1103"/>
      <c r="F38" s="1104"/>
      <c r="G38" s="2107"/>
      <c r="H38" s="2108">
        <v>39499.565148565802</v>
      </c>
      <c r="I38" s="2108">
        <v>39499.565148565802</v>
      </c>
      <c r="J38" s="2108">
        <v>39499.565148565802</v>
      </c>
      <c r="K38" s="2108">
        <v>50499.565148565802</v>
      </c>
      <c r="L38" s="5203"/>
      <c r="M38" s="806"/>
    </row>
    <row r="39" spans="1:13" ht="16.5" thickBot="1">
      <c r="A39" s="5224"/>
      <c r="B39" s="1994" t="s">
        <v>1036</v>
      </c>
      <c r="C39" s="2005" t="s">
        <v>1486</v>
      </c>
      <c r="D39" s="1534">
        <f>D26+D30+D34</f>
        <v>5898125</v>
      </c>
      <c r="E39" s="1110">
        <f>E26+E30+E34</f>
        <v>5764761</v>
      </c>
      <c r="F39" s="1535">
        <f>F26+F30+F34</f>
        <v>5203167</v>
      </c>
      <c r="G39" s="4802">
        <f>G35+G37+G38</f>
        <v>5622674.666666667</v>
      </c>
      <c r="H39" s="4802">
        <f t="shared" ref="H39:K39" si="7">H35+H37+H38</f>
        <v>5599116.7078386834</v>
      </c>
      <c r="I39" s="4802">
        <f t="shared" si="7"/>
        <v>5536584.7838621326</v>
      </c>
      <c r="J39" s="4802">
        <f t="shared" si="7"/>
        <v>5480754.2598855821</v>
      </c>
      <c r="K39" s="4802">
        <f t="shared" si="7"/>
        <v>5443689.8026957856</v>
      </c>
      <c r="L39" s="5204"/>
      <c r="M39" s="4842"/>
    </row>
    <row r="40" spans="1:13" s="2014" customFormat="1" ht="15.75">
      <c r="A40" s="5177" t="s">
        <v>1183</v>
      </c>
      <c r="B40" s="5178"/>
      <c r="C40" s="2008" t="s">
        <v>1487</v>
      </c>
      <c r="D40" s="2009"/>
      <c r="E40" s="2010"/>
      <c r="F40" s="2010"/>
      <c r="G40" s="2011"/>
      <c r="H40" s="2012">
        <f>-H38-('4. Отчет и прогн. потребление'!F33-'4. Отчет и прогн. потребление'!E33)</f>
        <v>0</v>
      </c>
      <c r="I40" s="2012">
        <f>-I38-('4. Отчет и прогн. потребление'!G33-'4. Отчет и прогн. потребление'!F33)</f>
        <v>0</v>
      </c>
      <c r="J40" s="2012">
        <f>-J38-('4. Отчет и прогн. потребление'!H33-'4. Отчет и прогн. потребление'!G33)</f>
        <v>0</v>
      </c>
      <c r="K40" s="2012">
        <f>-K38-('4. Отчет и прогн. потребление'!I33-'4. Отчет и прогн. потребление'!H33)</f>
        <v>0</v>
      </c>
      <c r="L40" s="2013"/>
    </row>
    <row r="41" spans="1:13" hidden="1">
      <c r="D41" s="2015"/>
      <c r="E41" s="2015"/>
      <c r="F41" s="2015"/>
      <c r="G41" s="2015"/>
      <c r="H41" s="2015"/>
      <c r="I41" s="2015"/>
      <c r="J41" s="2015"/>
      <c r="K41" s="2015"/>
      <c r="L41" s="2015"/>
    </row>
    <row r="42" spans="1:13" ht="13.5" thickBot="1">
      <c r="A42" s="4505" t="s">
        <v>1155</v>
      </c>
      <c r="B42" s="2016"/>
      <c r="C42" s="2017"/>
      <c r="D42" s="2015"/>
      <c r="E42" s="2015"/>
      <c r="F42" s="2015"/>
      <c r="G42" s="2015"/>
      <c r="H42" s="2015"/>
      <c r="I42" s="2015"/>
      <c r="J42" s="2015"/>
      <c r="K42" s="2015"/>
      <c r="L42" s="2015"/>
    </row>
    <row r="43" spans="1:13" ht="13.5" hidden="1" thickBot="1">
      <c r="A43" s="5197" t="s">
        <v>85</v>
      </c>
      <c r="B43" s="5207" t="s">
        <v>1143</v>
      </c>
      <c r="C43" s="5188" t="s">
        <v>170</v>
      </c>
      <c r="D43" s="2018" t="str">
        <f t="shared" ref="D43:K43" si="8">D7</f>
        <v>2018 г.</v>
      </c>
      <c r="E43" s="2019" t="str">
        <f t="shared" si="8"/>
        <v>2019 г.</v>
      </c>
      <c r="F43" s="2020" t="str">
        <f t="shared" si="8"/>
        <v>2020 г.</v>
      </c>
      <c r="G43" s="2019" t="str">
        <f t="shared" si="8"/>
        <v>2022 г.</v>
      </c>
      <c r="H43" s="2019" t="str">
        <f t="shared" si="8"/>
        <v>2023 г.</v>
      </c>
      <c r="I43" s="2019" t="str">
        <f t="shared" si="8"/>
        <v>2024 г.</v>
      </c>
      <c r="J43" s="2019" t="str">
        <f t="shared" si="8"/>
        <v>2025 г.</v>
      </c>
      <c r="K43" s="2019" t="str">
        <f t="shared" si="8"/>
        <v>2026 г.</v>
      </c>
      <c r="L43" s="5193" t="s">
        <v>1484</v>
      </c>
      <c r="M43" s="5188" t="s">
        <v>1144</v>
      </c>
    </row>
    <row r="44" spans="1:13" ht="13.5" hidden="1" thickBot="1">
      <c r="A44" s="5198"/>
      <c r="B44" s="5208"/>
      <c r="C44" s="5189"/>
      <c r="D44" s="5199" t="s">
        <v>1359</v>
      </c>
      <c r="E44" s="5200"/>
      <c r="F44" s="5201"/>
      <c r="G44" s="5200" t="s">
        <v>1360</v>
      </c>
      <c r="H44" s="5200"/>
      <c r="I44" s="5200"/>
      <c r="J44" s="5200"/>
      <c r="K44" s="5201"/>
      <c r="L44" s="5194"/>
      <c r="M44" s="5189"/>
    </row>
    <row r="45" spans="1:13" ht="18" customHeight="1">
      <c r="A45" s="5184" t="s">
        <v>1474</v>
      </c>
      <c r="B45" s="4819" t="s">
        <v>1145</v>
      </c>
      <c r="C45" s="1989" t="s">
        <v>682</v>
      </c>
      <c r="D45" s="1086"/>
      <c r="E45" s="1087"/>
      <c r="F45" s="1088"/>
      <c r="G45" s="4958">
        <v>88394</v>
      </c>
      <c r="H45" s="4959">
        <v>87371.567896581997</v>
      </c>
      <c r="I45" s="4959">
        <v>86349.135793164009</v>
      </c>
      <c r="J45" s="4959">
        <v>85326.70368974602</v>
      </c>
      <c r="K45" s="4960">
        <v>84316.190537765273</v>
      </c>
      <c r="L45" s="5202">
        <f>IFERROR(AVERAGE(D49:F49),0)</f>
        <v>88394</v>
      </c>
      <c r="M45" s="803"/>
    </row>
    <row r="46" spans="1:13" ht="18" customHeight="1">
      <c r="A46" s="5185"/>
      <c r="B46" s="4820" t="s">
        <v>1179</v>
      </c>
      <c r="C46" s="1990" t="s">
        <v>174</v>
      </c>
      <c r="D46" s="1091"/>
      <c r="E46" s="1092"/>
      <c r="F46" s="4785"/>
      <c r="G46" s="1093"/>
      <c r="H46" s="1094">
        <f>IFERROR((H45-G45)/G45,0)</f>
        <v>-1.1566759094712345E-2</v>
      </c>
      <c r="I46" s="1094">
        <f>IFERROR((I45-H45)/H45,0)</f>
        <v>-1.1702114635600882E-2</v>
      </c>
      <c r="J46" s="1094">
        <f>IFERROR((J45-I45)/I45,0)</f>
        <v>-1.1840675578584437E-2</v>
      </c>
      <c r="K46" s="1095">
        <f>IFERROR((K45-J45)/J45,0)</f>
        <v>-1.1842871085880046E-2</v>
      </c>
      <c r="L46" s="5203"/>
      <c r="M46" s="4830"/>
    </row>
    <row r="47" spans="1:13" ht="24" customHeight="1">
      <c r="A47" s="5186"/>
      <c r="B47" s="4821" t="s">
        <v>1938</v>
      </c>
      <c r="C47" s="1993" t="s">
        <v>682</v>
      </c>
      <c r="D47" s="1102"/>
      <c r="E47" s="1103"/>
      <c r="F47" s="1104"/>
      <c r="G47" s="4961">
        <v>15</v>
      </c>
      <c r="H47" s="4962">
        <v>1546.1694571283613</v>
      </c>
      <c r="I47" s="4962">
        <v>6505</v>
      </c>
      <c r="J47" s="4962">
        <v>210</v>
      </c>
      <c r="K47" s="4963">
        <v>370</v>
      </c>
      <c r="L47" s="5203"/>
      <c r="M47" s="802"/>
    </row>
    <row r="48" spans="1:13" ht="25.5">
      <c r="A48" s="5187"/>
      <c r="B48" s="4817" t="s">
        <v>1939</v>
      </c>
      <c r="C48" s="1993" t="s">
        <v>682</v>
      </c>
      <c r="D48" s="1102"/>
      <c r="E48" s="1103"/>
      <c r="F48" s="1104"/>
      <c r="G48" s="4808">
        <f>G47</f>
        <v>15</v>
      </c>
      <c r="H48" s="4809">
        <f>SUM(G47:H47)</f>
        <v>1561.1694571283613</v>
      </c>
      <c r="I48" s="4809">
        <f>SUM(G47:I47)</f>
        <v>8066.1694571283615</v>
      </c>
      <c r="J48" s="4809">
        <f>SUM(G47:J47)</f>
        <v>8276.1694571283624</v>
      </c>
      <c r="K48" s="4809">
        <f>SUM(G47:K47)</f>
        <v>8646.1694571283624</v>
      </c>
      <c r="L48" s="5203"/>
      <c r="M48" s="4830"/>
    </row>
    <row r="49" spans="1:13" ht="18" customHeight="1" thickBot="1">
      <c r="A49" s="5205"/>
      <c r="B49" s="4822" t="s">
        <v>1036</v>
      </c>
      <c r="C49" s="1995" t="s">
        <v>682</v>
      </c>
      <c r="D49" s="2104">
        <v>89237</v>
      </c>
      <c r="E49" s="2105">
        <v>88514</v>
      </c>
      <c r="F49" s="2106">
        <v>87431</v>
      </c>
      <c r="G49" s="4807">
        <f>G45+G48</f>
        <v>88409</v>
      </c>
      <c r="H49" s="4807">
        <f t="shared" ref="H49:K49" si="9">H45+H48</f>
        <v>88932.737353710356</v>
      </c>
      <c r="I49" s="4807">
        <f t="shared" si="9"/>
        <v>94415.305250292367</v>
      </c>
      <c r="J49" s="4807">
        <f t="shared" si="9"/>
        <v>93602.873146874379</v>
      </c>
      <c r="K49" s="4807">
        <f t="shared" si="9"/>
        <v>92962.359994893632</v>
      </c>
      <c r="L49" s="5204"/>
      <c r="M49" s="806"/>
    </row>
    <row r="50" spans="1:13" ht="12.75" customHeight="1">
      <c r="A50" s="5171" t="s">
        <v>858</v>
      </c>
      <c r="B50" s="4819" t="s">
        <v>1145</v>
      </c>
      <c r="C50" s="1989" t="s">
        <v>682</v>
      </c>
      <c r="D50" s="1086"/>
      <c r="E50" s="1087"/>
      <c r="F50" s="1088"/>
      <c r="G50" s="1009">
        <v>45844.021694686155</v>
      </c>
      <c r="H50" s="819">
        <v>45314.032542029228</v>
      </c>
      <c r="I50" s="818">
        <v>44784.043389372309</v>
      </c>
      <c r="J50" s="818">
        <v>44254.054236715383</v>
      </c>
      <c r="K50" s="4833">
        <v>43730.243406268477</v>
      </c>
      <c r="L50" s="5202">
        <f>IFERROR(AVERAGE(D53:F53),0)</f>
        <v>46716.333333333336</v>
      </c>
      <c r="M50" s="803"/>
    </row>
    <row r="51" spans="1:13" ht="25.5">
      <c r="A51" s="5172"/>
      <c r="B51" s="4821" t="s">
        <v>1938</v>
      </c>
      <c r="C51" s="1993" t="s">
        <v>682</v>
      </c>
      <c r="D51" s="1102"/>
      <c r="E51" s="1103"/>
      <c r="F51" s="1104"/>
      <c r="G51" s="4961">
        <v>6.5217391304347831</v>
      </c>
      <c r="H51" s="4964">
        <v>836.32230537234341</v>
      </c>
      <c r="I51" s="4964">
        <v>2828.2608695652175</v>
      </c>
      <c r="J51" s="4964">
        <v>91.304347826086968</v>
      </c>
      <c r="K51" s="4964">
        <v>160.86956521739131</v>
      </c>
      <c r="L51" s="5203"/>
      <c r="M51" s="802"/>
    </row>
    <row r="52" spans="1:13" ht="25.5">
      <c r="A52" s="5172"/>
      <c r="B52" s="4817" t="s">
        <v>1939</v>
      </c>
      <c r="C52" s="1993" t="s">
        <v>682</v>
      </c>
      <c r="D52" s="1102"/>
      <c r="E52" s="1103"/>
      <c r="F52" s="1104"/>
      <c r="G52" s="4808">
        <f>G51</f>
        <v>6.5217391304347831</v>
      </c>
      <c r="H52" s="4809">
        <f>SUM(G51:H51)</f>
        <v>842.84404450277816</v>
      </c>
      <c r="I52" s="4809">
        <f>SUM(G51:I51)</f>
        <v>3671.1049140679957</v>
      </c>
      <c r="J52" s="4809">
        <f>SUM(G51:J51)</f>
        <v>3762.4092618940826</v>
      </c>
      <c r="K52" s="4839">
        <f>SUM(G51:K51)</f>
        <v>3923.2788271114741</v>
      </c>
      <c r="L52" s="5203"/>
      <c r="M52" s="4830"/>
    </row>
    <row r="53" spans="1:13">
      <c r="A53" s="5172"/>
      <c r="B53" s="4823" t="s">
        <v>1036</v>
      </c>
      <c r="C53" s="1997" t="s">
        <v>682</v>
      </c>
      <c r="D53" s="1105">
        <f>D54+D55+D56</f>
        <v>46529</v>
      </c>
      <c r="E53" s="1106">
        <f>E54+E55+E56</f>
        <v>46716</v>
      </c>
      <c r="F53" s="1107">
        <f>F54+F55+F56</f>
        <v>46904</v>
      </c>
      <c r="G53" s="4803">
        <f>G50+G52</f>
        <v>45850.543433816587</v>
      </c>
      <c r="H53" s="4803">
        <f t="shared" ref="H53:K53" si="10">H50+H52</f>
        <v>46156.876586532009</v>
      </c>
      <c r="I53" s="4803">
        <f t="shared" si="10"/>
        <v>48455.148303440306</v>
      </c>
      <c r="J53" s="4803">
        <f t="shared" si="10"/>
        <v>48016.463498609468</v>
      </c>
      <c r="K53" s="4840">
        <f t="shared" si="10"/>
        <v>47653.522233379954</v>
      </c>
      <c r="L53" s="5206"/>
      <c r="M53" s="4830"/>
    </row>
    <row r="54" spans="1:13">
      <c r="A54" s="5172"/>
      <c r="B54" s="4824" t="s">
        <v>1156</v>
      </c>
      <c r="C54" s="1993" t="s">
        <v>682</v>
      </c>
      <c r="D54" s="810">
        <v>44050</v>
      </c>
      <c r="E54" s="809">
        <v>44219</v>
      </c>
      <c r="F54" s="816">
        <v>44402</v>
      </c>
      <c r="G54" s="4961">
        <v>43405</v>
      </c>
      <c r="H54" s="4964">
        <v>43565</v>
      </c>
      <c r="I54" s="4964">
        <v>45891</v>
      </c>
      <c r="J54" s="4964">
        <v>45480</v>
      </c>
      <c r="K54" s="4964">
        <v>45145</v>
      </c>
      <c r="L54" s="4841">
        <f>IFERROR(AVERAGE(D54:F54),0)</f>
        <v>44223.666666666664</v>
      </c>
      <c r="M54" s="802"/>
    </row>
    <row r="55" spans="1:13">
      <c r="A55" s="5172"/>
      <c r="B55" s="4824" t="s">
        <v>1157</v>
      </c>
      <c r="C55" s="1993" t="s">
        <v>682</v>
      </c>
      <c r="D55" s="810">
        <v>2453</v>
      </c>
      <c r="E55" s="809">
        <v>2471</v>
      </c>
      <c r="F55" s="816">
        <v>2478</v>
      </c>
      <c r="G55" s="4961">
        <v>2422</v>
      </c>
      <c r="H55" s="4964">
        <v>2568</v>
      </c>
      <c r="I55" s="4964">
        <v>2540</v>
      </c>
      <c r="J55" s="4964">
        <v>2512</v>
      </c>
      <c r="K55" s="4964">
        <v>2485</v>
      </c>
      <c r="L55" s="4841">
        <f>IFERROR(AVERAGE(D55:F55),0)</f>
        <v>2467.3333333333335</v>
      </c>
      <c r="M55" s="802"/>
    </row>
    <row r="56" spans="1:13">
      <c r="A56" s="5172"/>
      <c r="B56" s="4824" t="s">
        <v>1158</v>
      </c>
      <c r="C56" s="1993" t="s">
        <v>682</v>
      </c>
      <c r="D56" s="810">
        <v>26</v>
      </c>
      <c r="E56" s="809">
        <v>26</v>
      </c>
      <c r="F56" s="816">
        <v>24</v>
      </c>
      <c r="G56" s="4961">
        <v>24</v>
      </c>
      <c r="H56" s="4964">
        <v>24</v>
      </c>
      <c r="I56" s="4964">
        <v>24</v>
      </c>
      <c r="J56" s="4964">
        <v>24</v>
      </c>
      <c r="K56" s="4964">
        <v>24</v>
      </c>
      <c r="L56" s="4841">
        <f>IFERROR(AVERAGE(D56:F56),0)</f>
        <v>25.333333333333332</v>
      </c>
      <c r="M56" s="802"/>
    </row>
    <row r="57" spans="1:13" ht="13.5" thickBot="1">
      <c r="A57" s="5172"/>
      <c r="B57" s="4818" t="s">
        <v>1937</v>
      </c>
      <c r="C57" s="4836" t="s">
        <v>682</v>
      </c>
      <c r="D57" s="4796"/>
      <c r="E57" s="4797"/>
      <c r="F57" s="4795"/>
      <c r="G57" s="4810">
        <f>G53-G54-G55-G56</f>
        <v>-0.45656618341308786</v>
      </c>
      <c r="H57" s="4811">
        <f>H53-H54-H55-H56</f>
        <v>-0.12341346799075836</v>
      </c>
      <c r="I57" s="4812">
        <f>I53-I54-I55-I56</f>
        <v>0.14830344030633569</v>
      </c>
      <c r="J57" s="4813">
        <f>J53-J54-J55-J56</f>
        <v>0.46349860946793342</v>
      </c>
      <c r="K57" s="4813">
        <f>K53-K54-K55-K56</f>
        <v>-0.4777666200461681</v>
      </c>
      <c r="L57" s="4798"/>
      <c r="M57" s="4830"/>
    </row>
    <row r="58" spans="1:13" ht="15.75">
      <c r="A58" s="5179" t="s">
        <v>1150</v>
      </c>
      <c r="B58" s="4825" t="s">
        <v>1336</v>
      </c>
      <c r="C58" s="2000" t="s">
        <v>1486</v>
      </c>
      <c r="D58" s="2001"/>
      <c r="E58" s="2002"/>
      <c r="F58" s="1088"/>
      <c r="G58" s="1092">
        <f>L58</f>
        <v>3080475.3333333335</v>
      </c>
      <c r="H58" s="1092">
        <f>(G58+(H46)*G58)</f>
        <v>3044844.2172554629</v>
      </c>
      <c r="I58" s="1092">
        <f>(H58+(I46)*H58)</f>
        <v>3009213.1011775932</v>
      </c>
      <c r="J58" s="1092">
        <f>(I58+(J46)*I58)</f>
        <v>2973581.9850997236</v>
      </c>
      <c r="K58" s="1092">
        <f>(J58+(K46)*J58)</f>
        <v>2938366.2369868923</v>
      </c>
      <c r="L58" s="5203">
        <f>IFERROR(AVERAGE(D62:F62),0)</f>
        <v>3080475.3333333335</v>
      </c>
      <c r="M58" s="4830"/>
    </row>
    <row r="59" spans="1:13">
      <c r="A59" s="5180"/>
      <c r="B59" s="4820" t="s">
        <v>1179</v>
      </c>
      <c r="C59" s="1990" t="s">
        <v>174</v>
      </c>
      <c r="D59" s="1091"/>
      <c r="E59" s="1092"/>
      <c r="F59" s="4785"/>
      <c r="G59" s="1093"/>
      <c r="H59" s="1094">
        <f>IFERROR((H58-G58)/G58,0)</f>
        <v>-1.1566759094712416E-2</v>
      </c>
      <c r="I59" s="1094">
        <f>IFERROR((I58-H58)/H58,0)</f>
        <v>-1.1702114635600816E-2</v>
      </c>
      <c r="J59" s="1094">
        <f>IFERROR((J58-I58)/I58,0)</f>
        <v>-1.184067557858437E-2</v>
      </c>
      <c r="K59" s="1095">
        <f>IFERROR((K58-J58)/J58,0)</f>
        <v>-1.1842871085880032E-2</v>
      </c>
      <c r="L59" s="5203"/>
      <c r="M59" s="4830"/>
    </row>
    <row r="60" spans="1:13" ht="25.5">
      <c r="A60" s="5181"/>
      <c r="B60" s="4821" t="s">
        <v>1337</v>
      </c>
      <c r="C60" s="2000" t="s">
        <v>1486</v>
      </c>
      <c r="D60" s="1102"/>
      <c r="E60" s="1103"/>
      <c r="F60" s="1104"/>
      <c r="G60" s="4961">
        <v>591.29999999999995</v>
      </c>
      <c r="H60" s="4962">
        <v>26500</v>
      </c>
      <c r="I60" s="4962">
        <v>256427.1</v>
      </c>
      <c r="J60" s="4962">
        <v>8278.2000000000007</v>
      </c>
      <c r="K60" s="4963">
        <v>14585.4</v>
      </c>
      <c r="L60" s="5203"/>
      <c r="M60" s="802"/>
    </row>
    <row r="61" spans="1:13" ht="25.5">
      <c r="A61" s="5182"/>
      <c r="B61" s="4817" t="s">
        <v>1939</v>
      </c>
      <c r="C61" s="1993" t="s">
        <v>682</v>
      </c>
      <c r="D61" s="1102"/>
      <c r="E61" s="1103"/>
      <c r="F61" s="1104"/>
      <c r="G61" s="4808">
        <f>G60</f>
        <v>591.29999999999995</v>
      </c>
      <c r="H61" s="4809">
        <f>SUM(G60:H60)</f>
        <v>27091.3</v>
      </c>
      <c r="I61" s="4809">
        <f>SUM(G60:I60)</f>
        <v>283518.40000000002</v>
      </c>
      <c r="J61" s="4809">
        <f>SUM(G60:J60)</f>
        <v>291796.60000000003</v>
      </c>
      <c r="K61" s="4809">
        <f>SUM(G60:K60)</f>
        <v>306382.00000000006</v>
      </c>
      <c r="L61" s="5203"/>
      <c r="M61" s="4830"/>
    </row>
    <row r="62" spans="1:13" ht="16.5" thickBot="1">
      <c r="A62" s="5183"/>
      <c r="B62" s="4822" t="s">
        <v>1036</v>
      </c>
      <c r="C62" s="2005" t="s">
        <v>1486</v>
      </c>
      <c r="D62" s="2104">
        <v>3261095</v>
      </c>
      <c r="E62" s="2105">
        <v>3089779</v>
      </c>
      <c r="F62" s="2106">
        <v>2890552</v>
      </c>
      <c r="G62" s="4807">
        <f>G58+G61</f>
        <v>3081066.6333333333</v>
      </c>
      <c r="H62" s="4807">
        <f t="shared" ref="H62:K62" si="11">H58+H61</f>
        <v>3071935.5172554627</v>
      </c>
      <c r="I62" s="4807">
        <f t="shared" si="11"/>
        <v>3292731.5011775931</v>
      </c>
      <c r="J62" s="4807">
        <f t="shared" si="11"/>
        <v>3265378.5850997237</v>
      </c>
      <c r="K62" s="4807">
        <f t="shared" si="11"/>
        <v>3244748.2369868923</v>
      </c>
      <c r="L62" s="5203"/>
      <c r="M62" s="4838"/>
    </row>
    <row r="63" spans="1:13" ht="15.75">
      <c r="A63" s="5180" t="s">
        <v>1152</v>
      </c>
      <c r="B63" s="4825" t="s">
        <v>1338</v>
      </c>
      <c r="C63" s="2000" t="s">
        <v>1486</v>
      </c>
      <c r="D63" s="1086"/>
      <c r="E63" s="1087"/>
      <c r="F63" s="1088"/>
      <c r="G63" s="1089">
        <f>L63</f>
        <v>714164.66666666663</v>
      </c>
      <c r="H63" s="808">
        <v>705904.09601337777</v>
      </c>
      <c r="I63" s="808">
        <v>697643.52536008903</v>
      </c>
      <c r="J63" s="808">
        <v>689382.95470680017</v>
      </c>
      <c r="K63" s="807">
        <v>681218.68124540441</v>
      </c>
      <c r="L63" s="5202">
        <f>IFERROR(AVERAGE(D66:F66),0)</f>
        <v>714164.66666666663</v>
      </c>
      <c r="M63" s="803"/>
    </row>
    <row r="64" spans="1:13" ht="25.5">
      <c r="A64" s="5181"/>
      <c r="B64" s="4821" t="s">
        <v>1337</v>
      </c>
      <c r="C64" s="2000" t="s">
        <v>1486</v>
      </c>
      <c r="D64" s="1102"/>
      <c r="E64" s="1103"/>
      <c r="F64" s="1104"/>
      <c r="G64" s="809"/>
      <c r="H64" s="4962">
        <v>6467.825277777778</v>
      </c>
      <c r="I64" s="805"/>
      <c r="J64" s="805"/>
      <c r="K64" s="804"/>
      <c r="L64" s="5203"/>
      <c r="M64" s="802"/>
    </row>
    <row r="65" spans="1:13" ht="25.5">
      <c r="A65" s="5182"/>
      <c r="B65" s="4817" t="s">
        <v>1939</v>
      </c>
      <c r="C65" s="1993" t="s">
        <v>682</v>
      </c>
      <c r="D65" s="1102"/>
      <c r="E65" s="1103"/>
      <c r="F65" s="1104"/>
      <c r="G65" s="4808">
        <f>G64</f>
        <v>0</v>
      </c>
      <c r="H65" s="4809">
        <f>SUM(G64:H64)</f>
        <v>6467.825277777778</v>
      </c>
      <c r="I65" s="4809">
        <f>SUM(G64:I64)</f>
        <v>6467.825277777778</v>
      </c>
      <c r="J65" s="4809">
        <f>SUM(G64:J64)</f>
        <v>6467.825277777778</v>
      </c>
      <c r="K65" s="4809">
        <f>SUM(G64:K64)</f>
        <v>6467.825277777778</v>
      </c>
      <c r="L65" s="5203"/>
      <c r="M65" s="4830"/>
    </row>
    <row r="66" spans="1:13" ht="16.5" thickBot="1">
      <c r="A66" s="5182"/>
      <c r="B66" s="4826" t="s">
        <v>1036</v>
      </c>
      <c r="C66" s="2004" t="s">
        <v>1486</v>
      </c>
      <c r="D66" s="2101">
        <v>738950</v>
      </c>
      <c r="E66" s="2102">
        <v>842739</v>
      </c>
      <c r="F66" s="2103">
        <v>560805</v>
      </c>
      <c r="G66" s="4802">
        <f>G63+G65</f>
        <v>714164.66666666663</v>
      </c>
      <c r="H66" s="4802">
        <f t="shared" ref="H66:K66" si="12">H63+H65</f>
        <v>712371.92129115551</v>
      </c>
      <c r="I66" s="4802">
        <f t="shared" si="12"/>
        <v>704111.35063786677</v>
      </c>
      <c r="J66" s="4802">
        <f t="shared" si="12"/>
        <v>695850.77998457791</v>
      </c>
      <c r="K66" s="4802">
        <f t="shared" si="12"/>
        <v>687686.50652318215</v>
      </c>
      <c r="L66" s="5204"/>
      <c r="M66" s="801"/>
    </row>
    <row r="67" spans="1:13" ht="15.75">
      <c r="A67" s="5179" t="s">
        <v>1153</v>
      </c>
      <c r="B67" s="4819" t="s">
        <v>1338</v>
      </c>
      <c r="C67" s="1989" t="s">
        <v>1486</v>
      </c>
      <c r="D67" s="1086"/>
      <c r="E67" s="1087"/>
      <c r="F67" s="1088"/>
      <c r="G67" s="1089">
        <f>L67</f>
        <v>87899.666666666672</v>
      </c>
      <c r="H67" s="808">
        <v>86882.95239782783</v>
      </c>
      <c r="I67" s="808">
        <v>85866.238128989004</v>
      </c>
      <c r="J67" s="808">
        <v>84849.523860150162</v>
      </c>
      <c r="K67" s="807">
        <v>83844.661887376089</v>
      </c>
      <c r="L67" s="5202">
        <f>IFERROR(AVERAGE(D70:F70),0)</f>
        <v>87899.666666666672</v>
      </c>
      <c r="M67" s="803"/>
    </row>
    <row r="68" spans="1:13" ht="25.5">
      <c r="A68" s="5181"/>
      <c r="B68" s="4821" t="s">
        <v>1337</v>
      </c>
      <c r="C68" s="2000" t="s">
        <v>1486</v>
      </c>
      <c r="D68" s="1102"/>
      <c r="E68" s="1103"/>
      <c r="F68" s="1104"/>
      <c r="G68" s="809"/>
      <c r="H68" s="805"/>
      <c r="I68" s="805"/>
      <c r="J68" s="805"/>
      <c r="K68" s="804"/>
      <c r="L68" s="5203"/>
      <c r="M68" s="802"/>
    </row>
    <row r="69" spans="1:13" ht="25.5">
      <c r="A69" s="5182"/>
      <c r="B69" s="4817" t="s">
        <v>1939</v>
      </c>
      <c r="C69" s="1993" t="s">
        <v>682</v>
      </c>
      <c r="D69" s="1102"/>
      <c r="E69" s="1103"/>
      <c r="F69" s="1104"/>
      <c r="G69" s="4808">
        <f>G68</f>
        <v>0</v>
      </c>
      <c r="H69" s="4809">
        <f>SUM(G68:H68)</f>
        <v>0</v>
      </c>
      <c r="I69" s="4809">
        <f>SUM(G68:I68)</f>
        <v>0</v>
      </c>
      <c r="J69" s="4809">
        <f>SUM(G68:J68)</f>
        <v>0</v>
      </c>
      <c r="K69" s="4809">
        <f>SUM(G68:K68)</f>
        <v>0</v>
      </c>
      <c r="L69" s="5203"/>
      <c r="M69" s="4830"/>
    </row>
    <row r="70" spans="1:13" ht="16.5" thickBot="1">
      <c r="A70" s="5183"/>
      <c r="B70" s="4822" t="s">
        <v>1036</v>
      </c>
      <c r="C70" s="2005" t="s">
        <v>1486</v>
      </c>
      <c r="D70" s="2104">
        <v>103113</v>
      </c>
      <c r="E70" s="2105">
        <v>86091</v>
      </c>
      <c r="F70" s="2106">
        <v>74495</v>
      </c>
      <c r="G70" s="4807">
        <f>G67+G69</f>
        <v>87899.666666666672</v>
      </c>
      <c r="H70" s="4807">
        <f t="shared" ref="H70:K70" si="13">H67+H69</f>
        <v>86882.95239782783</v>
      </c>
      <c r="I70" s="4807">
        <f t="shared" si="13"/>
        <v>85866.238128989004</v>
      </c>
      <c r="J70" s="4807">
        <f t="shared" si="13"/>
        <v>84849.523860150162</v>
      </c>
      <c r="K70" s="4807">
        <f t="shared" si="13"/>
        <v>83844.661887376089</v>
      </c>
      <c r="L70" s="5203"/>
      <c r="M70" s="4838"/>
    </row>
    <row r="71" spans="1:13" ht="15.75">
      <c r="A71" s="5222" t="s">
        <v>1159</v>
      </c>
      <c r="B71" s="4819" t="s">
        <v>1338</v>
      </c>
      <c r="C71" s="2021" t="s">
        <v>1486</v>
      </c>
      <c r="D71" s="1086"/>
      <c r="E71" s="1087"/>
      <c r="F71" s="1088"/>
      <c r="G71" s="1096">
        <f>G58+G63+G67</f>
        <v>3882539.6666666665</v>
      </c>
      <c r="H71" s="1097">
        <f>H58+H63+H67</f>
        <v>3837631.2656666688</v>
      </c>
      <c r="I71" s="1097">
        <f>I58+I63+I67</f>
        <v>3792722.8646666715</v>
      </c>
      <c r="J71" s="1097">
        <f>J58+J63+J67</f>
        <v>3747814.4636666737</v>
      </c>
      <c r="K71" s="1098">
        <f>K58+K63+K67</f>
        <v>3703429.5801196727</v>
      </c>
      <c r="L71" s="5202">
        <f>IFERROR(AVERAGE(D74:F74),0)</f>
        <v>3882539.6666666665</v>
      </c>
      <c r="M71" s="4843"/>
    </row>
    <row r="72" spans="1:13" ht="25.5">
      <c r="A72" s="5223"/>
      <c r="B72" s="4821" t="s">
        <v>1337</v>
      </c>
      <c r="C72" s="2022" t="s">
        <v>1486</v>
      </c>
      <c r="D72" s="1102"/>
      <c r="E72" s="1103"/>
      <c r="F72" s="1104"/>
      <c r="G72" s="1099">
        <f t="shared" ref="G72:K73" si="14">G60+G64+G68</f>
        <v>591.29999999999995</v>
      </c>
      <c r="H72" s="1100">
        <f t="shared" si="14"/>
        <v>32967.825277777782</v>
      </c>
      <c r="I72" s="1100">
        <f t="shared" si="14"/>
        <v>256427.1</v>
      </c>
      <c r="J72" s="1100">
        <f t="shared" si="14"/>
        <v>8278.2000000000007</v>
      </c>
      <c r="K72" s="1101">
        <f t="shared" si="14"/>
        <v>14585.4</v>
      </c>
      <c r="L72" s="5203"/>
      <c r="M72" s="4830"/>
    </row>
    <row r="73" spans="1:13" ht="25.5">
      <c r="A73" s="5225"/>
      <c r="B73" s="4817" t="s">
        <v>1939</v>
      </c>
      <c r="C73" s="1993" t="s">
        <v>682</v>
      </c>
      <c r="D73" s="1102"/>
      <c r="E73" s="1103"/>
      <c r="F73" s="1104"/>
      <c r="G73" s="4804">
        <f t="shared" si="14"/>
        <v>591.29999999999995</v>
      </c>
      <c r="H73" s="4805">
        <f t="shared" si="14"/>
        <v>33559.125277777777</v>
      </c>
      <c r="I73" s="4805">
        <f t="shared" si="14"/>
        <v>289986.22527777782</v>
      </c>
      <c r="J73" s="4805">
        <f t="shared" si="14"/>
        <v>298264.42527777783</v>
      </c>
      <c r="K73" s="4806">
        <f t="shared" si="14"/>
        <v>312849.82527777785</v>
      </c>
      <c r="L73" s="5203"/>
      <c r="M73" s="4830"/>
    </row>
    <row r="74" spans="1:13" ht="16.5" thickBot="1">
      <c r="A74" s="5224"/>
      <c r="B74" s="4822" t="s">
        <v>1036</v>
      </c>
      <c r="C74" s="2023" t="s">
        <v>1486</v>
      </c>
      <c r="D74" s="1534">
        <f>D62+D66+D70</f>
        <v>4103158</v>
      </c>
      <c r="E74" s="1110">
        <f t="shared" ref="E74:F74" si="15">E62+E66+E70</f>
        <v>4018609</v>
      </c>
      <c r="F74" s="1535">
        <f t="shared" si="15"/>
        <v>3525852</v>
      </c>
      <c r="G74" s="4802">
        <f>G71+G73</f>
        <v>3883130.9666666663</v>
      </c>
      <c r="H74" s="4802">
        <f t="shared" ref="H74:K74" si="16">H71+H73</f>
        <v>3871190.3909444464</v>
      </c>
      <c r="I74" s="4802">
        <f t="shared" si="16"/>
        <v>4082709.0899444493</v>
      </c>
      <c r="J74" s="4802">
        <f t="shared" si="16"/>
        <v>4046078.8889444517</v>
      </c>
      <c r="K74" s="4802">
        <f t="shared" si="16"/>
        <v>4016279.4053974506</v>
      </c>
      <c r="L74" s="5204"/>
      <c r="M74" s="4842"/>
    </row>
    <row r="75" spans="1:13" ht="13.5" thickBot="1">
      <c r="A75" s="4506" t="s">
        <v>1160</v>
      </c>
      <c r="B75" s="4827"/>
      <c r="D75" s="2015"/>
      <c r="E75" s="2015"/>
      <c r="F75" s="2015"/>
      <c r="G75" s="2015"/>
      <c r="H75" s="2015"/>
      <c r="I75" s="2015"/>
      <c r="J75" s="2015"/>
      <c r="K75" s="2015"/>
      <c r="L75" s="2015"/>
      <c r="M75" s="4844"/>
    </row>
    <row r="76" spans="1:13" ht="13.5" hidden="1" thickBot="1">
      <c r="A76" s="5197" t="s">
        <v>85</v>
      </c>
      <c r="B76" s="5195" t="s">
        <v>1143</v>
      </c>
      <c r="C76" s="5188" t="s">
        <v>170</v>
      </c>
      <c r="D76" s="2018" t="str">
        <f t="shared" ref="D76:K76" si="17">D7</f>
        <v>2018 г.</v>
      </c>
      <c r="E76" s="2019" t="str">
        <f t="shared" si="17"/>
        <v>2019 г.</v>
      </c>
      <c r="F76" s="2020" t="str">
        <f t="shared" si="17"/>
        <v>2020 г.</v>
      </c>
      <c r="G76" s="2019" t="str">
        <f t="shared" si="17"/>
        <v>2022 г.</v>
      </c>
      <c r="H76" s="2019" t="str">
        <f t="shared" si="17"/>
        <v>2023 г.</v>
      </c>
      <c r="I76" s="2019" t="str">
        <f t="shared" si="17"/>
        <v>2024 г.</v>
      </c>
      <c r="J76" s="2019" t="str">
        <f t="shared" si="17"/>
        <v>2025 г.</v>
      </c>
      <c r="K76" s="2019" t="str">
        <f t="shared" si="17"/>
        <v>2026 г.</v>
      </c>
      <c r="L76" s="5193" t="s">
        <v>1484</v>
      </c>
      <c r="M76" s="5191" t="s">
        <v>1144</v>
      </c>
    </row>
    <row r="77" spans="1:13" ht="13.5" hidden="1" thickBot="1">
      <c r="A77" s="5198"/>
      <c r="B77" s="5196"/>
      <c r="C77" s="5189"/>
      <c r="D77" s="5199" t="s">
        <v>1359</v>
      </c>
      <c r="E77" s="5200"/>
      <c r="F77" s="5201"/>
      <c r="G77" s="5200" t="s">
        <v>1360</v>
      </c>
      <c r="H77" s="5200"/>
      <c r="I77" s="5200"/>
      <c r="J77" s="5200"/>
      <c r="K77" s="5201"/>
      <c r="L77" s="5194"/>
      <c r="M77" s="5192"/>
    </row>
    <row r="78" spans="1:13" ht="17.25" customHeight="1">
      <c r="A78" s="5184" t="s">
        <v>1475</v>
      </c>
      <c r="B78" s="4819" t="s">
        <v>1145</v>
      </c>
      <c r="C78" s="1989" t="s">
        <v>682</v>
      </c>
      <c r="D78" s="1086"/>
      <c r="E78" s="1087"/>
      <c r="F78" s="1088"/>
      <c r="G78" s="4958">
        <v>76414.561738457167</v>
      </c>
      <c r="H78" s="4959">
        <v>75530.692911500402</v>
      </c>
      <c r="I78" s="4959">
        <v>74646.824084543652</v>
      </c>
      <c r="J78" s="4959">
        <v>73762.955257586902</v>
      </c>
      <c r="K78" s="4960">
        <v>72889.552034664172</v>
      </c>
      <c r="L78" s="5202">
        <f>IFERROR(AVERAGE(D82:F82),0)</f>
        <v>82153</v>
      </c>
      <c r="M78" s="803"/>
    </row>
    <row r="79" spans="1:13" ht="17.25" customHeight="1">
      <c r="A79" s="5185"/>
      <c r="B79" s="4820" t="s">
        <v>1179</v>
      </c>
      <c r="C79" s="1990" t="s">
        <v>174</v>
      </c>
      <c r="D79" s="1091"/>
      <c r="E79" s="1092"/>
      <c r="F79" s="4785"/>
      <c r="G79" s="1093"/>
      <c r="H79" s="1094">
        <f>IFERROR((H78-G78)/G78,0)</f>
        <v>-1.156675909471244E-2</v>
      </c>
      <c r="I79" s="1094">
        <f>IFERROR((I78-H78)/H78,0)</f>
        <v>-1.1702114635600955E-2</v>
      </c>
      <c r="J79" s="1094">
        <f>IFERROR((J78-I78)/I78,0)</f>
        <v>-1.184067557858451E-2</v>
      </c>
      <c r="K79" s="1095">
        <f>IFERROR((K78-J78)/J78,0)</f>
        <v>-1.1840675578584502E-2</v>
      </c>
      <c r="L79" s="5203"/>
      <c r="M79" s="4830"/>
    </row>
    <row r="80" spans="1:13" ht="22.5" customHeight="1">
      <c r="A80" s="5186"/>
      <c r="B80" s="4821" t="s">
        <v>1938</v>
      </c>
      <c r="C80" s="1993" t="s">
        <v>682</v>
      </c>
      <c r="D80" s="1102"/>
      <c r="E80" s="1103"/>
      <c r="F80" s="1104"/>
      <c r="G80" s="809"/>
      <c r="H80" s="4957">
        <v>1546.1694571283613</v>
      </c>
      <c r="I80" s="4957">
        <v>18047</v>
      </c>
      <c r="J80" s="814"/>
      <c r="K80" s="814"/>
      <c r="L80" s="5203"/>
      <c r="M80" s="802"/>
    </row>
    <row r="81" spans="1:13" ht="25.5">
      <c r="A81" s="5187"/>
      <c r="B81" s="4817" t="s">
        <v>1939</v>
      </c>
      <c r="C81" s="1993" t="s">
        <v>682</v>
      </c>
      <c r="D81" s="1102"/>
      <c r="E81" s="1103"/>
      <c r="F81" s="1104"/>
      <c r="G81" s="4808">
        <f>G80</f>
        <v>0</v>
      </c>
      <c r="H81" s="4809">
        <f>SUM(G80:H80)</f>
        <v>1546.1694571283613</v>
      </c>
      <c r="I81" s="4809">
        <f>SUM(G80:I80)</f>
        <v>19593.169457128362</v>
      </c>
      <c r="J81" s="4809">
        <f>SUM(G80:J80)</f>
        <v>19593.169457128362</v>
      </c>
      <c r="K81" s="4809">
        <f>SUM(G80:K80)</f>
        <v>19593.169457128362</v>
      </c>
      <c r="L81" s="5203"/>
      <c r="M81" s="4830"/>
    </row>
    <row r="82" spans="1:13" ht="17.25" customHeight="1" thickBot="1">
      <c r="A82" s="5187"/>
      <c r="B82" s="4826" t="s">
        <v>1036</v>
      </c>
      <c r="C82" s="1995" t="s">
        <v>682</v>
      </c>
      <c r="D82" s="2101">
        <v>82950</v>
      </c>
      <c r="E82" s="2102">
        <v>82248</v>
      </c>
      <c r="F82" s="2103">
        <v>81261</v>
      </c>
      <c r="G82" s="4802">
        <f>G78+G81</f>
        <v>76414.561738457167</v>
      </c>
      <c r="H82" s="4802">
        <f t="shared" ref="H82:K82" si="18">H78+H81</f>
        <v>77076.862368628761</v>
      </c>
      <c r="I82" s="4802">
        <f t="shared" si="18"/>
        <v>94239.993541672011</v>
      </c>
      <c r="J82" s="4802">
        <f t="shared" si="18"/>
        <v>93356.124714715261</v>
      </c>
      <c r="K82" s="4802">
        <f t="shared" si="18"/>
        <v>92482.72149179253</v>
      </c>
      <c r="L82" s="5204"/>
      <c r="M82" s="802"/>
    </row>
    <row r="83" spans="1:13" ht="12.75" customHeight="1">
      <c r="A83" s="5171" t="s">
        <v>859</v>
      </c>
      <c r="B83" s="4819" t="s">
        <v>1145</v>
      </c>
      <c r="C83" s="1989" t="s">
        <v>682</v>
      </c>
      <c r="D83" s="1086"/>
      <c r="E83" s="1087"/>
      <c r="F83" s="1088"/>
      <c r="G83" s="1009">
        <v>34876.597989355403</v>
      </c>
      <c r="H83" s="818">
        <v>34473.396984033097</v>
      </c>
      <c r="I83" s="818">
        <v>34070.195978710799</v>
      </c>
      <c r="J83" s="818">
        <v>33666.994973388501</v>
      </c>
      <c r="K83" s="819">
        <v>33268.4942637493</v>
      </c>
      <c r="L83" s="5202">
        <f>IFERROR(AVERAGE(D86:F86),0)</f>
        <v>35519.666666666664</v>
      </c>
      <c r="M83" s="803"/>
    </row>
    <row r="84" spans="1:13" ht="25.5">
      <c r="A84" s="5172"/>
      <c r="B84" s="4821" t="s">
        <v>1938</v>
      </c>
      <c r="C84" s="1993" t="s">
        <v>682</v>
      </c>
      <c r="D84" s="1102"/>
      <c r="E84" s="1103"/>
      <c r="F84" s="1104"/>
      <c r="G84" s="809"/>
      <c r="H84" s="4962">
        <v>866</v>
      </c>
      <c r="I84" s="4962">
        <v>8177.521739130435</v>
      </c>
      <c r="J84" s="805"/>
      <c r="K84" s="4801"/>
      <c r="L84" s="5203"/>
      <c r="M84" s="802"/>
    </row>
    <row r="85" spans="1:13" ht="25.5">
      <c r="A85" s="5172"/>
      <c r="B85" s="4817" t="s">
        <v>1939</v>
      </c>
      <c r="C85" s="1993" t="s">
        <v>682</v>
      </c>
      <c r="D85" s="1102"/>
      <c r="E85" s="1103"/>
      <c r="F85" s="1104"/>
      <c r="G85" s="4808">
        <f>G84</f>
        <v>0</v>
      </c>
      <c r="H85" s="4809">
        <f>SUM(G84:H84)</f>
        <v>866</v>
      </c>
      <c r="I85" s="4809">
        <f>SUM(G84:I84)</f>
        <v>9043.5217391304359</v>
      </c>
      <c r="J85" s="4809">
        <f>SUM(G84:J84)</f>
        <v>9043.5217391304359</v>
      </c>
      <c r="K85" s="4809">
        <f>SUM(G84:K84)</f>
        <v>9043.5217391304359</v>
      </c>
      <c r="L85" s="5203"/>
      <c r="M85" s="4830"/>
    </row>
    <row r="86" spans="1:13">
      <c r="A86" s="5172"/>
      <c r="B86" s="4823" t="s">
        <v>1036</v>
      </c>
      <c r="C86" s="1997" t="s">
        <v>682</v>
      </c>
      <c r="D86" s="1105">
        <f>D87+D88+D89</f>
        <v>35358</v>
      </c>
      <c r="E86" s="1106">
        <f>E87+E88+E89</f>
        <v>35518</v>
      </c>
      <c r="F86" s="1107">
        <f>F87+F88+F89</f>
        <v>35683</v>
      </c>
      <c r="G86" s="4803">
        <f>G83+G85</f>
        <v>34876.597989355403</v>
      </c>
      <c r="H86" s="4803">
        <f t="shared" ref="H86:K86" si="19">H83+H85</f>
        <v>35339.396984033097</v>
      </c>
      <c r="I86" s="4803">
        <f t="shared" si="19"/>
        <v>43113.717717841238</v>
      </c>
      <c r="J86" s="4803">
        <f t="shared" si="19"/>
        <v>42710.516712518933</v>
      </c>
      <c r="K86" s="4803">
        <f t="shared" si="19"/>
        <v>42312.01600287974</v>
      </c>
      <c r="L86" s="5206"/>
      <c r="M86" s="4830"/>
    </row>
    <row r="87" spans="1:13">
      <c r="A87" s="5172"/>
      <c r="B87" s="4824" t="s">
        <v>1161</v>
      </c>
      <c r="C87" s="1993" t="s">
        <v>682</v>
      </c>
      <c r="D87" s="810">
        <v>33426</v>
      </c>
      <c r="E87" s="809">
        <v>33572</v>
      </c>
      <c r="F87" s="816">
        <v>34465</v>
      </c>
      <c r="G87" s="809">
        <v>33685.730539832723</v>
      </c>
      <c r="H87" s="4957">
        <v>33968.095809749073</v>
      </c>
      <c r="I87" s="4957">
        <v>41418.98281879587</v>
      </c>
      <c r="J87" s="814">
        <v>41029.348088712228</v>
      </c>
      <c r="K87" s="815">
        <v>40644.255506132256</v>
      </c>
      <c r="L87" s="1523">
        <f>IFERROR(AVERAGE(D87:F87),0)</f>
        <v>33821</v>
      </c>
      <c r="M87" s="802"/>
    </row>
    <row r="88" spans="1:13">
      <c r="A88" s="5172"/>
      <c r="B88" s="4824" t="s">
        <v>1162</v>
      </c>
      <c r="C88" s="1993" t="s">
        <v>682</v>
      </c>
      <c r="D88" s="810">
        <v>1912</v>
      </c>
      <c r="E88" s="809">
        <v>1926</v>
      </c>
      <c r="F88" s="816">
        <v>1200</v>
      </c>
      <c r="G88" s="4961">
        <v>1172.867449522683</v>
      </c>
      <c r="H88" s="4962">
        <v>1353.3011742840245</v>
      </c>
      <c r="I88" s="4962">
        <v>1670.7348990453684</v>
      </c>
      <c r="J88" s="4962">
        <v>1657.168623806705</v>
      </c>
      <c r="K88" s="4963">
        <v>1643.7604967474836</v>
      </c>
      <c r="L88" s="1523">
        <f>IFERROR(AVERAGE(D88:F88),0)</f>
        <v>1679.3333333333333</v>
      </c>
      <c r="M88" s="802"/>
    </row>
    <row r="89" spans="1:13">
      <c r="A89" s="5172"/>
      <c r="B89" s="4828" t="s">
        <v>1163</v>
      </c>
      <c r="C89" s="2037" t="s">
        <v>682</v>
      </c>
      <c r="D89" s="4789">
        <v>20</v>
      </c>
      <c r="E89" s="4792">
        <v>20</v>
      </c>
      <c r="F89" s="4791">
        <v>18</v>
      </c>
      <c r="G89" s="4790">
        <v>18</v>
      </c>
      <c r="H89" s="4792">
        <v>18</v>
      </c>
      <c r="I89" s="4792">
        <v>24</v>
      </c>
      <c r="J89" s="805">
        <v>24</v>
      </c>
      <c r="K89" s="4793">
        <v>24</v>
      </c>
      <c r="L89" s="1523">
        <f>IFERROR(AVERAGE(D89:F89),0)</f>
        <v>19.333333333333332</v>
      </c>
      <c r="M89" s="802"/>
    </row>
    <row r="90" spans="1:13" ht="13.5" thickBot="1">
      <c r="A90" s="5173"/>
      <c r="B90" s="4829" t="s">
        <v>1937</v>
      </c>
      <c r="C90" s="4835" t="s">
        <v>682</v>
      </c>
      <c r="D90" s="4796"/>
      <c r="E90" s="4797"/>
      <c r="F90" s="4800"/>
      <c r="G90" s="4815">
        <f>G86-G87-G88-G89</f>
        <v>-2.5011104298755527E-12</v>
      </c>
      <c r="H90" s="4811">
        <f>H86-H87-H88-H89</f>
        <v>0</v>
      </c>
      <c r="I90" s="4811">
        <f>I86-I87-I88-I89</f>
        <v>0</v>
      </c>
      <c r="J90" s="4816">
        <f>J86-J87-J88-J89</f>
        <v>0</v>
      </c>
      <c r="K90" s="4814">
        <f>K86-K87-K88-K89</f>
        <v>0</v>
      </c>
      <c r="L90" s="4798"/>
      <c r="M90" s="4842"/>
    </row>
    <row r="91" spans="1:13" ht="15.75">
      <c r="A91" s="5179" t="s">
        <v>1150</v>
      </c>
      <c r="B91" s="4819" t="s">
        <v>1336</v>
      </c>
      <c r="C91" s="1989" t="s">
        <v>1486</v>
      </c>
      <c r="D91" s="1086"/>
      <c r="E91" s="1087"/>
      <c r="F91" s="1088"/>
      <c r="G91" s="1089">
        <f>L91</f>
        <v>2430193.6666666665</v>
      </c>
      <c r="H91" s="1090">
        <f>(G91+(H79)*G91)</f>
        <v>2402084.2019708371</v>
      </c>
      <c r="I91" s="1090">
        <f>(H91+(I79)*H91)</f>
        <v>2373974.7372750081</v>
      </c>
      <c r="J91" s="1090">
        <f>(I91+(J79)*I91)</f>
        <v>2345865.2725791791</v>
      </c>
      <c r="K91" s="1090">
        <f>(J91+(K79)*J91)</f>
        <v>2318088.6429355014</v>
      </c>
      <c r="L91" s="5202">
        <f>IFERROR(AVERAGE(D95:F95),0)</f>
        <v>2430193.6666666665</v>
      </c>
      <c r="M91" s="4830"/>
    </row>
    <row r="92" spans="1:13">
      <c r="A92" s="5180"/>
      <c r="B92" s="4820" t="s">
        <v>1179</v>
      </c>
      <c r="C92" s="1990" t="s">
        <v>174</v>
      </c>
      <c r="D92" s="1091"/>
      <c r="E92" s="1092"/>
      <c r="F92" s="4785"/>
      <c r="G92" s="1093"/>
      <c r="H92" s="1094">
        <f>IFERROR((H91-G91)/G91,0)</f>
        <v>-1.156675909471252E-2</v>
      </c>
      <c r="I92" s="1094">
        <f>IFERROR((I91-H91)/H91,0)</f>
        <v>-1.1702114635601035E-2</v>
      </c>
      <c r="J92" s="1094">
        <f>IFERROR((J91-I91)/I91,0)</f>
        <v>-1.1840675578584594E-2</v>
      </c>
      <c r="K92" s="1095">
        <f>IFERROR((K91-J91)/J91,0)</f>
        <v>-1.184067557858449E-2</v>
      </c>
      <c r="L92" s="5203"/>
      <c r="M92" s="4830"/>
    </row>
    <row r="93" spans="1:13" ht="25.5">
      <c r="A93" s="5181"/>
      <c r="B93" s="4821" t="s">
        <v>1337</v>
      </c>
      <c r="C93" s="2000" t="s">
        <v>1486</v>
      </c>
      <c r="D93" s="1102"/>
      <c r="E93" s="1103"/>
      <c r="F93" s="1104"/>
      <c r="G93" s="809"/>
      <c r="H93" s="4962">
        <v>26500</v>
      </c>
      <c r="I93" s="4962">
        <v>711412.74</v>
      </c>
      <c r="J93" s="805"/>
      <c r="K93" s="804"/>
      <c r="L93" s="5203"/>
      <c r="M93" s="802"/>
    </row>
    <row r="94" spans="1:13" ht="25.5">
      <c r="A94" s="5182"/>
      <c r="B94" s="4817" t="s">
        <v>1939</v>
      </c>
      <c r="C94" s="1993" t="s">
        <v>682</v>
      </c>
      <c r="D94" s="1102"/>
      <c r="E94" s="1103"/>
      <c r="F94" s="1104"/>
      <c r="G94" s="4808">
        <f>G93</f>
        <v>0</v>
      </c>
      <c r="H94" s="4809">
        <f>SUM(G93:H93)</f>
        <v>26500</v>
      </c>
      <c r="I94" s="4809">
        <f>SUM(G93:I93)</f>
        <v>737912.74</v>
      </c>
      <c r="J94" s="4809">
        <f>SUM(G93:J93)</f>
        <v>737912.74</v>
      </c>
      <c r="K94" s="4809">
        <f>SUM(G93:K93)</f>
        <v>737912.74</v>
      </c>
      <c r="L94" s="5203"/>
      <c r="M94" s="4830"/>
    </row>
    <row r="95" spans="1:13" ht="16.5" thickBot="1">
      <c r="A95" s="5183"/>
      <c r="B95" s="4826" t="s">
        <v>1036</v>
      </c>
      <c r="C95" s="2005" t="s">
        <v>1486</v>
      </c>
      <c r="D95" s="2101">
        <v>2642126</v>
      </c>
      <c r="E95" s="2102">
        <v>2424293</v>
      </c>
      <c r="F95" s="2103">
        <v>2224162</v>
      </c>
      <c r="G95" s="4802">
        <f>G91+G94</f>
        <v>2430193.6666666665</v>
      </c>
      <c r="H95" s="4802">
        <f t="shared" ref="H95:K95" si="20">H91+H94</f>
        <v>2428584.2019708371</v>
      </c>
      <c r="I95" s="4802">
        <f t="shared" si="20"/>
        <v>3111887.4772750083</v>
      </c>
      <c r="J95" s="4802">
        <f t="shared" si="20"/>
        <v>3083778.0125791794</v>
      </c>
      <c r="K95" s="4802">
        <f t="shared" si="20"/>
        <v>3056001.3829355016</v>
      </c>
      <c r="L95" s="5204"/>
      <c r="M95" s="802"/>
    </row>
    <row r="96" spans="1:13" ht="15.75">
      <c r="A96" s="5179" t="s">
        <v>1152</v>
      </c>
      <c r="B96" s="4819" t="s">
        <v>1338</v>
      </c>
      <c r="C96" s="2000" t="s">
        <v>1486</v>
      </c>
      <c r="D96" s="1086"/>
      <c r="E96" s="1087"/>
      <c r="F96" s="1088"/>
      <c r="G96" s="1089">
        <f>L96</f>
        <v>616699.33333333337</v>
      </c>
      <c r="H96" s="808">
        <v>609566.12071079703</v>
      </c>
      <c r="I96" s="4959">
        <v>602432.9080882608</v>
      </c>
      <c r="J96" s="808">
        <v>595299.69546572457</v>
      </c>
      <c r="K96" s="807">
        <v>588249.63791486039</v>
      </c>
      <c r="L96" s="5202">
        <f>IFERROR(AVERAGE(D99:F99),0)</f>
        <v>616699.33333333337</v>
      </c>
      <c r="M96" s="803"/>
    </row>
    <row r="97" spans="1:13" ht="25.5">
      <c r="A97" s="5181"/>
      <c r="B97" s="4821" t="s">
        <v>1337</v>
      </c>
      <c r="C97" s="2000" t="s">
        <v>1486</v>
      </c>
      <c r="D97" s="1102"/>
      <c r="E97" s="1103"/>
      <c r="F97" s="1104"/>
      <c r="G97" s="809"/>
      <c r="H97" s="4962">
        <v>6467.825277777778</v>
      </c>
      <c r="I97" s="4962">
        <v>51746.57127446981</v>
      </c>
      <c r="J97" s="805"/>
      <c r="K97" s="804"/>
      <c r="L97" s="5203"/>
      <c r="M97" s="802"/>
    </row>
    <row r="98" spans="1:13" ht="25.5">
      <c r="A98" s="5182"/>
      <c r="B98" s="4817" t="s">
        <v>1939</v>
      </c>
      <c r="C98" s="1993" t="s">
        <v>682</v>
      </c>
      <c r="D98" s="1102"/>
      <c r="E98" s="1103"/>
      <c r="F98" s="1104"/>
      <c r="G98" s="4808">
        <f>G97</f>
        <v>0</v>
      </c>
      <c r="H98" s="4809">
        <f>SUM(G97:H97)</f>
        <v>6467.825277777778</v>
      </c>
      <c r="I98" s="4809">
        <f>SUM(G97:I97)</f>
        <v>58214.396552247592</v>
      </c>
      <c r="J98" s="4809">
        <f>SUM(G97:J97)</f>
        <v>58214.396552247592</v>
      </c>
      <c r="K98" s="4809">
        <f>SUM(G97:K97)</f>
        <v>58214.396552247592</v>
      </c>
      <c r="L98" s="5203"/>
      <c r="M98" s="4830"/>
    </row>
    <row r="99" spans="1:13" ht="16.5" thickBot="1">
      <c r="A99" s="5183"/>
      <c r="B99" s="4822" t="s">
        <v>1036</v>
      </c>
      <c r="C99" s="2004" t="s">
        <v>1486</v>
      </c>
      <c r="D99" s="2104">
        <v>616782</v>
      </c>
      <c r="E99" s="4837">
        <v>753230</v>
      </c>
      <c r="F99" s="2106">
        <v>480086</v>
      </c>
      <c r="G99" s="4807">
        <f>G96+G98</f>
        <v>616699.33333333337</v>
      </c>
      <c r="H99" s="4807">
        <f t="shared" ref="H99:K99" si="21">H96+H98</f>
        <v>616033.94598857476</v>
      </c>
      <c r="I99" s="4807">
        <f t="shared" si="21"/>
        <v>660647.30464050837</v>
      </c>
      <c r="J99" s="4807">
        <f t="shared" si="21"/>
        <v>653514.09201797214</v>
      </c>
      <c r="K99" s="4807">
        <f t="shared" si="21"/>
        <v>646464.03446710797</v>
      </c>
      <c r="L99" s="5203"/>
      <c r="M99" s="4838"/>
    </row>
    <row r="100" spans="1:13" ht="15.75">
      <c r="A100" s="5180" t="s">
        <v>1153</v>
      </c>
      <c r="B100" s="4825" t="s">
        <v>1338</v>
      </c>
      <c r="C100" s="1989" t="s">
        <v>1486</v>
      </c>
      <c r="D100" s="1086"/>
      <c r="E100" s="1087"/>
      <c r="F100" s="1088"/>
      <c r="G100" s="1089">
        <f>L100</f>
        <v>46213</v>
      </c>
      <c r="H100" s="808">
        <v>45678.465361956063</v>
      </c>
      <c r="I100" s="808">
        <v>45143.930723912126</v>
      </c>
      <c r="J100" s="808">
        <v>44127.396085868189</v>
      </c>
      <c r="K100" s="807">
        <v>43122.801022667678</v>
      </c>
      <c r="L100" s="5202">
        <f>IFERROR(AVERAGE(D103:F103),0)</f>
        <v>46213</v>
      </c>
      <c r="M100" s="803"/>
    </row>
    <row r="101" spans="1:13" ht="25.5">
      <c r="A101" s="5181"/>
      <c r="B101" s="4821" t="s">
        <v>1337</v>
      </c>
      <c r="C101" s="2000" t="s">
        <v>1486</v>
      </c>
      <c r="D101" s="1102"/>
      <c r="E101" s="1103"/>
      <c r="F101" s="1104"/>
      <c r="G101" s="809"/>
      <c r="H101" s="805"/>
      <c r="I101" s="4962">
        <v>37500</v>
      </c>
      <c r="J101" s="805"/>
      <c r="K101" s="804"/>
      <c r="L101" s="5203"/>
      <c r="M101" s="802"/>
    </row>
    <row r="102" spans="1:13" ht="25.5">
      <c r="A102" s="5182"/>
      <c r="B102" s="4817" t="s">
        <v>1939</v>
      </c>
      <c r="C102" s="1993" t="s">
        <v>682</v>
      </c>
      <c r="D102" s="1102"/>
      <c r="E102" s="1103"/>
      <c r="F102" s="1104"/>
      <c r="G102" s="4808">
        <f>G101</f>
        <v>0</v>
      </c>
      <c r="H102" s="4809">
        <f>SUM(G101:H101)</f>
        <v>0</v>
      </c>
      <c r="I102" s="4809">
        <f>SUM(G101:I101)</f>
        <v>37500</v>
      </c>
      <c r="J102" s="4809">
        <f>SUM(G101:J101)</f>
        <v>37500</v>
      </c>
      <c r="K102" s="4809">
        <f>SUM(G101:K101)</f>
        <v>37500</v>
      </c>
      <c r="L102" s="5203"/>
      <c r="M102" s="4830"/>
    </row>
    <row r="103" spans="1:13" ht="16.5" thickBot="1">
      <c r="A103" s="5182"/>
      <c r="B103" s="4826" t="s">
        <v>1036</v>
      </c>
      <c r="C103" s="2005" t="s">
        <v>1486</v>
      </c>
      <c r="D103" s="2101">
        <v>53245</v>
      </c>
      <c r="E103" s="2102">
        <v>43626</v>
      </c>
      <c r="F103" s="2103">
        <v>41768</v>
      </c>
      <c r="G103" s="4802">
        <f>G100+G102</f>
        <v>46213</v>
      </c>
      <c r="H103" s="4802">
        <f t="shared" ref="H103:K103" si="22">H100+H102</f>
        <v>45678.465361956063</v>
      </c>
      <c r="I103" s="4802">
        <f t="shared" si="22"/>
        <v>82643.930723912126</v>
      </c>
      <c r="J103" s="4802">
        <f t="shared" si="22"/>
        <v>81627.396085868182</v>
      </c>
      <c r="K103" s="4802">
        <f t="shared" si="22"/>
        <v>80622.801022667671</v>
      </c>
      <c r="L103" s="5204"/>
      <c r="M103" s="801"/>
    </row>
    <row r="104" spans="1:13" ht="15.75">
      <c r="A104" s="5222" t="s">
        <v>1164</v>
      </c>
      <c r="B104" s="4819" t="s">
        <v>1338</v>
      </c>
      <c r="C104" s="2021" t="s">
        <v>1486</v>
      </c>
      <c r="D104" s="1086"/>
      <c r="E104" s="1087"/>
      <c r="F104" s="1088"/>
      <c r="G104" s="1096">
        <f>G91+G96+G100</f>
        <v>3093106</v>
      </c>
      <c r="H104" s="1097">
        <f>H91+H96+H100</f>
        <v>3057328.7880435903</v>
      </c>
      <c r="I104" s="1097">
        <f>I91+I96+I100</f>
        <v>3021551.576087181</v>
      </c>
      <c r="J104" s="1097">
        <f>J91+J96+J100</f>
        <v>2985292.3641307717</v>
      </c>
      <c r="K104" s="1098">
        <f>K91+K96+K100</f>
        <v>2949461.0818730299</v>
      </c>
      <c r="L104" s="5202">
        <f>IFERROR(AVERAGE(D107:F107),0)</f>
        <v>3093106</v>
      </c>
      <c r="M104" s="4843"/>
    </row>
    <row r="105" spans="1:13" ht="25.5">
      <c r="A105" s="5223"/>
      <c r="B105" s="4821" t="s">
        <v>1337</v>
      </c>
      <c r="C105" s="2022" t="s">
        <v>1486</v>
      </c>
      <c r="D105" s="1102"/>
      <c r="E105" s="1103"/>
      <c r="F105" s="1104"/>
      <c r="G105" s="1099">
        <f t="shared" ref="G105:K106" si="23">G93+G97+G101</f>
        <v>0</v>
      </c>
      <c r="H105" s="1100">
        <f t="shared" si="23"/>
        <v>32967.825277777782</v>
      </c>
      <c r="I105" s="1100">
        <f t="shared" si="23"/>
        <v>800659.31127446983</v>
      </c>
      <c r="J105" s="1100">
        <f t="shared" si="23"/>
        <v>0</v>
      </c>
      <c r="K105" s="1101">
        <f t="shared" si="23"/>
        <v>0</v>
      </c>
      <c r="L105" s="5203"/>
      <c r="M105" s="4830"/>
    </row>
    <row r="106" spans="1:13" ht="25.5">
      <c r="A106" s="5223"/>
      <c r="B106" s="4817" t="s">
        <v>1939</v>
      </c>
      <c r="C106" s="1993" t="s">
        <v>682</v>
      </c>
      <c r="D106" s="1102"/>
      <c r="E106" s="1103"/>
      <c r="F106" s="1104"/>
      <c r="G106" s="4804">
        <f t="shared" si="23"/>
        <v>0</v>
      </c>
      <c r="H106" s="4805">
        <f t="shared" si="23"/>
        <v>32967.825277777782</v>
      </c>
      <c r="I106" s="4805">
        <f t="shared" si="23"/>
        <v>833627.13655224757</v>
      </c>
      <c r="J106" s="4805">
        <f t="shared" si="23"/>
        <v>833627.13655224757</v>
      </c>
      <c r="K106" s="4806">
        <f t="shared" si="23"/>
        <v>833627.13655224757</v>
      </c>
      <c r="L106" s="5203"/>
      <c r="M106" s="4830"/>
    </row>
    <row r="107" spans="1:13" ht="15.75">
      <c r="A107" s="5223"/>
      <c r="B107" s="1996" t="s">
        <v>1036</v>
      </c>
      <c r="C107" s="2022" t="s">
        <v>1486</v>
      </c>
      <c r="D107" s="1998">
        <f>D95+D99+D103</f>
        <v>3312153</v>
      </c>
      <c r="E107" s="1999">
        <f>E95+E99+E103</f>
        <v>3221149</v>
      </c>
      <c r="F107" s="1107">
        <f>F95+F99+F103</f>
        <v>2746016</v>
      </c>
      <c r="G107" s="4803">
        <f>G104+G106</f>
        <v>3093106</v>
      </c>
      <c r="H107" s="4803">
        <f t="shared" ref="H107:K107" si="24">H104+H106</f>
        <v>3090296.6133213681</v>
      </c>
      <c r="I107" s="4803">
        <f t="shared" si="24"/>
        <v>3855178.7126394287</v>
      </c>
      <c r="J107" s="4803">
        <f t="shared" si="24"/>
        <v>3818919.5006830194</v>
      </c>
      <c r="K107" s="4803">
        <f t="shared" si="24"/>
        <v>3783088.2184252776</v>
      </c>
      <c r="L107" s="5206"/>
      <c r="M107" s="4830"/>
    </row>
    <row r="108" spans="1:13" ht="13.5" thickBot="1">
      <c r="A108" s="2024" t="s">
        <v>1165</v>
      </c>
      <c r="E108" s="2015"/>
      <c r="F108" s="2015"/>
      <c r="G108" s="2015"/>
      <c r="H108" s="2015"/>
      <c r="I108" s="2015"/>
      <c r="J108" s="2015"/>
      <c r="K108" s="2015"/>
      <c r="L108" s="2015"/>
      <c r="M108" s="2015"/>
    </row>
    <row r="109" spans="1:13" ht="26.25" hidden="1" thickBot="1">
      <c r="A109" s="2025" t="s">
        <v>85</v>
      </c>
      <c r="B109" s="2026" t="s">
        <v>1143</v>
      </c>
      <c r="C109" s="1988" t="s">
        <v>170</v>
      </c>
      <c r="D109" s="2018" t="str">
        <f t="shared" ref="D109:K109" si="25">D7</f>
        <v>2018 г.</v>
      </c>
      <c r="E109" s="2019" t="str">
        <f t="shared" si="25"/>
        <v>2019 г.</v>
      </c>
      <c r="F109" s="2020" t="str">
        <f t="shared" si="25"/>
        <v>2020 г.</v>
      </c>
      <c r="G109" s="2019" t="str">
        <f t="shared" si="25"/>
        <v>2022 г.</v>
      </c>
      <c r="H109" s="2019" t="str">
        <f t="shared" si="25"/>
        <v>2023 г.</v>
      </c>
      <c r="I109" s="2019" t="str">
        <f t="shared" si="25"/>
        <v>2024 г.</v>
      </c>
      <c r="J109" s="2019" t="str">
        <f t="shared" si="25"/>
        <v>2025 г.</v>
      </c>
      <c r="K109" s="2019" t="str">
        <f t="shared" si="25"/>
        <v>2026 г.</v>
      </c>
      <c r="L109" s="2027"/>
      <c r="M109" s="4787" t="s">
        <v>1144</v>
      </c>
    </row>
    <row r="110" spans="1:13">
      <c r="A110" s="5179" t="s">
        <v>1497</v>
      </c>
      <c r="B110" s="2028" t="s">
        <v>215</v>
      </c>
      <c r="C110" s="1989" t="s">
        <v>1490</v>
      </c>
      <c r="D110" s="2029">
        <f t="shared" ref="D110:K110" si="26">IFERROR((D26/D13/365)*1000,0)</f>
        <v>106.10390942391398</v>
      </c>
      <c r="E110" s="1096">
        <f t="shared" si="26"/>
        <v>107.03642876200824</v>
      </c>
      <c r="F110" s="2030">
        <f t="shared" si="26"/>
        <v>102.37968310899244</v>
      </c>
      <c r="G110" s="1096">
        <f t="shared" si="26"/>
        <v>109.0267751094018</v>
      </c>
      <c r="H110" s="1097">
        <f t="shared" si="26"/>
        <v>109.03114594134986</v>
      </c>
      <c r="I110" s="1097">
        <f t="shared" si="26"/>
        <v>109.03678995122908</v>
      </c>
      <c r="J110" s="1097">
        <f t="shared" si="26"/>
        <v>109.05766332690504</v>
      </c>
      <c r="K110" s="1097">
        <f t="shared" si="26"/>
        <v>109.09482628627735</v>
      </c>
      <c r="L110" s="2031"/>
      <c r="M110" s="803"/>
    </row>
    <row r="111" spans="1:13">
      <c r="A111" s="5181"/>
      <c r="B111" s="2032" t="s">
        <v>178</v>
      </c>
      <c r="C111" s="1993" t="s">
        <v>1490</v>
      </c>
      <c r="D111" s="2033">
        <f t="shared" ref="D111:K111" si="27">IFERROR((D62/D49/365)*1000,0)</f>
        <v>100.12110278600881</v>
      </c>
      <c r="E111" s="1099">
        <f t="shared" si="27"/>
        <v>95.636260311425076</v>
      </c>
      <c r="F111" s="2034">
        <f t="shared" si="27"/>
        <v>90.577947729583386</v>
      </c>
      <c r="G111" s="1099">
        <f t="shared" si="27"/>
        <v>95.479854398178745</v>
      </c>
      <c r="H111" s="1100">
        <f t="shared" si="27"/>
        <v>94.636260409224022</v>
      </c>
      <c r="I111" s="1100">
        <f t="shared" si="27"/>
        <v>95.547879351681374</v>
      </c>
      <c r="J111" s="1100">
        <f t="shared" si="27"/>
        <v>95.576582193856382</v>
      </c>
      <c r="K111" s="1100">
        <f t="shared" si="27"/>
        <v>95.627103246009128</v>
      </c>
      <c r="L111" s="2035"/>
      <c r="M111" s="802"/>
    </row>
    <row r="112" spans="1:13" ht="13.5" thickBot="1">
      <c r="A112" s="5182"/>
      <c r="B112" s="2036" t="s">
        <v>188</v>
      </c>
      <c r="C112" s="2037" t="s">
        <v>1490</v>
      </c>
      <c r="D112" s="2038">
        <f t="shared" ref="D112:K112" si="28">IFERROR((D95/D82/365)*1000,0)</f>
        <v>87.265839299132182</v>
      </c>
      <c r="E112" s="2039">
        <f t="shared" si="28"/>
        <v>80.754530567758323</v>
      </c>
      <c r="F112" s="2040">
        <f t="shared" si="28"/>
        <v>74.987934194114587</v>
      </c>
      <c r="G112" s="2039">
        <f t="shared" si="28"/>
        <v>87.130838530110196</v>
      </c>
      <c r="H112" s="2041">
        <f t="shared" si="28"/>
        <v>86.324937775015428</v>
      </c>
      <c r="I112" s="2041">
        <f t="shared" si="28"/>
        <v>90.46816320134775</v>
      </c>
      <c r="J112" s="2041">
        <f t="shared" si="28"/>
        <v>90.499760027494432</v>
      </c>
      <c r="K112" s="2041">
        <f t="shared" si="28"/>
        <v>90.531575991018499</v>
      </c>
      <c r="L112" s="2042"/>
      <c r="M112" s="801"/>
    </row>
    <row r="113" spans="1:13" ht="28.5">
      <c r="A113" s="5179" t="s">
        <v>1498</v>
      </c>
      <c r="B113" s="2028" t="s">
        <v>215</v>
      </c>
      <c r="C113" s="2043" t="s">
        <v>1489</v>
      </c>
      <c r="D113" s="2044">
        <f t="shared" ref="D113:K113" si="29">IFERROR((D26/D18/12),0)</f>
        <v>4.8051139292710587</v>
      </c>
      <c r="E113" s="2045">
        <f t="shared" si="29"/>
        <v>4.7722260573710882</v>
      </c>
      <c r="F113" s="2046">
        <f t="shared" si="29"/>
        <v>4.4628776867108835</v>
      </c>
      <c r="G113" s="2045">
        <f t="shared" si="29"/>
        <v>4.75286826939859</v>
      </c>
      <c r="H113" s="2047">
        <f t="shared" si="29"/>
        <v>4.7537724055460462</v>
      </c>
      <c r="I113" s="2047">
        <f t="shared" si="29"/>
        <v>4.7549403088578694</v>
      </c>
      <c r="J113" s="2047">
        <f t="shared" si="29"/>
        <v>4.7592635311888589</v>
      </c>
      <c r="K113" s="2047">
        <f t="shared" si="29"/>
        <v>4.7669759741936071</v>
      </c>
      <c r="L113" s="2031"/>
      <c r="M113" s="803"/>
    </row>
    <row r="114" spans="1:13" ht="28.5">
      <c r="A114" s="5181"/>
      <c r="B114" s="2032" t="s">
        <v>178</v>
      </c>
      <c r="C114" s="2048" t="s">
        <v>1489</v>
      </c>
      <c r="D114" s="2049">
        <f t="shared" ref="D114:K114" si="30">IFERROR((D62/D54/12),0)</f>
        <v>6.1693057132046922</v>
      </c>
      <c r="E114" s="2050">
        <f t="shared" si="30"/>
        <v>5.822872143950188</v>
      </c>
      <c r="F114" s="2051">
        <f t="shared" si="30"/>
        <v>5.4249658423794722</v>
      </c>
      <c r="G114" s="2050">
        <f t="shared" si="30"/>
        <v>5.9153450703323989</v>
      </c>
      <c r="H114" s="2052">
        <f t="shared" si="30"/>
        <v>5.876153481876627</v>
      </c>
      <c r="I114" s="2052">
        <f t="shared" si="30"/>
        <v>5.9792615494279806</v>
      </c>
      <c r="J114" s="2052">
        <f t="shared" si="30"/>
        <v>5.9831768269930441</v>
      </c>
      <c r="K114" s="2052">
        <f t="shared" si="30"/>
        <v>5.9894935522333448</v>
      </c>
      <c r="L114" s="2035"/>
      <c r="M114" s="802"/>
    </row>
    <row r="115" spans="1:13" ht="29.25" thickBot="1">
      <c r="A115" s="5183"/>
      <c r="B115" s="2053" t="s">
        <v>188</v>
      </c>
      <c r="C115" s="2000" t="s">
        <v>1489</v>
      </c>
      <c r="D115" s="2054">
        <f t="shared" ref="D115:K115" si="31">IFERROR((D95/D87/12),0)</f>
        <v>6.5870031312949999</v>
      </c>
      <c r="E115" s="2055">
        <f t="shared" si="31"/>
        <v>6.0176461535406487</v>
      </c>
      <c r="F115" s="2056">
        <f t="shared" si="31"/>
        <v>5.3778277479568644</v>
      </c>
      <c r="G115" s="2055">
        <f t="shared" si="31"/>
        <v>6.0119265826643558</v>
      </c>
      <c r="H115" s="2057">
        <f t="shared" si="31"/>
        <v>5.958003002712271</v>
      </c>
      <c r="I115" s="2057">
        <f t="shared" si="31"/>
        <v>6.2609928779299535</v>
      </c>
      <c r="J115" s="2057">
        <f t="shared" si="31"/>
        <v>6.2633581331253056</v>
      </c>
      <c r="K115" s="2057">
        <f t="shared" si="31"/>
        <v>6.2657509342954656</v>
      </c>
      <c r="L115" s="2042"/>
      <c r="M115" s="801"/>
    </row>
    <row r="116" spans="1:13" ht="28.5">
      <c r="A116" s="5180" t="s">
        <v>1499</v>
      </c>
      <c r="B116" s="2058" t="s">
        <v>215</v>
      </c>
      <c r="C116" s="2043" t="s">
        <v>1489</v>
      </c>
      <c r="D116" s="2029">
        <f t="shared" ref="D116:K116" si="32">IFERROR((D30/D19/12),0)</f>
        <v>30.716157678145979</v>
      </c>
      <c r="E116" s="1096">
        <f t="shared" si="32"/>
        <v>27.971003898635477</v>
      </c>
      <c r="F116" s="2030">
        <f t="shared" si="32"/>
        <v>17.939832224472084</v>
      </c>
      <c r="G116" s="1096">
        <f t="shared" si="32"/>
        <v>23.938925405883495</v>
      </c>
      <c r="H116" s="1097">
        <f t="shared" si="32"/>
        <v>23.938925405883495</v>
      </c>
      <c r="I116" s="1097">
        <f t="shared" si="32"/>
        <v>23.938925405883491</v>
      </c>
      <c r="J116" s="1097">
        <f t="shared" si="32"/>
        <v>23.938925405883491</v>
      </c>
      <c r="K116" s="1097">
        <f t="shared" si="32"/>
        <v>23.938925405883491</v>
      </c>
      <c r="L116" s="2031"/>
      <c r="M116" s="803"/>
    </row>
    <row r="117" spans="1:13" ht="28.5">
      <c r="A117" s="5181"/>
      <c r="B117" s="2032" t="s">
        <v>178</v>
      </c>
      <c r="C117" s="2048" t="s">
        <v>1489</v>
      </c>
      <c r="D117" s="2033">
        <f t="shared" ref="D117:K117" si="33">IFERROR((D66/D55/12),0)</f>
        <v>25.103614621551841</v>
      </c>
      <c r="E117" s="1099">
        <f t="shared" si="33"/>
        <v>28.420983407527316</v>
      </c>
      <c r="F117" s="2034">
        <f t="shared" si="33"/>
        <v>18.859463276836159</v>
      </c>
      <c r="G117" s="1099">
        <f t="shared" si="33"/>
        <v>24.572139645839069</v>
      </c>
      <c r="H117" s="1100">
        <f t="shared" si="33"/>
        <v>23.116949678451306</v>
      </c>
      <c r="I117" s="1100">
        <f t="shared" si="33"/>
        <v>23.100766097042875</v>
      </c>
      <c r="J117" s="1100">
        <f t="shared" si="33"/>
        <v>23.084221735157175</v>
      </c>
      <c r="K117" s="1100">
        <f t="shared" si="33"/>
        <v>23.061251057115431</v>
      </c>
      <c r="L117" s="2035"/>
      <c r="M117" s="802"/>
    </row>
    <row r="118" spans="1:13" ht="29.25" thickBot="1">
      <c r="A118" s="5183"/>
      <c r="B118" s="2053" t="s">
        <v>188</v>
      </c>
      <c r="C118" s="2000" t="s">
        <v>1489</v>
      </c>
      <c r="D118" s="2038">
        <f>IFERROR((D99/D88/12),0)</f>
        <v>26.882060669456067</v>
      </c>
      <c r="E118" s="2039">
        <f t="shared" ref="E118:K118" si="34">IFERROR((E99/E88/12),0)</f>
        <v>32.590429214260986</v>
      </c>
      <c r="F118" s="2040">
        <f t="shared" si="34"/>
        <v>33.339305555555555</v>
      </c>
      <c r="G118" s="2039">
        <f t="shared" si="34"/>
        <v>43.817066567944863</v>
      </c>
      <c r="H118" s="2041">
        <f t="shared" si="34"/>
        <v>37.934026173349331</v>
      </c>
      <c r="I118" s="2041">
        <f t="shared" si="34"/>
        <v>32.951931563070033</v>
      </c>
      <c r="J118" s="2041">
        <f t="shared" si="34"/>
        <v>32.862985025063203</v>
      </c>
      <c r="K118" s="2041">
        <f t="shared" si="34"/>
        <v>32.773632763931104</v>
      </c>
      <c r="L118" s="2042"/>
      <c r="M118" s="801"/>
    </row>
    <row r="119" spans="1:13" ht="28.5">
      <c r="A119" s="5179" t="s">
        <v>1500</v>
      </c>
      <c r="B119" s="2028" t="s">
        <v>215</v>
      </c>
      <c r="C119" s="2043" t="s">
        <v>1489</v>
      </c>
      <c r="D119" s="2029">
        <f t="shared" ref="D119:K119" si="35">IFERROR((D34/D20/12),0)</f>
        <v>330.49038461538458</v>
      </c>
      <c r="E119" s="1096">
        <f t="shared" si="35"/>
        <v>275.93269230769232</v>
      </c>
      <c r="F119" s="2030">
        <f t="shared" si="35"/>
        <v>258.66319444444446</v>
      </c>
      <c r="G119" s="1096">
        <f t="shared" si="35"/>
        <v>305.20717592592592</v>
      </c>
      <c r="H119" s="1097">
        <f t="shared" si="35"/>
        <v>301.67691804801325</v>
      </c>
      <c r="I119" s="1097">
        <f t="shared" si="35"/>
        <v>298.14666017010057</v>
      </c>
      <c r="J119" s="1097">
        <f t="shared" si="35"/>
        <v>294.6164022921879</v>
      </c>
      <c r="K119" s="1097">
        <f t="shared" si="35"/>
        <v>291.12729822005576</v>
      </c>
      <c r="L119" s="2031"/>
      <c r="M119" s="803"/>
    </row>
    <row r="120" spans="1:13" ht="28.5">
      <c r="A120" s="5181"/>
      <c r="B120" s="2032" t="s">
        <v>178</v>
      </c>
      <c r="C120" s="2048" t="s">
        <v>1489</v>
      </c>
      <c r="D120" s="2033">
        <f t="shared" ref="D120:K120" si="36">IFERROR((D70/D56/12),0)</f>
        <v>330.49038461538458</v>
      </c>
      <c r="E120" s="1099">
        <f t="shared" si="36"/>
        <v>275.93269230769232</v>
      </c>
      <c r="F120" s="2034">
        <f t="shared" si="36"/>
        <v>258.66319444444446</v>
      </c>
      <c r="G120" s="1099">
        <f t="shared" si="36"/>
        <v>305.20717592592592</v>
      </c>
      <c r="H120" s="1100">
        <f t="shared" si="36"/>
        <v>301.67691804801331</v>
      </c>
      <c r="I120" s="1100">
        <f t="shared" si="36"/>
        <v>298.14666017010069</v>
      </c>
      <c r="J120" s="1100">
        <f t="shared" si="36"/>
        <v>294.61640229218807</v>
      </c>
      <c r="K120" s="1100">
        <f t="shared" si="36"/>
        <v>291.12729822005588</v>
      </c>
      <c r="L120" s="2035"/>
      <c r="M120" s="802"/>
    </row>
    <row r="121" spans="1:13" ht="29.25" thickBot="1">
      <c r="A121" s="5182"/>
      <c r="B121" s="2036" t="s">
        <v>188</v>
      </c>
      <c r="C121" s="2000" t="s">
        <v>1489</v>
      </c>
      <c r="D121" s="2038">
        <f>IFERROR((D103/D89/12),0)</f>
        <v>221.85416666666666</v>
      </c>
      <c r="E121" s="2039">
        <f t="shared" ref="E121:K121" si="37">IFERROR((E103/E89/12),0)</f>
        <v>181.77500000000001</v>
      </c>
      <c r="F121" s="2040">
        <f t="shared" si="37"/>
        <v>193.37037037037035</v>
      </c>
      <c r="G121" s="2039">
        <f t="shared" si="37"/>
        <v>213.94907407407405</v>
      </c>
      <c r="H121" s="2041">
        <f t="shared" si="37"/>
        <v>211.47437667572251</v>
      </c>
      <c r="I121" s="2041">
        <f t="shared" si="37"/>
        <v>286.95809279136154</v>
      </c>
      <c r="J121" s="2041">
        <f t="shared" si="37"/>
        <v>283.42845863148676</v>
      </c>
      <c r="K121" s="2041">
        <f t="shared" si="37"/>
        <v>279.94028132870716</v>
      </c>
      <c r="L121" s="2042"/>
      <c r="M121" s="801"/>
    </row>
    <row r="122" spans="1:13" ht="29.25" thickBot="1">
      <c r="A122" s="2059" t="s">
        <v>1501</v>
      </c>
      <c r="B122" s="2060" t="s">
        <v>215</v>
      </c>
      <c r="C122" s="2061" t="s">
        <v>1489</v>
      </c>
      <c r="D122" s="2062"/>
      <c r="E122" s="2063"/>
      <c r="F122" s="4834"/>
      <c r="G122" s="2064">
        <f>IFERROR(G38/12,0)</f>
        <v>0</v>
      </c>
      <c r="H122" s="2065">
        <f>IFERROR(H38/12,0)</f>
        <v>3291.6304290471503</v>
      </c>
      <c r="I122" s="2065">
        <f>IFERROR(I38/12,0)</f>
        <v>3291.6304290471503</v>
      </c>
      <c r="J122" s="2065">
        <f>IFERROR(J38/12,0)</f>
        <v>3291.6304290471503</v>
      </c>
      <c r="K122" s="2065">
        <f>IFERROR(K38/12,0)</f>
        <v>4208.2970957138168</v>
      </c>
      <c r="L122" s="2066"/>
      <c r="M122" s="800"/>
    </row>
    <row r="123" spans="1:13" ht="13.5" thickBot="1"/>
    <row r="124" spans="1:13" s="2014" customFormat="1" ht="33" customHeight="1">
      <c r="A124" s="5174" t="s">
        <v>857</v>
      </c>
      <c r="B124" s="2067" t="s">
        <v>1184</v>
      </c>
      <c r="C124" s="2068" t="s">
        <v>174</v>
      </c>
      <c r="D124" s="2069">
        <f t="shared" ref="D124:K124" si="38">IFERROR(D49/D13,0)</f>
        <v>0.74154679696523984</v>
      </c>
      <c r="E124" s="2070">
        <f t="shared" si="38"/>
        <v>0.7443906213206849</v>
      </c>
      <c r="F124" s="2071">
        <f t="shared" si="38"/>
        <v>0.74517173783346113</v>
      </c>
      <c r="G124" s="2070">
        <f t="shared" si="38"/>
        <v>0.77083764733740501</v>
      </c>
      <c r="H124" s="2070">
        <f t="shared" si="38"/>
        <v>0.78416550698343146</v>
      </c>
      <c r="I124" s="2070">
        <f t="shared" si="38"/>
        <v>0.84193213733496952</v>
      </c>
      <c r="J124" s="2070">
        <f t="shared" si="38"/>
        <v>0.84308086071277033</v>
      </c>
      <c r="K124" s="2072">
        <f t="shared" si="38"/>
        <v>0.8444689736609563</v>
      </c>
      <c r="L124" s="2073"/>
    </row>
    <row r="125" spans="1:13" s="2014" customFormat="1" ht="39" thickBot="1">
      <c r="A125" s="5175"/>
      <c r="B125" s="2074" t="s">
        <v>1185</v>
      </c>
      <c r="C125" s="2075" t="s">
        <v>174</v>
      </c>
      <c r="D125" s="2076">
        <f t="shared" ref="D125:K125" si="39">IFERROR(D82/D13,0)</f>
        <v>0.68930271981651836</v>
      </c>
      <c r="E125" s="2077">
        <f t="shared" si="39"/>
        <v>0.69169441921485519</v>
      </c>
      <c r="F125" s="2078">
        <f t="shared" si="39"/>
        <v>0.69258501661979033</v>
      </c>
      <c r="G125" s="2077">
        <f t="shared" si="39"/>
        <v>0.66625819761326577</v>
      </c>
      <c r="H125" s="2077">
        <f t="shared" si="39"/>
        <v>0.67962618327598667</v>
      </c>
      <c r="I125" s="2077">
        <f t="shared" si="39"/>
        <v>0.84036882552712966</v>
      </c>
      <c r="J125" s="2077">
        <f t="shared" si="39"/>
        <v>0.84085839815825225</v>
      </c>
      <c r="K125" s="2079">
        <f t="shared" si="39"/>
        <v>0.84011194319761273</v>
      </c>
      <c r="L125" s="2080"/>
    </row>
    <row r="126" spans="1:13" s="2014" customFormat="1" ht="38.25">
      <c r="A126" s="5174" t="s">
        <v>860</v>
      </c>
      <c r="B126" s="2081" t="s">
        <v>1186</v>
      </c>
      <c r="C126" s="2082" t="s">
        <v>174</v>
      </c>
      <c r="D126" s="2069">
        <f t="shared" ref="D126:K126" si="40">IFERROR(D53/D17,0)</f>
        <v>0.55438525420295726</v>
      </c>
      <c r="E126" s="2070">
        <f t="shared" si="40"/>
        <v>0.55465716829919853</v>
      </c>
      <c r="F126" s="2071">
        <f t="shared" si="40"/>
        <v>0.5495489162272994</v>
      </c>
      <c r="G126" s="2070">
        <f t="shared" si="40"/>
        <v>0.54958705918115491</v>
      </c>
      <c r="H126" s="2070">
        <f t="shared" si="40"/>
        <v>0.55959805013778452</v>
      </c>
      <c r="I126" s="2070">
        <f t="shared" si="40"/>
        <v>0.59423291778824738</v>
      </c>
      <c r="J126" s="2070">
        <f t="shared" si="40"/>
        <v>0.59522802151272713</v>
      </c>
      <c r="K126" s="2072">
        <f t="shared" si="40"/>
        <v>0.59658994952220123</v>
      </c>
      <c r="L126" s="2073"/>
    </row>
    <row r="127" spans="1:13" s="2014" customFormat="1" ht="39" thickBot="1">
      <c r="A127" s="5175"/>
      <c r="B127" s="2083" t="s">
        <v>1187</v>
      </c>
      <c r="C127" s="2075" t="s">
        <v>174</v>
      </c>
      <c r="D127" s="2076">
        <f t="shared" ref="D127:K127" si="41">IFERROR(D86/D17,0)</f>
        <v>0.42128465726983522</v>
      </c>
      <c r="E127" s="2077">
        <f t="shared" si="41"/>
        <v>0.42170376966458889</v>
      </c>
      <c r="F127" s="2078">
        <f t="shared" si="41"/>
        <v>0.41807850029291155</v>
      </c>
      <c r="G127" s="2077">
        <f t="shared" si="41"/>
        <v>0.41804797692051476</v>
      </c>
      <c r="H127" s="2077">
        <f t="shared" si="41"/>
        <v>0.42844878396906882</v>
      </c>
      <c r="I127" s="2077">
        <f t="shared" si="41"/>
        <v>0.52872793032712007</v>
      </c>
      <c r="J127" s="2077">
        <f t="shared" si="41"/>
        <v>0.52945374374177168</v>
      </c>
      <c r="K127" s="2079">
        <f t="shared" si="41"/>
        <v>0.52971789509524725</v>
      </c>
      <c r="L127" s="2084"/>
    </row>
    <row r="128" spans="1:13" s="2014" customFormat="1" ht="25.5">
      <c r="A128" s="5174" t="s">
        <v>1188</v>
      </c>
      <c r="B128" s="2081" t="s">
        <v>1189</v>
      </c>
      <c r="C128" s="2082" t="s">
        <v>174</v>
      </c>
      <c r="D128" s="2069">
        <f t="shared" ref="D128:K128" si="42">IFERROR(D74/D39,0)</f>
        <v>0.69567159054784355</v>
      </c>
      <c r="E128" s="2070">
        <f t="shared" si="42"/>
        <v>0.6970989777373251</v>
      </c>
      <c r="F128" s="2071">
        <f t="shared" si="42"/>
        <v>0.67763575530056985</v>
      </c>
      <c r="G128" s="2070">
        <f t="shared" si="42"/>
        <v>0.69061989122140199</v>
      </c>
      <c r="H128" s="2070">
        <f t="shared" si="42"/>
        <v>0.69139305232284853</v>
      </c>
      <c r="I128" s="2070">
        <f t="shared" si="42"/>
        <v>0.73740568406802054</v>
      </c>
      <c r="J128" s="2070">
        <f t="shared" si="42"/>
        <v>0.73823395413990311</v>
      </c>
      <c r="K128" s="2072">
        <f t="shared" si="42"/>
        <v>0.73778623524957965</v>
      </c>
      <c r="L128" s="2073"/>
    </row>
    <row r="129" spans="1:12" s="2014" customFormat="1" ht="26.25" thickBot="1">
      <c r="A129" s="5176"/>
      <c r="B129" s="2074" t="s">
        <v>1190</v>
      </c>
      <c r="C129" s="2085" t="s">
        <v>174</v>
      </c>
      <c r="D129" s="2086">
        <f t="shared" ref="D129:K129" si="43">IFERROR(D107/D39,0)</f>
        <v>0.56156032637490727</v>
      </c>
      <c r="E129" s="2087">
        <f t="shared" si="43"/>
        <v>0.55876540241650952</v>
      </c>
      <c r="F129" s="2088">
        <f t="shared" si="43"/>
        <v>0.52775857472958299</v>
      </c>
      <c r="G129" s="2087">
        <f t="shared" si="43"/>
        <v>0.55011292371886589</v>
      </c>
      <c r="H129" s="2087">
        <f t="shared" si="43"/>
        <v>0.55192573660681099</v>
      </c>
      <c r="I129" s="2087">
        <f t="shared" si="43"/>
        <v>0.69630988472828692</v>
      </c>
      <c r="J129" s="2087">
        <f t="shared" si="43"/>
        <v>0.69678721570026103</v>
      </c>
      <c r="K129" s="2089">
        <f t="shared" si="43"/>
        <v>0.69494926337497098</v>
      </c>
      <c r="L129" s="2090"/>
    </row>
    <row r="130" spans="1:12" s="2014" customFormat="1">
      <c r="A130" s="2091"/>
      <c r="B130" s="2091"/>
      <c r="C130" s="2091"/>
      <c r="D130" s="2092"/>
      <c r="E130" s="2092"/>
      <c r="F130" s="2092"/>
      <c r="G130" s="2092"/>
      <c r="H130" s="2092"/>
      <c r="I130" s="2092"/>
      <c r="J130" s="2092"/>
      <c r="K130" s="2092"/>
      <c r="L130" s="2093"/>
    </row>
    <row r="132" spans="1:12">
      <c r="A132" s="2094" t="str">
        <f>'Приложение '!B81</f>
        <v>Дата: 24 юни 2021 година</v>
      </c>
      <c r="B132" s="2004"/>
      <c r="C132" s="2004"/>
      <c r="D132" s="2004"/>
      <c r="E132" s="2004"/>
      <c r="F132" s="2095"/>
      <c r="G132" s="2096" t="str">
        <f>'Приложение '!C81</f>
        <v xml:space="preserve">Гл. счетоводител/Фин.директор: </v>
      </c>
      <c r="H132" s="2097" t="str">
        <f>'Приложение '!D81</f>
        <v>..............................................</v>
      </c>
      <c r="I132" s="2095"/>
      <c r="J132" s="2095"/>
    </row>
    <row r="133" spans="1:12">
      <c r="B133" s="2004"/>
      <c r="C133" s="2004"/>
      <c r="D133" s="2004"/>
      <c r="E133" s="2004"/>
      <c r="F133" s="2095"/>
      <c r="G133" s="2096"/>
      <c r="H133" s="2098" t="str">
        <f>'Приложение '!D82</f>
        <v>(подпис)</v>
      </c>
      <c r="I133" s="2095"/>
      <c r="J133" s="2095"/>
    </row>
    <row r="134" spans="1:12">
      <c r="B134" s="2004"/>
      <c r="C134" s="2004"/>
      <c r="D134" s="2004"/>
      <c r="E134" s="2004"/>
      <c r="F134" s="2095"/>
      <c r="G134" s="2096"/>
      <c r="H134" s="2097"/>
      <c r="I134" s="2095"/>
      <c r="J134" s="2095"/>
    </row>
    <row r="135" spans="1:12">
      <c r="B135" s="2004"/>
      <c r="C135" s="2004"/>
      <c r="D135" s="2004"/>
      <c r="E135" s="2004"/>
      <c r="F135" s="2099"/>
      <c r="G135" s="2100"/>
      <c r="H135" s="2097"/>
      <c r="I135" s="2095"/>
      <c r="J135" s="2095"/>
    </row>
    <row r="136" spans="1:12">
      <c r="B136" s="2004"/>
      <c r="C136" s="2004"/>
      <c r="D136" s="2004"/>
      <c r="E136" s="2004"/>
      <c r="F136" s="2099"/>
      <c r="G136" s="2096" t="str">
        <f>'Приложение '!C85</f>
        <v xml:space="preserve">Управител/Изп.директор: </v>
      </c>
      <c r="H136" s="2097" t="str">
        <f>'Приложение '!D85</f>
        <v>.............................................</v>
      </c>
      <c r="I136" s="2095"/>
      <c r="J136" s="2095"/>
    </row>
    <row r="137" spans="1:12">
      <c r="B137" s="2004"/>
      <c r="C137" s="2004"/>
      <c r="D137" s="2004"/>
      <c r="E137" s="2004"/>
      <c r="F137" s="2095"/>
      <c r="G137" s="2096"/>
      <c r="H137" s="2098" t="str">
        <f>'Приложение '!D86</f>
        <v>(подпис и печат)</v>
      </c>
      <c r="I137" s="2095"/>
      <c r="J137" s="2095"/>
    </row>
    <row r="138" spans="1:12" hidden="1">
      <c r="B138" s="2004"/>
      <c r="C138" s="2004"/>
      <c r="D138" s="2004"/>
      <c r="E138" s="2004"/>
      <c r="F138" s="2004"/>
      <c r="G138" s="2004"/>
      <c r="H138" s="2004"/>
      <c r="I138" s="2004"/>
      <c r="J138" s="2004"/>
    </row>
    <row r="139" spans="1:12">
      <c r="A139" s="5190" t="s">
        <v>191</v>
      </c>
      <c r="B139" s="5190"/>
      <c r="C139" s="5190"/>
      <c r="D139" s="5190"/>
      <c r="E139" s="5190"/>
    </row>
    <row r="140" spans="1:12">
      <c r="A140" s="5167" t="s">
        <v>192</v>
      </c>
      <c r="B140" s="5167"/>
      <c r="C140" s="5167"/>
      <c r="D140" s="5167"/>
      <c r="E140" s="5167"/>
    </row>
    <row r="141" spans="1:12">
      <c r="A141" s="4788" t="s">
        <v>1502</v>
      </c>
      <c r="B141" s="4788"/>
      <c r="C141" s="4788"/>
      <c r="D141" s="4788"/>
      <c r="E141" s="4788"/>
    </row>
    <row r="142" spans="1:12">
      <c r="A142" s="5167" t="s">
        <v>1492</v>
      </c>
      <c r="B142" s="5167"/>
      <c r="C142" s="5167"/>
      <c r="D142" s="5167"/>
      <c r="E142" s="5167"/>
    </row>
  </sheetData>
  <sheetProtection password="EB75" sheet="1" objects="1" scenarios="1" formatCells="0" formatColumns="0" formatRows="0"/>
  <mergeCells count="73">
    <mergeCell ref="A104:A107"/>
    <mergeCell ref="L83:L86"/>
    <mergeCell ref="L91:L95"/>
    <mergeCell ref="L96:L99"/>
    <mergeCell ref="A91:A95"/>
    <mergeCell ref="A100:A103"/>
    <mergeCell ref="A67:A70"/>
    <mergeCell ref="A71:A74"/>
    <mergeCell ref="L71:L74"/>
    <mergeCell ref="L67:L70"/>
    <mergeCell ref="L78:L82"/>
    <mergeCell ref="L35:L39"/>
    <mergeCell ref="L45:L49"/>
    <mergeCell ref="L50:L53"/>
    <mergeCell ref="A35:A39"/>
    <mergeCell ref="L58:L62"/>
    <mergeCell ref="A43:A44"/>
    <mergeCell ref="B43:B44"/>
    <mergeCell ref="D44:F44"/>
    <mergeCell ref="G44:K44"/>
    <mergeCell ref="A2:M2"/>
    <mergeCell ref="A3:M3"/>
    <mergeCell ref="A4:M4"/>
    <mergeCell ref="A5:M5"/>
    <mergeCell ref="A6:B6"/>
    <mergeCell ref="L9:L13"/>
    <mergeCell ref="L14:L17"/>
    <mergeCell ref="L22:L26"/>
    <mergeCell ref="A27:A30"/>
    <mergeCell ref="A31:A34"/>
    <mergeCell ref="A22:A26"/>
    <mergeCell ref="A9:A13"/>
    <mergeCell ref="L27:L30"/>
    <mergeCell ref="L31:L34"/>
    <mergeCell ref="A7:A8"/>
    <mergeCell ref="B7:B8"/>
    <mergeCell ref="L7:L8"/>
    <mergeCell ref="M7:M8"/>
    <mergeCell ref="D8:F8"/>
    <mergeCell ref="G8:K8"/>
    <mergeCell ref="C7:C8"/>
    <mergeCell ref="A116:A118"/>
    <mergeCell ref="C43:C44"/>
    <mergeCell ref="C76:C77"/>
    <mergeCell ref="A139:E139"/>
    <mergeCell ref="M76:M77"/>
    <mergeCell ref="L76:L77"/>
    <mergeCell ref="B76:B77"/>
    <mergeCell ref="A76:A77"/>
    <mergeCell ref="D77:F77"/>
    <mergeCell ref="G77:K77"/>
    <mergeCell ref="M43:M44"/>
    <mergeCell ref="L43:L44"/>
    <mergeCell ref="L63:L66"/>
    <mergeCell ref="A45:A49"/>
    <mergeCell ref="L100:L103"/>
    <mergeCell ref="L104:L107"/>
    <mergeCell ref="A140:E140"/>
    <mergeCell ref="A14:A21"/>
    <mergeCell ref="A50:A57"/>
    <mergeCell ref="A83:A90"/>
    <mergeCell ref="A142:E142"/>
    <mergeCell ref="A126:A127"/>
    <mergeCell ref="A128:A129"/>
    <mergeCell ref="A40:B40"/>
    <mergeCell ref="A58:A62"/>
    <mergeCell ref="A63:A66"/>
    <mergeCell ref="A78:A82"/>
    <mergeCell ref="A124:A125"/>
    <mergeCell ref="A96:A99"/>
    <mergeCell ref="A119:A121"/>
    <mergeCell ref="A110:A112"/>
    <mergeCell ref="A113:A115"/>
  </mergeCells>
  <printOptions horizontalCentered="1"/>
  <pageMargins left="0.11811023622047245" right="0.11811023622047245" top="0.74803149606299213" bottom="0.15748031496062992" header="0.31496062992125984" footer="0.19685039370078741"/>
  <pageSetup paperSize="9" scale="68" orientation="landscape" r:id="rId1"/>
  <headerFooter alignWithMargins="0">
    <oddFooter>&amp;C&amp;A&amp;RСтр. &amp;P от &amp;N</oddFooter>
  </headerFooter>
  <rowBreaks count="3" manualBreakCount="3">
    <brk id="41" max="12" man="1"/>
    <brk id="74" max="12" man="1"/>
    <brk id="107"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Y118"/>
  <sheetViews>
    <sheetView view="pageBreakPreview" zoomScaleNormal="100" zoomScaleSheetLayoutView="100" workbookViewId="0">
      <pane xSplit="2" ySplit="8" topLeftCell="C9" activePane="bottomRight" state="frozen"/>
      <selection pane="topRight" activeCell="C1" sqref="C1"/>
      <selection pane="bottomLeft" activeCell="A9" sqref="A9"/>
      <selection pane="bottomRight" activeCell="F100" sqref="F100"/>
    </sheetView>
  </sheetViews>
  <sheetFormatPr defaultRowHeight="15"/>
  <cols>
    <col min="1" max="1" width="5.28515625" style="2120" customWidth="1"/>
    <col min="2" max="2" width="46.5703125" style="2132" customWidth="1"/>
    <col min="3" max="3" width="10.28515625" style="2132" customWidth="1"/>
    <col min="4" max="9" width="9.7109375" style="2132" customWidth="1"/>
    <col min="10" max="238" width="9.140625" style="2132"/>
    <col min="239" max="239" width="5.28515625" style="2132" customWidth="1"/>
    <col min="240" max="240" width="56.42578125" style="2132" customWidth="1"/>
    <col min="241" max="241" width="10.28515625" style="2132" customWidth="1"/>
    <col min="242" max="248" width="10.7109375" style="2132" customWidth="1"/>
    <col min="249" max="249" width="9.140625" style="2132"/>
    <col min="250" max="250" width="11.28515625" style="2132" bestFit="1" customWidth="1"/>
    <col min="251" max="251" width="9.7109375" style="2132" bestFit="1" customWidth="1"/>
    <col min="252" max="494" width="9.140625" style="2132"/>
    <col min="495" max="495" width="5.28515625" style="2132" customWidth="1"/>
    <col min="496" max="496" width="56.42578125" style="2132" customWidth="1"/>
    <col min="497" max="497" width="10.28515625" style="2132" customWidth="1"/>
    <col min="498" max="504" width="10.7109375" style="2132" customWidth="1"/>
    <col min="505" max="505" width="9.140625" style="2132"/>
    <col min="506" max="506" width="11.28515625" style="2132" bestFit="1" customWidth="1"/>
    <col min="507" max="507" width="9.7109375" style="2132" bestFit="1" customWidth="1"/>
    <col min="508" max="750" width="9.140625" style="2132"/>
    <col min="751" max="751" width="5.28515625" style="2132" customWidth="1"/>
    <col min="752" max="752" width="56.42578125" style="2132" customWidth="1"/>
    <col min="753" max="753" width="10.28515625" style="2132" customWidth="1"/>
    <col min="754" max="760" width="10.7109375" style="2132" customWidth="1"/>
    <col min="761" max="761" width="9.140625" style="2132"/>
    <col min="762" max="762" width="11.28515625" style="2132" bestFit="1" customWidth="1"/>
    <col min="763" max="763" width="9.7109375" style="2132" bestFit="1" customWidth="1"/>
    <col min="764" max="1006" width="9.140625" style="2132"/>
    <col min="1007" max="1007" width="5.28515625" style="2132" customWidth="1"/>
    <col min="1008" max="1008" width="56.42578125" style="2132" customWidth="1"/>
    <col min="1009" max="1009" width="10.28515625" style="2132" customWidth="1"/>
    <col min="1010" max="1016" width="10.7109375" style="2132" customWidth="1"/>
    <col min="1017" max="1017" width="9.140625" style="2132"/>
    <col min="1018" max="1018" width="11.28515625" style="2132" bestFit="1" customWidth="1"/>
    <col min="1019" max="1019" width="9.7109375" style="2132" bestFit="1" customWidth="1"/>
    <col min="1020" max="1262" width="9.140625" style="2132"/>
    <col min="1263" max="1263" width="5.28515625" style="2132" customWidth="1"/>
    <col min="1264" max="1264" width="56.42578125" style="2132" customWidth="1"/>
    <col min="1265" max="1265" width="10.28515625" style="2132" customWidth="1"/>
    <col min="1266" max="1272" width="10.7109375" style="2132" customWidth="1"/>
    <col min="1273" max="1273" width="9.140625" style="2132"/>
    <col min="1274" max="1274" width="11.28515625" style="2132" bestFit="1" customWidth="1"/>
    <col min="1275" max="1275" width="9.7109375" style="2132" bestFit="1" customWidth="1"/>
    <col min="1276" max="1518" width="9.140625" style="2132"/>
    <col min="1519" max="1519" width="5.28515625" style="2132" customWidth="1"/>
    <col min="1520" max="1520" width="56.42578125" style="2132" customWidth="1"/>
    <col min="1521" max="1521" width="10.28515625" style="2132" customWidth="1"/>
    <col min="1522" max="1528" width="10.7109375" style="2132" customWidth="1"/>
    <col min="1529" max="1529" width="9.140625" style="2132"/>
    <col min="1530" max="1530" width="11.28515625" style="2132" bestFit="1" customWidth="1"/>
    <col min="1531" max="1531" width="9.7109375" style="2132" bestFit="1" customWidth="1"/>
    <col min="1532" max="1774" width="9.140625" style="2132"/>
    <col min="1775" max="1775" width="5.28515625" style="2132" customWidth="1"/>
    <col min="1776" max="1776" width="56.42578125" style="2132" customWidth="1"/>
    <col min="1777" max="1777" width="10.28515625" style="2132" customWidth="1"/>
    <col min="1778" max="1784" width="10.7109375" style="2132" customWidth="1"/>
    <col min="1785" max="1785" width="9.140625" style="2132"/>
    <col min="1786" max="1786" width="11.28515625" style="2132" bestFit="1" customWidth="1"/>
    <col min="1787" max="1787" width="9.7109375" style="2132" bestFit="1" customWidth="1"/>
    <col min="1788" max="2030" width="9.140625" style="2132"/>
    <col min="2031" max="2031" width="5.28515625" style="2132" customWidth="1"/>
    <col min="2032" max="2032" width="56.42578125" style="2132" customWidth="1"/>
    <col min="2033" max="2033" width="10.28515625" style="2132" customWidth="1"/>
    <col min="2034" max="2040" width="10.7109375" style="2132" customWidth="1"/>
    <col min="2041" max="2041" width="9.140625" style="2132"/>
    <col min="2042" max="2042" width="11.28515625" style="2132" bestFit="1" customWidth="1"/>
    <col min="2043" max="2043" width="9.7109375" style="2132" bestFit="1" customWidth="1"/>
    <col min="2044" max="2286" width="9.140625" style="2132"/>
    <col min="2287" max="2287" width="5.28515625" style="2132" customWidth="1"/>
    <col min="2288" max="2288" width="56.42578125" style="2132" customWidth="1"/>
    <col min="2289" max="2289" width="10.28515625" style="2132" customWidth="1"/>
    <col min="2290" max="2296" width="10.7109375" style="2132" customWidth="1"/>
    <col min="2297" max="2297" width="9.140625" style="2132"/>
    <col min="2298" max="2298" width="11.28515625" style="2132" bestFit="1" customWidth="1"/>
    <col min="2299" max="2299" width="9.7109375" style="2132" bestFit="1" customWidth="1"/>
    <col min="2300" max="2542" width="9.140625" style="2132"/>
    <col min="2543" max="2543" width="5.28515625" style="2132" customWidth="1"/>
    <col min="2544" max="2544" width="56.42578125" style="2132" customWidth="1"/>
    <col min="2545" max="2545" width="10.28515625" style="2132" customWidth="1"/>
    <col min="2546" max="2552" width="10.7109375" style="2132" customWidth="1"/>
    <col min="2553" max="2553" width="9.140625" style="2132"/>
    <col min="2554" max="2554" width="11.28515625" style="2132" bestFit="1" customWidth="1"/>
    <col min="2555" max="2555" width="9.7109375" style="2132" bestFit="1" customWidth="1"/>
    <col min="2556" max="2798" width="9.140625" style="2132"/>
    <col min="2799" max="2799" width="5.28515625" style="2132" customWidth="1"/>
    <col min="2800" max="2800" width="56.42578125" style="2132" customWidth="1"/>
    <col min="2801" max="2801" width="10.28515625" style="2132" customWidth="1"/>
    <col min="2802" max="2808" width="10.7109375" style="2132" customWidth="1"/>
    <col min="2809" max="2809" width="9.140625" style="2132"/>
    <col min="2810" max="2810" width="11.28515625" style="2132" bestFit="1" customWidth="1"/>
    <col min="2811" max="2811" width="9.7109375" style="2132" bestFit="1" customWidth="1"/>
    <col min="2812" max="3054" width="9.140625" style="2132"/>
    <col min="3055" max="3055" width="5.28515625" style="2132" customWidth="1"/>
    <col min="3056" max="3056" width="56.42578125" style="2132" customWidth="1"/>
    <col min="3057" max="3057" width="10.28515625" style="2132" customWidth="1"/>
    <col min="3058" max="3064" width="10.7109375" style="2132" customWidth="1"/>
    <col min="3065" max="3065" width="9.140625" style="2132"/>
    <col min="3066" max="3066" width="11.28515625" style="2132" bestFit="1" customWidth="1"/>
    <col min="3067" max="3067" width="9.7109375" style="2132" bestFit="1" customWidth="1"/>
    <col min="3068" max="3310" width="9.140625" style="2132"/>
    <col min="3311" max="3311" width="5.28515625" style="2132" customWidth="1"/>
    <col min="3312" max="3312" width="56.42578125" style="2132" customWidth="1"/>
    <col min="3313" max="3313" width="10.28515625" style="2132" customWidth="1"/>
    <col min="3314" max="3320" width="10.7109375" style="2132" customWidth="1"/>
    <col min="3321" max="3321" width="9.140625" style="2132"/>
    <col min="3322" max="3322" width="11.28515625" style="2132" bestFit="1" customWidth="1"/>
    <col min="3323" max="3323" width="9.7109375" style="2132" bestFit="1" customWidth="1"/>
    <col min="3324" max="3566" width="9.140625" style="2132"/>
    <col min="3567" max="3567" width="5.28515625" style="2132" customWidth="1"/>
    <col min="3568" max="3568" width="56.42578125" style="2132" customWidth="1"/>
    <col min="3569" max="3569" width="10.28515625" style="2132" customWidth="1"/>
    <col min="3570" max="3576" width="10.7109375" style="2132" customWidth="1"/>
    <col min="3577" max="3577" width="9.140625" style="2132"/>
    <col min="3578" max="3578" width="11.28515625" style="2132" bestFit="1" customWidth="1"/>
    <col min="3579" max="3579" width="9.7109375" style="2132" bestFit="1" customWidth="1"/>
    <col min="3580" max="3822" width="9.140625" style="2132"/>
    <col min="3823" max="3823" width="5.28515625" style="2132" customWidth="1"/>
    <col min="3824" max="3824" width="56.42578125" style="2132" customWidth="1"/>
    <col min="3825" max="3825" width="10.28515625" style="2132" customWidth="1"/>
    <col min="3826" max="3832" width="10.7109375" style="2132" customWidth="1"/>
    <col min="3833" max="3833" width="9.140625" style="2132"/>
    <col min="3834" max="3834" width="11.28515625" style="2132" bestFit="1" customWidth="1"/>
    <col min="3835" max="3835" width="9.7109375" style="2132" bestFit="1" customWidth="1"/>
    <col min="3836" max="4078" width="9.140625" style="2132"/>
    <col min="4079" max="4079" width="5.28515625" style="2132" customWidth="1"/>
    <col min="4080" max="4080" width="56.42578125" style="2132" customWidth="1"/>
    <col min="4081" max="4081" width="10.28515625" style="2132" customWidth="1"/>
    <col min="4082" max="4088" width="10.7109375" style="2132" customWidth="1"/>
    <col min="4089" max="4089" width="9.140625" style="2132"/>
    <col min="4090" max="4090" width="11.28515625" style="2132" bestFit="1" customWidth="1"/>
    <col min="4091" max="4091" width="9.7109375" style="2132" bestFit="1" customWidth="1"/>
    <col min="4092" max="4334" width="9.140625" style="2132"/>
    <col min="4335" max="4335" width="5.28515625" style="2132" customWidth="1"/>
    <col min="4336" max="4336" width="56.42578125" style="2132" customWidth="1"/>
    <col min="4337" max="4337" width="10.28515625" style="2132" customWidth="1"/>
    <col min="4338" max="4344" width="10.7109375" style="2132" customWidth="1"/>
    <col min="4345" max="4345" width="9.140625" style="2132"/>
    <col min="4346" max="4346" width="11.28515625" style="2132" bestFit="1" customWidth="1"/>
    <col min="4347" max="4347" width="9.7109375" style="2132" bestFit="1" customWidth="1"/>
    <col min="4348" max="4590" width="9.140625" style="2132"/>
    <col min="4591" max="4591" width="5.28515625" style="2132" customWidth="1"/>
    <col min="4592" max="4592" width="56.42578125" style="2132" customWidth="1"/>
    <col min="4593" max="4593" width="10.28515625" style="2132" customWidth="1"/>
    <col min="4594" max="4600" width="10.7109375" style="2132" customWidth="1"/>
    <col min="4601" max="4601" width="9.140625" style="2132"/>
    <col min="4602" max="4602" width="11.28515625" style="2132" bestFit="1" customWidth="1"/>
    <col min="4603" max="4603" width="9.7109375" style="2132" bestFit="1" customWidth="1"/>
    <col min="4604" max="4846" width="9.140625" style="2132"/>
    <col min="4847" max="4847" width="5.28515625" style="2132" customWidth="1"/>
    <col min="4848" max="4848" width="56.42578125" style="2132" customWidth="1"/>
    <col min="4849" max="4849" width="10.28515625" style="2132" customWidth="1"/>
    <col min="4850" max="4856" width="10.7109375" style="2132" customWidth="1"/>
    <col min="4857" max="4857" width="9.140625" style="2132"/>
    <col min="4858" max="4858" width="11.28515625" style="2132" bestFit="1" customWidth="1"/>
    <col min="4859" max="4859" width="9.7109375" style="2132" bestFit="1" customWidth="1"/>
    <col min="4860" max="5102" width="9.140625" style="2132"/>
    <col min="5103" max="5103" width="5.28515625" style="2132" customWidth="1"/>
    <col min="5104" max="5104" width="56.42578125" style="2132" customWidth="1"/>
    <col min="5105" max="5105" width="10.28515625" style="2132" customWidth="1"/>
    <col min="5106" max="5112" width="10.7109375" style="2132" customWidth="1"/>
    <col min="5113" max="5113" width="9.140625" style="2132"/>
    <col min="5114" max="5114" width="11.28515625" style="2132" bestFit="1" customWidth="1"/>
    <col min="5115" max="5115" width="9.7109375" style="2132" bestFit="1" customWidth="1"/>
    <col min="5116" max="5358" width="9.140625" style="2132"/>
    <col min="5359" max="5359" width="5.28515625" style="2132" customWidth="1"/>
    <col min="5360" max="5360" width="56.42578125" style="2132" customWidth="1"/>
    <col min="5361" max="5361" width="10.28515625" style="2132" customWidth="1"/>
    <col min="5362" max="5368" width="10.7109375" style="2132" customWidth="1"/>
    <col min="5369" max="5369" width="9.140625" style="2132"/>
    <col min="5370" max="5370" width="11.28515625" style="2132" bestFit="1" customWidth="1"/>
    <col min="5371" max="5371" width="9.7109375" style="2132" bestFit="1" customWidth="1"/>
    <col min="5372" max="5614" width="9.140625" style="2132"/>
    <col min="5615" max="5615" width="5.28515625" style="2132" customWidth="1"/>
    <col min="5616" max="5616" width="56.42578125" style="2132" customWidth="1"/>
    <col min="5617" max="5617" width="10.28515625" style="2132" customWidth="1"/>
    <col min="5618" max="5624" width="10.7109375" style="2132" customWidth="1"/>
    <col min="5625" max="5625" width="9.140625" style="2132"/>
    <col min="5626" max="5626" width="11.28515625" style="2132" bestFit="1" customWidth="1"/>
    <col min="5627" max="5627" width="9.7109375" style="2132" bestFit="1" customWidth="1"/>
    <col min="5628" max="5870" width="9.140625" style="2132"/>
    <col min="5871" max="5871" width="5.28515625" style="2132" customWidth="1"/>
    <col min="5872" max="5872" width="56.42578125" style="2132" customWidth="1"/>
    <col min="5873" max="5873" width="10.28515625" style="2132" customWidth="1"/>
    <col min="5874" max="5880" width="10.7109375" style="2132" customWidth="1"/>
    <col min="5881" max="5881" width="9.140625" style="2132"/>
    <col min="5882" max="5882" width="11.28515625" style="2132" bestFit="1" customWidth="1"/>
    <col min="5883" max="5883" width="9.7109375" style="2132" bestFit="1" customWidth="1"/>
    <col min="5884" max="6126" width="9.140625" style="2132"/>
    <col min="6127" max="6127" width="5.28515625" style="2132" customWidth="1"/>
    <col min="6128" max="6128" width="56.42578125" style="2132" customWidth="1"/>
    <col min="6129" max="6129" width="10.28515625" style="2132" customWidth="1"/>
    <col min="6130" max="6136" width="10.7109375" style="2132" customWidth="1"/>
    <col min="6137" max="6137" width="9.140625" style="2132"/>
    <col min="6138" max="6138" width="11.28515625" style="2132" bestFit="1" customWidth="1"/>
    <col min="6139" max="6139" width="9.7109375" style="2132" bestFit="1" customWidth="1"/>
    <col min="6140" max="6382" width="9.140625" style="2132"/>
    <col min="6383" max="6383" width="5.28515625" style="2132" customWidth="1"/>
    <col min="6384" max="6384" width="56.42578125" style="2132" customWidth="1"/>
    <col min="6385" max="6385" width="10.28515625" style="2132" customWidth="1"/>
    <col min="6386" max="6392" width="10.7109375" style="2132" customWidth="1"/>
    <col min="6393" max="6393" width="9.140625" style="2132"/>
    <col min="6394" max="6394" width="11.28515625" style="2132" bestFit="1" customWidth="1"/>
    <col min="6395" max="6395" width="9.7109375" style="2132" bestFit="1" customWidth="1"/>
    <col min="6396" max="6638" width="9.140625" style="2132"/>
    <col min="6639" max="6639" width="5.28515625" style="2132" customWidth="1"/>
    <col min="6640" max="6640" width="56.42578125" style="2132" customWidth="1"/>
    <col min="6641" max="6641" width="10.28515625" style="2132" customWidth="1"/>
    <col min="6642" max="6648" width="10.7109375" style="2132" customWidth="1"/>
    <col min="6649" max="6649" width="9.140625" style="2132"/>
    <col min="6650" max="6650" width="11.28515625" style="2132" bestFit="1" customWidth="1"/>
    <col min="6651" max="6651" width="9.7109375" style="2132" bestFit="1" customWidth="1"/>
    <col min="6652" max="6894" width="9.140625" style="2132"/>
    <col min="6895" max="6895" width="5.28515625" style="2132" customWidth="1"/>
    <col min="6896" max="6896" width="56.42578125" style="2132" customWidth="1"/>
    <col min="6897" max="6897" width="10.28515625" style="2132" customWidth="1"/>
    <col min="6898" max="6904" width="10.7109375" style="2132" customWidth="1"/>
    <col min="6905" max="6905" width="9.140625" style="2132"/>
    <col min="6906" max="6906" width="11.28515625" style="2132" bestFit="1" customWidth="1"/>
    <col min="6907" max="6907" width="9.7109375" style="2132" bestFit="1" customWidth="1"/>
    <col min="6908" max="7150" width="9.140625" style="2132"/>
    <col min="7151" max="7151" width="5.28515625" style="2132" customWidth="1"/>
    <col min="7152" max="7152" width="56.42578125" style="2132" customWidth="1"/>
    <col min="7153" max="7153" width="10.28515625" style="2132" customWidth="1"/>
    <col min="7154" max="7160" width="10.7109375" style="2132" customWidth="1"/>
    <col min="7161" max="7161" width="9.140625" style="2132"/>
    <col min="7162" max="7162" width="11.28515625" style="2132" bestFit="1" customWidth="1"/>
    <col min="7163" max="7163" width="9.7109375" style="2132" bestFit="1" customWidth="1"/>
    <col min="7164" max="7406" width="9.140625" style="2132"/>
    <col min="7407" max="7407" width="5.28515625" style="2132" customWidth="1"/>
    <col min="7408" max="7408" width="56.42578125" style="2132" customWidth="1"/>
    <col min="7409" max="7409" width="10.28515625" style="2132" customWidth="1"/>
    <col min="7410" max="7416" width="10.7109375" style="2132" customWidth="1"/>
    <col min="7417" max="7417" width="9.140625" style="2132"/>
    <col min="7418" max="7418" width="11.28515625" style="2132" bestFit="1" customWidth="1"/>
    <col min="7419" max="7419" width="9.7109375" style="2132" bestFit="1" customWidth="1"/>
    <col min="7420" max="7662" width="9.140625" style="2132"/>
    <col min="7663" max="7663" width="5.28515625" style="2132" customWidth="1"/>
    <col min="7664" max="7664" width="56.42578125" style="2132" customWidth="1"/>
    <col min="7665" max="7665" width="10.28515625" style="2132" customWidth="1"/>
    <col min="7666" max="7672" width="10.7109375" style="2132" customWidth="1"/>
    <col min="7673" max="7673" width="9.140625" style="2132"/>
    <col min="7674" max="7674" width="11.28515625" style="2132" bestFit="1" customWidth="1"/>
    <col min="7675" max="7675" width="9.7109375" style="2132" bestFit="1" customWidth="1"/>
    <col min="7676" max="7918" width="9.140625" style="2132"/>
    <col min="7919" max="7919" width="5.28515625" style="2132" customWidth="1"/>
    <col min="7920" max="7920" width="56.42578125" style="2132" customWidth="1"/>
    <col min="7921" max="7921" width="10.28515625" style="2132" customWidth="1"/>
    <col min="7922" max="7928" width="10.7109375" style="2132" customWidth="1"/>
    <col min="7929" max="7929" width="9.140625" style="2132"/>
    <col min="7930" max="7930" width="11.28515625" style="2132" bestFit="1" customWidth="1"/>
    <col min="7931" max="7931" width="9.7109375" style="2132" bestFit="1" customWidth="1"/>
    <col min="7932" max="8174" width="9.140625" style="2132"/>
    <col min="8175" max="8175" width="5.28515625" style="2132" customWidth="1"/>
    <col min="8176" max="8176" width="56.42578125" style="2132" customWidth="1"/>
    <col min="8177" max="8177" width="10.28515625" style="2132" customWidth="1"/>
    <col min="8178" max="8184" width="10.7109375" style="2132" customWidth="1"/>
    <col min="8185" max="8185" width="9.140625" style="2132"/>
    <col min="8186" max="8186" width="11.28515625" style="2132" bestFit="1" customWidth="1"/>
    <col min="8187" max="8187" width="9.7109375" style="2132" bestFit="1" customWidth="1"/>
    <col min="8188" max="8430" width="9.140625" style="2132"/>
    <col min="8431" max="8431" width="5.28515625" style="2132" customWidth="1"/>
    <col min="8432" max="8432" width="56.42578125" style="2132" customWidth="1"/>
    <col min="8433" max="8433" width="10.28515625" style="2132" customWidth="1"/>
    <col min="8434" max="8440" width="10.7109375" style="2132" customWidth="1"/>
    <col min="8441" max="8441" width="9.140625" style="2132"/>
    <col min="8442" max="8442" width="11.28515625" style="2132" bestFit="1" customWidth="1"/>
    <col min="8443" max="8443" width="9.7109375" style="2132" bestFit="1" customWidth="1"/>
    <col min="8444" max="8686" width="9.140625" style="2132"/>
    <col min="8687" max="8687" width="5.28515625" style="2132" customWidth="1"/>
    <col min="8688" max="8688" width="56.42578125" style="2132" customWidth="1"/>
    <col min="8689" max="8689" width="10.28515625" style="2132" customWidth="1"/>
    <col min="8690" max="8696" width="10.7109375" style="2132" customWidth="1"/>
    <col min="8697" max="8697" width="9.140625" style="2132"/>
    <col min="8698" max="8698" width="11.28515625" style="2132" bestFit="1" customWidth="1"/>
    <col min="8699" max="8699" width="9.7109375" style="2132" bestFit="1" customWidth="1"/>
    <col min="8700" max="8942" width="9.140625" style="2132"/>
    <col min="8943" max="8943" width="5.28515625" style="2132" customWidth="1"/>
    <col min="8944" max="8944" width="56.42578125" style="2132" customWidth="1"/>
    <col min="8945" max="8945" width="10.28515625" style="2132" customWidth="1"/>
    <col min="8946" max="8952" width="10.7109375" style="2132" customWidth="1"/>
    <col min="8953" max="8953" width="9.140625" style="2132"/>
    <col min="8954" max="8954" width="11.28515625" style="2132" bestFit="1" customWidth="1"/>
    <col min="8955" max="8955" width="9.7109375" style="2132" bestFit="1" customWidth="1"/>
    <col min="8956" max="9198" width="9.140625" style="2132"/>
    <col min="9199" max="9199" width="5.28515625" style="2132" customWidth="1"/>
    <col min="9200" max="9200" width="56.42578125" style="2132" customWidth="1"/>
    <col min="9201" max="9201" width="10.28515625" style="2132" customWidth="1"/>
    <col min="9202" max="9208" width="10.7109375" style="2132" customWidth="1"/>
    <col min="9209" max="9209" width="9.140625" style="2132"/>
    <col min="9210" max="9210" width="11.28515625" style="2132" bestFit="1" customWidth="1"/>
    <col min="9211" max="9211" width="9.7109375" style="2132" bestFit="1" customWidth="1"/>
    <col min="9212" max="9454" width="9.140625" style="2132"/>
    <col min="9455" max="9455" width="5.28515625" style="2132" customWidth="1"/>
    <col min="9456" max="9456" width="56.42578125" style="2132" customWidth="1"/>
    <col min="9457" max="9457" width="10.28515625" style="2132" customWidth="1"/>
    <col min="9458" max="9464" width="10.7109375" style="2132" customWidth="1"/>
    <col min="9465" max="9465" width="9.140625" style="2132"/>
    <col min="9466" max="9466" width="11.28515625" style="2132" bestFit="1" customWidth="1"/>
    <col min="9467" max="9467" width="9.7109375" style="2132" bestFit="1" customWidth="1"/>
    <col min="9468" max="9710" width="9.140625" style="2132"/>
    <col min="9711" max="9711" width="5.28515625" style="2132" customWidth="1"/>
    <col min="9712" max="9712" width="56.42578125" style="2132" customWidth="1"/>
    <col min="9713" max="9713" width="10.28515625" style="2132" customWidth="1"/>
    <col min="9714" max="9720" width="10.7109375" style="2132" customWidth="1"/>
    <col min="9721" max="9721" width="9.140625" style="2132"/>
    <col min="9722" max="9722" width="11.28515625" style="2132" bestFit="1" customWidth="1"/>
    <col min="9723" max="9723" width="9.7109375" style="2132" bestFit="1" customWidth="1"/>
    <col min="9724" max="9966" width="9.140625" style="2132"/>
    <col min="9967" max="9967" width="5.28515625" style="2132" customWidth="1"/>
    <col min="9968" max="9968" width="56.42578125" style="2132" customWidth="1"/>
    <col min="9969" max="9969" width="10.28515625" style="2132" customWidth="1"/>
    <col min="9970" max="9976" width="10.7109375" style="2132" customWidth="1"/>
    <col min="9977" max="9977" width="9.140625" style="2132"/>
    <col min="9978" max="9978" width="11.28515625" style="2132" bestFit="1" customWidth="1"/>
    <col min="9979" max="9979" width="9.7109375" style="2132" bestFit="1" customWidth="1"/>
    <col min="9980" max="10222" width="9.140625" style="2132"/>
    <col min="10223" max="10223" width="5.28515625" style="2132" customWidth="1"/>
    <col min="10224" max="10224" width="56.42578125" style="2132" customWidth="1"/>
    <col min="10225" max="10225" width="10.28515625" style="2132" customWidth="1"/>
    <col min="10226" max="10232" width="10.7109375" style="2132" customWidth="1"/>
    <col min="10233" max="10233" width="9.140625" style="2132"/>
    <col min="10234" max="10234" width="11.28515625" style="2132" bestFit="1" customWidth="1"/>
    <col min="10235" max="10235" width="9.7109375" style="2132" bestFit="1" customWidth="1"/>
    <col min="10236" max="10478" width="9.140625" style="2132"/>
    <col min="10479" max="10479" width="5.28515625" style="2132" customWidth="1"/>
    <col min="10480" max="10480" width="56.42578125" style="2132" customWidth="1"/>
    <col min="10481" max="10481" width="10.28515625" style="2132" customWidth="1"/>
    <col min="10482" max="10488" width="10.7109375" style="2132" customWidth="1"/>
    <col min="10489" max="10489" width="9.140625" style="2132"/>
    <col min="10490" max="10490" width="11.28515625" style="2132" bestFit="1" customWidth="1"/>
    <col min="10491" max="10491" width="9.7109375" style="2132" bestFit="1" customWidth="1"/>
    <col min="10492" max="10734" width="9.140625" style="2132"/>
    <col min="10735" max="10735" width="5.28515625" style="2132" customWidth="1"/>
    <col min="10736" max="10736" width="56.42578125" style="2132" customWidth="1"/>
    <col min="10737" max="10737" width="10.28515625" style="2132" customWidth="1"/>
    <col min="10738" max="10744" width="10.7109375" style="2132" customWidth="1"/>
    <col min="10745" max="10745" width="9.140625" style="2132"/>
    <col min="10746" max="10746" width="11.28515625" style="2132" bestFit="1" customWidth="1"/>
    <col min="10747" max="10747" width="9.7109375" style="2132" bestFit="1" customWidth="1"/>
    <col min="10748" max="10990" width="9.140625" style="2132"/>
    <col min="10991" max="10991" width="5.28515625" style="2132" customWidth="1"/>
    <col min="10992" max="10992" width="56.42578125" style="2132" customWidth="1"/>
    <col min="10993" max="10993" width="10.28515625" style="2132" customWidth="1"/>
    <col min="10994" max="11000" width="10.7109375" style="2132" customWidth="1"/>
    <col min="11001" max="11001" width="9.140625" style="2132"/>
    <col min="11002" max="11002" width="11.28515625" style="2132" bestFit="1" customWidth="1"/>
    <col min="11003" max="11003" width="9.7109375" style="2132" bestFit="1" customWidth="1"/>
    <col min="11004" max="11246" width="9.140625" style="2132"/>
    <col min="11247" max="11247" width="5.28515625" style="2132" customWidth="1"/>
    <col min="11248" max="11248" width="56.42578125" style="2132" customWidth="1"/>
    <col min="11249" max="11249" width="10.28515625" style="2132" customWidth="1"/>
    <col min="11250" max="11256" width="10.7109375" style="2132" customWidth="1"/>
    <col min="11257" max="11257" width="9.140625" style="2132"/>
    <col min="11258" max="11258" width="11.28515625" style="2132" bestFit="1" customWidth="1"/>
    <col min="11259" max="11259" width="9.7109375" style="2132" bestFit="1" customWidth="1"/>
    <col min="11260" max="11502" width="9.140625" style="2132"/>
    <col min="11503" max="11503" width="5.28515625" style="2132" customWidth="1"/>
    <col min="11504" max="11504" width="56.42578125" style="2132" customWidth="1"/>
    <col min="11505" max="11505" width="10.28515625" style="2132" customWidth="1"/>
    <col min="11506" max="11512" width="10.7109375" style="2132" customWidth="1"/>
    <col min="11513" max="11513" width="9.140625" style="2132"/>
    <col min="11514" max="11514" width="11.28515625" style="2132" bestFit="1" customWidth="1"/>
    <col min="11515" max="11515" width="9.7109375" style="2132" bestFit="1" customWidth="1"/>
    <col min="11516" max="11758" width="9.140625" style="2132"/>
    <col min="11759" max="11759" width="5.28515625" style="2132" customWidth="1"/>
    <col min="11760" max="11760" width="56.42578125" style="2132" customWidth="1"/>
    <col min="11761" max="11761" width="10.28515625" style="2132" customWidth="1"/>
    <col min="11762" max="11768" width="10.7109375" style="2132" customWidth="1"/>
    <col min="11769" max="11769" width="9.140625" style="2132"/>
    <col min="11770" max="11770" width="11.28515625" style="2132" bestFit="1" customWidth="1"/>
    <col min="11771" max="11771" width="9.7109375" style="2132" bestFit="1" customWidth="1"/>
    <col min="11772" max="12014" width="9.140625" style="2132"/>
    <col min="12015" max="12015" width="5.28515625" style="2132" customWidth="1"/>
    <col min="12016" max="12016" width="56.42578125" style="2132" customWidth="1"/>
    <col min="12017" max="12017" width="10.28515625" style="2132" customWidth="1"/>
    <col min="12018" max="12024" width="10.7109375" style="2132" customWidth="1"/>
    <col min="12025" max="12025" width="9.140625" style="2132"/>
    <col min="12026" max="12026" width="11.28515625" style="2132" bestFit="1" customWidth="1"/>
    <col min="12027" max="12027" width="9.7109375" style="2132" bestFit="1" customWidth="1"/>
    <col min="12028" max="12270" width="9.140625" style="2132"/>
    <col min="12271" max="12271" width="5.28515625" style="2132" customWidth="1"/>
    <col min="12272" max="12272" width="56.42578125" style="2132" customWidth="1"/>
    <col min="12273" max="12273" width="10.28515625" style="2132" customWidth="1"/>
    <col min="12274" max="12280" width="10.7109375" style="2132" customWidth="1"/>
    <col min="12281" max="12281" width="9.140625" style="2132"/>
    <col min="12282" max="12282" width="11.28515625" style="2132" bestFit="1" customWidth="1"/>
    <col min="12283" max="12283" width="9.7109375" style="2132" bestFit="1" customWidth="1"/>
    <col min="12284" max="12526" width="9.140625" style="2132"/>
    <col min="12527" max="12527" width="5.28515625" style="2132" customWidth="1"/>
    <col min="12528" max="12528" width="56.42578125" style="2132" customWidth="1"/>
    <col min="12529" max="12529" width="10.28515625" style="2132" customWidth="1"/>
    <col min="12530" max="12536" width="10.7109375" style="2132" customWidth="1"/>
    <col min="12537" max="12537" width="9.140625" style="2132"/>
    <col min="12538" max="12538" width="11.28515625" style="2132" bestFit="1" customWidth="1"/>
    <col min="12539" max="12539" width="9.7109375" style="2132" bestFit="1" customWidth="1"/>
    <col min="12540" max="12782" width="9.140625" style="2132"/>
    <col min="12783" max="12783" width="5.28515625" style="2132" customWidth="1"/>
    <col min="12784" max="12784" width="56.42578125" style="2132" customWidth="1"/>
    <col min="12785" max="12785" width="10.28515625" style="2132" customWidth="1"/>
    <col min="12786" max="12792" width="10.7109375" style="2132" customWidth="1"/>
    <col min="12793" max="12793" width="9.140625" style="2132"/>
    <col min="12794" max="12794" width="11.28515625" style="2132" bestFit="1" customWidth="1"/>
    <col min="12795" max="12795" width="9.7109375" style="2132" bestFit="1" customWidth="1"/>
    <col min="12796" max="13038" width="9.140625" style="2132"/>
    <col min="13039" max="13039" width="5.28515625" style="2132" customWidth="1"/>
    <col min="13040" max="13040" width="56.42578125" style="2132" customWidth="1"/>
    <col min="13041" max="13041" width="10.28515625" style="2132" customWidth="1"/>
    <col min="13042" max="13048" width="10.7109375" style="2132" customWidth="1"/>
    <col min="13049" max="13049" width="9.140625" style="2132"/>
    <col min="13050" max="13050" width="11.28515625" style="2132" bestFit="1" customWidth="1"/>
    <col min="13051" max="13051" width="9.7109375" style="2132" bestFit="1" customWidth="1"/>
    <col min="13052" max="13294" width="9.140625" style="2132"/>
    <col min="13295" max="13295" width="5.28515625" style="2132" customWidth="1"/>
    <col min="13296" max="13296" width="56.42578125" style="2132" customWidth="1"/>
    <col min="13297" max="13297" width="10.28515625" style="2132" customWidth="1"/>
    <col min="13298" max="13304" width="10.7109375" style="2132" customWidth="1"/>
    <col min="13305" max="13305" width="9.140625" style="2132"/>
    <col min="13306" max="13306" width="11.28515625" style="2132" bestFit="1" customWidth="1"/>
    <col min="13307" max="13307" width="9.7109375" style="2132" bestFit="1" customWidth="1"/>
    <col min="13308" max="13550" width="9.140625" style="2132"/>
    <col min="13551" max="13551" width="5.28515625" style="2132" customWidth="1"/>
    <col min="13552" max="13552" width="56.42578125" style="2132" customWidth="1"/>
    <col min="13553" max="13553" width="10.28515625" style="2132" customWidth="1"/>
    <col min="13554" max="13560" width="10.7109375" style="2132" customWidth="1"/>
    <col min="13561" max="13561" width="9.140625" style="2132"/>
    <col min="13562" max="13562" width="11.28515625" style="2132" bestFit="1" customWidth="1"/>
    <col min="13563" max="13563" width="9.7109375" style="2132" bestFit="1" customWidth="1"/>
    <col min="13564" max="13806" width="9.140625" style="2132"/>
    <col min="13807" max="13807" width="5.28515625" style="2132" customWidth="1"/>
    <col min="13808" max="13808" width="56.42578125" style="2132" customWidth="1"/>
    <col min="13809" max="13809" width="10.28515625" style="2132" customWidth="1"/>
    <col min="13810" max="13816" width="10.7109375" style="2132" customWidth="1"/>
    <col min="13817" max="13817" width="9.140625" style="2132"/>
    <col min="13818" max="13818" width="11.28515625" style="2132" bestFit="1" customWidth="1"/>
    <col min="13819" max="13819" width="9.7109375" style="2132" bestFit="1" customWidth="1"/>
    <col min="13820" max="14062" width="9.140625" style="2132"/>
    <col min="14063" max="14063" width="5.28515625" style="2132" customWidth="1"/>
    <col min="14064" max="14064" width="56.42578125" style="2132" customWidth="1"/>
    <col min="14065" max="14065" width="10.28515625" style="2132" customWidth="1"/>
    <col min="14066" max="14072" width="10.7109375" style="2132" customWidth="1"/>
    <col min="14073" max="14073" width="9.140625" style="2132"/>
    <col min="14074" max="14074" width="11.28515625" style="2132" bestFit="1" customWidth="1"/>
    <col min="14075" max="14075" width="9.7109375" style="2132" bestFit="1" customWidth="1"/>
    <col min="14076" max="14318" width="9.140625" style="2132"/>
    <col min="14319" max="14319" width="5.28515625" style="2132" customWidth="1"/>
    <col min="14320" max="14320" width="56.42578125" style="2132" customWidth="1"/>
    <col min="14321" max="14321" width="10.28515625" style="2132" customWidth="1"/>
    <col min="14322" max="14328" width="10.7109375" style="2132" customWidth="1"/>
    <col min="14329" max="14329" width="9.140625" style="2132"/>
    <col min="14330" max="14330" width="11.28515625" style="2132" bestFit="1" customWidth="1"/>
    <col min="14331" max="14331" width="9.7109375" style="2132" bestFit="1" customWidth="1"/>
    <col min="14332" max="14574" width="9.140625" style="2132"/>
    <col min="14575" max="14575" width="5.28515625" style="2132" customWidth="1"/>
    <col min="14576" max="14576" width="56.42578125" style="2132" customWidth="1"/>
    <col min="14577" max="14577" width="10.28515625" style="2132" customWidth="1"/>
    <col min="14578" max="14584" width="10.7109375" style="2132" customWidth="1"/>
    <col min="14585" max="14585" width="9.140625" style="2132"/>
    <col min="14586" max="14586" width="11.28515625" style="2132" bestFit="1" customWidth="1"/>
    <col min="14587" max="14587" width="9.7109375" style="2132" bestFit="1" customWidth="1"/>
    <col min="14588" max="14830" width="9.140625" style="2132"/>
    <col min="14831" max="14831" width="5.28515625" style="2132" customWidth="1"/>
    <col min="14832" max="14832" width="56.42578125" style="2132" customWidth="1"/>
    <col min="14833" max="14833" width="10.28515625" style="2132" customWidth="1"/>
    <col min="14834" max="14840" width="10.7109375" style="2132" customWidth="1"/>
    <col min="14841" max="14841" width="9.140625" style="2132"/>
    <col min="14842" max="14842" width="11.28515625" style="2132" bestFit="1" customWidth="1"/>
    <col min="14843" max="14843" width="9.7109375" style="2132" bestFit="1" customWidth="1"/>
    <col min="14844" max="15086" width="9.140625" style="2132"/>
    <col min="15087" max="15087" width="5.28515625" style="2132" customWidth="1"/>
    <col min="15088" max="15088" width="56.42578125" style="2132" customWidth="1"/>
    <col min="15089" max="15089" width="10.28515625" style="2132" customWidth="1"/>
    <col min="15090" max="15096" width="10.7109375" style="2132" customWidth="1"/>
    <col min="15097" max="15097" width="9.140625" style="2132"/>
    <col min="15098" max="15098" width="11.28515625" style="2132" bestFit="1" customWidth="1"/>
    <col min="15099" max="15099" width="9.7109375" style="2132" bestFit="1" customWidth="1"/>
    <col min="15100" max="15342" width="9.140625" style="2132"/>
    <col min="15343" max="15343" width="5.28515625" style="2132" customWidth="1"/>
    <col min="15344" max="15344" width="56.42578125" style="2132" customWidth="1"/>
    <col min="15345" max="15345" width="10.28515625" style="2132" customWidth="1"/>
    <col min="15346" max="15352" width="10.7109375" style="2132" customWidth="1"/>
    <col min="15353" max="15353" width="9.140625" style="2132"/>
    <col min="15354" max="15354" width="11.28515625" style="2132" bestFit="1" customWidth="1"/>
    <col min="15355" max="15355" width="9.7109375" style="2132" bestFit="1" customWidth="1"/>
    <col min="15356" max="15598" width="9.140625" style="2132"/>
    <col min="15599" max="15599" width="5.28515625" style="2132" customWidth="1"/>
    <col min="15600" max="15600" width="56.42578125" style="2132" customWidth="1"/>
    <col min="15601" max="15601" width="10.28515625" style="2132" customWidth="1"/>
    <col min="15602" max="15608" width="10.7109375" style="2132" customWidth="1"/>
    <col min="15609" max="15609" width="9.140625" style="2132"/>
    <col min="15610" max="15610" width="11.28515625" style="2132" bestFit="1" customWidth="1"/>
    <col min="15611" max="15611" width="9.7109375" style="2132" bestFit="1" customWidth="1"/>
    <col min="15612" max="15854" width="9.140625" style="2132"/>
    <col min="15855" max="15855" width="5.28515625" style="2132" customWidth="1"/>
    <col min="15856" max="15856" width="56.42578125" style="2132" customWidth="1"/>
    <col min="15857" max="15857" width="10.28515625" style="2132" customWidth="1"/>
    <col min="15858" max="15864" width="10.7109375" style="2132" customWidth="1"/>
    <col min="15865" max="15865" width="9.140625" style="2132"/>
    <col min="15866" max="15866" width="11.28515625" style="2132" bestFit="1" customWidth="1"/>
    <col min="15867" max="15867" width="9.7109375" style="2132" bestFit="1" customWidth="1"/>
    <col min="15868" max="16110" width="9.140625" style="2132"/>
    <col min="16111" max="16111" width="5.28515625" style="2132" customWidth="1"/>
    <col min="16112" max="16112" width="56.42578125" style="2132" customWidth="1"/>
    <col min="16113" max="16113" width="10.28515625" style="2132" customWidth="1"/>
    <col min="16114" max="16120" width="10.7109375" style="2132" customWidth="1"/>
    <col min="16121" max="16121" width="9.140625" style="2132"/>
    <col min="16122" max="16122" width="11.28515625" style="2132" bestFit="1" customWidth="1"/>
    <col min="16123" max="16123" width="9.7109375" style="2132" bestFit="1" customWidth="1"/>
    <col min="16124" max="16384" width="9.140625" style="2132"/>
  </cols>
  <sheetData>
    <row r="1" spans="1:25" ht="13.5">
      <c r="A1" s="5244" t="s">
        <v>0</v>
      </c>
      <c r="B1" s="5244"/>
      <c r="C1" s="5244"/>
      <c r="D1" s="5244"/>
      <c r="E1" s="5244"/>
      <c r="F1" s="5244"/>
      <c r="G1" s="5244"/>
      <c r="H1" s="5244"/>
      <c r="I1" s="5244"/>
    </row>
    <row r="2" spans="1:25" s="4507" customFormat="1" ht="18.75">
      <c r="A2" s="5245" t="s">
        <v>1416</v>
      </c>
      <c r="B2" s="5245"/>
      <c r="C2" s="5245"/>
      <c r="D2" s="5245"/>
      <c r="E2" s="5245"/>
      <c r="F2" s="5245"/>
      <c r="G2" s="5245"/>
      <c r="H2" s="5245"/>
      <c r="I2" s="5245"/>
    </row>
    <row r="3" spans="1:25" s="4508" customFormat="1" ht="15.75">
      <c r="A3" s="5246" t="s">
        <v>1313</v>
      </c>
      <c r="B3" s="5246"/>
      <c r="C3" s="5246"/>
      <c r="D3" s="5246"/>
      <c r="E3" s="5246"/>
      <c r="F3" s="5246"/>
      <c r="G3" s="5246"/>
      <c r="H3" s="5246"/>
      <c r="I3" s="5246"/>
    </row>
    <row r="4" spans="1:25" s="4508" customFormat="1" ht="15.75">
      <c r="A4" s="5247" t="str">
        <f>'1. Обща информация'!A4</f>
        <v>на "Водоснабдяване и канализаиця"ООД, гр. Перник</v>
      </c>
      <c r="B4" s="5247"/>
      <c r="C4" s="5247"/>
      <c r="D4" s="5247"/>
      <c r="E4" s="5247"/>
      <c r="F4" s="5247"/>
      <c r="G4" s="5247"/>
      <c r="H4" s="5247"/>
      <c r="I4" s="5247"/>
      <c r="J4" s="200"/>
      <c r="K4" s="200"/>
      <c r="L4" s="200"/>
      <c r="M4" s="200"/>
      <c r="N4" s="200"/>
      <c r="O4" s="200"/>
      <c r="P4" s="200"/>
      <c r="Q4" s="200"/>
      <c r="R4" s="200"/>
      <c r="S4" s="200"/>
      <c r="T4" s="200"/>
      <c r="U4" s="200"/>
      <c r="V4" s="200"/>
      <c r="W4" s="200"/>
      <c r="X4" s="200"/>
      <c r="Y4" s="200"/>
    </row>
    <row r="5" spans="1:25" s="4508" customFormat="1" ht="15.75">
      <c r="A5" s="5248" t="str">
        <f>'1. Обща информация'!A5</f>
        <v>ЕИК по БУЛСТАТ: 823073638</v>
      </c>
      <c r="B5" s="5248"/>
      <c r="C5" s="5248"/>
      <c r="D5" s="5248"/>
      <c r="E5" s="5248"/>
      <c r="F5" s="5248"/>
      <c r="G5" s="5248"/>
      <c r="H5" s="5248"/>
      <c r="I5" s="5248"/>
      <c r="J5" s="200"/>
      <c r="K5" s="200"/>
      <c r="L5" s="200"/>
      <c r="M5" s="200"/>
      <c r="N5" s="200"/>
      <c r="O5" s="200"/>
      <c r="P5" s="200"/>
      <c r="Q5" s="200"/>
      <c r="R5" s="200"/>
      <c r="S5" s="200"/>
      <c r="T5" s="200"/>
      <c r="U5" s="200"/>
      <c r="V5" s="200"/>
      <c r="W5" s="200"/>
      <c r="X5" s="200"/>
      <c r="Y5" s="200"/>
    </row>
    <row r="6" spans="1:25" s="4508" customFormat="1" ht="16.5" thickBot="1">
      <c r="A6" s="4418"/>
      <c r="B6" s="4418"/>
      <c r="C6" s="4418"/>
      <c r="D6" s="831"/>
      <c r="E6" s="4418"/>
      <c r="F6" s="4418"/>
      <c r="G6" s="4418"/>
      <c r="H6" s="4418"/>
      <c r="I6" s="831"/>
      <c r="J6" s="200"/>
      <c r="K6" s="200"/>
      <c r="L6" s="200"/>
      <c r="M6" s="200"/>
      <c r="N6" s="200"/>
      <c r="O6" s="200"/>
      <c r="P6" s="200"/>
      <c r="Q6" s="200"/>
      <c r="R6" s="200"/>
      <c r="S6" s="200"/>
      <c r="T6" s="200"/>
      <c r="U6" s="200"/>
      <c r="V6" s="200"/>
      <c r="W6" s="200"/>
      <c r="X6" s="200"/>
      <c r="Y6" s="200"/>
    </row>
    <row r="7" spans="1:25" s="4509" customFormat="1" ht="19.5" thickBot="1">
      <c r="A7" s="830" t="s">
        <v>1</v>
      </c>
      <c r="B7" s="2109" t="s">
        <v>90</v>
      </c>
      <c r="C7" s="2109" t="s">
        <v>170</v>
      </c>
      <c r="D7" s="191" t="str">
        <f>'Приложение '!$C12</f>
        <v>2020 г.</v>
      </c>
      <c r="E7" s="191" t="str">
        <f>'Приложение '!$C14</f>
        <v>2022 г.</v>
      </c>
      <c r="F7" s="191" t="str">
        <f>'Приложение '!$C15</f>
        <v>2023 г.</v>
      </c>
      <c r="G7" s="191" t="str">
        <f>'Приложение '!$C16</f>
        <v>2024 г.</v>
      </c>
      <c r="H7" s="191" t="str">
        <f>'Приложение '!$C17</f>
        <v>2025 г.</v>
      </c>
      <c r="I7" s="192" t="str">
        <f>'Приложение '!$C18</f>
        <v>2026 г.</v>
      </c>
    </row>
    <row r="8" spans="1:25" s="4511" customFormat="1" ht="13.5" thickBot="1">
      <c r="A8" s="190" t="s">
        <v>171</v>
      </c>
      <c r="B8" s="5249" t="s">
        <v>1166</v>
      </c>
      <c r="C8" s="5250"/>
      <c r="D8" s="5250"/>
      <c r="E8" s="5250"/>
      <c r="F8" s="5250"/>
      <c r="G8" s="5250"/>
      <c r="H8" s="5250"/>
      <c r="I8" s="5251"/>
      <c r="J8" s="4510"/>
    </row>
    <row r="9" spans="1:25" s="2121" customFormat="1" ht="13.5" thickBot="1">
      <c r="A9" s="2110" t="s">
        <v>210</v>
      </c>
      <c r="B9" s="2111" t="str">
        <f>"Доставяне на вода на друг ВиК оператор - "&amp;'1. Обща информация'!B33</f>
        <v xml:space="preserve">Доставяне на вода на друг ВиК оператор - </v>
      </c>
      <c r="C9" s="2110"/>
      <c r="D9" s="2112"/>
      <c r="E9" s="2113"/>
      <c r="F9" s="2113"/>
      <c r="G9" s="2113"/>
      <c r="H9" s="2113"/>
      <c r="I9" s="2114"/>
    </row>
    <row r="10" spans="1:25" s="2121" customFormat="1" ht="15.75">
      <c r="A10" s="4737" t="s">
        <v>469</v>
      </c>
      <c r="B10" s="824" t="s">
        <v>576</v>
      </c>
      <c r="C10" s="401" t="s">
        <v>789</v>
      </c>
      <c r="D10" s="875">
        <f>D11+D12+D13+D14</f>
        <v>0</v>
      </c>
      <c r="E10" s="230">
        <f>E11+E12+E13+E14</f>
        <v>0</v>
      </c>
      <c r="F10" s="230">
        <f>F11+F12+F13+F14</f>
        <v>0</v>
      </c>
      <c r="G10" s="230">
        <f t="shared" ref="G10:I10" si="0">G11+G12+G13+G14</f>
        <v>0</v>
      </c>
      <c r="H10" s="230">
        <f t="shared" si="0"/>
        <v>0</v>
      </c>
      <c r="I10" s="231">
        <f t="shared" si="0"/>
        <v>0</v>
      </c>
    </row>
    <row r="11" spans="1:25" s="1962" customFormat="1" ht="15.75">
      <c r="A11" s="90" t="s">
        <v>469</v>
      </c>
      <c r="B11" s="2115" t="s">
        <v>914</v>
      </c>
      <c r="C11" s="403" t="s">
        <v>789</v>
      </c>
      <c r="D11" s="876"/>
      <c r="E11" s="225"/>
      <c r="F11" s="225"/>
      <c r="G11" s="225"/>
      <c r="H11" s="225"/>
      <c r="I11" s="226"/>
    </row>
    <row r="12" spans="1:25" s="1962" customFormat="1" ht="15.75">
      <c r="A12" s="90" t="s">
        <v>471</v>
      </c>
      <c r="B12" s="825" t="s">
        <v>915</v>
      </c>
      <c r="C12" s="403" t="s">
        <v>789</v>
      </c>
      <c r="D12" s="876"/>
      <c r="E12" s="225"/>
      <c r="F12" s="225"/>
      <c r="G12" s="225"/>
      <c r="H12" s="225"/>
      <c r="I12" s="226"/>
    </row>
    <row r="13" spans="1:25" s="1962" customFormat="1" ht="15.75">
      <c r="A13" s="90" t="s">
        <v>472</v>
      </c>
      <c r="B13" s="825" t="s">
        <v>916</v>
      </c>
      <c r="C13" s="403" t="s">
        <v>789</v>
      </c>
      <c r="D13" s="876"/>
      <c r="E13" s="225"/>
      <c r="F13" s="225"/>
      <c r="G13" s="225"/>
      <c r="H13" s="225"/>
      <c r="I13" s="226"/>
    </row>
    <row r="14" spans="1:25" s="1962" customFormat="1" ht="26.25" thickBot="1">
      <c r="A14" s="826" t="s">
        <v>474</v>
      </c>
      <c r="B14" s="4512" t="s">
        <v>917</v>
      </c>
      <c r="C14" s="827" t="s">
        <v>789</v>
      </c>
      <c r="D14" s="877"/>
      <c r="E14" s="878"/>
      <c r="F14" s="878"/>
      <c r="G14" s="878"/>
      <c r="H14" s="878"/>
      <c r="I14" s="879"/>
    </row>
    <row r="15" spans="1:25" s="2121" customFormat="1" ht="15.75">
      <c r="A15" s="5156" t="s">
        <v>483</v>
      </c>
      <c r="B15" s="5158" t="s">
        <v>578</v>
      </c>
      <c r="C15" s="406" t="s">
        <v>789</v>
      </c>
      <c r="D15" s="2138"/>
      <c r="E15" s="2139"/>
      <c r="F15" s="2139"/>
      <c r="G15" s="2139"/>
      <c r="H15" s="2139"/>
      <c r="I15" s="2140"/>
    </row>
    <row r="16" spans="1:25" s="2121" customFormat="1" ht="13.5" thickBot="1">
      <c r="A16" s="5157"/>
      <c r="B16" s="5159"/>
      <c r="C16" s="403" t="s">
        <v>174</v>
      </c>
      <c r="D16" s="880">
        <f>IFERROR(D15/D10,0)</f>
        <v>0</v>
      </c>
      <c r="E16" s="245">
        <f t="shared" ref="E16:I16" si="1">IFERROR(E15/E10,0)</f>
        <v>0</v>
      </c>
      <c r="F16" s="245">
        <f t="shared" si="1"/>
        <v>0</v>
      </c>
      <c r="G16" s="245">
        <f t="shared" si="1"/>
        <v>0</v>
      </c>
      <c r="H16" s="245">
        <f t="shared" si="1"/>
        <v>0</v>
      </c>
      <c r="I16" s="246">
        <f t="shared" si="1"/>
        <v>0</v>
      </c>
    </row>
    <row r="17" spans="1:9" s="2121" customFormat="1" ht="15.75">
      <c r="A17" s="5242" t="s">
        <v>485</v>
      </c>
      <c r="B17" s="5243" t="s">
        <v>694</v>
      </c>
      <c r="C17" s="603" t="s">
        <v>789</v>
      </c>
      <c r="D17" s="2141"/>
      <c r="E17" s="2142"/>
      <c r="F17" s="2142"/>
      <c r="G17" s="2142"/>
      <c r="H17" s="2142"/>
      <c r="I17" s="2143"/>
    </row>
    <row r="18" spans="1:9" s="2121" customFormat="1" ht="13.5" thickBot="1">
      <c r="A18" s="5118"/>
      <c r="B18" s="5120"/>
      <c r="C18" s="583" t="s">
        <v>174</v>
      </c>
      <c r="D18" s="1015">
        <f t="shared" ref="D18:I18" si="2">IFERROR(D17/D10,0)</f>
        <v>0</v>
      </c>
      <c r="E18" s="1016">
        <f t="shared" si="2"/>
        <v>0</v>
      </c>
      <c r="F18" s="1016">
        <f t="shared" si="2"/>
        <v>0</v>
      </c>
      <c r="G18" s="1016">
        <f t="shared" si="2"/>
        <v>0</v>
      </c>
      <c r="H18" s="1016">
        <f t="shared" si="2"/>
        <v>0</v>
      </c>
      <c r="I18" s="1017">
        <f t="shared" si="2"/>
        <v>0</v>
      </c>
    </row>
    <row r="19" spans="1:9" s="2121" customFormat="1" ht="15.75">
      <c r="A19" s="5111" t="s">
        <v>224</v>
      </c>
      <c r="B19" s="5121" t="s">
        <v>695</v>
      </c>
      <c r="C19" s="559" t="s">
        <v>789</v>
      </c>
      <c r="D19" s="569">
        <f>D21+D23</f>
        <v>0</v>
      </c>
      <c r="E19" s="570">
        <f t="shared" ref="E19:I19" si="3">E21+E23</f>
        <v>0</v>
      </c>
      <c r="F19" s="570">
        <f t="shared" si="3"/>
        <v>0</v>
      </c>
      <c r="G19" s="570">
        <f t="shared" si="3"/>
        <v>0</v>
      </c>
      <c r="H19" s="570">
        <f t="shared" si="3"/>
        <v>0</v>
      </c>
      <c r="I19" s="571">
        <f t="shared" si="3"/>
        <v>0</v>
      </c>
    </row>
    <row r="20" spans="1:9" s="2121" customFormat="1" ht="13.5" thickBot="1">
      <c r="A20" s="5113"/>
      <c r="B20" s="5122"/>
      <c r="C20" s="607" t="s">
        <v>174</v>
      </c>
      <c r="D20" s="1012">
        <f t="shared" ref="D20:I20" si="4">IFERROR(D19/D10,0)</f>
        <v>0</v>
      </c>
      <c r="E20" s="839">
        <f t="shared" si="4"/>
        <v>0</v>
      </c>
      <c r="F20" s="839">
        <f t="shared" si="4"/>
        <v>0</v>
      </c>
      <c r="G20" s="839">
        <f t="shared" si="4"/>
        <v>0</v>
      </c>
      <c r="H20" s="839">
        <f t="shared" si="4"/>
        <v>0</v>
      </c>
      <c r="I20" s="1013">
        <f t="shared" si="4"/>
        <v>0</v>
      </c>
    </row>
    <row r="21" spans="1:9" s="2121" customFormat="1" ht="15.75">
      <c r="A21" s="5123" t="s">
        <v>175</v>
      </c>
      <c r="B21" s="5228" t="s">
        <v>586</v>
      </c>
      <c r="C21" s="603" t="s">
        <v>789</v>
      </c>
      <c r="D21" s="2141"/>
      <c r="E21" s="2142"/>
      <c r="F21" s="2142"/>
      <c r="G21" s="2142"/>
      <c r="H21" s="2142"/>
      <c r="I21" s="2143"/>
    </row>
    <row r="22" spans="1:9" s="2121" customFormat="1" ht="12.75">
      <c r="A22" s="5108"/>
      <c r="B22" s="5125"/>
      <c r="C22" s="1014" t="s">
        <v>174</v>
      </c>
      <c r="D22" s="596">
        <f t="shared" ref="D22:I22" si="5">IFERROR(D21/D10,0)</f>
        <v>0</v>
      </c>
      <c r="E22" s="597">
        <f t="shared" si="5"/>
        <v>0</v>
      </c>
      <c r="F22" s="597">
        <f t="shared" si="5"/>
        <v>0</v>
      </c>
      <c r="G22" s="597">
        <f t="shared" si="5"/>
        <v>0</v>
      </c>
      <c r="H22" s="597">
        <f t="shared" si="5"/>
        <v>0</v>
      </c>
      <c r="I22" s="598">
        <f t="shared" si="5"/>
        <v>0</v>
      </c>
    </row>
    <row r="23" spans="1:9" s="2121" customFormat="1" ht="15.75">
      <c r="A23" s="5107" t="s">
        <v>176</v>
      </c>
      <c r="B23" s="5109" t="s">
        <v>591</v>
      </c>
      <c r="C23" s="564" t="s">
        <v>789</v>
      </c>
      <c r="D23" s="2144"/>
      <c r="E23" s="2145"/>
      <c r="F23" s="2145"/>
      <c r="G23" s="2145"/>
      <c r="H23" s="2145"/>
      <c r="I23" s="2146"/>
    </row>
    <row r="24" spans="1:9" s="2121" customFormat="1" ht="13.5" thickBot="1">
      <c r="A24" s="5229"/>
      <c r="B24" s="5230"/>
      <c r="C24" s="583" t="s">
        <v>174</v>
      </c>
      <c r="D24" s="1018">
        <f t="shared" ref="D24:I24" si="6">IFERROR(D23/D10,0)</f>
        <v>0</v>
      </c>
      <c r="E24" s="1019">
        <f t="shared" si="6"/>
        <v>0</v>
      </c>
      <c r="F24" s="1019">
        <f t="shared" si="6"/>
        <v>0</v>
      </c>
      <c r="G24" s="1019">
        <f t="shared" si="6"/>
        <v>0</v>
      </c>
      <c r="H24" s="1019">
        <f t="shared" si="6"/>
        <v>0</v>
      </c>
      <c r="I24" s="1020">
        <f t="shared" si="6"/>
        <v>0</v>
      </c>
    </row>
    <row r="25" spans="1:9" s="2121" customFormat="1" ht="15.75">
      <c r="A25" s="5252" t="s">
        <v>226</v>
      </c>
      <c r="B25" s="5255" t="s">
        <v>600</v>
      </c>
      <c r="C25" s="401" t="s">
        <v>789</v>
      </c>
      <c r="D25" s="881">
        <f>D19+D17</f>
        <v>0</v>
      </c>
      <c r="E25" s="248">
        <f t="shared" ref="E25:I25" si="7">E19+E17</f>
        <v>0</v>
      </c>
      <c r="F25" s="248">
        <f t="shared" si="7"/>
        <v>0</v>
      </c>
      <c r="G25" s="248">
        <f t="shared" si="7"/>
        <v>0</v>
      </c>
      <c r="H25" s="248">
        <f t="shared" si="7"/>
        <v>0</v>
      </c>
      <c r="I25" s="249">
        <f t="shared" si="7"/>
        <v>0</v>
      </c>
    </row>
    <row r="26" spans="1:9" s="2121" customFormat="1" ht="12.75">
      <c r="A26" s="5253"/>
      <c r="B26" s="5256"/>
      <c r="C26" s="408" t="s">
        <v>174</v>
      </c>
      <c r="D26" s="4513">
        <f t="shared" ref="D26:I26" si="8">IFERROR(D25/D10,0)</f>
        <v>0</v>
      </c>
      <c r="E26" s="4514">
        <f t="shared" si="8"/>
        <v>0</v>
      </c>
      <c r="F26" s="4514">
        <f t="shared" si="8"/>
        <v>0</v>
      </c>
      <c r="G26" s="4514">
        <f t="shared" si="8"/>
        <v>0</v>
      </c>
      <c r="H26" s="4514">
        <f t="shared" si="8"/>
        <v>0</v>
      </c>
      <c r="I26" s="4515">
        <f t="shared" si="8"/>
        <v>0</v>
      </c>
    </row>
    <row r="27" spans="1:9" s="2121" customFormat="1" ht="13.5" thickBot="1">
      <c r="A27" s="5254"/>
      <c r="B27" s="5257"/>
      <c r="C27" s="409" t="s">
        <v>733</v>
      </c>
      <c r="D27" s="882">
        <f t="shared" ref="D27:I27" si="9">D10-D15-D25</f>
        <v>0</v>
      </c>
      <c r="E27" s="883">
        <f t="shared" si="9"/>
        <v>0</v>
      </c>
      <c r="F27" s="883">
        <f t="shared" si="9"/>
        <v>0</v>
      </c>
      <c r="G27" s="883">
        <f t="shared" si="9"/>
        <v>0</v>
      </c>
      <c r="H27" s="883">
        <f t="shared" si="9"/>
        <v>0</v>
      </c>
      <c r="I27" s="884">
        <f t="shared" si="9"/>
        <v>0</v>
      </c>
    </row>
    <row r="28" spans="1:9" s="2121" customFormat="1" ht="13.5" thickBot="1">
      <c r="A28" s="2110" t="s">
        <v>1167</v>
      </c>
      <c r="B28" s="2111" t="str">
        <f>"Доставяне на вода на друг ВиК оператор - "&amp;'1. Обща информация'!B34</f>
        <v xml:space="preserve">Доставяне на вода на друг ВиК оператор - </v>
      </c>
      <c r="C28" s="2110"/>
      <c r="D28" s="2116"/>
      <c r="E28" s="2117"/>
      <c r="F28" s="2117"/>
      <c r="G28" s="2117"/>
      <c r="H28" s="2117"/>
      <c r="I28" s="2118"/>
    </row>
    <row r="29" spans="1:9" s="2121" customFormat="1" ht="15.75">
      <c r="A29" s="4737" t="s">
        <v>210</v>
      </c>
      <c r="B29" s="824" t="s">
        <v>576</v>
      </c>
      <c r="C29" s="401" t="s">
        <v>789</v>
      </c>
      <c r="D29" s="875">
        <f>D30+D31+D32+D33</f>
        <v>0</v>
      </c>
      <c r="E29" s="230">
        <f>E30+E31+E32+E33</f>
        <v>0</v>
      </c>
      <c r="F29" s="230">
        <f>F30+F31+F32+F33</f>
        <v>0</v>
      </c>
      <c r="G29" s="230">
        <f t="shared" ref="G29:I29" si="10">G30+G31+G32+G33</f>
        <v>0</v>
      </c>
      <c r="H29" s="230">
        <f t="shared" si="10"/>
        <v>0</v>
      </c>
      <c r="I29" s="231">
        <f t="shared" si="10"/>
        <v>0</v>
      </c>
    </row>
    <row r="30" spans="1:9" s="1962" customFormat="1" ht="15.75">
      <c r="A30" s="90" t="s">
        <v>469</v>
      </c>
      <c r="B30" s="2115" t="s">
        <v>914</v>
      </c>
      <c r="C30" s="403" t="s">
        <v>789</v>
      </c>
      <c r="D30" s="876"/>
      <c r="E30" s="225"/>
      <c r="F30" s="225"/>
      <c r="G30" s="225"/>
      <c r="H30" s="225"/>
      <c r="I30" s="226"/>
    </row>
    <row r="31" spans="1:9" s="1962" customFormat="1" ht="15.75">
      <c r="A31" s="90" t="s">
        <v>471</v>
      </c>
      <c r="B31" s="825" t="s">
        <v>915</v>
      </c>
      <c r="C31" s="403" t="s">
        <v>789</v>
      </c>
      <c r="D31" s="876"/>
      <c r="E31" s="225"/>
      <c r="F31" s="225"/>
      <c r="G31" s="225"/>
      <c r="H31" s="225"/>
      <c r="I31" s="226"/>
    </row>
    <row r="32" spans="1:9" s="1962" customFormat="1" ht="15.75">
      <c r="A32" s="90" t="s">
        <v>472</v>
      </c>
      <c r="B32" s="825" t="s">
        <v>916</v>
      </c>
      <c r="C32" s="403" t="s">
        <v>789</v>
      </c>
      <c r="D32" s="876"/>
      <c r="E32" s="225"/>
      <c r="F32" s="225"/>
      <c r="G32" s="225"/>
      <c r="H32" s="225"/>
      <c r="I32" s="226"/>
    </row>
    <row r="33" spans="1:9" s="1962" customFormat="1" ht="26.25" thickBot="1">
      <c r="A33" s="826" t="s">
        <v>474</v>
      </c>
      <c r="B33" s="4512" t="s">
        <v>917</v>
      </c>
      <c r="C33" s="827" t="s">
        <v>789</v>
      </c>
      <c r="D33" s="877"/>
      <c r="E33" s="878"/>
      <c r="F33" s="878"/>
      <c r="G33" s="878"/>
      <c r="H33" s="878"/>
      <c r="I33" s="879"/>
    </row>
    <row r="34" spans="1:9" s="2121" customFormat="1" ht="15.75">
      <c r="A34" s="5156" t="s">
        <v>483</v>
      </c>
      <c r="B34" s="5158" t="s">
        <v>578</v>
      </c>
      <c r="C34" s="406" t="s">
        <v>789</v>
      </c>
      <c r="D34" s="2138"/>
      <c r="E34" s="2139"/>
      <c r="F34" s="2139"/>
      <c r="G34" s="2139"/>
      <c r="H34" s="2139"/>
      <c r="I34" s="2140"/>
    </row>
    <row r="35" spans="1:9" s="2121" customFormat="1" ht="13.5" thickBot="1">
      <c r="A35" s="5157"/>
      <c r="B35" s="5159"/>
      <c r="C35" s="403" t="s">
        <v>174</v>
      </c>
      <c r="D35" s="880">
        <f>IFERROR(D34/D29,0)</f>
        <v>0</v>
      </c>
      <c r="E35" s="245">
        <f t="shared" ref="E35:I35" si="11">IFERROR(E34/E29,0)</f>
        <v>0</v>
      </c>
      <c r="F35" s="245">
        <f t="shared" si="11"/>
        <v>0</v>
      </c>
      <c r="G35" s="245">
        <f t="shared" si="11"/>
        <v>0</v>
      </c>
      <c r="H35" s="245">
        <f t="shared" si="11"/>
        <v>0</v>
      </c>
      <c r="I35" s="246">
        <f t="shared" si="11"/>
        <v>0</v>
      </c>
    </row>
    <row r="36" spans="1:9" s="2121" customFormat="1" ht="15.75">
      <c r="A36" s="5242" t="s">
        <v>485</v>
      </c>
      <c r="B36" s="5243" t="s">
        <v>694</v>
      </c>
      <c r="C36" s="603" t="s">
        <v>789</v>
      </c>
      <c r="D36" s="2141"/>
      <c r="E36" s="2142"/>
      <c r="F36" s="2142"/>
      <c r="G36" s="2142"/>
      <c r="H36" s="2142"/>
      <c r="I36" s="2143"/>
    </row>
    <row r="37" spans="1:9" s="2121" customFormat="1" ht="13.5" thickBot="1">
      <c r="A37" s="5118"/>
      <c r="B37" s="5120"/>
      <c r="C37" s="583" t="s">
        <v>174</v>
      </c>
      <c r="D37" s="1015">
        <f t="shared" ref="D37:I37" si="12">IFERROR(D36/D29,0)</f>
        <v>0</v>
      </c>
      <c r="E37" s="1016">
        <f t="shared" si="12"/>
        <v>0</v>
      </c>
      <c r="F37" s="1016">
        <f t="shared" si="12"/>
        <v>0</v>
      </c>
      <c r="G37" s="1016">
        <f t="shared" si="12"/>
        <v>0</v>
      </c>
      <c r="H37" s="1016">
        <f t="shared" si="12"/>
        <v>0</v>
      </c>
      <c r="I37" s="1017">
        <f t="shared" si="12"/>
        <v>0</v>
      </c>
    </row>
    <row r="38" spans="1:9" s="2121" customFormat="1" ht="15.75">
      <c r="A38" s="5111" t="s">
        <v>224</v>
      </c>
      <c r="B38" s="5121" t="s">
        <v>695</v>
      </c>
      <c r="C38" s="559" t="s">
        <v>789</v>
      </c>
      <c r="D38" s="569">
        <f>D40+D42</f>
        <v>0</v>
      </c>
      <c r="E38" s="570">
        <f t="shared" ref="E38:I38" si="13">E40+E42</f>
        <v>0</v>
      </c>
      <c r="F38" s="570">
        <f t="shared" si="13"/>
        <v>0</v>
      </c>
      <c r="G38" s="570">
        <f t="shared" si="13"/>
        <v>0</v>
      </c>
      <c r="H38" s="570">
        <f t="shared" si="13"/>
        <v>0</v>
      </c>
      <c r="I38" s="571">
        <f t="shared" si="13"/>
        <v>0</v>
      </c>
    </row>
    <row r="39" spans="1:9" s="2121" customFormat="1" ht="13.5" thickBot="1">
      <c r="A39" s="5113"/>
      <c r="B39" s="5122"/>
      <c r="C39" s="607" t="s">
        <v>174</v>
      </c>
      <c r="D39" s="1012">
        <f t="shared" ref="D39:I39" si="14">IFERROR(D38/D29,0)</f>
        <v>0</v>
      </c>
      <c r="E39" s="839">
        <f t="shared" si="14"/>
        <v>0</v>
      </c>
      <c r="F39" s="839">
        <f t="shared" si="14"/>
        <v>0</v>
      </c>
      <c r="G39" s="839">
        <f t="shared" si="14"/>
        <v>0</v>
      </c>
      <c r="H39" s="839">
        <f t="shared" si="14"/>
        <v>0</v>
      </c>
      <c r="I39" s="1013">
        <f t="shared" si="14"/>
        <v>0</v>
      </c>
    </row>
    <row r="40" spans="1:9" s="2121" customFormat="1" ht="15.75">
      <c r="A40" s="5123" t="s">
        <v>268</v>
      </c>
      <c r="B40" s="5228" t="s">
        <v>586</v>
      </c>
      <c r="C40" s="603" t="s">
        <v>789</v>
      </c>
      <c r="D40" s="2141"/>
      <c r="E40" s="2142"/>
      <c r="F40" s="2142"/>
      <c r="G40" s="2142"/>
      <c r="H40" s="2142"/>
      <c r="I40" s="2143"/>
    </row>
    <row r="41" spans="1:9" s="2121" customFormat="1" ht="12.75">
      <c r="A41" s="5108"/>
      <c r="B41" s="5125"/>
      <c r="C41" s="1014" t="s">
        <v>174</v>
      </c>
      <c r="D41" s="596">
        <f t="shared" ref="D41:I41" si="15">IFERROR(D40/D29,0)</f>
        <v>0</v>
      </c>
      <c r="E41" s="597">
        <f t="shared" si="15"/>
        <v>0</v>
      </c>
      <c r="F41" s="597">
        <f t="shared" si="15"/>
        <v>0</v>
      </c>
      <c r="G41" s="597">
        <f t="shared" si="15"/>
        <v>0</v>
      </c>
      <c r="H41" s="597">
        <f t="shared" si="15"/>
        <v>0</v>
      </c>
      <c r="I41" s="598">
        <f t="shared" si="15"/>
        <v>0</v>
      </c>
    </row>
    <row r="42" spans="1:9" s="2121" customFormat="1" ht="15.75">
      <c r="A42" s="5107" t="s">
        <v>269</v>
      </c>
      <c r="B42" s="5109" t="s">
        <v>591</v>
      </c>
      <c r="C42" s="564" t="s">
        <v>789</v>
      </c>
      <c r="D42" s="2144"/>
      <c r="E42" s="2145"/>
      <c r="F42" s="2145"/>
      <c r="G42" s="2145"/>
      <c r="H42" s="2145"/>
      <c r="I42" s="2146"/>
    </row>
    <row r="43" spans="1:9" s="2121" customFormat="1" ht="13.5" thickBot="1">
      <c r="A43" s="5229"/>
      <c r="B43" s="5230"/>
      <c r="C43" s="583" t="s">
        <v>174</v>
      </c>
      <c r="D43" s="1018">
        <f t="shared" ref="D43:I43" si="16">IFERROR(D42/D29,0)</f>
        <v>0</v>
      </c>
      <c r="E43" s="1019">
        <f t="shared" si="16"/>
        <v>0</v>
      </c>
      <c r="F43" s="1019">
        <f t="shared" si="16"/>
        <v>0</v>
      </c>
      <c r="G43" s="1019">
        <f t="shared" si="16"/>
        <v>0</v>
      </c>
      <c r="H43" s="1019">
        <f t="shared" si="16"/>
        <v>0</v>
      </c>
      <c r="I43" s="1020">
        <f t="shared" si="16"/>
        <v>0</v>
      </c>
    </row>
    <row r="44" spans="1:9" s="2121" customFormat="1" ht="15.75">
      <c r="A44" s="5252" t="s">
        <v>226</v>
      </c>
      <c r="B44" s="5255" t="s">
        <v>600</v>
      </c>
      <c r="C44" s="401" t="s">
        <v>789</v>
      </c>
      <c r="D44" s="881">
        <f>D38+D36</f>
        <v>0</v>
      </c>
      <c r="E44" s="248">
        <f t="shared" ref="E44:I44" si="17">E38+E36</f>
        <v>0</v>
      </c>
      <c r="F44" s="248">
        <f t="shared" si="17"/>
        <v>0</v>
      </c>
      <c r="G44" s="248">
        <f t="shared" si="17"/>
        <v>0</v>
      </c>
      <c r="H44" s="248">
        <f t="shared" si="17"/>
        <v>0</v>
      </c>
      <c r="I44" s="249">
        <f t="shared" si="17"/>
        <v>0</v>
      </c>
    </row>
    <row r="45" spans="1:9" s="2121" customFormat="1" ht="12.75">
      <c r="A45" s="5253"/>
      <c r="B45" s="5256"/>
      <c r="C45" s="408" t="s">
        <v>174</v>
      </c>
      <c r="D45" s="4513">
        <f t="shared" ref="D45:I45" si="18">IFERROR(D44/D29,0)</f>
        <v>0</v>
      </c>
      <c r="E45" s="4514">
        <f t="shared" si="18"/>
        <v>0</v>
      </c>
      <c r="F45" s="4514">
        <f t="shared" si="18"/>
        <v>0</v>
      </c>
      <c r="G45" s="4514">
        <f t="shared" si="18"/>
        <v>0</v>
      </c>
      <c r="H45" s="4514">
        <f t="shared" si="18"/>
        <v>0</v>
      </c>
      <c r="I45" s="4515">
        <f t="shared" si="18"/>
        <v>0</v>
      </c>
    </row>
    <row r="46" spans="1:9" s="2121" customFormat="1" ht="13.5" thickBot="1">
      <c r="A46" s="5254"/>
      <c r="B46" s="5257"/>
      <c r="C46" s="409" t="s">
        <v>733</v>
      </c>
      <c r="D46" s="882">
        <f t="shared" ref="D46:I46" si="19">D29-D34-D44</f>
        <v>0</v>
      </c>
      <c r="E46" s="883">
        <f t="shared" si="19"/>
        <v>0</v>
      </c>
      <c r="F46" s="883">
        <f t="shared" si="19"/>
        <v>0</v>
      </c>
      <c r="G46" s="883">
        <f t="shared" si="19"/>
        <v>0</v>
      </c>
      <c r="H46" s="883">
        <f t="shared" si="19"/>
        <v>0</v>
      </c>
      <c r="I46" s="884">
        <f t="shared" si="19"/>
        <v>0</v>
      </c>
    </row>
    <row r="47" spans="1:9" s="2121" customFormat="1" ht="13.5" thickBot="1">
      <c r="A47" s="2110" t="s">
        <v>1312</v>
      </c>
      <c r="B47" s="2111" t="str">
        <f>"Доставяне на вода на друг ВиК оператор - "&amp;'1. Обща информация'!B35</f>
        <v xml:space="preserve">Доставяне на вода на друг ВиК оператор - </v>
      </c>
      <c r="C47" s="2110"/>
      <c r="D47" s="2116"/>
      <c r="E47" s="2117"/>
      <c r="F47" s="2117"/>
      <c r="G47" s="2117"/>
      <c r="H47" s="2117"/>
      <c r="I47" s="2118"/>
    </row>
    <row r="48" spans="1:9" s="2121" customFormat="1" ht="15.75">
      <c r="A48" s="4737" t="s">
        <v>210</v>
      </c>
      <c r="B48" s="824" t="s">
        <v>576</v>
      </c>
      <c r="C48" s="401" t="s">
        <v>789</v>
      </c>
      <c r="D48" s="875">
        <f>D49+D50+D51+D52</f>
        <v>0</v>
      </c>
      <c r="E48" s="230">
        <f>E49+E50+E51+E52</f>
        <v>0</v>
      </c>
      <c r="F48" s="230">
        <f>F49+F50+F51+F52</f>
        <v>0</v>
      </c>
      <c r="G48" s="230">
        <f t="shared" ref="G48:I48" si="20">G49+G50+G51+G52</f>
        <v>0</v>
      </c>
      <c r="H48" s="230">
        <f t="shared" si="20"/>
        <v>0</v>
      </c>
      <c r="I48" s="231">
        <f t="shared" si="20"/>
        <v>0</v>
      </c>
    </row>
    <row r="49" spans="1:9" s="1962" customFormat="1" ht="15.75">
      <c r="A49" s="90" t="s">
        <v>469</v>
      </c>
      <c r="B49" s="2115" t="s">
        <v>914</v>
      </c>
      <c r="C49" s="403" t="s">
        <v>789</v>
      </c>
      <c r="D49" s="876"/>
      <c r="E49" s="225"/>
      <c r="F49" s="225"/>
      <c r="G49" s="225"/>
      <c r="H49" s="225"/>
      <c r="I49" s="226"/>
    </row>
    <row r="50" spans="1:9" s="1962" customFormat="1" ht="15.75">
      <c r="A50" s="90" t="s">
        <v>471</v>
      </c>
      <c r="B50" s="825" t="s">
        <v>915</v>
      </c>
      <c r="C50" s="403" t="s">
        <v>789</v>
      </c>
      <c r="D50" s="876"/>
      <c r="E50" s="225"/>
      <c r="F50" s="225"/>
      <c r="G50" s="225"/>
      <c r="H50" s="225"/>
      <c r="I50" s="226"/>
    </row>
    <row r="51" spans="1:9" s="1962" customFormat="1" ht="15.75">
      <c r="A51" s="90" t="s">
        <v>472</v>
      </c>
      <c r="B51" s="825" t="s">
        <v>916</v>
      </c>
      <c r="C51" s="403" t="s">
        <v>789</v>
      </c>
      <c r="D51" s="876"/>
      <c r="E51" s="225"/>
      <c r="F51" s="225"/>
      <c r="G51" s="225"/>
      <c r="H51" s="225"/>
      <c r="I51" s="226"/>
    </row>
    <row r="52" spans="1:9" s="1962" customFormat="1" ht="26.25" thickBot="1">
      <c r="A52" s="826" t="s">
        <v>474</v>
      </c>
      <c r="B52" s="4512" t="s">
        <v>917</v>
      </c>
      <c r="C52" s="827" t="s">
        <v>789</v>
      </c>
      <c r="D52" s="877"/>
      <c r="E52" s="225"/>
      <c r="F52" s="225"/>
      <c r="G52" s="225"/>
      <c r="H52" s="225"/>
      <c r="I52" s="226"/>
    </row>
    <row r="53" spans="1:9" s="2121" customFormat="1" ht="15.75">
      <c r="A53" s="5156" t="s">
        <v>211</v>
      </c>
      <c r="B53" s="5158" t="s">
        <v>578</v>
      </c>
      <c r="C53" s="406" t="s">
        <v>789</v>
      </c>
      <c r="D53" s="2138"/>
      <c r="E53" s="2139"/>
      <c r="F53" s="2139"/>
      <c r="G53" s="2139"/>
      <c r="H53" s="2139"/>
      <c r="I53" s="2140"/>
    </row>
    <row r="54" spans="1:9" s="2121" customFormat="1" ht="13.5" thickBot="1">
      <c r="A54" s="5157"/>
      <c r="B54" s="5159"/>
      <c r="C54" s="403" t="s">
        <v>174</v>
      </c>
      <c r="D54" s="880">
        <f>IFERROR(D53/D48,0)</f>
        <v>0</v>
      </c>
      <c r="E54" s="245">
        <f t="shared" ref="E54:I54" si="21">IFERROR(E53/E48,0)</f>
        <v>0</v>
      </c>
      <c r="F54" s="245">
        <f t="shared" si="21"/>
        <v>0</v>
      </c>
      <c r="G54" s="245">
        <f t="shared" si="21"/>
        <v>0</v>
      </c>
      <c r="H54" s="245">
        <f t="shared" si="21"/>
        <v>0</v>
      </c>
      <c r="I54" s="246">
        <f t="shared" si="21"/>
        <v>0</v>
      </c>
    </row>
    <row r="55" spans="1:9" s="2121" customFormat="1" ht="15.75">
      <c r="A55" s="5242" t="s">
        <v>100</v>
      </c>
      <c r="B55" s="5243" t="s">
        <v>694</v>
      </c>
      <c r="C55" s="603" t="s">
        <v>789</v>
      </c>
      <c r="D55" s="2141"/>
      <c r="E55" s="2142"/>
      <c r="F55" s="2142"/>
      <c r="G55" s="2142"/>
      <c r="H55" s="2142"/>
      <c r="I55" s="2143"/>
    </row>
    <row r="56" spans="1:9" s="2121" customFormat="1" ht="13.5" thickBot="1">
      <c r="A56" s="5118"/>
      <c r="B56" s="5120"/>
      <c r="C56" s="583" t="s">
        <v>174</v>
      </c>
      <c r="D56" s="1015">
        <f t="shared" ref="D56:I56" si="22">IFERROR(D55/D48,0)</f>
        <v>0</v>
      </c>
      <c r="E56" s="1016">
        <f t="shared" si="22"/>
        <v>0</v>
      </c>
      <c r="F56" s="1016">
        <f t="shared" si="22"/>
        <v>0</v>
      </c>
      <c r="G56" s="1016">
        <f t="shared" si="22"/>
        <v>0</v>
      </c>
      <c r="H56" s="1016">
        <f t="shared" si="22"/>
        <v>0</v>
      </c>
      <c r="I56" s="1017">
        <f t="shared" si="22"/>
        <v>0</v>
      </c>
    </row>
    <row r="57" spans="1:9" s="2121" customFormat="1" ht="15.75">
      <c r="A57" s="5111" t="s">
        <v>224</v>
      </c>
      <c r="B57" s="5121" t="s">
        <v>695</v>
      </c>
      <c r="C57" s="559" t="s">
        <v>789</v>
      </c>
      <c r="D57" s="569">
        <f>D59+D61</f>
        <v>0</v>
      </c>
      <c r="E57" s="570">
        <f t="shared" ref="E57:I57" si="23">E59+E61</f>
        <v>0</v>
      </c>
      <c r="F57" s="570">
        <f t="shared" si="23"/>
        <v>0</v>
      </c>
      <c r="G57" s="570">
        <f t="shared" si="23"/>
        <v>0</v>
      </c>
      <c r="H57" s="570">
        <f t="shared" si="23"/>
        <v>0</v>
      </c>
      <c r="I57" s="571">
        <f t="shared" si="23"/>
        <v>0</v>
      </c>
    </row>
    <row r="58" spans="1:9" s="2121" customFormat="1" ht="13.5" thickBot="1">
      <c r="A58" s="5113"/>
      <c r="B58" s="5122"/>
      <c r="C58" s="607" t="s">
        <v>174</v>
      </c>
      <c r="D58" s="1012">
        <f t="shared" ref="D58:I58" si="24">IFERROR(D57/D48,0)</f>
        <v>0</v>
      </c>
      <c r="E58" s="839">
        <f t="shared" si="24"/>
        <v>0</v>
      </c>
      <c r="F58" s="839">
        <f t="shared" si="24"/>
        <v>0</v>
      </c>
      <c r="G58" s="839">
        <f t="shared" si="24"/>
        <v>0</v>
      </c>
      <c r="H58" s="839">
        <f t="shared" si="24"/>
        <v>0</v>
      </c>
      <c r="I58" s="1013">
        <f t="shared" si="24"/>
        <v>0</v>
      </c>
    </row>
    <row r="59" spans="1:9" s="2121" customFormat="1" ht="15.75">
      <c r="A59" s="5123" t="s">
        <v>268</v>
      </c>
      <c r="B59" s="5228" t="s">
        <v>586</v>
      </c>
      <c r="C59" s="603" t="s">
        <v>789</v>
      </c>
      <c r="D59" s="2141"/>
      <c r="E59" s="2142"/>
      <c r="F59" s="2142"/>
      <c r="G59" s="2142"/>
      <c r="H59" s="2142"/>
      <c r="I59" s="2143"/>
    </row>
    <row r="60" spans="1:9" s="2121" customFormat="1" ht="12.75">
      <c r="A60" s="5108"/>
      <c r="B60" s="5125"/>
      <c r="C60" s="1014" t="s">
        <v>174</v>
      </c>
      <c r="D60" s="596">
        <f t="shared" ref="D60:I60" si="25">IFERROR(D59/D48,0)</f>
        <v>0</v>
      </c>
      <c r="E60" s="597">
        <f t="shared" si="25"/>
        <v>0</v>
      </c>
      <c r="F60" s="597">
        <f t="shared" si="25"/>
        <v>0</v>
      </c>
      <c r="G60" s="597">
        <f t="shared" si="25"/>
        <v>0</v>
      </c>
      <c r="H60" s="597">
        <f t="shared" si="25"/>
        <v>0</v>
      </c>
      <c r="I60" s="598">
        <f t="shared" si="25"/>
        <v>0</v>
      </c>
    </row>
    <row r="61" spans="1:9" s="2121" customFormat="1" ht="15.75">
      <c r="A61" s="5107" t="s">
        <v>269</v>
      </c>
      <c r="B61" s="5109" t="s">
        <v>591</v>
      </c>
      <c r="C61" s="564" t="s">
        <v>789</v>
      </c>
      <c r="D61" s="2144"/>
      <c r="E61" s="2145"/>
      <c r="F61" s="2145"/>
      <c r="G61" s="2145"/>
      <c r="H61" s="2145"/>
      <c r="I61" s="2146"/>
    </row>
    <row r="62" spans="1:9" s="2121" customFormat="1" ht="13.5" thickBot="1">
      <c r="A62" s="5229"/>
      <c r="B62" s="5230"/>
      <c r="C62" s="583" t="s">
        <v>174</v>
      </c>
      <c r="D62" s="1018">
        <f t="shared" ref="D62:I62" si="26">IFERROR(D61/D48,0)</f>
        <v>0</v>
      </c>
      <c r="E62" s="1019">
        <f t="shared" si="26"/>
        <v>0</v>
      </c>
      <c r="F62" s="1019">
        <f t="shared" si="26"/>
        <v>0</v>
      </c>
      <c r="G62" s="1019">
        <f t="shared" si="26"/>
        <v>0</v>
      </c>
      <c r="H62" s="1019">
        <f t="shared" si="26"/>
        <v>0</v>
      </c>
      <c r="I62" s="1020">
        <f t="shared" si="26"/>
        <v>0</v>
      </c>
    </row>
    <row r="63" spans="1:9" s="2121" customFormat="1" ht="15.75">
      <c r="A63" s="5252" t="s">
        <v>226</v>
      </c>
      <c r="B63" s="5255" t="s">
        <v>600</v>
      </c>
      <c r="C63" s="401" t="s">
        <v>789</v>
      </c>
      <c r="D63" s="881">
        <f>D57+D55</f>
        <v>0</v>
      </c>
      <c r="E63" s="248">
        <f t="shared" ref="E63:I63" si="27">E57+E55</f>
        <v>0</v>
      </c>
      <c r="F63" s="248">
        <f t="shared" si="27"/>
        <v>0</v>
      </c>
      <c r="G63" s="248">
        <f t="shared" si="27"/>
        <v>0</v>
      </c>
      <c r="H63" s="248">
        <f t="shared" si="27"/>
        <v>0</v>
      </c>
      <c r="I63" s="249">
        <f t="shared" si="27"/>
        <v>0</v>
      </c>
    </row>
    <row r="64" spans="1:9" s="2121" customFormat="1" ht="12.75">
      <c r="A64" s="5253"/>
      <c r="B64" s="5256"/>
      <c r="C64" s="408" t="s">
        <v>174</v>
      </c>
      <c r="D64" s="4513">
        <f t="shared" ref="D64:I64" si="28">IFERROR(D63/D48,0)</f>
        <v>0</v>
      </c>
      <c r="E64" s="4514">
        <f t="shared" si="28"/>
        <v>0</v>
      </c>
      <c r="F64" s="4514">
        <f t="shared" si="28"/>
        <v>0</v>
      </c>
      <c r="G64" s="4514">
        <f t="shared" si="28"/>
        <v>0</v>
      </c>
      <c r="H64" s="4514">
        <f t="shared" si="28"/>
        <v>0</v>
      </c>
      <c r="I64" s="4515">
        <f t="shared" si="28"/>
        <v>0</v>
      </c>
    </row>
    <row r="65" spans="1:10" s="2121" customFormat="1" ht="13.5" thickBot="1">
      <c r="A65" s="5254"/>
      <c r="B65" s="5257"/>
      <c r="C65" s="409" t="s">
        <v>733</v>
      </c>
      <c r="D65" s="882">
        <f t="shared" ref="D65:I65" si="29">D48-D53-D63</f>
        <v>0</v>
      </c>
      <c r="E65" s="883">
        <f t="shared" si="29"/>
        <v>0</v>
      </c>
      <c r="F65" s="883">
        <f t="shared" si="29"/>
        <v>0</v>
      </c>
      <c r="G65" s="883">
        <f t="shared" si="29"/>
        <v>0</v>
      </c>
      <c r="H65" s="883">
        <f t="shared" si="29"/>
        <v>0</v>
      </c>
      <c r="I65" s="884">
        <f t="shared" si="29"/>
        <v>0</v>
      </c>
    </row>
    <row r="66" spans="1:10" s="4511" customFormat="1" ht="13.5" thickBot="1">
      <c r="A66" s="190" t="s">
        <v>1167</v>
      </c>
      <c r="B66" s="5249" t="s">
        <v>1168</v>
      </c>
      <c r="C66" s="5250"/>
      <c r="D66" s="5250"/>
      <c r="E66" s="5250"/>
      <c r="F66" s="5250"/>
      <c r="G66" s="5250"/>
      <c r="H66" s="5250"/>
      <c r="I66" s="5251"/>
      <c r="J66" s="4510"/>
    </row>
    <row r="67" spans="1:10" s="4511" customFormat="1" ht="13.5" thickBot="1">
      <c r="A67" s="2119" t="s">
        <v>210</v>
      </c>
      <c r="B67" s="4516" t="s">
        <v>1587</v>
      </c>
      <c r="C67" s="4517"/>
      <c r="D67" s="4517"/>
      <c r="E67" s="4517"/>
      <c r="F67" s="4517"/>
      <c r="G67" s="4517"/>
      <c r="H67" s="4517"/>
      <c r="I67" s="4518"/>
      <c r="J67" s="4510"/>
    </row>
    <row r="68" spans="1:10" s="4511" customFormat="1" ht="15.75">
      <c r="A68" s="5234" t="s">
        <v>469</v>
      </c>
      <c r="B68" s="5240" t="s">
        <v>1170</v>
      </c>
      <c r="C68" s="619" t="s">
        <v>789</v>
      </c>
      <c r="D68" s="620"/>
      <c r="E68" s="621"/>
      <c r="F68" s="621"/>
      <c r="G68" s="621"/>
      <c r="H68" s="621"/>
      <c r="I68" s="622"/>
      <c r="J68" s="1480"/>
    </row>
    <row r="69" spans="1:10" s="4511" customFormat="1" ht="15.75">
      <c r="A69" s="5239"/>
      <c r="B69" s="5241"/>
      <c r="C69" s="619" t="s">
        <v>1171</v>
      </c>
      <c r="D69" s="645"/>
      <c r="E69" s="643"/>
      <c r="F69" s="643"/>
      <c r="G69" s="643"/>
      <c r="H69" s="643"/>
      <c r="I69" s="644"/>
      <c r="J69" s="1480"/>
    </row>
    <row r="70" spans="1:10" s="4511" customFormat="1" ht="12.75">
      <c r="A70" s="5235"/>
      <c r="B70" s="623" t="s">
        <v>1172</v>
      </c>
      <c r="C70" s="619" t="s">
        <v>1173</v>
      </c>
      <c r="D70" s="1078">
        <f>D68*D69/1000</f>
        <v>0</v>
      </c>
      <c r="E70" s="1078">
        <f t="shared" ref="E70:I70" si="30">E68*E69/1000</f>
        <v>0</v>
      </c>
      <c r="F70" s="1078">
        <f t="shared" si="30"/>
        <v>0</v>
      </c>
      <c r="G70" s="1078">
        <f t="shared" si="30"/>
        <v>0</v>
      </c>
      <c r="H70" s="1078">
        <f t="shared" si="30"/>
        <v>0</v>
      </c>
      <c r="I70" s="1079">
        <f t="shared" si="30"/>
        <v>0</v>
      </c>
      <c r="J70" s="1480"/>
    </row>
    <row r="71" spans="1:10" s="4511" customFormat="1" ht="15.75">
      <c r="A71" s="5234" t="s">
        <v>471</v>
      </c>
      <c r="B71" s="5240" t="s">
        <v>1174</v>
      </c>
      <c r="C71" s="619" t="s">
        <v>1175</v>
      </c>
      <c r="D71" s="624"/>
      <c r="E71" s="621"/>
      <c r="F71" s="625"/>
      <c r="G71" s="625"/>
      <c r="H71" s="621"/>
      <c r="I71" s="626"/>
      <c r="J71" s="1480"/>
    </row>
    <row r="72" spans="1:10" s="4511" customFormat="1" ht="15.75">
      <c r="A72" s="5239"/>
      <c r="B72" s="5241"/>
      <c r="C72" s="619" t="s">
        <v>1171</v>
      </c>
      <c r="D72" s="627"/>
      <c r="E72" s="621"/>
      <c r="F72" s="628"/>
      <c r="G72" s="621"/>
      <c r="H72" s="625"/>
      <c r="I72" s="629"/>
      <c r="J72" s="1480"/>
    </row>
    <row r="73" spans="1:10" s="4511" customFormat="1" ht="13.5" thickBot="1">
      <c r="A73" s="5236"/>
      <c r="B73" s="623" t="s">
        <v>1176</v>
      </c>
      <c r="C73" s="843" t="s">
        <v>1173</v>
      </c>
      <c r="D73" s="1080">
        <f>D71*D72/1000</f>
        <v>0</v>
      </c>
      <c r="E73" s="1081">
        <f t="shared" ref="E73:I73" si="31">E71*E72/1000</f>
        <v>0</v>
      </c>
      <c r="F73" s="1082">
        <f t="shared" si="31"/>
        <v>0</v>
      </c>
      <c r="G73" s="1082">
        <f t="shared" si="31"/>
        <v>0</v>
      </c>
      <c r="H73" s="1082">
        <f t="shared" si="31"/>
        <v>0</v>
      </c>
      <c r="I73" s="1083">
        <f t="shared" si="31"/>
        <v>0</v>
      </c>
      <c r="J73" s="1480"/>
    </row>
    <row r="74" spans="1:10" s="4511" customFormat="1" ht="13.5" thickBot="1">
      <c r="A74" s="2119" t="s">
        <v>211</v>
      </c>
      <c r="B74" s="4516" t="s">
        <v>1169</v>
      </c>
      <c r="C74" s="4517"/>
      <c r="D74" s="4517"/>
      <c r="E74" s="4517"/>
      <c r="F74" s="4517"/>
      <c r="G74" s="4517"/>
      <c r="H74" s="4517"/>
      <c r="I74" s="4518"/>
      <c r="J74" s="4510"/>
    </row>
    <row r="75" spans="1:10" s="4511" customFormat="1" ht="15.75">
      <c r="A75" s="5234" t="s">
        <v>483</v>
      </c>
      <c r="B75" s="5240" t="s">
        <v>1170</v>
      </c>
      <c r="C75" s="619" t="s">
        <v>789</v>
      </c>
      <c r="D75" s="620"/>
      <c r="E75" s="621"/>
      <c r="F75" s="621"/>
      <c r="G75" s="621"/>
      <c r="H75" s="621"/>
      <c r="I75" s="622"/>
      <c r="J75" s="1480"/>
    </row>
    <row r="76" spans="1:10" s="4511" customFormat="1" ht="15.75">
      <c r="A76" s="5239"/>
      <c r="B76" s="5241"/>
      <c r="C76" s="619" t="s">
        <v>1171</v>
      </c>
      <c r="D76" s="620"/>
      <c r="E76" s="621"/>
      <c r="F76" s="621"/>
      <c r="G76" s="621"/>
      <c r="H76" s="621"/>
      <c r="I76" s="622"/>
      <c r="J76" s="1480"/>
    </row>
    <row r="77" spans="1:10" s="4511" customFormat="1" ht="12.75">
      <c r="A77" s="5235"/>
      <c r="B77" s="623" t="s">
        <v>1172</v>
      </c>
      <c r="C77" s="619" t="s">
        <v>1173</v>
      </c>
      <c r="D77" s="1078">
        <f>D75*D76/1000</f>
        <v>0</v>
      </c>
      <c r="E77" s="1078">
        <f t="shared" ref="E77:I77" si="32">E75*E76/1000</f>
        <v>0</v>
      </c>
      <c r="F77" s="1078">
        <f t="shared" si="32"/>
        <v>0</v>
      </c>
      <c r="G77" s="1078">
        <f t="shared" si="32"/>
        <v>0</v>
      </c>
      <c r="H77" s="1078">
        <f t="shared" si="32"/>
        <v>0</v>
      </c>
      <c r="I77" s="1079">
        <f t="shared" si="32"/>
        <v>0</v>
      </c>
      <c r="J77" s="1480"/>
    </row>
    <row r="78" spans="1:10" s="4511" customFormat="1" ht="15.75">
      <c r="A78" s="5234" t="s">
        <v>485</v>
      </c>
      <c r="B78" s="5240" t="s">
        <v>1174</v>
      </c>
      <c r="C78" s="619" t="s">
        <v>1175</v>
      </c>
      <c r="D78" s="624"/>
      <c r="E78" s="621"/>
      <c r="F78" s="625"/>
      <c r="G78" s="625"/>
      <c r="H78" s="621"/>
      <c r="I78" s="626"/>
      <c r="J78" s="1480"/>
    </row>
    <row r="79" spans="1:10" s="4511" customFormat="1" ht="15.75">
      <c r="A79" s="5239"/>
      <c r="B79" s="5241"/>
      <c r="C79" s="619" t="s">
        <v>1171</v>
      </c>
      <c r="D79" s="627"/>
      <c r="E79" s="621"/>
      <c r="F79" s="628"/>
      <c r="G79" s="621"/>
      <c r="H79" s="625"/>
      <c r="I79" s="629"/>
      <c r="J79" s="1480"/>
    </row>
    <row r="80" spans="1:10" s="4511" customFormat="1" ht="13.5" thickBot="1">
      <c r="A80" s="5236"/>
      <c r="B80" s="623" t="s">
        <v>1176</v>
      </c>
      <c r="C80" s="844" t="s">
        <v>1173</v>
      </c>
      <c r="D80" s="1080">
        <f>D78*D79/1000</f>
        <v>0</v>
      </c>
      <c r="E80" s="1082">
        <f t="shared" ref="E80:I80" si="33">E78*E79/1000</f>
        <v>0</v>
      </c>
      <c r="F80" s="1082">
        <f t="shared" si="33"/>
        <v>0</v>
      </c>
      <c r="G80" s="1081">
        <f t="shared" si="33"/>
        <v>0</v>
      </c>
      <c r="H80" s="1082">
        <f t="shared" si="33"/>
        <v>0</v>
      </c>
      <c r="I80" s="1083">
        <f t="shared" si="33"/>
        <v>0</v>
      </c>
      <c r="J80" s="1480"/>
    </row>
    <row r="81" spans="1:10" s="4511" customFormat="1" ht="13.5" thickBot="1">
      <c r="A81" s="2119" t="s">
        <v>224</v>
      </c>
      <c r="B81" s="4516" t="s">
        <v>1169</v>
      </c>
      <c r="C81" s="4517"/>
      <c r="D81" s="4517"/>
      <c r="E81" s="4517"/>
      <c r="F81" s="4517"/>
      <c r="G81" s="4517"/>
      <c r="H81" s="4517"/>
      <c r="I81" s="4518"/>
      <c r="J81" s="4510"/>
    </row>
    <row r="82" spans="1:10" s="4511" customFormat="1" ht="15.75">
      <c r="A82" s="5234" t="s">
        <v>268</v>
      </c>
      <c r="B82" s="5240" t="s">
        <v>1170</v>
      </c>
      <c r="C82" s="619" t="s">
        <v>789</v>
      </c>
      <c r="D82" s="620"/>
      <c r="E82" s="621"/>
      <c r="F82" s="621"/>
      <c r="G82" s="621"/>
      <c r="H82" s="621"/>
      <c r="I82" s="622"/>
      <c r="J82" s="1480"/>
    </row>
    <row r="83" spans="1:10" s="4511" customFormat="1" ht="15.75">
      <c r="A83" s="5239"/>
      <c r="B83" s="5241"/>
      <c r="C83" s="619" t="s">
        <v>1171</v>
      </c>
      <c r="D83" s="620"/>
      <c r="E83" s="621"/>
      <c r="F83" s="621"/>
      <c r="G83" s="621"/>
      <c r="H83" s="621"/>
      <c r="I83" s="622"/>
      <c r="J83" s="1480"/>
    </row>
    <row r="84" spans="1:10" s="4511" customFormat="1" ht="12.75">
      <c r="A84" s="5235"/>
      <c r="B84" s="623" t="s">
        <v>1172</v>
      </c>
      <c r="C84" s="619" t="s">
        <v>1173</v>
      </c>
      <c r="D84" s="1078">
        <f>D82*D83/1000</f>
        <v>0</v>
      </c>
      <c r="E84" s="1078">
        <f t="shared" ref="E84:I84" si="34">E82*E83/1000</f>
        <v>0</v>
      </c>
      <c r="F84" s="1078">
        <f t="shared" si="34"/>
        <v>0</v>
      </c>
      <c r="G84" s="1078">
        <f t="shared" si="34"/>
        <v>0</v>
      </c>
      <c r="H84" s="1078">
        <f t="shared" si="34"/>
        <v>0</v>
      </c>
      <c r="I84" s="1079">
        <f t="shared" si="34"/>
        <v>0</v>
      </c>
      <c r="J84" s="1480"/>
    </row>
    <row r="85" spans="1:10" s="4511" customFormat="1" ht="15.75">
      <c r="A85" s="5234" t="s">
        <v>269</v>
      </c>
      <c r="B85" s="5240" t="s">
        <v>1174</v>
      </c>
      <c r="C85" s="619" t="s">
        <v>1175</v>
      </c>
      <c r="D85" s="624"/>
      <c r="E85" s="621"/>
      <c r="F85" s="625"/>
      <c r="G85" s="625"/>
      <c r="H85" s="621"/>
      <c r="I85" s="626"/>
      <c r="J85" s="1480"/>
    </row>
    <row r="86" spans="1:10" s="4511" customFormat="1" ht="15.75">
      <c r="A86" s="5239"/>
      <c r="B86" s="5241"/>
      <c r="C86" s="619" t="s">
        <v>1171</v>
      </c>
      <c r="D86" s="627"/>
      <c r="E86" s="621"/>
      <c r="F86" s="628"/>
      <c r="G86" s="621"/>
      <c r="H86" s="625"/>
      <c r="I86" s="629"/>
      <c r="J86" s="1480"/>
    </row>
    <row r="87" spans="1:10" s="4511" customFormat="1" ht="13.5" thickBot="1">
      <c r="A87" s="5236"/>
      <c r="B87" s="623" t="s">
        <v>1176</v>
      </c>
      <c r="C87" s="619" t="s">
        <v>1173</v>
      </c>
      <c r="D87" s="1080">
        <f>D85*D86/1000</f>
        <v>0</v>
      </c>
      <c r="E87" s="1084">
        <f t="shared" ref="E87:I87" si="35">E85*E86/1000</f>
        <v>0</v>
      </c>
      <c r="F87" s="1082">
        <f t="shared" si="35"/>
        <v>0</v>
      </c>
      <c r="G87" s="1081">
        <f t="shared" si="35"/>
        <v>0</v>
      </c>
      <c r="H87" s="1082">
        <f t="shared" si="35"/>
        <v>0</v>
      </c>
      <c r="I87" s="1083">
        <f t="shared" si="35"/>
        <v>0</v>
      </c>
      <c r="J87" s="1480"/>
    </row>
    <row r="88" spans="1:10" s="4511" customFormat="1" ht="12.75">
      <c r="A88" s="618" t="s">
        <v>226</v>
      </c>
      <c r="B88" s="5231" t="s">
        <v>1169</v>
      </c>
      <c r="C88" s="5232"/>
      <c r="D88" s="5232"/>
      <c r="E88" s="5232"/>
      <c r="F88" s="5232"/>
      <c r="G88" s="5232"/>
      <c r="H88" s="5232"/>
      <c r="I88" s="5233"/>
      <c r="J88" s="4510"/>
    </row>
    <row r="89" spans="1:10" s="4511" customFormat="1" ht="15.75">
      <c r="A89" s="5234" t="s">
        <v>572</v>
      </c>
      <c r="B89" s="5240" t="s">
        <v>1170</v>
      </c>
      <c r="C89" s="619" t="s">
        <v>789</v>
      </c>
      <c r="D89" s="620"/>
      <c r="E89" s="621"/>
      <c r="F89" s="621"/>
      <c r="G89" s="621"/>
      <c r="H89" s="621"/>
      <c r="I89" s="622"/>
      <c r="J89" s="1480"/>
    </row>
    <row r="90" spans="1:10" s="4511" customFormat="1" ht="15.75">
      <c r="A90" s="5239"/>
      <c r="B90" s="5241"/>
      <c r="C90" s="619" t="s">
        <v>1171</v>
      </c>
      <c r="D90" s="620"/>
      <c r="E90" s="621"/>
      <c r="F90" s="621"/>
      <c r="G90" s="621"/>
      <c r="H90" s="621"/>
      <c r="I90" s="622"/>
      <c r="J90" s="1480"/>
    </row>
    <row r="91" spans="1:10" s="4511" customFormat="1" ht="12.75">
      <c r="A91" s="5235"/>
      <c r="B91" s="623" t="s">
        <v>1172</v>
      </c>
      <c r="C91" s="619" t="s">
        <v>1173</v>
      </c>
      <c r="D91" s="1078">
        <f>D89*D90/1000</f>
        <v>0</v>
      </c>
      <c r="E91" s="1078">
        <f t="shared" ref="E91:I91" si="36">E89*E90/1000</f>
        <v>0</v>
      </c>
      <c r="F91" s="1078">
        <f t="shared" si="36"/>
        <v>0</v>
      </c>
      <c r="G91" s="1078">
        <f t="shared" si="36"/>
        <v>0</v>
      </c>
      <c r="H91" s="1078">
        <f t="shared" si="36"/>
        <v>0</v>
      </c>
      <c r="I91" s="1079">
        <f t="shared" si="36"/>
        <v>0</v>
      </c>
      <c r="J91" s="1480"/>
    </row>
    <row r="92" spans="1:10" s="4511" customFormat="1" ht="15.75">
      <c r="A92" s="5234" t="s">
        <v>573</v>
      </c>
      <c r="B92" s="5240" t="s">
        <v>1174</v>
      </c>
      <c r="C92" s="619" t="s">
        <v>1175</v>
      </c>
      <c r="D92" s="624"/>
      <c r="E92" s="621"/>
      <c r="F92" s="625"/>
      <c r="G92" s="625"/>
      <c r="H92" s="621"/>
      <c r="I92" s="626"/>
      <c r="J92" s="1480"/>
    </row>
    <row r="93" spans="1:10" s="4511" customFormat="1" ht="15.75">
      <c r="A93" s="5239"/>
      <c r="B93" s="5241"/>
      <c r="C93" s="619" t="s">
        <v>1171</v>
      </c>
      <c r="D93" s="627"/>
      <c r="E93" s="621"/>
      <c r="F93" s="628"/>
      <c r="G93" s="621"/>
      <c r="H93" s="625"/>
      <c r="I93" s="629"/>
      <c r="J93" s="1480"/>
    </row>
    <row r="94" spans="1:10" s="4511" customFormat="1" ht="13.5" thickBot="1">
      <c r="A94" s="5236"/>
      <c r="B94" s="623" t="s">
        <v>1176</v>
      </c>
      <c r="C94" s="619" t="s">
        <v>1173</v>
      </c>
      <c r="D94" s="1080">
        <f>D92*D93/1000</f>
        <v>0</v>
      </c>
      <c r="E94" s="1084">
        <f t="shared" ref="E94:I94" si="37">E92*E93/1000</f>
        <v>0</v>
      </c>
      <c r="F94" s="1082">
        <f t="shared" si="37"/>
        <v>0</v>
      </c>
      <c r="G94" s="1081">
        <f t="shared" si="37"/>
        <v>0</v>
      </c>
      <c r="H94" s="1082">
        <f t="shared" si="37"/>
        <v>0</v>
      </c>
      <c r="I94" s="1083">
        <f t="shared" si="37"/>
        <v>0</v>
      </c>
      <c r="J94" s="1480"/>
    </row>
    <row r="95" spans="1:10" s="4511" customFormat="1" ht="12.75">
      <c r="A95" s="618" t="s">
        <v>313</v>
      </c>
      <c r="B95" s="5231" t="s">
        <v>1943</v>
      </c>
      <c r="C95" s="5232"/>
      <c r="D95" s="5232"/>
      <c r="E95" s="5232"/>
      <c r="F95" s="5232"/>
      <c r="G95" s="5232"/>
      <c r="H95" s="5232"/>
      <c r="I95" s="5233"/>
      <c r="J95" s="4510"/>
    </row>
    <row r="96" spans="1:10" s="4511" customFormat="1" ht="15.75">
      <c r="A96" s="5234" t="s">
        <v>574</v>
      </c>
      <c r="B96" s="5240" t="s">
        <v>1170</v>
      </c>
      <c r="C96" s="619" t="s">
        <v>789</v>
      </c>
      <c r="D96" s="620"/>
      <c r="E96" s="621"/>
      <c r="F96" s="621"/>
      <c r="G96" s="621"/>
      <c r="H96" s="621"/>
      <c r="I96" s="622"/>
      <c r="J96" s="1480"/>
    </row>
    <row r="97" spans="1:10" s="4511" customFormat="1" ht="15.75">
      <c r="A97" s="5239"/>
      <c r="B97" s="5241"/>
      <c r="C97" s="619" t="s">
        <v>1171</v>
      </c>
      <c r="D97" s="620"/>
      <c r="E97" s="621"/>
      <c r="F97" s="621"/>
      <c r="G97" s="621"/>
      <c r="H97" s="621"/>
      <c r="I97" s="622"/>
      <c r="J97" s="1480"/>
    </row>
    <row r="98" spans="1:10" s="4511" customFormat="1" ht="12.75">
      <c r="A98" s="5235"/>
      <c r="B98" s="623" t="s">
        <v>1172</v>
      </c>
      <c r="C98" s="619" t="s">
        <v>1173</v>
      </c>
      <c r="D98" s="1078">
        <f>D96*D97/1000</f>
        <v>0</v>
      </c>
      <c r="E98" s="1078">
        <f t="shared" ref="E98:I98" si="38">E96*E97/1000</f>
        <v>0</v>
      </c>
      <c r="F98" s="1078">
        <f t="shared" si="38"/>
        <v>0</v>
      </c>
      <c r="G98" s="1078">
        <f t="shared" si="38"/>
        <v>0</v>
      </c>
      <c r="H98" s="1078">
        <f t="shared" si="38"/>
        <v>0</v>
      </c>
      <c r="I98" s="1085">
        <f t="shared" si="38"/>
        <v>0</v>
      </c>
      <c r="J98" s="1480"/>
    </row>
    <row r="99" spans="1:10" s="4511" customFormat="1" ht="15.75">
      <c r="A99" s="5234" t="s">
        <v>575</v>
      </c>
      <c r="B99" s="5240" t="s">
        <v>1174</v>
      </c>
      <c r="C99" s="619" t="s">
        <v>1175</v>
      </c>
      <c r="D99" s="624">
        <v>1137450</v>
      </c>
      <c r="E99" s="621">
        <v>1050000</v>
      </c>
      <c r="F99" s="625">
        <v>1050000</v>
      </c>
      <c r="G99" s="625">
        <v>1050000</v>
      </c>
      <c r="H99" s="621">
        <v>1000000</v>
      </c>
      <c r="I99" s="626">
        <v>1000000</v>
      </c>
      <c r="J99" s="1480"/>
    </row>
    <row r="100" spans="1:10" s="4511" customFormat="1" ht="15.75">
      <c r="A100" s="5239"/>
      <c r="B100" s="5241"/>
      <c r="C100" s="619" t="s">
        <v>1171</v>
      </c>
      <c r="D100" s="4869">
        <v>0.26</v>
      </c>
      <c r="E100" s="4870">
        <v>0.3019</v>
      </c>
      <c r="F100" s="4871">
        <v>0.34200000000000003</v>
      </c>
      <c r="G100" s="4870">
        <v>0.34300000000000003</v>
      </c>
      <c r="H100" s="4872">
        <v>0.372</v>
      </c>
      <c r="I100" s="4873">
        <v>0.39500000000000002</v>
      </c>
      <c r="J100" s="1480"/>
    </row>
    <row r="101" spans="1:10" s="4511" customFormat="1" ht="13.5" thickBot="1">
      <c r="A101" s="5236"/>
      <c r="B101" s="623" t="s">
        <v>1176</v>
      </c>
      <c r="C101" s="619" t="s">
        <v>1173</v>
      </c>
      <c r="D101" s="1080">
        <f>D99*D100/1000</f>
        <v>295.73700000000002</v>
      </c>
      <c r="E101" s="1084">
        <f t="shared" ref="E101:I101" si="39">E99*E100/1000</f>
        <v>316.995</v>
      </c>
      <c r="F101" s="1082">
        <f t="shared" si="39"/>
        <v>359.1</v>
      </c>
      <c r="G101" s="1081">
        <f t="shared" si="39"/>
        <v>360.15</v>
      </c>
      <c r="H101" s="1082">
        <f t="shared" si="39"/>
        <v>372</v>
      </c>
      <c r="I101" s="1083">
        <f t="shared" si="39"/>
        <v>395</v>
      </c>
      <c r="J101" s="1480"/>
    </row>
    <row r="102" spans="1:10" s="4511" customFormat="1" ht="12.75">
      <c r="A102" s="618" t="s">
        <v>316</v>
      </c>
      <c r="B102" s="5231" t="s">
        <v>1036</v>
      </c>
      <c r="C102" s="5232"/>
      <c r="D102" s="5232"/>
      <c r="E102" s="5232"/>
      <c r="F102" s="5232"/>
      <c r="G102" s="5232"/>
      <c r="H102" s="5232"/>
      <c r="I102" s="5233"/>
      <c r="J102" s="4510"/>
    </row>
    <row r="103" spans="1:10" s="4511" customFormat="1" ht="15.75">
      <c r="A103" s="5234" t="s">
        <v>964</v>
      </c>
      <c r="B103" s="630" t="s">
        <v>1177</v>
      </c>
      <c r="C103" s="619" t="s">
        <v>789</v>
      </c>
      <c r="D103" s="1071">
        <f>D68+D75+D82+D89+D96</f>
        <v>0</v>
      </c>
      <c r="E103" s="1071">
        <f t="shared" ref="E103:I103" si="40">E68+E75+E82+E89+E96</f>
        <v>0</v>
      </c>
      <c r="F103" s="1071">
        <f t="shared" si="40"/>
        <v>0</v>
      </c>
      <c r="G103" s="1071">
        <f t="shared" si="40"/>
        <v>0</v>
      </c>
      <c r="H103" s="1071">
        <f t="shared" si="40"/>
        <v>0</v>
      </c>
      <c r="I103" s="1072">
        <f t="shared" si="40"/>
        <v>0</v>
      </c>
      <c r="J103" s="1480"/>
    </row>
    <row r="104" spans="1:10" s="4511" customFormat="1" ht="12.75">
      <c r="A104" s="5235"/>
      <c r="B104" s="631" t="s">
        <v>1172</v>
      </c>
      <c r="C104" s="619" t="s">
        <v>1173</v>
      </c>
      <c r="D104" s="1071">
        <f>D70+D77+D84+D91+D98</f>
        <v>0</v>
      </c>
      <c r="E104" s="1071">
        <f t="shared" ref="E104:I105" si="41">E70+E77+E84+E91+E98</f>
        <v>0</v>
      </c>
      <c r="F104" s="1071">
        <f t="shared" si="41"/>
        <v>0</v>
      </c>
      <c r="G104" s="1071">
        <f t="shared" si="41"/>
        <v>0</v>
      </c>
      <c r="H104" s="1071">
        <f t="shared" si="41"/>
        <v>0</v>
      </c>
      <c r="I104" s="1072">
        <f t="shared" si="41"/>
        <v>0</v>
      </c>
      <c r="J104" s="1480"/>
    </row>
    <row r="105" spans="1:10" s="4511" customFormat="1" ht="15.75">
      <c r="A105" s="5234" t="s">
        <v>965</v>
      </c>
      <c r="B105" s="630" t="s">
        <v>1178</v>
      </c>
      <c r="C105" s="619" t="s">
        <v>1175</v>
      </c>
      <c r="D105" s="1071">
        <f>D71+D78+D85+D92+D99</f>
        <v>1137450</v>
      </c>
      <c r="E105" s="1071">
        <f t="shared" si="41"/>
        <v>1050000</v>
      </c>
      <c r="F105" s="1071">
        <f t="shared" si="41"/>
        <v>1050000</v>
      </c>
      <c r="G105" s="1071">
        <f t="shared" si="41"/>
        <v>1050000</v>
      </c>
      <c r="H105" s="1071">
        <f t="shared" si="41"/>
        <v>1000000</v>
      </c>
      <c r="I105" s="1072">
        <f t="shared" si="41"/>
        <v>1000000</v>
      </c>
      <c r="J105" s="1480"/>
    </row>
    <row r="106" spans="1:10" s="4511" customFormat="1" ht="13.5" thickBot="1">
      <c r="A106" s="5236"/>
      <c r="B106" s="632" t="s">
        <v>1176</v>
      </c>
      <c r="C106" s="829" t="s">
        <v>1173</v>
      </c>
      <c r="D106" s="1073">
        <f>D73+D80+D87+D94+D101</f>
        <v>295.73700000000002</v>
      </c>
      <c r="E106" s="1074">
        <f t="shared" ref="E106:I106" si="42">E73+E80+E87+E94+E101</f>
        <v>316.995</v>
      </c>
      <c r="F106" s="1074">
        <f t="shared" si="42"/>
        <v>359.1</v>
      </c>
      <c r="G106" s="1075">
        <f t="shared" si="42"/>
        <v>360.15</v>
      </c>
      <c r="H106" s="1076">
        <f t="shared" si="42"/>
        <v>372</v>
      </c>
      <c r="I106" s="1077">
        <f t="shared" si="42"/>
        <v>395</v>
      </c>
      <c r="J106" s="1480"/>
    </row>
    <row r="107" spans="1:10" s="2121" customFormat="1">
      <c r="A107" s="828"/>
      <c r="B107" s="5177" t="s">
        <v>1529</v>
      </c>
      <c r="C107" s="5178"/>
      <c r="D107" s="2008">
        <f>(D104+D106)-('12. Разходи'!C31+'12. Разходи'!AA31+'12. Разходи'!AI31)</f>
        <v>-0.26299999999997681</v>
      </c>
      <c r="E107" s="2008">
        <f>(E104+E106)-('12. Разходи'!D31+'12. Разходи'!AB31+'12. Разходи'!AJ31)</f>
        <v>-3.6999999999977717E-2</v>
      </c>
      <c r="F107" s="2008">
        <f>(F104+F106)-('12. Разходи'!E31+'12. Разходи'!AC31+'12. Разходи'!AK31)</f>
        <v>0</v>
      </c>
      <c r="G107" s="2008">
        <f>(G104+G106)-('12. Разходи'!F31+'12. Разходи'!AD31+'12. Разходи'!AL31)</f>
        <v>0.14999999999997726</v>
      </c>
      <c r="H107" s="2008">
        <f>(H104+H106)-('12. Разходи'!G31+'12. Разходи'!AE31+'12. Разходи'!AM31)</f>
        <v>0</v>
      </c>
      <c r="I107" s="2012">
        <f>(I104+I106)-('12. Разходи'!H31+'12. Разходи'!AF31+'12. Разходи'!AN31)</f>
        <v>0</v>
      </c>
    </row>
    <row r="108" spans="1:10" s="2121" customFormat="1" ht="34.5" customHeight="1">
      <c r="A108" s="2120"/>
    </row>
    <row r="109" spans="1:10" s="2121" customFormat="1" ht="14.25">
      <c r="A109" s="2122" t="str">
        <f>'Приложение '!B81</f>
        <v>Дата: 24 юни 2021 година</v>
      </c>
      <c r="B109" s="2123"/>
      <c r="C109" s="2124"/>
      <c r="D109" s="2125"/>
      <c r="F109" s="2126" t="str">
        <f>'Приложение '!C81</f>
        <v xml:space="preserve">Гл. счетоводител/Фин.директор: </v>
      </c>
      <c r="G109" s="2121" t="str">
        <f>'Приложение '!D81</f>
        <v>..............................................</v>
      </c>
    </row>
    <row r="110" spans="1:10" s="2121" customFormat="1">
      <c r="A110" s="2120"/>
      <c r="B110" s="2127"/>
      <c r="C110" s="2128"/>
      <c r="D110" s="2129"/>
      <c r="F110" s="2126"/>
      <c r="G110" s="2130" t="str">
        <f>'Приложение '!D82</f>
        <v>(подпис)</v>
      </c>
    </row>
    <row r="111" spans="1:10" s="2121" customFormat="1">
      <c r="A111" s="2120"/>
      <c r="F111" s="2126"/>
    </row>
    <row r="112" spans="1:10">
      <c r="B112" s="2121"/>
      <c r="C112" s="2124"/>
      <c r="D112" s="2131"/>
      <c r="F112" s="1971"/>
      <c r="H112" s="2121"/>
    </row>
    <row r="113" spans="1:9">
      <c r="B113" s="2121"/>
      <c r="C113" s="2128"/>
      <c r="D113" s="2129"/>
      <c r="F113" s="1971" t="str">
        <f>'Приложение '!C85</f>
        <v xml:space="preserve">Управител/Изп.директор: </v>
      </c>
      <c r="G113" s="2132" t="str">
        <f>'Приложение '!D85</f>
        <v>.............................................</v>
      </c>
    </row>
    <row r="114" spans="1:9">
      <c r="B114" s="2121"/>
      <c r="C114" s="2121"/>
      <c r="D114" s="2121"/>
      <c r="G114" s="1976" t="str">
        <f>'Приложение '!D82</f>
        <v>(подпис)</v>
      </c>
    </row>
    <row r="115" spans="1:9" ht="12.75">
      <c r="A115" s="5237" t="s">
        <v>191</v>
      </c>
      <c r="B115" s="5237"/>
      <c r="C115" s="5237"/>
      <c r="D115" s="5237"/>
      <c r="E115" s="1978"/>
      <c r="F115" s="1978"/>
      <c r="G115" s="2133"/>
      <c r="H115" s="2133"/>
      <c r="I115" s="2133"/>
    </row>
    <row r="116" spans="1:9" ht="12.75">
      <c r="A116" s="5238" t="s">
        <v>192</v>
      </c>
      <c r="B116" s="5238"/>
      <c r="C116" s="5238"/>
      <c r="D116" s="5238"/>
      <c r="E116" s="1978"/>
      <c r="F116" s="1978"/>
      <c r="G116" s="2134"/>
      <c r="H116" s="2134"/>
      <c r="I116" s="2135"/>
    </row>
    <row r="117" spans="1:9" ht="30" customHeight="1">
      <c r="A117" s="5226" t="s">
        <v>734</v>
      </c>
      <c r="B117" s="5226"/>
      <c r="C117" s="5226"/>
      <c r="D117" s="5226"/>
      <c r="E117" s="5226"/>
      <c r="F117" s="5226"/>
      <c r="G117" s="5226"/>
      <c r="H117" s="5226"/>
      <c r="I117" s="2136"/>
    </row>
    <row r="118" spans="1:9" ht="31.5" customHeight="1">
      <c r="A118" s="5227" t="s">
        <v>1503</v>
      </c>
      <c r="B118" s="5227"/>
      <c r="C118" s="5227"/>
      <c r="D118" s="5227"/>
      <c r="E118" s="5227"/>
      <c r="F118" s="5227"/>
      <c r="G118" s="5227"/>
      <c r="H118" s="5227"/>
      <c r="I118" s="2137"/>
    </row>
  </sheetData>
  <sheetProtection algorithmName="SHA-512" hashValue="D6hRXNaha1Bck4tAuny+KpT0GYEoIbOmKFT5BDJmALDvS3PobFEeGdzfIQtZ7v4taGbIN4ek/V68YwHqepKxaw==" saltValue="RPytI+YI2tumfAajYfJ7Fg==" spinCount="100000" sheet="1" formatCells="0" formatColumns="0" formatRows="0"/>
  <mergeCells count="73">
    <mergeCell ref="B8:I8"/>
    <mergeCell ref="A15:A16"/>
    <mergeCell ref="B15:B16"/>
    <mergeCell ref="A68:A70"/>
    <mergeCell ref="B68:B69"/>
    <mergeCell ref="A25:A27"/>
    <mergeCell ref="B25:B27"/>
    <mergeCell ref="A34:A35"/>
    <mergeCell ref="B34:B35"/>
    <mergeCell ref="A44:A46"/>
    <mergeCell ref="B44:B46"/>
    <mergeCell ref="A53:A54"/>
    <mergeCell ref="B53:B54"/>
    <mergeCell ref="A63:A65"/>
    <mergeCell ref="B63:B65"/>
    <mergeCell ref="B66:I66"/>
    <mergeCell ref="A89:A91"/>
    <mergeCell ref="B89:B90"/>
    <mergeCell ref="A71:A73"/>
    <mergeCell ref="B71:B72"/>
    <mergeCell ref="A75:A77"/>
    <mergeCell ref="B75:B76"/>
    <mergeCell ref="A78:A80"/>
    <mergeCell ref="B78:B79"/>
    <mergeCell ref="A82:A84"/>
    <mergeCell ref="B82:B83"/>
    <mergeCell ref="A85:A87"/>
    <mergeCell ref="B85:B86"/>
    <mergeCell ref="B88:I88"/>
    <mergeCell ref="B95:I95"/>
    <mergeCell ref="A96:A98"/>
    <mergeCell ref="B96:B97"/>
    <mergeCell ref="A99:A101"/>
    <mergeCell ref="B99:B100"/>
    <mergeCell ref="A1:I1"/>
    <mergeCell ref="A2:I2"/>
    <mergeCell ref="A3:I3"/>
    <mergeCell ref="A4:I4"/>
    <mergeCell ref="A5:I5"/>
    <mergeCell ref="A17:A18"/>
    <mergeCell ref="B17:B18"/>
    <mergeCell ref="A36:A37"/>
    <mergeCell ref="B36:B37"/>
    <mergeCell ref="A38:A39"/>
    <mergeCell ref="B38:B39"/>
    <mergeCell ref="A19:A20"/>
    <mergeCell ref="B19:B20"/>
    <mergeCell ref="A21:A22"/>
    <mergeCell ref="B21:B22"/>
    <mergeCell ref="A23:A24"/>
    <mergeCell ref="B23:B24"/>
    <mergeCell ref="A40:A41"/>
    <mergeCell ref="B40:B41"/>
    <mergeCell ref="A42:A43"/>
    <mergeCell ref="B42:B43"/>
    <mergeCell ref="A55:A56"/>
    <mergeCell ref="B55:B56"/>
    <mergeCell ref="A117:H117"/>
    <mergeCell ref="A118:H118"/>
    <mergeCell ref="B107:C107"/>
    <mergeCell ref="A57:A58"/>
    <mergeCell ref="B57:B58"/>
    <mergeCell ref="A59:A60"/>
    <mergeCell ref="B59:B60"/>
    <mergeCell ref="A61:A62"/>
    <mergeCell ref="B61:B62"/>
    <mergeCell ref="B102:I102"/>
    <mergeCell ref="A103:A104"/>
    <mergeCell ref="A105:A106"/>
    <mergeCell ref="A115:D115"/>
    <mergeCell ref="A116:D116"/>
    <mergeCell ref="A92:A94"/>
    <mergeCell ref="B92:B93"/>
  </mergeCells>
  <pageMargins left="0.70866141732283472" right="0.11811023622047245" top="0.74803149606299213" bottom="0.23622047244094491" header="0.31496062992125984" footer="0.11811023622047245"/>
  <pageSetup paperSize="9" scale="79" orientation="portrait" r:id="rId1"/>
  <headerFooter alignWithMargins="0">
    <oddFooter>&amp;C&amp;A&amp;RСтр. &amp;P от &amp;N</oddFooter>
  </headerFooter>
  <rowBreaks count="1" manualBreakCount="1">
    <brk id="65"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DO79"/>
  <sheetViews>
    <sheetView view="pageBreakPreview" zoomScale="86" zoomScaleNormal="100" zoomScaleSheetLayoutView="86" workbookViewId="0">
      <pane xSplit="2" ySplit="9" topLeftCell="C16" activePane="bottomRight" state="frozen"/>
      <selection pane="topRight" activeCell="C1" sqref="C1"/>
      <selection pane="bottomLeft" activeCell="A10" sqref="A10"/>
      <selection pane="bottomRight" activeCell="T18" sqref="T18"/>
    </sheetView>
  </sheetViews>
  <sheetFormatPr defaultColWidth="9.140625" defaultRowHeight="12.75"/>
  <cols>
    <col min="1" max="1" width="6.5703125" style="159" customWidth="1"/>
    <col min="2" max="2" width="33.28515625" style="158" customWidth="1"/>
    <col min="3" max="8" width="7.7109375" style="159" customWidth="1"/>
    <col min="9" max="44" width="7.7109375" style="158" customWidth="1"/>
    <col min="45" max="45" width="7.7109375" style="850" customWidth="1"/>
    <col min="46" max="46" width="10.28515625" style="850" customWidth="1"/>
    <col min="47" max="47" width="12.28515625" style="182" customWidth="1"/>
    <col min="48" max="51" width="5" style="182" customWidth="1"/>
    <col min="52" max="16384" width="9.140625" style="158"/>
  </cols>
  <sheetData>
    <row r="1" spans="1:119" ht="15">
      <c r="A1" s="2147"/>
      <c r="B1" s="2147"/>
      <c r="C1" s="2147"/>
      <c r="D1" s="2147"/>
      <c r="E1" s="2147"/>
      <c r="F1" s="2147"/>
      <c r="G1" s="2147"/>
      <c r="H1" s="2147"/>
      <c r="I1" s="2147"/>
      <c r="J1" s="2147"/>
      <c r="K1" s="2147"/>
      <c r="L1" s="2147"/>
      <c r="M1" s="2147"/>
      <c r="N1" s="2147"/>
      <c r="O1" s="2147"/>
      <c r="P1" s="2147"/>
      <c r="Q1" s="2147"/>
      <c r="R1" s="2147"/>
      <c r="S1" s="2147"/>
      <c r="T1" s="2147"/>
      <c r="U1" s="2148"/>
      <c r="V1" s="2148"/>
      <c r="W1" s="2148"/>
      <c r="X1" s="2148"/>
      <c r="Y1" s="2148"/>
      <c r="Z1" s="2149" t="s">
        <v>0</v>
      </c>
      <c r="AA1" s="2148"/>
      <c r="AB1" s="2148"/>
      <c r="AC1" s="2148"/>
      <c r="AD1" s="2148"/>
      <c r="AE1" s="2148"/>
      <c r="AF1" s="2150"/>
      <c r="AG1" s="2148"/>
      <c r="AH1" s="2148"/>
      <c r="AI1" s="2148"/>
      <c r="AJ1" s="2148"/>
      <c r="AK1" s="2148"/>
      <c r="AL1" s="2148"/>
      <c r="AM1" s="2147"/>
      <c r="AN1" s="2147"/>
      <c r="AO1" s="2147"/>
      <c r="AP1" s="2147"/>
      <c r="AQ1" s="2150"/>
      <c r="AR1" s="2147"/>
      <c r="AS1" s="2151"/>
      <c r="AT1" s="2151"/>
      <c r="AU1" s="2152"/>
      <c r="AV1" s="165"/>
      <c r="AW1" s="165"/>
      <c r="AX1" s="165"/>
      <c r="AY1" s="64"/>
      <c r="AZ1" s="164"/>
      <c r="BA1" s="164"/>
      <c r="BB1" s="164"/>
      <c r="BC1" s="164"/>
    </row>
    <row r="2" spans="1:119" ht="18.75">
      <c r="A2" s="5106" t="s">
        <v>557</v>
      </c>
      <c r="B2" s="5106"/>
      <c r="C2" s="5106"/>
      <c r="D2" s="5106"/>
      <c r="E2" s="5106"/>
      <c r="F2" s="5106"/>
      <c r="G2" s="5106"/>
      <c r="H2" s="5106"/>
      <c r="I2" s="5106"/>
      <c r="J2" s="5106"/>
      <c r="K2" s="5106"/>
      <c r="L2" s="5106"/>
      <c r="M2" s="5106"/>
      <c r="N2" s="5106"/>
      <c r="O2" s="5106"/>
      <c r="P2" s="5106"/>
      <c r="Q2" s="5106"/>
      <c r="R2" s="5106"/>
      <c r="S2" s="5106"/>
      <c r="T2" s="5106"/>
      <c r="U2" s="5106"/>
      <c r="V2" s="5106"/>
      <c r="W2" s="5106"/>
      <c r="X2" s="5106"/>
      <c r="Y2" s="5106"/>
      <c r="Z2" s="5106"/>
      <c r="AA2" s="199"/>
      <c r="AB2" s="199"/>
      <c r="AC2" s="199"/>
      <c r="AD2" s="199"/>
      <c r="AE2" s="199"/>
      <c r="AF2" s="199"/>
      <c r="AG2" s="199"/>
      <c r="AH2" s="199"/>
      <c r="AI2" s="199"/>
      <c r="AJ2" s="199"/>
      <c r="AK2" s="199"/>
      <c r="AL2" s="199"/>
      <c r="AM2" s="4424"/>
      <c r="AN2" s="4424"/>
      <c r="AO2" s="4424"/>
      <c r="AP2" s="4424"/>
      <c r="AQ2" s="4424"/>
      <c r="AR2" s="4424"/>
      <c r="AS2" s="847"/>
      <c r="AT2" s="847"/>
      <c r="AU2" s="199"/>
      <c r="AV2" s="199"/>
      <c r="AW2" s="199"/>
      <c r="AX2" s="199"/>
      <c r="AY2" s="199"/>
      <c r="AZ2" s="164"/>
      <c r="BA2" s="164"/>
      <c r="BB2" s="164"/>
      <c r="BC2" s="164"/>
    </row>
    <row r="3" spans="1:119" ht="18.75">
      <c r="A3" s="5106" t="s">
        <v>885</v>
      </c>
      <c r="B3" s="5106"/>
      <c r="C3" s="5106"/>
      <c r="D3" s="5106"/>
      <c r="E3" s="5106"/>
      <c r="F3" s="5106"/>
      <c r="G3" s="5106"/>
      <c r="H3" s="5106"/>
      <c r="I3" s="5106"/>
      <c r="J3" s="5106"/>
      <c r="K3" s="5106"/>
      <c r="L3" s="5106"/>
      <c r="M3" s="5106"/>
      <c r="N3" s="5106"/>
      <c r="O3" s="5106"/>
      <c r="P3" s="5106"/>
      <c r="Q3" s="5106"/>
      <c r="R3" s="5106"/>
      <c r="S3" s="5106"/>
      <c r="T3" s="5106"/>
      <c r="U3" s="5106"/>
      <c r="V3" s="5106"/>
      <c r="W3" s="5106"/>
      <c r="X3" s="5106"/>
      <c r="Y3" s="5106"/>
      <c r="Z3" s="5106"/>
      <c r="AA3" s="199"/>
      <c r="AB3" s="199"/>
      <c r="AC3" s="199"/>
      <c r="AD3" s="199"/>
      <c r="AE3" s="199"/>
      <c r="AF3" s="199"/>
      <c r="AG3" s="199"/>
      <c r="AH3" s="199"/>
      <c r="AI3" s="199"/>
      <c r="AJ3" s="199"/>
      <c r="AK3" s="199"/>
      <c r="AL3" s="199"/>
      <c r="AM3" s="4424"/>
      <c r="AN3" s="4424"/>
      <c r="AO3" s="4424"/>
      <c r="AP3" s="4424"/>
      <c r="AQ3" s="4424"/>
      <c r="AR3" s="4424"/>
      <c r="AS3" s="847"/>
      <c r="AT3" s="847"/>
      <c r="AU3" s="199"/>
      <c r="AV3" s="199"/>
      <c r="AW3" s="199"/>
      <c r="AX3" s="199"/>
      <c r="AY3" s="199"/>
      <c r="AZ3" s="166"/>
      <c r="BA3" s="166"/>
      <c r="BB3" s="166"/>
      <c r="BC3" s="166"/>
    </row>
    <row r="4" spans="1:119" ht="15.75">
      <c r="A4" s="5247" t="str">
        <f>'1. Обща информация'!A4</f>
        <v>на "Водоснабдяване и канализаиця"ООД, гр. Перник</v>
      </c>
      <c r="B4" s="5247"/>
      <c r="C4" s="5247"/>
      <c r="D4" s="5247"/>
      <c r="E4" s="5247"/>
      <c r="F4" s="5247"/>
      <c r="G4" s="5247"/>
      <c r="H4" s="5247"/>
      <c r="I4" s="5247"/>
      <c r="J4" s="5247"/>
      <c r="K4" s="5247"/>
      <c r="L4" s="5247"/>
      <c r="M4" s="5247"/>
      <c r="N4" s="5247"/>
      <c r="O4" s="5247"/>
      <c r="P4" s="5247"/>
      <c r="Q4" s="5247"/>
      <c r="R4" s="5247"/>
      <c r="S4" s="5247"/>
      <c r="T4" s="5247"/>
      <c r="U4" s="5247"/>
      <c r="V4" s="5247"/>
      <c r="W4" s="5247"/>
      <c r="X4" s="5247"/>
      <c r="Y4" s="5247"/>
      <c r="Z4" s="5247"/>
      <c r="AA4" s="200"/>
      <c r="AB4" s="200"/>
      <c r="AC4" s="200"/>
      <c r="AD4" s="200"/>
      <c r="AE4" s="200"/>
      <c r="AF4" s="200"/>
      <c r="AG4" s="200"/>
      <c r="AH4" s="200"/>
      <c r="AI4" s="200"/>
      <c r="AJ4" s="200"/>
      <c r="AK4" s="200"/>
      <c r="AL4" s="200"/>
      <c r="AM4" s="4425"/>
      <c r="AN4" s="4425"/>
      <c r="AO4" s="4425"/>
      <c r="AP4" s="4425"/>
      <c r="AQ4" s="4425"/>
      <c r="AR4" s="4425"/>
      <c r="AS4" s="848"/>
      <c r="AT4" s="848"/>
      <c r="AU4" s="200"/>
      <c r="AV4" s="200"/>
      <c r="AW4" s="200"/>
      <c r="AX4" s="200"/>
      <c r="AY4" s="200"/>
      <c r="AZ4" s="164"/>
      <c r="BA4" s="164"/>
      <c r="BB4" s="164"/>
      <c r="BC4" s="164"/>
    </row>
    <row r="5" spans="1:119" ht="15.75">
      <c r="A5" s="5247" t="str">
        <f>'1. Обща информация'!A5</f>
        <v>ЕИК по БУЛСТАТ: 823073638</v>
      </c>
      <c r="B5" s="5247"/>
      <c r="C5" s="5247"/>
      <c r="D5" s="5247"/>
      <c r="E5" s="5247"/>
      <c r="F5" s="5247"/>
      <c r="G5" s="5247"/>
      <c r="H5" s="5247"/>
      <c r="I5" s="5247"/>
      <c r="J5" s="5247"/>
      <c r="K5" s="5247"/>
      <c r="L5" s="5247"/>
      <c r="M5" s="5247"/>
      <c r="N5" s="5247"/>
      <c r="O5" s="5247"/>
      <c r="P5" s="5247"/>
      <c r="Q5" s="5247"/>
      <c r="R5" s="5247"/>
      <c r="S5" s="5247"/>
      <c r="T5" s="5247"/>
      <c r="U5" s="5247"/>
      <c r="V5" s="5247"/>
      <c r="W5" s="5247"/>
      <c r="X5" s="5247"/>
      <c r="Y5" s="5247"/>
      <c r="Z5" s="5247"/>
      <c r="AA5" s="200"/>
      <c r="AB5" s="200"/>
      <c r="AC5" s="200"/>
      <c r="AD5" s="200"/>
      <c r="AE5" s="200"/>
      <c r="AF5" s="200"/>
      <c r="AG5" s="200"/>
      <c r="AH5" s="200"/>
      <c r="AI5" s="200"/>
      <c r="AJ5" s="200"/>
      <c r="AK5" s="200"/>
      <c r="AL5" s="200"/>
      <c r="AM5" s="4425"/>
      <c r="AN5" s="4425"/>
      <c r="AO5" s="4425"/>
      <c r="AP5" s="4425"/>
      <c r="AQ5" s="4425"/>
      <c r="AR5" s="4425"/>
      <c r="AS5" s="848"/>
      <c r="AT5" s="848"/>
      <c r="AU5" s="200"/>
      <c r="AV5" s="200"/>
      <c r="AW5" s="4695"/>
      <c r="AX5" s="4695"/>
      <c r="AY5" s="4695"/>
      <c r="AZ5" s="4695"/>
      <c r="BA5" s="4695"/>
      <c r="BB5" s="4695"/>
      <c r="BC5" s="4695"/>
      <c r="BD5" s="4695"/>
      <c r="BE5" s="4695"/>
      <c r="BF5" s="4695"/>
      <c r="BG5" s="4695"/>
      <c r="BH5" s="4695"/>
      <c r="BI5" s="4695"/>
      <c r="BJ5" s="4695"/>
      <c r="BK5" s="4695"/>
      <c r="BL5" s="4695"/>
      <c r="BM5" s="4695"/>
      <c r="BN5" s="4695"/>
      <c r="BO5" s="4695"/>
      <c r="BP5" s="4695"/>
      <c r="BQ5" s="4695"/>
      <c r="BR5" s="4695"/>
      <c r="BS5" s="4695"/>
      <c r="BT5" s="4695"/>
      <c r="BU5" s="4695"/>
      <c r="BV5" s="4695"/>
      <c r="BW5" s="4695"/>
      <c r="BX5" s="4695"/>
      <c r="BY5" s="4695"/>
      <c r="BZ5" s="4695"/>
      <c r="CA5" s="4695"/>
      <c r="CB5" s="4695"/>
      <c r="CC5" s="4695"/>
      <c r="CD5" s="4695"/>
      <c r="CE5" s="4695"/>
      <c r="CF5" s="4695"/>
      <c r="CG5" s="4695"/>
      <c r="CH5" s="4695"/>
      <c r="CI5" s="4695"/>
      <c r="CJ5" s="4695"/>
      <c r="CK5" s="4695"/>
      <c r="CL5" s="4695"/>
      <c r="CM5" s="4695"/>
      <c r="CN5" s="4695"/>
      <c r="CO5" s="4695"/>
      <c r="CP5" s="4695"/>
      <c r="CQ5" s="4695"/>
      <c r="CR5" s="4695"/>
      <c r="CS5" s="4695"/>
      <c r="CT5" s="4695"/>
      <c r="CU5" s="4695"/>
      <c r="CV5" s="4695"/>
      <c r="CW5" s="4695"/>
      <c r="CX5" s="4695"/>
      <c r="CY5" s="4695"/>
      <c r="CZ5" s="4695"/>
      <c r="DA5" s="4695"/>
      <c r="DB5" s="4695"/>
      <c r="DC5" s="4695"/>
      <c r="DD5" s="4695"/>
      <c r="DE5" s="4695"/>
      <c r="DF5" s="4695"/>
      <c r="DG5" s="4695"/>
      <c r="DH5" s="4695"/>
      <c r="DI5" s="4695"/>
      <c r="DJ5" s="4695"/>
      <c r="DK5" s="4695"/>
      <c r="DL5" s="4695"/>
      <c r="DM5" s="4695"/>
      <c r="DN5" s="4695"/>
      <c r="DO5" s="4695"/>
    </row>
    <row r="6" spans="1:119" ht="15" thickBot="1">
      <c r="A6" s="653"/>
      <c r="B6" s="653"/>
      <c r="C6" s="653"/>
      <c r="D6" s="653"/>
      <c r="E6" s="653"/>
      <c r="F6" s="653"/>
      <c r="G6" s="653"/>
      <c r="H6" s="653"/>
      <c r="I6" s="653"/>
      <c r="J6" s="653"/>
      <c r="K6" s="653"/>
      <c r="L6" s="653"/>
      <c r="M6" s="653"/>
      <c r="N6" s="653"/>
      <c r="O6" s="653"/>
      <c r="P6" s="653"/>
      <c r="Q6" s="653"/>
      <c r="R6" s="653"/>
      <c r="S6" s="653"/>
      <c r="T6" s="653"/>
      <c r="U6" s="2148"/>
      <c r="V6" s="2148"/>
      <c r="W6" s="2148"/>
      <c r="X6" s="2148"/>
      <c r="Y6" s="2148"/>
      <c r="Z6" s="2148"/>
      <c r="AA6" s="2148"/>
      <c r="AB6" s="2148"/>
      <c r="AC6" s="2148"/>
      <c r="AD6" s="2148"/>
      <c r="AE6" s="2148"/>
      <c r="AF6" s="2148"/>
      <c r="AG6" s="2148"/>
      <c r="AH6" s="2148"/>
      <c r="AI6" s="2148"/>
      <c r="AJ6" s="2148"/>
      <c r="AK6" s="2148"/>
      <c r="AL6" s="2148"/>
      <c r="AM6" s="653"/>
      <c r="AN6" s="653"/>
      <c r="AO6" s="653"/>
      <c r="AP6" s="653"/>
      <c r="AQ6" s="653"/>
      <c r="AR6" s="653"/>
      <c r="AS6" s="2151"/>
      <c r="AT6" s="2151"/>
      <c r="AU6" s="2152"/>
      <c r="AV6" s="701"/>
      <c r="AW6" s="4695"/>
      <c r="AX6" s="4695"/>
      <c r="AY6" s="4695"/>
      <c r="AZ6" s="4695"/>
      <c r="BA6" s="4695"/>
      <c r="BB6" s="4695"/>
      <c r="BC6" s="4695"/>
      <c r="BD6" s="4695"/>
      <c r="BE6" s="4695"/>
      <c r="BF6" s="4695"/>
      <c r="BG6" s="4695"/>
      <c r="BH6" s="4695"/>
      <c r="BI6" s="4695"/>
      <c r="BJ6" s="4695"/>
      <c r="BK6" s="4695"/>
      <c r="BL6" s="4695"/>
      <c r="BM6" s="4695"/>
      <c r="BN6" s="4695"/>
      <c r="BO6" s="4695"/>
      <c r="BP6" s="4695"/>
      <c r="BQ6" s="4695"/>
      <c r="BR6" s="4695"/>
      <c r="BS6" s="4695"/>
      <c r="BT6" s="4695"/>
      <c r="BU6" s="4695"/>
      <c r="BV6" s="4695"/>
      <c r="BW6" s="4695"/>
      <c r="BX6" s="4695"/>
      <c r="BY6" s="4695"/>
      <c r="BZ6" s="4695"/>
      <c r="CA6" s="4695"/>
      <c r="CB6" s="4695"/>
      <c r="CC6" s="4695"/>
      <c r="CD6" s="4695"/>
      <c r="CE6" s="4695"/>
      <c r="CF6" s="4695"/>
      <c r="CG6" s="4695"/>
      <c r="CH6" s="4695"/>
      <c r="CI6" s="4695"/>
      <c r="CJ6" s="4695"/>
      <c r="CK6" s="4695"/>
      <c r="CL6" s="4695"/>
      <c r="CM6" s="4695"/>
      <c r="CN6" s="4695"/>
      <c r="CO6" s="4695"/>
      <c r="CP6" s="4695"/>
      <c r="CQ6" s="4695"/>
      <c r="CR6" s="4695"/>
      <c r="CS6" s="4695"/>
      <c r="CT6" s="4695"/>
      <c r="CU6" s="4695"/>
      <c r="CV6" s="4695"/>
      <c r="CW6" s="4695"/>
      <c r="CX6" s="4695"/>
      <c r="CY6" s="4695"/>
      <c r="CZ6" s="4695"/>
      <c r="DA6" s="4695"/>
      <c r="DB6" s="4695"/>
      <c r="DC6" s="4695"/>
      <c r="DD6" s="4695"/>
      <c r="DE6" s="4695"/>
      <c r="DF6" s="4695"/>
      <c r="DG6" s="4695"/>
      <c r="DH6" s="4695"/>
      <c r="DI6" s="4695"/>
      <c r="DJ6" s="4695"/>
      <c r="DK6" s="4695"/>
      <c r="DL6" s="4695"/>
      <c r="DM6" s="4695"/>
      <c r="DN6" s="4695"/>
      <c r="DO6" s="4695"/>
    </row>
    <row r="7" spans="1:119" s="181" customFormat="1" ht="22.5" customHeight="1">
      <c r="A7" s="5270" t="s">
        <v>1</v>
      </c>
      <c r="B7" s="5272" t="s">
        <v>209</v>
      </c>
      <c r="C7" s="5261" t="s">
        <v>229</v>
      </c>
      <c r="D7" s="5262"/>
      <c r="E7" s="5262"/>
      <c r="F7" s="5262"/>
      <c r="G7" s="5262"/>
      <c r="H7" s="5262"/>
      <c r="I7" s="5262"/>
      <c r="J7" s="5262"/>
      <c r="K7" s="5262"/>
      <c r="L7" s="5262"/>
      <c r="M7" s="5262"/>
      <c r="N7" s="5262"/>
      <c r="O7" s="5262"/>
      <c r="P7" s="5262"/>
      <c r="Q7" s="5262"/>
      <c r="R7" s="5262"/>
      <c r="S7" s="5262"/>
      <c r="T7" s="5262"/>
      <c r="U7" s="5262"/>
      <c r="V7" s="5262"/>
      <c r="W7" s="5262"/>
      <c r="X7" s="5262"/>
      <c r="Y7" s="5262"/>
      <c r="Z7" s="5262"/>
      <c r="AA7" s="5262"/>
      <c r="AB7" s="5262"/>
      <c r="AC7" s="5262"/>
      <c r="AD7" s="5262"/>
      <c r="AE7" s="5262"/>
      <c r="AF7" s="5263"/>
      <c r="AG7" s="5270" t="s">
        <v>230</v>
      </c>
      <c r="AH7" s="5271"/>
      <c r="AI7" s="5271"/>
      <c r="AJ7" s="5271"/>
      <c r="AK7" s="5271"/>
      <c r="AL7" s="5272"/>
      <c r="AM7" s="5267" t="s">
        <v>1298</v>
      </c>
      <c r="AN7" s="5268"/>
      <c r="AO7" s="5268"/>
      <c r="AP7" s="5268"/>
      <c r="AQ7" s="5268"/>
      <c r="AR7" s="5268"/>
      <c r="AS7" s="5269"/>
      <c r="AT7" s="5259" t="s">
        <v>1193</v>
      </c>
      <c r="AU7" s="5259" t="s">
        <v>1299</v>
      </c>
      <c r="AV7" s="860"/>
      <c r="AW7" s="4695"/>
      <c r="AX7" s="4695"/>
      <c r="AY7" s="4695"/>
      <c r="AZ7" s="4695"/>
      <c r="BA7" s="4695"/>
      <c r="BB7" s="4695"/>
      <c r="BC7" s="4695"/>
      <c r="BD7" s="4695"/>
      <c r="BE7" s="4695"/>
      <c r="BF7" s="4695"/>
      <c r="BG7" s="4695"/>
      <c r="BH7" s="4695"/>
      <c r="BI7" s="4695"/>
      <c r="BJ7" s="4695"/>
      <c r="BK7" s="4695"/>
      <c r="BL7" s="4695"/>
      <c r="BM7" s="4695"/>
      <c r="BN7" s="4695"/>
      <c r="BO7" s="4695"/>
      <c r="BP7" s="4695"/>
      <c r="BQ7" s="4695"/>
      <c r="BR7" s="4695"/>
      <c r="BS7" s="4695"/>
      <c r="BT7" s="4695"/>
      <c r="BU7" s="4695"/>
      <c r="BV7" s="4695"/>
      <c r="BW7" s="4695"/>
      <c r="BX7" s="4695"/>
      <c r="BY7" s="4695"/>
      <c r="BZ7" s="4695"/>
      <c r="CA7" s="4695"/>
      <c r="CB7" s="4695"/>
      <c r="CC7" s="4695"/>
      <c r="CD7" s="4695"/>
      <c r="CE7" s="4695"/>
      <c r="CF7" s="4695"/>
      <c r="CG7" s="4695"/>
      <c r="CH7" s="4695"/>
      <c r="CI7" s="4695"/>
      <c r="CJ7" s="4695"/>
      <c r="CK7" s="4695"/>
      <c r="CL7" s="4695"/>
      <c r="CM7" s="4695"/>
      <c r="CN7" s="4695"/>
      <c r="CO7" s="4695"/>
      <c r="CP7" s="4695"/>
      <c r="CQ7" s="4695"/>
      <c r="CR7" s="4695"/>
      <c r="CS7" s="4695"/>
      <c r="CT7" s="4695"/>
      <c r="CU7" s="4695"/>
      <c r="CV7" s="4695"/>
      <c r="CW7" s="4695"/>
      <c r="CX7" s="4695"/>
      <c r="CY7" s="4695"/>
      <c r="CZ7" s="4695"/>
      <c r="DA7" s="4695"/>
      <c r="DB7" s="4695"/>
      <c r="DC7" s="4695"/>
      <c r="DD7" s="4695"/>
      <c r="DE7" s="4695"/>
      <c r="DF7" s="4695"/>
      <c r="DG7" s="4695"/>
      <c r="DH7" s="4695"/>
      <c r="DI7" s="4695"/>
      <c r="DJ7" s="4695"/>
      <c r="DK7" s="4695"/>
      <c r="DL7" s="4695"/>
      <c r="DM7" s="4695"/>
      <c r="DN7" s="4695"/>
      <c r="DO7" s="4695"/>
    </row>
    <row r="8" spans="1:119" s="181" customFormat="1" ht="38.25" customHeight="1">
      <c r="A8" s="5276"/>
      <c r="B8" s="5278"/>
      <c r="C8" s="5280" t="s">
        <v>212</v>
      </c>
      <c r="D8" s="5281"/>
      <c r="E8" s="5281"/>
      <c r="F8" s="5281"/>
      <c r="G8" s="5281"/>
      <c r="H8" s="5282"/>
      <c r="I8" s="5280" t="s">
        <v>213</v>
      </c>
      <c r="J8" s="5281"/>
      <c r="K8" s="5281"/>
      <c r="L8" s="5281"/>
      <c r="M8" s="5281"/>
      <c r="N8" s="5282"/>
      <c r="O8" s="5280" t="s">
        <v>214</v>
      </c>
      <c r="P8" s="5281"/>
      <c r="Q8" s="5281"/>
      <c r="R8" s="5281"/>
      <c r="S8" s="5281"/>
      <c r="T8" s="5282"/>
      <c r="U8" s="5264" t="s">
        <v>1037</v>
      </c>
      <c r="V8" s="5265"/>
      <c r="W8" s="5265"/>
      <c r="X8" s="5265"/>
      <c r="Y8" s="5265"/>
      <c r="Z8" s="5266"/>
      <c r="AA8" s="5264" t="s">
        <v>1213</v>
      </c>
      <c r="AB8" s="5265"/>
      <c r="AC8" s="5265"/>
      <c r="AD8" s="5265"/>
      <c r="AE8" s="5265"/>
      <c r="AF8" s="5266"/>
      <c r="AG8" s="5273"/>
      <c r="AH8" s="5274"/>
      <c r="AI8" s="5274"/>
      <c r="AJ8" s="5274"/>
      <c r="AK8" s="5274"/>
      <c r="AL8" s="5275"/>
      <c r="AM8" s="5264"/>
      <c r="AN8" s="5265"/>
      <c r="AO8" s="5265"/>
      <c r="AP8" s="5265"/>
      <c r="AQ8" s="5265"/>
      <c r="AR8" s="5265"/>
      <c r="AS8" s="5266"/>
      <c r="AT8" s="5260"/>
      <c r="AU8" s="5260"/>
      <c r="AV8" s="860"/>
      <c r="AW8" s="4695"/>
      <c r="AX8" s="4695"/>
      <c r="AY8" s="4695"/>
      <c r="AZ8" s="4695"/>
      <c r="BA8" s="4695"/>
      <c r="BB8" s="4695"/>
      <c r="BC8" s="4695"/>
      <c r="BD8" s="4695"/>
      <c r="BE8" s="4695"/>
      <c r="BF8" s="4695"/>
      <c r="BG8" s="4695"/>
      <c r="BH8" s="4695"/>
      <c r="BI8" s="4695"/>
      <c r="BJ8" s="4695"/>
      <c r="BK8" s="4695"/>
      <c r="BL8" s="4695"/>
      <c r="BM8" s="4695"/>
      <c r="BN8" s="4695"/>
      <c r="BO8" s="4695"/>
      <c r="BP8" s="4695"/>
      <c r="BQ8" s="4695"/>
      <c r="BR8" s="4695"/>
      <c r="BS8" s="4695"/>
      <c r="BT8" s="4695"/>
      <c r="BU8" s="4695"/>
      <c r="BV8" s="4695"/>
      <c r="BW8" s="4695"/>
      <c r="BX8" s="4695"/>
      <c r="BY8" s="4695"/>
      <c r="BZ8" s="4695"/>
      <c r="CA8" s="4695"/>
      <c r="CB8" s="4695"/>
      <c r="CC8" s="4695"/>
      <c r="CD8" s="4695"/>
      <c r="CE8" s="4695"/>
      <c r="CF8" s="4695"/>
      <c r="CG8" s="4695"/>
      <c r="CH8" s="4695"/>
      <c r="CI8" s="4695"/>
      <c r="CJ8" s="4695"/>
      <c r="CK8" s="4695"/>
      <c r="CL8" s="4695"/>
      <c r="CM8" s="4695"/>
      <c r="CN8" s="4695"/>
      <c r="CO8" s="4695"/>
      <c r="CP8" s="4695"/>
      <c r="CQ8" s="4695"/>
      <c r="CR8" s="4695"/>
      <c r="CS8" s="4695"/>
      <c r="CT8" s="4695"/>
      <c r="CU8" s="4695"/>
      <c r="CV8" s="4695"/>
      <c r="CW8" s="4695"/>
      <c r="CX8" s="4695"/>
      <c r="CY8" s="4695"/>
      <c r="CZ8" s="4695"/>
      <c r="DA8" s="4695"/>
      <c r="DB8" s="4695"/>
      <c r="DC8" s="4695"/>
      <c r="DD8" s="4695"/>
      <c r="DE8" s="4695"/>
      <c r="DF8" s="4695"/>
      <c r="DG8" s="4695"/>
      <c r="DH8" s="4695"/>
      <c r="DI8" s="4695"/>
      <c r="DJ8" s="4695"/>
      <c r="DK8" s="4695"/>
      <c r="DL8" s="4695"/>
      <c r="DM8" s="4695"/>
      <c r="DN8" s="4695"/>
      <c r="DO8" s="4695"/>
    </row>
    <row r="9" spans="1:119" s="181" customFormat="1" ht="36.75" thickBot="1">
      <c r="A9" s="5277"/>
      <c r="B9" s="5279"/>
      <c r="C9" s="167" t="str">
        <f>'Приложение '!C12</f>
        <v>2020 г.</v>
      </c>
      <c r="D9" s="168" t="str">
        <f>'Приложение '!C14</f>
        <v>2022 г.</v>
      </c>
      <c r="E9" s="168" t="str">
        <f>'Приложение '!C15</f>
        <v>2023 г.</v>
      </c>
      <c r="F9" s="168" t="str">
        <f>'Приложение '!C16</f>
        <v>2024 г.</v>
      </c>
      <c r="G9" s="168" t="str">
        <f>'Приложение '!C17</f>
        <v>2025 г.</v>
      </c>
      <c r="H9" s="169" t="str">
        <f>'Приложение '!C18</f>
        <v>2026 г.</v>
      </c>
      <c r="I9" s="170" t="str">
        <f t="shared" ref="I9:T9" si="0">C9</f>
        <v>2020 г.</v>
      </c>
      <c r="J9" s="171" t="str">
        <f t="shared" si="0"/>
        <v>2022 г.</v>
      </c>
      <c r="K9" s="171" t="str">
        <f t="shared" si="0"/>
        <v>2023 г.</v>
      </c>
      <c r="L9" s="171" t="str">
        <f t="shared" si="0"/>
        <v>2024 г.</v>
      </c>
      <c r="M9" s="171" t="str">
        <f t="shared" si="0"/>
        <v>2025 г.</v>
      </c>
      <c r="N9" s="172" t="str">
        <f t="shared" si="0"/>
        <v>2026 г.</v>
      </c>
      <c r="O9" s="170" t="str">
        <f t="shared" si="0"/>
        <v>2020 г.</v>
      </c>
      <c r="P9" s="171" t="str">
        <f t="shared" si="0"/>
        <v>2022 г.</v>
      </c>
      <c r="Q9" s="171" t="str">
        <f t="shared" si="0"/>
        <v>2023 г.</v>
      </c>
      <c r="R9" s="171" t="str">
        <f t="shared" si="0"/>
        <v>2024 г.</v>
      </c>
      <c r="S9" s="171" t="str">
        <f t="shared" si="0"/>
        <v>2025 г.</v>
      </c>
      <c r="T9" s="172" t="str">
        <f t="shared" si="0"/>
        <v>2026 г.</v>
      </c>
      <c r="U9" s="170" t="str">
        <f t="shared" ref="U9:Z9" si="1">AG9</f>
        <v>2020 г.</v>
      </c>
      <c r="V9" s="171" t="str">
        <f t="shared" si="1"/>
        <v>2022 г.</v>
      </c>
      <c r="W9" s="171" t="str">
        <f t="shared" si="1"/>
        <v>2023 г.</v>
      </c>
      <c r="X9" s="171" t="str">
        <f t="shared" si="1"/>
        <v>2024 г.</v>
      </c>
      <c r="Y9" s="171" t="str">
        <f t="shared" si="1"/>
        <v>2025 г.</v>
      </c>
      <c r="Z9" s="172" t="str">
        <f t="shared" si="1"/>
        <v>2026 г.</v>
      </c>
      <c r="AA9" s="170" t="str">
        <f t="shared" ref="AA9:AF9" si="2">U9</f>
        <v>2020 г.</v>
      </c>
      <c r="AB9" s="171" t="str">
        <f t="shared" si="2"/>
        <v>2022 г.</v>
      </c>
      <c r="AC9" s="171" t="str">
        <f t="shared" si="2"/>
        <v>2023 г.</v>
      </c>
      <c r="AD9" s="171" t="str">
        <f t="shared" si="2"/>
        <v>2024 г.</v>
      </c>
      <c r="AE9" s="171" t="str">
        <f t="shared" si="2"/>
        <v>2025 г.</v>
      </c>
      <c r="AF9" s="172" t="str">
        <f t="shared" si="2"/>
        <v>2026 г.</v>
      </c>
      <c r="AG9" s="170" t="str">
        <f t="shared" ref="AG9:AL9" si="3">O9</f>
        <v>2020 г.</v>
      </c>
      <c r="AH9" s="171" t="str">
        <f t="shared" si="3"/>
        <v>2022 г.</v>
      </c>
      <c r="AI9" s="171" t="str">
        <f t="shared" si="3"/>
        <v>2023 г.</v>
      </c>
      <c r="AJ9" s="171" t="str">
        <f t="shared" si="3"/>
        <v>2024 г.</v>
      </c>
      <c r="AK9" s="171" t="str">
        <f t="shared" si="3"/>
        <v>2025 г.</v>
      </c>
      <c r="AL9" s="172" t="str">
        <f t="shared" si="3"/>
        <v>2026 г.</v>
      </c>
      <c r="AM9" s="655" t="str">
        <f t="shared" ref="AM9:AR9" si="4">AG9</f>
        <v>2020 г.</v>
      </c>
      <c r="AN9" s="656" t="str">
        <f t="shared" si="4"/>
        <v>2022 г.</v>
      </c>
      <c r="AO9" s="656" t="str">
        <f t="shared" si="4"/>
        <v>2023 г.</v>
      </c>
      <c r="AP9" s="656" t="str">
        <f t="shared" si="4"/>
        <v>2024 г.</v>
      </c>
      <c r="AQ9" s="656" t="str">
        <f t="shared" si="4"/>
        <v>2025 г.</v>
      </c>
      <c r="AR9" s="657" t="str">
        <f t="shared" si="4"/>
        <v>2026 г.</v>
      </c>
      <c r="AS9" s="823" t="s">
        <v>1214</v>
      </c>
      <c r="AT9" s="823" t="s">
        <v>1214</v>
      </c>
      <c r="AU9" s="823" t="s">
        <v>1214</v>
      </c>
      <c r="AV9" s="860"/>
      <c r="AW9" s="4695"/>
      <c r="AX9" s="4695"/>
      <c r="AY9" s="4695"/>
      <c r="AZ9" s="4695"/>
      <c r="BA9" s="4695"/>
      <c r="BB9" s="4695"/>
      <c r="BC9" s="4695"/>
      <c r="BD9" s="4695"/>
      <c r="BE9" s="4695"/>
      <c r="BF9" s="4695"/>
      <c r="BG9" s="4695"/>
      <c r="BH9" s="4695"/>
      <c r="BI9" s="4695"/>
      <c r="BJ9" s="4695"/>
      <c r="BK9" s="4695"/>
      <c r="BL9" s="4695"/>
      <c r="BM9" s="4695"/>
      <c r="BN9" s="4695"/>
      <c r="BO9" s="4695"/>
      <c r="BP9" s="4695"/>
      <c r="BQ9" s="4695"/>
      <c r="BR9" s="4695"/>
      <c r="BS9" s="4695"/>
      <c r="BT9" s="4695"/>
      <c r="BU9" s="4695"/>
      <c r="BV9" s="4695"/>
      <c r="BW9" s="4695"/>
      <c r="BX9" s="4695"/>
      <c r="BY9" s="4695"/>
      <c r="BZ9" s="4695"/>
      <c r="CA9" s="4695"/>
      <c r="CB9" s="4695"/>
      <c r="CC9" s="4695"/>
      <c r="CD9" s="4695"/>
      <c r="CE9" s="4695"/>
      <c r="CF9" s="4695"/>
      <c r="CG9" s="4695"/>
      <c r="CH9" s="4695"/>
      <c r="CI9" s="4695"/>
      <c r="CJ9" s="4695"/>
      <c r="CK9" s="4695"/>
      <c r="CL9" s="4695"/>
      <c r="CM9" s="4695"/>
      <c r="CN9" s="4695"/>
      <c r="CO9" s="4695"/>
      <c r="CP9" s="4695"/>
      <c r="CQ9" s="4695"/>
      <c r="CR9" s="4695"/>
      <c r="CS9" s="4695"/>
      <c r="CT9" s="4695"/>
      <c r="CU9" s="4695"/>
      <c r="CV9" s="4695"/>
      <c r="CW9" s="4695"/>
      <c r="CX9" s="4695"/>
      <c r="CY9" s="4695"/>
      <c r="CZ9" s="4695"/>
      <c r="DA9" s="4695"/>
      <c r="DB9" s="4695"/>
      <c r="DC9" s="4695"/>
      <c r="DD9" s="4695"/>
      <c r="DE9" s="4695"/>
      <c r="DF9" s="4695"/>
      <c r="DG9" s="4695"/>
      <c r="DH9" s="4695"/>
      <c r="DI9" s="4695"/>
      <c r="DJ9" s="4695"/>
      <c r="DK9" s="4695"/>
      <c r="DL9" s="4695"/>
      <c r="DM9" s="4695"/>
      <c r="DN9" s="4695"/>
      <c r="DO9" s="4695"/>
    </row>
    <row r="10" spans="1:119" s="157" customFormat="1">
      <c r="A10" s="352">
        <v>1</v>
      </c>
      <c r="B10" s="353" t="s">
        <v>1533</v>
      </c>
      <c r="C10" s="173"/>
      <c r="D10" s="174"/>
      <c r="E10" s="174"/>
      <c r="F10" s="174"/>
      <c r="G10" s="174"/>
      <c r="H10" s="175"/>
      <c r="I10" s="176"/>
      <c r="J10" s="177"/>
      <c r="K10" s="177"/>
      <c r="L10" s="177"/>
      <c r="M10" s="177"/>
      <c r="N10" s="178"/>
      <c r="O10" s="176"/>
      <c r="P10" s="177"/>
      <c r="Q10" s="177"/>
      <c r="R10" s="177"/>
      <c r="S10" s="177"/>
      <c r="T10" s="178"/>
      <c r="U10" s="176"/>
      <c r="V10" s="177"/>
      <c r="W10" s="177"/>
      <c r="X10" s="177"/>
      <c r="Y10" s="177"/>
      <c r="Z10" s="178"/>
      <c r="AA10" s="176"/>
      <c r="AB10" s="177"/>
      <c r="AC10" s="177"/>
      <c r="AD10" s="177"/>
      <c r="AE10" s="177"/>
      <c r="AF10" s="178"/>
      <c r="AG10" s="176"/>
      <c r="AH10" s="177"/>
      <c r="AI10" s="177"/>
      <c r="AJ10" s="177"/>
      <c r="AK10" s="177"/>
      <c r="AL10" s="178"/>
      <c r="AM10" s="176"/>
      <c r="AN10" s="177"/>
      <c r="AO10" s="177"/>
      <c r="AP10" s="177"/>
      <c r="AQ10" s="177"/>
      <c r="AR10" s="178"/>
      <c r="AS10" s="849"/>
      <c r="AT10" s="849"/>
      <c r="AU10" s="658"/>
      <c r="AV10" s="166"/>
      <c r="AW10" s="4695"/>
      <c r="AX10" s="4695"/>
      <c r="AY10" s="4695"/>
      <c r="AZ10" s="4695"/>
      <c r="BA10" s="4695"/>
      <c r="BB10" s="4695"/>
      <c r="BC10" s="4695"/>
      <c r="BD10" s="4695"/>
      <c r="BE10" s="4695"/>
      <c r="BF10" s="4695"/>
      <c r="BG10" s="4695"/>
      <c r="BH10" s="4695"/>
      <c r="BI10" s="4695"/>
      <c r="BJ10" s="4695"/>
      <c r="BK10" s="4695"/>
      <c r="BL10" s="4695"/>
      <c r="BM10" s="4695"/>
      <c r="BN10" s="4695"/>
      <c r="BO10" s="4695"/>
      <c r="BP10" s="4695"/>
      <c r="BQ10" s="4695"/>
      <c r="BR10" s="4695"/>
      <c r="BS10" s="4695"/>
      <c r="BT10" s="4695"/>
      <c r="BU10" s="4695"/>
      <c r="BV10" s="4695"/>
      <c r="BW10" s="4695"/>
      <c r="BX10" s="4695"/>
      <c r="BY10" s="4695"/>
      <c r="BZ10" s="4695"/>
      <c r="CA10" s="4695"/>
      <c r="CB10" s="4695"/>
      <c r="CC10" s="4695"/>
      <c r="CD10" s="4695"/>
      <c r="CE10" s="4695"/>
      <c r="CF10" s="4695"/>
      <c r="CG10" s="4695"/>
      <c r="CH10" s="4695"/>
      <c r="CI10" s="4695"/>
      <c r="CJ10" s="4695"/>
      <c r="CK10" s="4695"/>
      <c r="CL10" s="4695"/>
      <c r="CM10" s="4695"/>
      <c r="CN10" s="4695"/>
      <c r="CO10" s="4695"/>
      <c r="CP10" s="4695"/>
      <c r="CQ10" s="4695"/>
      <c r="CR10" s="4695"/>
      <c r="CS10" s="4695"/>
      <c r="CT10" s="4695"/>
      <c r="CU10" s="4695"/>
      <c r="CV10" s="4695"/>
      <c r="CW10" s="4695"/>
      <c r="CX10" s="4695"/>
      <c r="CY10" s="4695"/>
      <c r="CZ10" s="4695"/>
      <c r="DA10" s="4695"/>
      <c r="DB10" s="4695"/>
      <c r="DC10" s="4695"/>
      <c r="DD10" s="4695"/>
      <c r="DE10" s="4695"/>
      <c r="DF10" s="4695"/>
      <c r="DG10" s="4695"/>
      <c r="DH10" s="4695"/>
      <c r="DI10" s="4695"/>
      <c r="DJ10" s="4695"/>
      <c r="DK10" s="4695"/>
      <c r="DL10" s="4695"/>
      <c r="DM10" s="4695"/>
      <c r="DN10" s="4695"/>
      <c r="DO10" s="4695"/>
    </row>
    <row r="11" spans="1:119" s="702" customFormat="1" ht="36">
      <c r="A11" s="895" t="s">
        <v>469</v>
      </c>
      <c r="B11" s="896" t="s">
        <v>1343</v>
      </c>
      <c r="C11" s="1055">
        <f>SUM(C12:C13)</f>
        <v>275</v>
      </c>
      <c r="D11" s="1056">
        <f t="shared" ref="D11:H11" si="5">SUM(D12:D13)</f>
        <v>274</v>
      </c>
      <c r="E11" s="1056">
        <f t="shared" si="5"/>
        <v>274</v>
      </c>
      <c r="F11" s="1056">
        <f t="shared" si="5"/>
        <v>274</v>
      </c>
      <c r="G11" s="1056">
        <f t="shared" si="5"/>
        <v>274</v>
      </c>
      <c r="H11" s="1057">
        <f t="shared" si="5"/>
        <v>250</v>
      </c>
      <c r="I11" s="1055">
        <f t="shared" ref="I11" si="6">SUM(I12:I13)</f>
        <v>16</v>
      </c>
      <c r="J11" s="1056">
        <f t="shared" ref="J11" si="7">SUM(J12:J13)</f>
        <v>24</v>
      </c>
      <c r="K11" s="1056">
        <f t="shared" ref="K11" si="8">SUM(K12:K13)</f>
        <v>24</v>
      </c>
      <c r="L11" s="1056">
        <f t="shared" ref="L11" si="9">SUM(L12:L13)</f>
        <v>24</v>
      </c>
      <c r="M11" s="1056">
        <f t="shared" ref="M11" si="10">SUM(M12:M13)</f>
        <v>24</v>
      </c>
      <c r="N11" s="1057">
        <f t="shared" ref="N11" si="11">SUM(N12:N13)</f>
        <v>22</v>
      </c>
      <c r="O11" s="1055">
        <f t="shared" ref="O11" si="12">SUM(O12:O13)</f>
        <v>35</v>
      </c>
      <c r="P11" s="1056">
        <f t="shared" ref="P11" si="13">SUM(P12:P13)</f>
        <v>36</v>
      </c>
      <c r="Q11" s="1056">
        <f t="shared" ref="Q11" si="14">SUM(Q12:Q13)</f>
        <v>36</v>
      </c>
      <c r="R11" s="1056">
        <f t="shared" ref="R11" si="15">SUM(R12:R13)</f>
        <v>36</v>
      </c>
      <c r="S11" s="1056">
        <f t="shared" ref="S11" si="16">SUM(S12:S13)</f>
        <v>36</v>
      </c>
      <c r="T11" s="1057">
        <f t="shared" ref="T11" si="17">SUM(T12:T13)</f>
        <v>34</v>
      </c>
      <c r="U11" s="1055">
        <f t="shared" ref="U11" si="18">SUM(U12:U13)</f>
        <v>1</v>
      </c>
      <c r="V11" s="1056">
        <f t="shared" ref="V11" si="19">SUM(V12:V13)</f>
        <v>1</v>
      </c>
      <c r="W11" s="1056">
        <f t="shared" ref="W11" si="20">SUM(W12:W13)</f>
        <v>1</v>
      </c>
      <c r="X11" s="1056">
        <f t="shared" ref="X11" si="21">SUM(X12:X13)</f>
        <v>1</v>
      </c>
      <c r="Y11" s="1056">
        <f t="shared" ref="Y11" si="22">SUM(Y12:Y13)</f>
        <v>1</v>
      </c>
      <c r="Z11" s="1057">
        <f t="shared" ref="Z11" si="23">SUM(Z12:Z13)</f>
        <v>1</v>
      </c>
      <c r="AA11" s="1055">
        <f t="shared" ref="AA11" si="24">SUM(AA12:AA13)</f>
        <v>0</v>
      </c>
      <c r="AB11" s="1056">
        <f t="shared" ref="AB11" si="25">SUM(AB12:AB13)</f>
        <v>0</v>
      </c>
      <c r="AC11" s="1056">
        <f t="shared" ref="AC11" si="26">SUM(AC12:AC13)</f>
        <v>0</v>
      </c>
      <c r="AD11" s="1056">
        <f t="shared" ref="AD11" si="27">SUM(AD12:AD13)</f>
        <v>0</v>
      </c>
      <c r="AE11" s="1056">
        <f t="shared" ref="AE11" si="28">SUM(AE12:AE13)</f>
        <v>0</v>
      </c>
      <c r="AF11" s="1057">
        <f t="shared" ref="AF11" si="29">SUM(AF12:AF13)</f>
        <v>0</v>
      </c>
      <c r="AG11" s="1055">
        <f t="shared" ref="AG11" si="30">SUM(AG12:AG13)</f>
        <v>8</v>
      </c>
      <c r="AH11" s="1056">
        <f t="shared" ref="AH11" si="31">SUM(AH12:AH13)</f>
        <v>8</v>
      </c>
      <c r="AI11" s="1056">
        <f t="shared" ref="AI11" si="32">SUM(AI12:AI13)</f>
        <v>8</v>
      </c>
      <c r="AJ11" s="1056">
        <f>SUM(AJ12:AJ13)</f>
        <v>8</v>
      </c>
      <c r="AK11" s="1056">
        <f t="shared" ref="AK11" si="33">SUM(AK12:AK13)</f>
        <v>8</v>
      </c>
      <c r="AL11" s="1057">
        <f t="shared" ref="AL11" si="34">SUM(AL12:AL13)</f>
        <v>8</v>
      </c>
      <c r="AM11" s="1058">
        <f t="shared" ref="AM11:AR13" si="35">C11+I11+O11+U11+AA11</f>
        <v>327</v>
      </c>
      <c r="AN11" s="1059">
        <f t="shared" si="35"/>
        <v>335</v>
      </c>
      <c r="AO11" s="1059">
        <f t="shared" si="35"/>
        <v>335</v>
      </c>
      <c r="AP11" s="1059">
        <f t="shared" si="35"/>
        <v>335</v>
      </c>
      <c r="AQ11" s="1059">
        <f t="shared" si="35"/>
        <v>335</v>
      </c>
      <c r="AR11" s="1060">
        <f t="shared" si="35"/>
        <v>307</v>
      </c>
      <c r="AS11" s="1061">
        <f>IFERROR((AR11-AM11)/AM11,0)</f>
        <v>-6.1162079510703363E-2</v>
      </c>
      <c r="AT11" s="1061">
        <f>IFERROR(((H11+Z11+AF11)-(+C11+U11+AA11))/(C11+U11+AA11),0)</f>
        <v>-9.0579710144927536E-2</v>
      </c>
      <c r="AU11" s="1061">
        <f>IFERROR(((N11+T11)-(I11+O11))/(I11+O11),0)</f>
        <v>9.8039215686274508E-2</v>
      </c>
      <c r="AV11" s="860"/>
      <c r="AW11" s="4695"/>
      <c r="AX11" s="4695"/>
      <c r="AY11" s="4695"/>
      <c r="AZ11" s="4695"/>
      <c r="BA11" s="4695"/>
      <c r="BB11" s="4695"/>
      <c r="BC11" s="4695"/>
      <c r="BD11" s="4695"/>
      <c r="BE11" s="4695"/>
      <c r="BF11" s="4695"/>
      <c r="BG11" s="4695"/>
      <c r="BH11" s="4695"/>
      <c r="BI11" s="4695"/>
      <c r="BJ11" s="4695"/>
      <c r="BK11" s="4695"/>
      <c r="BL11" s="4695"/>
      <c r="BM11" s="4695"/>
      <c r="BN11" s="4695"/>
      <c r="BO11" s="4695"/>
      <c r="BP11" s="4695"/>
      <c r="BQ11" s="4695"/>
      <c r="BR11" s="4695"/>
      <c r="BS11" s="4695"/>
      <c r="BT11" s="4695"/>
      <c r="BU11" s="4695"/>
      <c r="BV11" s="4695"/>
      <c r="BW11" s="4695"/>
      <c r="BX11" s="4695"/>
      <c r="BY11" s="4695"/>
      <c r="BZ11" s="4695"/>
      <c r="CA11" s="4695"/>
      <c r="CB11" s="4695"/>
      <c r="CC11" s="4695"/>
      <c r="CD11" s="4695"/>
      <c r="CE11" s="4695"/>
      <c r="CF11" s="4695"/>
      <c r="CG11" s="4695"/>
      <c r="CH11" s="4695"/>
      <c r="CI11" s="4695"/>
      <c r="CJ11" s="4695"/>
      <c r="CK11" s="4695"/>
      <c r="CL11" s="4695"/>
      <c r="CM11" s="4695"/>
      <c r="CN11" s="4695"/>
      <c r="CO11" s="4695"/>
      <c r="CP11" s="4695"/>
      <c r="CQ11" s="4695"/>
      <c r="CR11" s="4695"/>
      <c r="CS11" s="4695"/>
      <c r="CT11" s="4695"/>
      <c r="CU11" s="4695"/>
      <c r="CV11" s="4695"/>
      <c r="CW11" s="4695"/>
      <c r="CX11" s="4695"/>
      <c r="CY11" s="4695"/>
      <c r="CZ11" s="4695"/>
      <c r="DA11" s="4695"/>
      <c r="DB11" s="4695"/>
      <c r="DC11" s="4695"/>
      <c r="DD11" s="4695"/>
      <c r="DE11" s="4695"/>
      <c r="DF11" s="4695"/>
      <c r="DG11" s="4695"/>
      <c r="DH11" s="4695"/>
      <c r="DI11" s="4695"/>
      <c r="DJ11" s="4695"/>
      <c r="DK11" s="4695"/>
      <c r="DL11" s="4695"/>
      <c r="DM11" s="4695"/>
      <c r="DN11" s="4695"/>
      <c r="DO11" s="4695"/>
    </row>
    <row r="12" spans="1:119" s="180" customFormat="1" ht="36">
      <c r="A12" s="796" t="s">
        <v>1310</v>
      </c>
      <c r="B12" s="666" t="s">
        <v>1344</v>
      </c>
      <c r="C12" s="321">
        <v>267</v>
      </c>
      <c r="D12" s="321">
        <v>268</v>
      </c>
      <c r="E12" s="321">
        <v>268</v>
      </c>
      <c r="F12" s="321">
        <v>268</v>
      </c>
      <c r="G12" s="321">
        <v>268</v>
      </c>
      <c r="H12" s="321">
        <v>244</v>
      </c>
      <c r="I12" s="321">
        <v>16</v>
      </c>
      <c r="J12" s="322">
        <v>23</v>
      </c>
      <c r="K12" s="322">
        <v>23</v>
      </c>
      <c r="L12" s="322">
        <v>23</v>
      </c>
      <c r="M12" s="322">
        <v>23</v>
      </c>
      <c r="N12" s="659">
        <v>21</v>
      </c>
      <c r="O12" s="321">
        <v>35</v>
      </c>
      <c r="P12" s="322">
        <v>35</v>
      </c>
      <c r="Q12" s="322">
        <v>35</v>
      </c>
      <c r="R12" s="322">
        <v>35</v>
      </c>
      <c r="S12" s="322">
        <v>35</v>
      </c>
      <c r="T12" s="659">
        <v>33</v>
      </c>
      <c r="U12" s="321">
        <v>1</v>
      </c>
      <c r="V12" s="322">
        <v>1</v>
      </c>
      <c r="W12" s="322">
        <v>1</v>
      </c>
      <c r="X12" s="322">
        <v>1</v>
      </c>
      <c r="Y12" s="322">
        <v>1</v>
      </c>
      <c r="Z12" s="659">
        <v>1</v>
      </c>
      <c r="AA12" s="321"/>
      <c r="AB12" s="322"/>
      <c r="AC12" s="322"/>
      <c r="AD12" s="322"/>
      <c r="AE12" s="322"/>
      <c r="AF12" s="659"/>
      <c r="AG12" s="321">
        <v>8</v>
      </c>
      <c r="AH12" s="322">
        <v>8</v>
      </c>
      <c r="AI12" s="322">
        <v>8</v>
      </c>
      <c r="AJ12" s="322">
        <v>8</v>
      </c>
      <c r="AK12" s="322">
        <v>8</v>
      </c>
      <c r="AL12" s="659">
        <v>8</v>
      </c>
      <c r="AM12" s="1062">
        <f>C12+I12+O12+U12+AA12</f>
        <v>319</v>
      </c>
      <c r="AN12" s="1063">
        <f t="shared" ref="AN12" si="36">D12+J12+P12+V12+AB12</f>
        <v>327</v>
      </c>
      <c r="AO12" s="1063">
        <f t="shared" ref="AO12" si="37">E12+K12+Q12+W12+AC12</f>
        <v>327</v>
      </c>
      <c r="AP12" s="1063">
        <f t="shared" ref="AP12" si="38">F12+L12+R12+X12+AD12</f>
        <v>327</v>
      </c>
      <c r="AQ12" s="1063">
        <f t="shared" ref="AQ12" si="39">G12+M12+S12+Y12+AE12</f>
        <v>327</v>
      </c>
      <c r="AR12" s="1064">
        <f t="shared" ref="AR12" si="40">H12+N12+T12+Z12+AF12</f>
        <v>299</v>
      </c>
      <c r="AS12" s="1065">
        <f>IFERROR((AR12-AM12)/AM12,0)</f>
        <v>-6.2695924764890276E-2</v>
      </c>
      <c r="AT12" s="1065">
        <f t="shared" ref="AT12" si="41">IFERROR(((H12+Z12+AF12)-(+C12+U12+AA12))/(C12+U12+AA12),0)</f>
        <v>-8.5820895522388058E-2</v>
      </c>
      <c r="AU12" s="1061">
        <f t="shared" ref="AU12" si="42">IFERROR(((N12+T12)-(I12+O12))/(I12+O12),0)</f>
        <v>5.8823529411764705E-2</v>
      </c>
      <c r="AV12" s="179"/>
      <c r="AW12" s="4695"/>
      <c r="AX12" s="4695"/>
      <c r="AY12" s="4695"/>
      <c r="AZ12" s="4695"/>
      <c r="BA12" s="4695"/>
      <c r="BB12" s="4695"/>
      <c r="BC12" s="4695"/>
      <c r="BD12" s="4695"/>
      <c r="BE12" s="4695"/>
      <c r="BF12" s="4695"/>
      <c r="BG12" s="4695"/>
      <c r="BH12" s="4695"/>
      <c r="BI12" s="4695"/>
      <c r="BJ12" s="4695"/>
      <c r="BK12" s="4695"/>
      <c r="BL12" s="4695"/>
      <c r="BM12" s="4695"/>
      <c r="BN12" s="4695"/>
      <c r="BO12" s="4695"/>
      <c r="BP12" s="4695"/>
      <c r="BQ12" s="4695"/>
      <c r="BR12" s="4695"/>
      <c r="BS12" s="4695"/>
      <c r="BT12" s="4695"/>
      <c r="BU12" s="4695"/>
      <c r="BV12" s="4695"/>
      <c r="BW12" s="4695"/>
      <c r="BX12" s="4695"/>
      <c r="BY12" s="4695"/>
      <c r="BZ12" s="4695"/>
      <c r="CA12" s="4695"/>
      <c r="CB12" s="4695"/>
      <c r="CC12" s="4695"/>
      <c r="CD12" s="4695"/>
      <c r="CE12" s="4695"/>
      <c r="CF12" s="4695"/>
      <c r="CG12" s="4695"/>
      <c r="CH12" s="4695"/>
      <c r="CI12" s="4695"/>
      <c r="CJ12" s="4695"/>
      <c r="CK12" s="4695"/>
      <c r="CL12" s="4695"/>
      <c r="CM12" s="4695"/>
      <c r="CN12" s="4695"/>
      <c r="CO12" s="4695"/>
      <c r="CP12" s="4695"/>
      <c r="CQ12" s="4695"/>
      <c r="CR12" s="4695"/>
      <c r="CS12" s="4695"/>
      <c r="CT12" s="4695"/>
      <c r="CU12" s="4695"/>
      <c r="CV12" s="4695"/>
      <c r="CW12" s="4695"/>
      <c r="CX12" s="4695"/>
      <c r="CY12" s="4695"/>
      <c r="CZ12" s="4695"/>
      <c r="DA12" s="4695"/>
      <c r="DB12" s="4695"/>
      <c r="DC12" s="4695"/>
      <c r="DD12" s="4695"/>
      <c r="DE12" s="4695"/>
      <c r="DF12" s="4695"/>
      <c r="DG12" s="4695"/>
      <c r="DH12" s="4695"/>
      <c r="DI12" s="4695"/>
      <c r="DJ12" s="4695"/>
      <c r="DK12" s="4695"/>
      <c r="DL12" s="4695"/>
      <c r="DM12" s="4695"/>
      <c r="DN12" s="4695"/>
      <c r="DO12" s="4695"/>
    </row>
    <row r="13" spans="1:119" s="180" customFormat="1" ht="24">
      <c r="A13" s="796" t="s">
        <v>1342</v>
      </c>
      <c r="B13" s="666" t="s">
        <v>1288</v>
      </c>
      <c r="C13" s="321">
        <v>8</v>
      </c>
      <c r="D13" s="321">
        <v>6</v>
      </c>
      <c r="E13" s="321">
        <v>6</v>
      </c>
      <c r="F13" s="321">
        <v>6</v>
      </c>
      <c r="G13" s="321">
        <v>6</v>
      </c>
      <c r="H13" s="321">
        <v>6</v>
      </c>
      <c r="I13" s="321">
        <v>0</v>
      </c>
      <c r="J13" s="322">
        <v>1</v>
      </c>
      <c r="K13" s="322">
        <v>1</v>
      </c>
      <c r="L13" s="322">
        <v>1</v>
      </c>
      <c r="M13" s="322">
        <v>1</v>
      </c>
      <c r="N13" s="659">
        <v>1</v>
      </c>
      <c r="O13" s="321">
        <v>0</v>
      </c>
      <c r="P13" s="322">
        <v>1</v>
      </c>
      <c r="Q13" s="322">
        <v>1</v>
      </c>
      <c r="R13" s="322">
        <v>1</v>
      </c>
      <c r="S13" s="322">
        <v>1</v>
      </c>
      <c r="T13" s="659">
        <v>1</v>
      </c>
      <c r="U13" s="321">
        <v>0</v>
      </c>
      <c r="V13" s="322">
        <v>0</v>
      </c>
      <c r="W13" s="322">
        <v>0</v>
      </c>
      <c r="X13" s="322">
        <v>0</v>
      </c>
      <c r="Y13" s="322">
        <v>0</v>
      </c>
      <c r="Z13" s="659">
        <v>0</v>
      </c>
      <c r="AA13" s="321"/>
      <c r="AB13" s="322"/>
      <c r="AC13" s="322"/>
      <c r="AD13" s="322"/>
      <c r="AE13" s="322"/>
      <c r="AF13" s="659"/>
      <c r="AG13" s="321">
        <v>0</v>
      </c>
      <c r="AH13" s="322">
        <v>0</v>
      </c>
      <c r="AI13" s="322">
        <v>0</v>
      </c>
      <c r="AJ13" s="322">
        <v>0</v>
      </c>
      <c r="AK13" s="322">
        <v>0</v>
      </c>
      <c r="AL13" s="659">
        <v>0</v>
      </c>
      <c r="AM13" s="1062">
        <f>C13+I13+O13+U13+AA13</f>
        <v>8</v>
      </c>
      <c r="AN13" s="1063">
        <f t="shared" si="35"/>
        <v>8</v>
      </c>
      <c r="AO13" s="1063">
        <f t="shared" si="35"/>
        <v>8</v>
      </c>
      <c r="AP13" s="1063">
        <f t="shared" si="35"/>
        <v>8</v>
      </c>
      <c r="AQ13" s="1063">
        <f t="shared" si="35"/>
        <v>8</v>
      </c>
      <c r="AR13" s="1064">
        <f t="shared" si="35"/>
        <v>8</v>
      </c>
      <c r="AS13" s="1065">
        <f>IFERROR((AR13-AM13)/AM13,0)</f>
        <v>0</v>
      </c>
      <c r="AT13" s="1065">
        <f t="shared" ref="AT13:AT61" si="43">IFERROR(((H13+Z13+AF13)-(+C13+U13+AA13))/(C13+U13+AA13),0)</f>
        <v>-0.25</v>
      </c>
      <c r="AU13" s="1061">
        <f t="shared" ref="AU13:AU61" si="44">IFERROR(((N13+T13)-(I13+O13))/(I13+O13),0)</f>
        <v>0</v>
      </c>
      <c r="AV13" s="179"/>
      <c r="AW13" s="4695"/>
      <c r="AX13" s="4695"/>
      <c r="AY13" s="4695"/>
      <c r="AZ13" s="4695"/>
      <c r="BA13" s="4695"/>
      <c r="BB13" s="4695"/>
      <c r="BC13" s="4695"/>
      <c r="BD13" s="4695"/>
      <c r="BE13" s="4695"/>
      <c r="BF13" s="4695"/>
      <c r="BG13" s="4695"/>
      <c r="BH13" s="4695"/>
      <c r="BI13" s="4695"/>
      <c r="BJ13" s="4695"/>
      <c r="BK13" s="4695"/>
      <c r="BL13" s="4695"/>
      <c r="BM13" s="4695"/>
      <c r="BN13" s="4695"/>
      <c r="BO13" s="4695"/>
      <c r="BP13" s="4695"/>
      <c r="BQ13" s="4695"/>
      <c r="BR13" s="4695"/>
      <c r="BS13" s="4695"/>
      <c r="BT13" s="4695"/>
      <c r="BU13" s="4695"/>
      <c r="BV13" s="4695"/>
      <c r="BW13" s="4695"/>
      <c r="BX13" s="4695"/>
      <c r="BY13" s="4695"/>
      <c r="BZ13" s="4695"/>
      <c r="CA13" s="4695"/>
      <c r="CB13" s="4695"/>
      <c r="CC13" s="4695"/>
      <c r="CD13" s="4695"/>
      <c r="CE13" s="4695"/>
      <c r="CF13" s="4695"/>
      <c r="CG13" s="4695"/>
      <c r="CH13" s="4695"/>
      <c r="CI13" s="4695"/>
      <c r="CJ13" s="4695"/>
      <c r="CK13" s="4695"/>
      <c r="CL13" s="4695"/>
      <c r="CM13" s="4695"/>
      <c r="CN13" s="4695"/>
      <c r="CO13" s="4695"/>
      <c r="CP13" s="4695"/>
      <c r="CQ13" s="4695"/>
      <c r="CR13" s="4695"/>
      <c r="CS13" s="4695"/>
      <c r="CT13" s="4695"/>
      <c r="CU13" s="4695"/>
      <c r="CV13" s="4695"/>
      <c r="CW13" s="4695"/>
      <c r="CX13" s="4695"/>
      <c r="CY13" s="4695"/>
      <c r="CZ13" s="4695"/>
      <c r="DA13" s="4695"/>
      <c r="DB13" s="4695"/>
      <c r="DC13" s="4695"/>
      <c r="DD13" s="4695"/>
      <c r="DE13" s="4695"/>
      <c r="DF13" s="4695"/>
      <c r="DG13" s="4695"/>
      <c r="DH13" s="4695"/>
      <c r="DI13" s="4695"/>
      <c r="DJ13" s="4695"/>
      <c r="DK13" s="4695"/>
      <c r="DL13" s="4695"/>
      <c r="DM13" s="4695"/>
      <c r="DN13" s="4695"/>
      <c r="DO13" s="4695"/>
    </row>
    <row r="14" spans="1:119" s="181" customFormat="1" ht="24">
      <c r="A14" s="2153" t="s">
        <v>471</v>
      </c>
      <c r="B14" s="851" t="s">
        <v>1531</v>
      </c>
      <c r="C14" s="2154">
        <f>SUM(C15:C23)</f>
        <v>267</v>
      </c>
      <c r="D14" s="2155">
        <f t="shared" ref="D14:AR14" si="45">SUM(D15:D23)</f>
        <v>264</v>
      </c>
      <c r="E14" s="2155">
        <f t="shared" si="45"/>
        <v>264</v>
      </c>
      <c r="F14" s="2155">
        <f t="shared" si="45"/>
        <v>264</v>
      </c>
      <c r="G14" s="2155">
        <f t="shared" si="45"/>
        <v>264</v>
      </c>
      <c r="H14" s="2156">
        <f t="shared" si="45"/>
        <v>230</v>
      </c>
      <c r="I14" s="2154">
        <f t="shared" si="45"/>
        <v>20</v>
      </c>
      <c r="J14" s="2155">
        <f t="shared" si="45"/>
        <v>20</v>
      </c>
      <c r="K14" s="2155">
        <f t="shared" si="45"/>
        <v>20</v>
      </c>
      <c r="L14" s="2155">
        <f t="shared" si="45"/>
        <v>20</v>
      </c>
      <c r="M14" s="2155">
        <f t="shared" si="45"/>
        <v>20</v>
      </c>
      <c r="N14" s="2156">
        <f t="shared" si="45"/>
        <v>21</v>
      </c>
      <c r="O14" s="2154">
        <f t="shared" si="45"/>
        <v>30</v>
      </c>
      <c r="P14" s="2155">
        <f t="shared" si="45"/>
        <v>30</v>
      </c>
      <c r="Q14" s="2155">
        <f t="shared" si="45"/>
        <v>30</v>
      </c>
      <c r="R14" s="2155">
        <f t="shared" si="45"/>
        <v>30</v>
      </c>
      <c r="S14" s="2155">
        <f t="shared" si="45"/>
        <v>30</v>
      </c>
      <c r="T14" s="2156">
        <f t="shared" si="45"/>
        <v>32</v>
      </c>
      <c r="U14" s="2154">
        <f t="shared" si="45"/>
        <v>1</v>
      </c>
      <c r="V14" s="2155">
        <f t="shared" si="45"/>
        <v>1</v>
      </c>
      <c r="W14" s="2155">
        <f t="shared" si="45"/>
        <v>1</v>
      </c>
      <c r="X14" s="2155">
        <f t="shared" si="45"/>
        <v>1</v>
      </c>
      <c r="Y14" s="2155">
        <f t="shared" si="45"/>
        <v>1</v>
      </c>
      <c r="Z14" s="2156">
        <f t="shared" si="45"/>
        <v>1</v>
      </c>
      <c r="AA14" s="2154">
        <f t="shared" si="45"/>
        <v>0</v>
      </c>
      <c r="AB14" s="2155">
        <f t="shared" si="45"/>
        <v>0</v>
      </c>
      <c r="AC14" s="2155">
        <f t="shared" si="45"/>
        <v>0</v>
      </c>
      <c r="AD14" s="2155">
        <f t="shared" si="45"/>
        <v>0</v>
      </c>
      <c r="AE14" s="2155">
        <f t="shared" si="45"/>
        <v>0</v>
      </c>
      <c r="AF14" s="2156">
        <f t="shared" si="45"/>
        <v>0</v>
      </c>
      <c r="AG14" s="2154">
        <f t="shared" si="45"/>
        <v>9</v>
      </c>
      <c r="AH14" s="2155">
        <f t="shared" si="45"/>
        <v>9</v>
      </c>
      <c r="AI14" s="2155">
        <f t="shared" si="45"/>
        <v>9</v>
      </c>
      <c r="AJ14" s="2155">
        <f t="shared" si="45"/>
        <v>9</v>
      </c>
      <c r="AK14" s="2155">
        <f t="shared" si="45"/>
        <v>9</v>
      </c>
      <c r="AL14" s="2156">
        <f t="shared" si="45"/>
        <v>9</v>
      </c>
      <c r="AM14" s="1058">
        <f>SUM(AM15:AM23)</f>
        <v>318</v>
      </c>
      <c r="AN14" s="1059">
        <f t="shared" si="45"/>
        <v>315</v>
      </c>
      <c r="AO14" s="1059">
        <f t="shared" si="45"/>
        <v>315</v>
      </c>
      <c r="AP14" s="1059">
        <f t="shared" si="45"/>
        <v>315</v>
      </c>
      <c r="AQ14" s="1059">
        <f t="shared" si="45"/>
        <v>315</v>
      </c>
      <c r="AR14" s="1060">
        <f t="shared" si="45"/>
        <v>284</v>
      </c>
      <c r="AS14" s="1061">
        <f t="shared" ref="AS14:AS38" si="46">IFERROR((AR14-AM14)/AM14,0)</f>
        <v>-0.1069182389937107</v>
      </c>
      <c r="AT14" s="1061">
        <f t="shared" si="43"/>
        <v>-0.13805970149253732</v>
      </c>
      <c r="AU14" s="1061">
        <f t="shared" si="44"/>
        <v>0.06</v>
      </c>
      <c r="AV14" s="165"/>
      <c r="AW14" s="4695"/>
      <c r="AX14" s="4695"/>
      <c r="AY14" s="4695"/>
      <c r="AZ14" s="4695"/>
      <c r="BA14" s="4695"/>
      <c r="BB14" s="4695"/>
      <c r="BC14" s="4695"/>
      <c r="BD14" s="4695"/>
      <c r="BE14" s="4695"/>
      <c r="BF14" s="4695"/>
      <c r="BG14" s="4695"/>
      <c r="BH14" s="4695"/>
      <c r="BI14" s="4695"/>
      <c r="BJ14" s="4695"/>
      <c r="BK14" s="4695"/>
      <c r="BL14" s="4695"/>
      <c r="BM14" s="4695"/>
      <c r="BN14" s="4695"/>
      <c r="BO14" s="4695"/>
      <c r="BP14" s="4695"/>
      <c r="BQ14" s="4695"/>
      <c r="BR14" s="4695"/>
      <c r="BS14" s="4695"/>
      <c r="BT14" s="4695"/>
      <c r="BU14" s="4695"/>
      <c r="BV14" s="4695"/>
      <c r="BW14" s="4695"/>
      <c r="BX14" s="4695"/>
      <c r="BY14" s="4695"/>
      <c r="BZ14" s="4695"/>
      <c r="CA14" s="4695"/>
      <c r="CB14" s="4695"/>
      <c r="CC14" s="4695"/>
      <c r="CD14" s="4695"/>
      <c r="CE14" s="4695"/>
      <c r="CF14" s="4695"/>
      <c r="CG14" s="4695"/>
      <c r="CH14" s="4695"/>
      <c r="CI14" s="4695"/>
      <c r="CJ14" s="4695"/>
      <c r="CK14" s="4695"/>
      <c r="CL14" s="4695"/>
      <c r="CM14" s="4695"/>
      <c r="CN14" s="4695"/>
      <c r="CO14" s="4695"/>
      <c r="CP14" s="4695"/>
      <c r="CQ14" s="4695"/>
      <c r="CR14" s="4695"/>
      <c r="CS14" s="4695"/>
      <c r="CT14" s="4695"/>
      <c r="CU14" s="4695"/>
      <c r="CV14" s="4695"/>
      <c r="CW14" s="4695"/>
      <c r="CX14" s="4695"/>
      <c r="CY14" s="4695"/>
      <c r="CZ14" s="4695"/>
      <c r="DA14" s="4695"/>
      <c r="DB14" s="4695"/>
      <c r="DC14" s="4695"/>
      <c r="DD14" s="4695"/>
      <c r="DE14" s="4695"/>
      <c r="DF14" s="4695"/>
      <c r="DG14" s="4695"/>
      <c r="DH14" s="4695"/>
      <c r="DI14" s="4695"/>
      <c r="DJ14" s="4695"/>
      <c r="DK14" s="4695"/>
      <c r="DL14" s="4695"/>
      <c r="DM14" s="4695"/>
      <c r="DN14" s="4695"/>
      <c r="DO14" s="4695"/>
    </row>
    <row r="15" spans="1:119" s="180" customFormat="1">
      <c r="A15" s="1494" t="s">
        <v>1311</v>
      </c>
      <c r="B15" s="668" t="s">
        <v>1215</v>
      </c>
      <c r="C15" s="660">
        <v>17</v>
      </c>
      <c r="D15" s="661">
        <v>17</v>
      </c>
      <c r="E15" s="661">
        <v>17</v>
      </c>
      <c r="F15" s="661">
        <v>17</v>
      </c>
      <c r="G15" s="661">
        <v>17</v>
      </c>
      <c r="H15" s="662">
        <v>14</v>
      </c>
      <c r="I15" s="660">
        <v>1</v>
      </c>
      <c r="J15" s="661">
        <v>1</v>
      </c>
      <c r="K15" s="661">
        <v>1</v>
      </c>
      <c r="L15" s="661">
        <v>1</v>
      </c>
      <c r="M15" s="661">
        <v>1</v>
      </c>
      <c r="N15" s="662">
        <v>1</v>
      </c>
      <c r="O15" s="660">
        <v>1</v>
      </c>
      <c r="P15" s="661">
        <v>1</v>
      </c>
      <c r="Q15" s="661">
        <v>1</v>
      </c>
      <c r="R15" s="661">
        <v>1</v>
      </c>
      <c r="S15" s="661">
        <v>1</v>
      </c>
      <c r="T15" s="662">
        <v>1</v>
      </c>
      <c r="U15" s="660">
        <v>0</v>
      </c>
      <c r="V15" s="661">
        <v>0</v>
      </c>
      <c r="W15" s="661">
        <v>0</v>
      </c>
      <c r="X15" s="661">
        <v>0</v>
      </c>
      <c r="Y15" s="661">
        <v>0</v>
      </c>
      <c r="Z15" s="662">
        <v>0</v>
      </c>
      <c r="AA15" s="660"/>
      <c r="AB15" s="661"/>
      <c r="AC15" s="661"/>
      <c r="AD15" s="661"/>
      <c r="AE15" s="661"/>
      <c r="AF15" s="662"/>
      <c r="AG15" s="660">
        <v>0</v>
      </c>
      <c r="AH15" s="661">
        <v>0</v>
      </c>
      <c r="AI15" s="661">
        <v>0</v>
      </c>
      <c r="AJ15" s="661">
        <v>0</v>
      </c>
      <c r="AK15" s="661">
        <v>0</v>
      </c>
      <c r="AL15" s="662">
        <v>0</v>
      </c>
      <c r="AM15" s="1066">
        <f t="shared" ref="AM15:AM23" si="47">C15+I15+O15+U15+AA15</f>
        <v>19</v>
      </c>
      <c r="AN15" s="1067">
        <f t="shared" ref="AN15:AN23" si="48">D15+J15+P15+V15+AB15</f>
        <v>19</v>
      </c>
      <c r="AO15" s="1067">
        <f t="shared" ref="AO15:AO23" si="49">E15+K15+Q15+W15+AC15</f>
        <v>19</v>
      </c>
      <c r="AP15" s="1067">
        <f t="shared" ref="AP15:AP23" si="50">F15+L15+R15+X15+AD15</f>
        <v>19</v>
      </c>
      <c r="AQ15" s="1067">
        <f t="shared" ref="AQ15:AQ23" si="51">G15+M15+S15+Y15+AE15</f>
        <v>19</v>
      </c>
      <c r="AR15" s="1068">
        <f t="shared" ref="AR15:AR23" si="52">H15+N15+T15+Z15+AF15</f>
        <v>16</v>
      </c>
      <c r="AS15" s="1069">
        <f t="shared" si="46"/>
        <v>-0.15789473684210525</v>
      </c>
      <c r="AT15" s="1065">
        <f t="shared" si="43"/>
        <v>-0.17647058823529413</v>
      </c>
      <c r="AU15" s="1070">
        <f t="shared" si="44"/>
        <v>0</v>
      </c>
      <c r="AV15" s="179"/>
      <c r="AW15" s="4695"/>
      <c r="AX15" s="4695"/>
      <c r="AY15" s="4695"/>
      <c r="AZ15" s="4695"/>
      <c r="BA15" s="4695"/>
      <c r="BB15" s="4695"/>
      <c r="BC15" s="4695"/>
      <c r="BD15" s="4695"/>
      <c r="BE15" s="4695"/>
      <c r="BF15" s="4695"/>
      <c r="BG15" s="4695"/>
      <c r="BH15" s="4695"/>
      <c r="BI15" s="4695"/>
      <c r="BJ15" s="4695"/>
      <c r="BK15" s="4695"/>
      <c r="BL15" s="4695"/>
      <c r="BM15" s="4695"/>
      <c r="BN15" s="4695"/>
      <c r="BO15" s="4695"/>
      <c r="BP15" s="4695"/>
      <c r="BQ15" s="4695"/>
      <c r="BR15" s="4695"/>
      <c r="BS15" s="4695"/>
      <c r="BT15" s="4695"/>
      <c r="BU15" s="4695"/>
      <c r="BV15" s="4695"/>
      <c r="BW15" s="4695"/>
      <c r="BX15" s="4695"/>
      <c r="BY15" s="4695"/>
      <c r="BZ15" s="4695"/>
      <c r="CA15" s="4695"/>
      <c r="CB15" s="4695"/>
      <c r="CC15" s="4695"/>
      <c r="CD15" s="4695"/>
      <c r="CE15" s="4695"/>
      <c r="CF15" s="4695"/>
      <c r="CG15" s="4695"/>
      <c r="CH15" s="4695"/>
      <c r="CI15" s="4695"/>
      <c r="CJ15" s="4695"/>
      <c r="CK15" s="4695"/>
      <c r="CL15" s="4695"/>
      <c r="CM15" s="4695"/>
      <c r="CN15" s="4695"/>
      <c r="CO15" s="4695"/>
      <c r="CP15" s="4695"/>
      <c r="CQ15" s="4695"/>
      <c r="CR15" s="4695"/>
      <c r="CS15" s="4695"/>
      <c r="CT15" s="4695"/>
      <c r="CU15" s="4695"/>
      <c r="CV15" s="4695"/>
      <c r="CW15" s="4695"/>
      <c r="CX15" s="4695"/>
      <c r="CY15" s="4695"/>
      <c r="CZ15" s="4695"/>
      <c r="DA15" s="4695"/>
      <c r="DB15" s="4695"/>
      <c r="DC15" s="4695"/>
      <c r="DD15" s="4695"/>
      <c r="DE15" s="4695"/>
      <c r="DF15" s="4695"/>
      <c r="DG15" s="4695"/>
      <c r="DH15" s="4695"/>
      <c r="DI15" s="4695"/>
      <c r="DJ15" s="4695"/>
      <c r="DK15" s="4695"/>
      <c r="DL15" s="4695"/>
      <c r="DM15" s="4695"/>
      <c r="DN15" s="4695"/>
      <c r="DO15" s="4695"/>
    </row>
    <row r="16" spans="1:119" s="180" customFormat="1">
      <c r="A16" s="1494" t="s">
        <v>1348</v>
      </c>
      <c r="B16" s="669" t="s">
        <v>1216</v>
      </c>
      <c r="C16" s="321">
        <v>11</v>
      </c>
      <c r="D16" s="322">
        <v>11</v>
      </c>
      <c r="E16" s="322">
        <v>11</v>
      </c>
      <c r="F16" s="322">
        <v>11</v>
      </c>
      <c r="G16" s="322">
        <v>11</v>
      </c>
      <c r="H16" s="659">
        <v>9</v>
      </c>
      <c r="I16" s="321">
        <v>1</v>
      </c>
      <c r="J16" s="322">
        <v>1</v>
      </c>
      <c r="K16" s="322">
        <v>1</v>
      </c>
      <c r="L16" s="322">
        <v>1</v>
      </c>
      <c r="M16" s="322">
        <v>1</v>
      </c>
      <c r="N16" s="659">
        <v>1</v>
      </c>
      <c r="O16" s="321">
        <v>3</v>
      </c>
      <c r="P16" s="322">
        <v>3</v>
      </c>
      <c r="Q16" s="322">
        <v>3</v>
      </c>
      <c r="R16" s="322">
        <v>3</v>
      </c>
      <c r="S16" s="322">
        <v>3</v>
      </c>
      <c r="T16" s="659">
        <v>3</v>
      </c>
      <c r="U16" s="321">
        <v>0</v>
      </c>
      <c r="V16" s="322">
        <v>0</v>
      </c>
      <c r="W16" s="322">
        <v>0</v>
      </c>
      <c r="X16" s="322">
        <v>0</v>
      </c>
      <c r="Y16" s="322">
        <v>0</v>
      </c>
      <c r="Z16" s="659">
        <v>0</v>
      </c>
      <c r="AA16" s="321"/>
      <c r="AB16" s="322"/>
      <c r="AC16" s="322"/>
      <c r="AD16" s="322"/>
      <c r="AE16" s="322"/>
      <c r="AF16" s="659"/>
      <c r="AG16" s="321">
        <v>0</v>
      </c>
      <c r="AH16" s="322">
        <v>0</v>
      </c>
      <c r="AI16" s="322">
        <v>0</v>
      </c>
      <c r="AJ16" s="322">
        <v>0</v>
      </c>
      <c r="AK16" s="322">
        <v>0</v>
      </c>
      <c r="AL16" s="659">
        <v>0</v>
      </c>
      <c r="AM16" s="1062">
        <f t="shared" si="47"/>
        <v>15</v>
      </c>
      <c r="AN16" s="1063">
        <f t="shared" si="48"/>
        <v>15</v>
      </c>
      <c r="AO16" s="1063">
        <f t="shared" si="49"/>
        <v>15</v>
      </c>
      <c r="AP16" s="1063">
        <f t="shared" si="50"/>
        <v>15</v>
      </c>
      <c r="AQ16" s="1063">
        <f t="shared" si="51"/>
        <v>15</v>
      </c>
      <c r="AR16" s="1064">
        <f t="shared" si="52"/>
        <v>13</v>
      </c>
      <c r="AS16" s="1065">
        <f t="shared" si="46"/>
        <v>-0.13333333333333333</v>
      </c>
      <c r="AT16" s="1065">
        <f t="shared" si="43"/>
        <v>-0.18181818181818182</v>
      </c>
      <c r="AU16" s="1061">
        <f t="shared" si="44"/>
        <v>0</v>
      </c>
      <c r="AV16" s="179"/>
      <c r="AW16" s="4695"/>
      <c r="AX16" s="4695"/>
      <c r="AY16" s="4695"/>
      <c r="AZ16" s="4695"/>
      <c r="BA16" s="4695"/>
      <c r="BB16" s="4695"/>
      <c r="BC16" s="4695"/>
      <c r="BD16" s="4695"/>
      <c r="BE16" s="4695"/>
      <c r="BF16" s="4695"/>
      <c r="BG16" s="4695"/>
      <c r="BH16" s="4695"/>
      <c r="BI16" s="4695"/>
      <c r="BJ16" s="4695"/>
      <c r="BK16" s="4695"/>
      <c r="BL16" s="4695"/>
      <c r="BM16" s="4695"/>
      <c r="BN16" s="4695"/>
      <c r="BO16" s="4695"/>
      <c r="BP16" s="4695"/>
      <c r="BQ16" s="4695"/>
      <c r="BR16" s="4695"/>
      <c r="BS16" s="4695"/>
      <c r="BT16" s="4695"/>
      <c r="BU16" s="4695"/>
      <c r="BV16" s="4695"/>
      <c r="BW16" s="4695"/>
      <c r="BX16" s="4695"/>
      <c r="BY16" s="4695"/>
      <c r="BZ16" s="4695"/>
      <c r="CA16" s="4695"/>
      <c r="CB16" s="4695"/>
      <c r="CC16" s="4695"/>
      <c r="CD16" s="4695"/>
      <c r="CE16" s="4695"/>
      <c r="CF16" s="4695"/>
      <c r="CG16" s="4695"/>
      <c r="CH16" s="4695"/>
      <c r="CI16" s="4695"/>
      <c r="CJ16" s="4695"/>
      <c r="CK16" s="4695"/>
      <c r="CL16" s="4695"/>
      <c r="CM16" s="4695"/>
      <c r="CN16" s="4695"/>
      <c r="CO16" s="4695"/>
      <c r="CP16" s="4695"/>
      <c r="CQ16" s="4695"/>
      <c r="CR16" s="4695"/>
      <c r="CS16" s="4695"/>
      <c r="CT16" s="4695"/>
      <c r="CU16" s="4695"/>
      <c r="CV16" s="4695"/>
      <c r="CW16" s="4695"/>
      <c r="CX16" s="4695"/>
      <c r="CY16" s="4695"/>
      <c r="CZ16" s="4695"/>
      <c r="DA16" s="4695"/>
      <c r="DB16" s="4695"/>
      <c r="DC16" s="4695"/>
      <c r="DD16" s="4695"/>
      <c r="DE16" s="4695"/>
      <c r="DF16" s="4695"/>
      <c r="DG16" s="4695"/>
      <c r="DH16" s="4695"/>
      <c r="DI16" s="4695"/>
      <c r="DJ16" s="4695"/>
      <c r="DK16" s="4695"/>
      <c r="DL16" s="4695"/>
      <c r="DM16" s="4695"/>
      <c r="DN16" s="4695"/>
      <c r="DO16" s="4695"/>
    </row>
    <row r="17" spans="1:119" s="180" customFormat="1">
      <c r="A17" s="1494" t="s">
        <v>1349</v>
      </c>
      <c r="B17" s="669" t="s">
        <v>1217</v>
      </c>
      <c r="C17" s="321">
        <v>43</v>
      </c>
      <c r="D17" s="322">
        <v>43</v>
      </c>
      <c r="E17" s="322">
        <v>43</v>
      </c>
      <c r="F17" s="322">
        <v>43</v>
      </c>
      <c r="G17" s="322">
        <v>43</v>
      </c>
      <c r="H17" s="659">
        <v>38</v>
      </c>
      <c r="I17" s="321">
        <v>2</v>
      </c>
      <c r="J17" s="322">
        <v>2</v>
      </c>
      <c r="K17" s="322">
        <v>2</v>
      </c>
      <c r="L17" s="322">
        <v>2</v>
      </c>
      <c r="M17" s="322">
        <v>2</v>
      </c>
      <c r="N17" s="659">
        <v>2</v>
      </c>
      <c r="O17" s="321">
        <v>5</v>
      </c>
      <c r="P17" s="322">
        <v>5</v>
      </c>
      <c r="Q17" s="322">
        <v>5</v>
      </c>
      <c r="R17" s="322">
        <v>5</v>
      </c>
      <c r="S17" s="322">
        <v>5</v>
      </c>
      <c r="T17" s="659">
        <v>5</v>
      </c>
      <c r="U17" s="321">
        <v>0</v>
      </c>
      <c r="V17" s="322">
        <v>0</v>
      </c>
      <c r="W17" s="322">
        <v>0</v>
      </c>
      <c r="X17" s="322">
        <v>0</v>
      </c>
      <c r="Y17" s="322">
        <v>0</v>
      </c>
      <c r="Z17" s="659">
        <v>0</v>
      </c>
      <c r="AA17" s="321"/>
      <c r="AB17" s="322"/>
      <c r="AC17" s="322"/>
      <c r="AD17" s="322"/>
      <c r="AE17" s="322"/>
      <c r="AF17" s="659"/>
      <c r="AG17" s="321">
        <v>0</v>
      </c>
      <c r="AH17" s="322">
        <v>0</v>
      </c>
      <c r="AI17" s="322">
        <v>0</v>
      </c>
      <c r="AJ17" s="322">
        <v>0</v>
      </c>
      <c r="AK17" s="322">
        <v>0</v>
      </c>
      <c r="AL17" s="659">
        <v>0</v>
      </c>
      <c r="AM17" s="1062">
        <f t="shared" si="47"/>
        <v>50</v>
      </c>
      <c r="AN17" s="1063">
        <f t="shared" si="48"/>
        <v>50</v>
      </c>
      <c r="AO17" s="1063">
        <f t="shared" si="49"/>
        <v>50</v>
      </c>
      <c r="AP17" s="1063">
        <f t="shared" si="50"/>
        <v>50</v>
      </c>
      <c r="AQ17" s="1063">
        <f t="shared" si="51"/>
        <v>50</v>
      </c>
      <c r="AR17" s="1064">
        <f t="shared" si="52"/>
        <v>45</v>
      </c>
      <c r="AS17" s="1065">
        <f t="shared" si="46"/>
        <v>-0.1</v>
      </c>
      <c r="AT17" s="1065">
        <f t="shared" si="43"/>
        <v>-0.11627906976744186</v>
      </c>
      <c r="AU17" s="1061">
        <f t="shared" si="44"/>
        <v>0</v>
      </c>
      <c r="AV17" s="179"/>
      <c r="AW17" s="4695"/>
      <c r="AX17" s="4695"/>
      <c r="AY17" s="4695"/>
      <c r="AZ17" s="4695"/>
      <c r="BA17" s="4695"/>
      <c r="BB17" s="4695"/>
      <c r="BC17" s="4695"/>
      <c r="BD17" s="4695"/>
      <c r="BE17" s="4695"/>
      <c r="BF17" s="4695"/>
      <c r="BG17" s="4695"/>
      <c r="BH17" s="4695"/>
      <c r="BI17" s="4695"/>
      <c r="BJ17" s="4695"/>
      <c r="BK17" s="4695"/>
      <c r="BL17" s="4695"/>
      <c r="BM17" s="4695"/>
      <c r="BN17" s="4695"/>
      <c r="BO17" s="4695"/>
      <c r="BP17" s="4695"/>
      <c r="BQ17" s="4695"/>
      <c r="BR17" s="4695"/>
      <c r="BS17" s="4695"/>
      <c r="BT17" s="4695"/>
      <c r="BU17" s="4695"/>
      <c r="BV17" s="4695"/>
      <c r="BW17" s="4695"/>
      <c r="BX17" s="4695"/>
      <c r="BY17" s="4695"/>
      <c r="BZ17" s="4695"/>
      <c r="CA17" s="4695"/>
      <c r="CB17" s="4695"/>
      <c r="CC17" s="4695"/>
      <c r="CD17" s="4695"/>
      <c r="CE17" s="4695"/>
      <c r="CF17" s="4695"/>
      <c r="CG17" s="4695"/>
      <c r="CH17" s="4695"/>
      <c r="CI17" s="4695"/>
      <c r="CJ17" s="4695"/>
      <c r="CK17" s="4695"/>
      <c r="CL17" s="4695"/>
      <c r="CM17" s="4695"/>
      <c r="CN17" s="4695"/>
      <c r="CO17" s="4695"/>
      <c r="CP17" s="4695"/>
      <c r="CQ17" s="4695"/>
      <c r="CR17" s="4695"/>
      <c r="CS17" s="4695"/>
      <c r="CT17" s="4695"/>
      <c r="CU17" s="4695"/>
      <c r="CV17" s="4695"/>
      <c r="CW17" s="4695"/>
      <c r="CX17" s="4695"/>
      <c r="CY17" s="4695"/>
      <c r="CZ17" s="4695"/>
      <c r="DA17" s="4695"/>
      <c r="DB17" s="4695"/>
      <c r="DC17" s="4695"/>
      <c r="DD17" s="4695"/>
      <c r="DE17" s="4695"/>
      <c r="DF17" s="4695"/>
      <c r="DG17" s="4695"/>
      <c r="DH17" s="4695"/>
      <c r="DI17" s="4695"/>
      <c r="DJ17" s="4695"/>
      <c r="DK17" s="4695"/>
      <c r="DL17" s="4695"/>
      <c r="DM17" s="4695"/>
      <c r="DN17" s="4695"/>
      <c r="DO17" s="4695"/>
    </row>
    <row r="18" spans="1:119" s="180" customFormat="1">
      <c r="A18" s="1494" t="s">
        <v>1350</v>
      </c>
      <c r="B18" s="669" t="s">
        <v>1218</v>
      </c>
      <c r="C18" s="321">
        <v>62</v>
      </c>
      <c r="D18" s="322">
        <v>62</v>
      </c>
      <c r="E18" s="322">
        <v>62</v>
      </c>
      <c r="F18" s="322">
        <v>62</v>
      </c>
      <c r="G18" s="322">
        <v>62</v>
      </c>
      <c r="H18" s="659">
        <v>50</v>
      </c>
      <c r="I18" s="321">
        <v>2</v>
      </c>
      <c r="J18" s="322">
        <v>2</v>
      </c>
      <c r="K18" s="322">
        <v>2</v>
      </c>
      <c r="L18" s="322">
        <v>2</v>
      </c>
      <c r="M18" s="322">
        <v>2</v>
      </c>
      <c r="N18" s="659">
        <v>9</v>
      </c>
      <c r="O18" s="321">
        <v>5</v>
      </c>
      <c r="P18" s="322">
        <v>5</v>
      </c>
      <c r="Q18" s="322">
        <v>5</v>
      </c>
      <c r="R18" s="322">
        <v>5</v>
      </c>
      <c r="S18" s="322">
        <v>5</v>
      </c>
      <c r="T18" s="659">
        <v>4</v>
      </c>
      <c r="U18" s="321">
        <v>0</v>
      </c>
      <c r="V18" s="322">
        <v>0</v>
      </c>
      <c r="W18" s="322">
        <v>0</v>
      </c>
      <c r="X18" s="322">
        <v>0</v>
      </c>
      <c r="Y18" s="322">
        <v>0</v>
      </c>
      <c r="Z18" s="659">
        <v>0</v>
      </c>
      <c r="AA18" s="321"/>
      <c r="AB18" s="322"/>
      <c r="AC18" s="322"/>
      <c r="AD18" s="322"/>
      <c r="AE18" s="322"/>
      <c r="AF18" s="659"/>
      <c r="AG18" s="321">
        <v>0</v>
      </c>
      <c r="AH18" s="322">
        <v>0</v>
      </c>
      <c r="AI18" s="322">
        <v>0</v>
      </c>
      <c r="AJ18" s="322">
        <v>0</v>
      </c>
      <c r="AK18" s="322">
        <v>0</v>
      </c>
      <c r="AL18" s="659">
        <v>0</v>
      </c>
      <c r="AM18" s="1062">
        <f t="shared" si="47"/>
        <v>69</v>
      </c>
      <c r="AN18" s="1063">
        <f t="shared" si="48"/>
        <v>69</v>
      </c>
      <c r="AO18" s="1063">
        <f t="shared" si="49"/>
        <v>69</v>
      </c>
      <c r="AP18" s="1063">
        <f t="shared" si="50"/>
        <v>69</v>
      </c>
      <c r="AQ18" s="1063">
        <f t="shared" si="51"/>
        <v>69</v>
      </c>
      <c r="AR18" s="1064">
        <f t="shared" si="52"/>
        <v>63</v>
      </c>
      <c r="AS18" s="1065">
        <f t="shared" si="46"/>
        <v>-8.6956521739130432E-2</v>
      </c>
      <c r="AT18" s="1065">
        <f t="shared" si="43"/>
        <v>-0.19354838709677419</v>
      </c>
      <c r="AU18" s="1061">
        <f t="shared" si="44"/>
        <v>0.8571428571428571</v>
      </c>
      <c r="AV18" s="179"/>
      <c r="AW18" s="4695"/>
      <c r="AX18" s="4695"/>
      <c r="AY18" s="4695"/>
      <c r="AZ18" s="4695"/>
      <c r="BA18" s="4695"/>
      <c r="BB18" s="4695"/>
      <c r="BC18" s="4695"/>
      <c r="BD18" s="4695"/>
      <c r="BE18" s="4695"/>
      <c r="BF18" s="4695"/>
      <c r="BG18" s="4695"/>
      <c r="BH18" s="4695"/>
      <c r="BI18" s="4695"/>
      <c r="BJ18" s="4695"/>
      <c r="BK18" s="4695"/>
      <c r="BL18" s="4695"/>
      <c r="BM18" s="4695"/>
      <c r="BN18" s="4695"/>
      <c r="BO18" s="4695"/>
      <c r="BP18" s="4695"/>
      <c r="BQ18" s="4695"/>
      <c r="BR18" s="4695"/>
      <c r="BS18" s="4695"/>
      <c r="BT18" s="4695"/>
      <c r="BU18" s="4695"/>
      <c r="BV18" s="4695"/>
      <c r="BW18" s="4695"/>
      <c r="BX18" s="4695"/>
      <c r="BY18" s="4695"/>
      <c r="BZ18" s="4695"/>
      <c r="CA18" s="4695"/>
      <c r="CB18" s="4695"/>
      <c r="CC18" s="4695"/>
      <c r="CD18" s="4695"/>
      <c r="CE18" s="4695"/>
      <c r="CF18" s="4695"/>
      <c r="CG18" s="4695"/>
      <c r="CH18" s="4695"/>
      <c r="CI18" s="4695"/>
      <c r="CJ18" s="4695"/>
      <c r="CK18" s="4695"/>
      <c r="CL18" s="4695"/>
      <c r="CM18" s="4695"/>
      <c r="CN18" s="4695"/>
      <c r="CO18" s="4695"/>
      <c r="CP18" s="4695"/>
      <c r="CQ18" s="4695"/>
      <c r="CR18" s="4695"/>
      <c r="CS18" s="4695"/>
      <c r="CT18" s="4695"/>
      <c r="CU18" s="4695"/>
      <c r="CV18" s="4695"/>
      <c r="CW18" s="4695"/>
      <c r="CX18" s="4695"/>
      <c r="CY18" s="4695"/>
      <c r="CZ18" s="4695"/>
      <c r="DA18" s="4695"/>
      <c r="DB18" s="4695"/>
      <c r="DC18" s="4695"/>
      <c r="DD18" s="4695"/>
      <c r="DE18" s="4695"/>
      <c r="DF18" s="4695"/>
      <c r="DG18" s="4695"/>
      <c r="DH18" s="4695"/>
      <c r="DI18" s="4695"/>
      <c r="DJ18" s="4695"/>
      <c r="DK18" s="4695"/>
      <c r="DL18" s="4695"/>
      <c r="DM18" s="4695"/>
      <c r="DN18" s="4695"/>
      <c r="DO18" s="4695"/>
    </row>
    <row r="19" spans="1:119" s="180" customFormat="1" ht="24">
      <c r="A19" s="1494" t="s">
        <v>1351</v>
      </c>
      <c r="B19" s="669" t="s">
        <v>1219</v>
      </c>
      <c r="C19" s="321">
        <v>10</v>
      </c>
      <c r="D19" s="322">
        <v>10</v>
      </c>
      <c r="E19" s="322">
        <v>10</v>
      </c>
      <c r="F19" s="322">
        <v>10</v>
      </c>
      <c r="G19" s="322">
        <v>10</v>
      </c>
      <c r="H19" s="659">
        <v>7</v>
      </c>
      <c r="I19" s="321">
        <v>0</v>
      </c>
      <c r="J19" s="322">
        <v>0</v>
      </c>
      <c r="K19" s="322">
        <v>0</v>
      </c>
      <c r="L19" s="322">
        <v>0</v>
      </c>
      <c r="M19" s="322">
        <v>0</v>
      </c>
      <c r="N19" s="659">
        <v>0</v>
      </c>
      <c r="O19" s="321">
        <v>0</v>
      </c>
      <c r="P19" s="322">
        <v>0</v>
      </c>
      <c r="Q19" s="322">
        <v>0</v>
      </c>
      <c r="R19" s="322">
        <v>0</v>
      </c>
      <c r="S19" s="322">
        <v>0</v>
      </c>
      <c r="T19" s="659">
        <v>0</v>
      </c>
      <c r="U19" s="660">
        <v>0</v>
      </c>
      <c r="V19" s="661">
        <v>0</v>
      </c>
      <c r="W19" s="661">
        <v>0</v>
      </c>
      <c r="X19" s="661">
        <v>0</v>
      </c>
      <c r="Y19" s="661">
        <v>0</v>
      </c>
      <c r="Z19" s="662">
        <v>0</v>
      </c>
      <c r="AA19" s="660"/>
      <c r="AB19" s="661"/>
      <c r="AC19" s="661"/>
      <c r="AD19" s="661"/>
      <c r="AE19" s="661"/>
      <c r="AF19" s="662"/>
      <c r="AG19" s="321">
        <v>0</v>
      </c>
      <c r="AH19" s="322">
        <v>0</v>
      </c>
      <c r="AI19" s="322">
        <v>0</v>
      </c>
      <c r="AJ19" s="322">
        <v>0</v>
      </c>
      <c r="AK19" s="322">
        <v>0</v>
      </c>
      <c r="AL19" s="659">
        <v>0</v>
      </c>
      <c r="AM19" s="1062">
        <f t="shared" si="47"/>
        <v>10</v>
      </c>
      <c r="AN19" s="1063">
        <f t="shared" si="48"/>
        <v>10</v>
      </c>
      <c r="AO19" s="1063">
        <f t="shared" si="49"/>
        <v>10</v>
      </c>
      <c r="AP19" s="1063">
        <f t="shared" si="50"/>
        <v>10</v>
      </c>
      <c r="AQ19" s="1063">
        <f t="shared" si="51"/>
        <v>10</v>
      </c>
      <c r="AR19" s="1064">
        <f t="shared" si="52"/>
        <v>7</v>
      </c>
      <c r="AS19" s="1065">
        <f t="shared" si="46"/>
        <v>-0.3</v>
      </c>
      <c r="AT19" s="1065">
        <f t="shared" si="43"/>
        <v>-0.3</v>
      </c>
      <c r="AU19" s="1061">
        <f t="shared" si="44"/>
        <v>0</v>
      </c>
      <c r="AV19" s="179"/>
      <c r="AW19" s="4695"/>
      <c r="AX19" s="4695"/>
      <c r="AY19" s="4695"/>
      <c r="AZ19" s="4695"/>
      <c r="BA19" s="4695"/>
      <c r="BB19" s="4695"/>
      <c r="BC19" s="4695"/>
      <c r="BD19" s="4695"/>
      <c r="BE19" s="4695"/>
      <c r="BF19" s="4695"/>
      <c r="BG19" s="4695"/>
      <c r="BH19" s="4695"/>
      <c r="BI19" s="4695"/>
      <c r="BJ19" s="4695"/>
      <c r="BK19" s="4695"/>
      <c r="BL19" s="4695"/>
      <c r="BM19" s="4695"/>
      <c r="BN19" s="4695"/>
      <c r="BO19" s="4695"/>
      <c r="BP19" s="4695"/>
      <c r="BQ19" s="4695"/>
      <c r="BR19" s="4695"/>
      <c r="BS19" s="4695"/>
      <c r="BT19" s="4695"/>
      <c r="BU19" s="4695"/>
      <c r="BV19" s="4695"/>
      <c r="BW19" s="4695"/>
      <c r="BX19" s="4695"/>
      <c r="BY19" s="4695"/>
      <c r="BZ19" s="4695"/>
      <c r="CA19" s="4695"/>
      <c r="CB19" s="4695"/>
      <c r="CC19" s="4695"/>
      <c r="CD19" s="4695"/>
      <c r="CE19" s="4695"/>
      <c r="CF19" s="4695"/>
      <c r="CG19" s="4695"/>
      <c r="CH19" s="4695"/>
      <c r="CI19" s="4695"/>
      <c r="CJ19" s="4695"/>
      <c r="CK19" s="4695"/>
      <c r="CL19" s="4695"/>
      <c r="CM19" s="4695"/>
      <c r="CN19" s="4695"/>
      <c r="CO19" s="4695"/>
      <c r="CP19" s="4695"/>
      <c r="CQ19" s="4695"/>
      <c r="CR19" s="4695"/>
      <c r="CS19" s="4695"/>
      <c r="CT19" s="4695"/>
      <c r="CU19" s="4695"/>
      <c r="CV19" s="4695"/>
      <c r="CW19" s="4695"/>
      <c r="CX19" s="4695"/>
      <c r="CY19" s="4695"/>
      <c r="CZ19" s="4695"/>
      <c r="DA19" s="4695"/>
      <c r="DB19" s="4695"/>
      <c r="DC19" s="4695"/>
      <c r="DD19" s="4695"/>
      <c r="DE19" s="4695"/>
      <c r="DF19" s="4695"/>
      <c r="DG19" s="4695"/>
      <c r="DH19" s="4695"/>
      <c r="DI19" s="4695"/>
      <c r="DJ19" s="4695"/>
      <c r="DK19" s="4695"/>
      <c r="DL19" s="4695"/>
      <c r="DM19" s="4695"/>
      <c r="DN19" s="4695"/>
      <c r="DO19" s="4695"/>
    </row>
    <row r="20" spans="1:119" s="180" customFormat="1" ht="36">
      <c r="A20" s="1494" t="s">
        <v>1352</v>
      </c>
      <c r="B20" s="669" t="s">
        <v>1220</v>
      </c>
      <c r="C20" s="321">
        <v>0</v>
      </c>
      <c r="D20" s="322">
        <v>0</v>
      </c>
      <c r="E20" s="322">
        <v>0</v>
      </c>
      <c r="F20" s="322">
        <v>0</v>
      </c>
      <c r="G20" s="322">
        <v>0</v>
      </c>
      <c r="H20" s="659">
        <v>0</v>
      </c>
      <c r="I20" s="321">
        <v>0</v>
      </c>
      <c r="J20" s="322">
        <v>0</v>
      </c>
      <c r="K20" s="322">
        <v>0</v>
      </c>
      <c r="L20" s="322">
        <v>0</v>
      </c>
      <c r="M20" s="322">
        <v>0</v>
      </c>
      <c r="N20" s="659">
        <v>0</v>
      </c>
      <c r="O20" s="321">
        <v>0</v>
      </c>
      <c r="P20" s="322">
        <v>0</v>
      </c>
      <c r="Q20" s="322">
        <v>0</v>
      </c>
      <c r="R20" s="322">
        <v>0</v>
      </c>
      <c r="S20" s="322">
        <v>0</v>
      </c>
      <c r="T20" s="659">
        <v>0</v>
      </c>
      <c r="U20" s="321">
        <v>0</v>
      </c>
      <c r="V20" s="322">
        <v>0</v>
      </c>
      <c r="W20" s="322">
        <v>0</v>
      </c>
      <c r="X20" s="322">
        <v>0</v>
      </c>
      <c r="Y20" s="322">
        <v>0</v>
      </c>
      <c r="Z20" s="659">
        <v>0</v>
      </c>
      <c r="AA20" s="321"/>
      <c r="AB20" s="322"/>
      <c r="AC20" s="322"/>
      <c r="AD20" s="322"/>
      <c r="AE20" s="322"/>
      <c r="AF20" s="659"/>
      <c r="AG20" s="321">
        <v>0</v>
      </c>
      <c r="AH20" s="322">
        <v>0</v>
      </c>
      <c r="AI20" s="322">
        <v>0</v>
      </c>
      <c r="AJ20" s="322">
        <v>0</v>
      </c>
      <c r="AK20" s="322">
        <v>0</v>
      </c>
      <c r="AL20" s="659">
        <v>0</v>
      </c>
      <c r="AM20" s="1062">
        <f t="shared" si="47"/>
        <v>0</v>
      </c>
      <c r="AN20" s="1063">
        <f t="shared" si="48"/>
        <v>0</v>
      </c>
      <c r="AO20" s="1063">
        <f t="shared" si="49"/>
        <v>0</v>
      </c>
      <c r="AP20" s="1063">
        <f t="shared" si="50"/>
        <v>0</v>
      </c>
      <c r="AQ20" s="1063">
        <f t="shared" si="51"/>
        <v>0</v>
      </c>
      <c r="AR20" s="1064">
        <f t="shared" si="52"/>
        <v>0</v>
      </c>
      <c r="AS20" s="1065">
        <f t="shared" si="46"/>
        <v>0</v>
      </c>
      <c r="AT20" s="1065">
        <f t="shared" si="43"/>
        <v>0</v>
      </c>
      <c r="AU20" s="1061">
        <f t="shared" si="44"/>
        <v>0</v>
      </c>
      <c r="AV20" s="179"/>
      <c r="AW20" s="4695"/>
      <c r="AX20" s="4695"/>
      <c r="AY20" s="4695"/>
      <c r="AZ20" s="4695"/>
      <c r="BA20" s="4695"/>
      <c r="BB20" s="4695"/>
      <c r="BC20" s="4695"/>
      <c r="BD20" s="4695"/>
      <c r="BE20" s="4695"/>
      <c r="BF20" s="4695"/>
      <c r="BG20" s="4695"/>
      <c r="BH20" s="4695"/>
      <c r="BI20" s="4695"/>
      <c r="BJ20" s="4695"/>
      <c r="BK20" s="4695"/>
      <c r="BL20" s="4695"/>
      <c r="BM20" s="4695"/>
      <c r="BN20" s="4695"/>
      <c r="BO20" s="4695"/>
      <c r="BP20" s="4695"/>
      <c r="BQ20" s="4695"/>
      <c r="BR20" s="4695"/>
      <c r="BS20" s="4695"/>
      <c r="BT20" s="4695"/>
      <c r="BU20" s="4695"/>
      <c r="BV20" s="4695"/>
      <c r="BW20" s="4695"/>
      <c r="BX20" s="4695"/>
      <c r="BY20" s="4695"/>
      <c r="BZ20" s="4695"/>
      <c r="CA20" s="4695"/>
      <c r="CB20" s="4695"/>
      <c r="CC20" s="4695"/>
      <c r="CD20" s="4695"/>
      <c r="CE20" s="4695"/>
      <c r="CF20" s="4695"/>
      <c r="CG20" s="4695"/>
      <c r="CH20" s="4695"/>
      <c r="CI20" s="4695"/>
      <c r="CJ20" s="4695"/>
      <c r="CK20" s="4695"/>
      <c r="CL20" s="4695"/>
      <c r="CM20" s="4695"/>
      <c r="CN20" s="4695"/>
      <c r="CO20" s="4695"/>
      <c r="CP20" s="4695"/>
      <c r="CQ20" s="4695"/>
      <c r="CR20" s="4695"/>
      <c r="CS20" s="4695"/>
      <c r="CT20" s="4695"/>
      <c r="CU20" s="4695"/>
      <c r="CV20" s="4695"/>
      <c r="CW20" s="4695"/>
      <c r="CX20" s="4695"/>
      <c r="CY20" s="4695"/>
      <c r="CZ20" s="4695"/>
      <c r="DA20" s="4695"/>
      <c r="DB20" s="4695"/>
      <c r="DC20" s="4695"/>
      <c r="DD20" s="4695"/>
      <c r="DE20" s="4695"/>
      <c r="DF20" s="4695"/>
      <c r="DG20" s="4695"/>
      <c r="DH20" s="4695"/>
      <c r="DI20" s="4695"/>
      <c r="DJ20" s="4695"/>
      <c r="DK20" s="4695"/>
      <c r="DL20" s="4695"/>
      <c r="DM20" s="4695"/>
      <c r="DN20" s="4695"/>
      <c r="DO20" s="4695"/>
    </row>
    <row r="21" spans="1:119" s="180" customFormat="1" ht="24">
      <c r="A21" s="1494" t="s">
        <v>1353</v>
      </c>
      <c r="B21" s="669" t="s">
        <v>1221</v>
      </c>
      <c r="C21" s="321">
        <v>81</v>
      </c>
      <c r="D21" s="322">
        <v>78</v>
      </c>
      <c r="E21" s="322">
        <v>78</v>
      </c>
      <c r="F21" s="322">
        <v>78</v>
      </c>
      <c r="G21" s="322">
        <v>78</v>
      </c>
      <c r="H21" s="659">
        <v>73</v>
      </c>
      <c r="I21" s="321">
        <v>10</v>
      </c>
      <c r="J21" s="322">
        <v>10</v>
      </c>
      <c r="K21" s="322">
        <v>10</v>
      </c>
      <c r="L21" s="322">
        <v>10</v>
      </c>
      <c r="M21" s="322">
        <v>10</v>
      </c>
      <c r="N21" s="659">
        <v>4</v>
      </c>
      <c r="O21" s="321">
        <v>16</v>
      </c>
      <c r="P21" s="322">
        <v>16</v>
      </c>
      <c r="Q21" s="322">
        <v>16</v>
      </c>
      <c r="R21" s="322">
        <v>16</v>
      </c>
      <c r="S21" s="322">
        <v>16</v>
      </c>
      <c r="T21" s="659">
        <v>19</v>
      </c>
      <c r="U21" s="321">
        <v>1</v>
      </c>
      <c r="V21" s="322">
        <v>1</v>
      </c>
      <c r="W21" s="322">
        <v>1</v>
      </c>
      <c r="X21" s="322">
        <v>1</v>
      </c>
      <c r="Y21" s="322">
        <v>1</v>
      </c>
      <c r="Z21" s="659">
        <v>1</v>
      </c>
      <c r="AA21" s="321"/>
      <c r="AB21" s="322"/>
      <c r="AC21" s="322"/>
      <c r="AD21" s="322"/>
      <c r="AE21" s="322"/>
      <c r="AF21" s="659"/>
      <c r="AG21" s="321">
        <v>9</v>
      </c>
      <c r="AH21" s="322">
        <v>9</v>
      </c>
      <c r="AI21" s="322">
        <v>9</v>
      </c>
      <c r="AJ21" s="322">
        <v>9</v>
      </c>
      <c r="AK21" s="322">
        <v>9</v>
      </c>
      <c r="AL21" s="659">
        <v>9</v>
      </c>
      <c r="AM21" s="1062">
        <f t="shared" si="47"/>
        <v>108</v>
      </c>
      <c r="AN21" s="1063">
        <f t="shared" si="48"/>
        <v>105</v>
      </c>
      <c r="AO21" s="1063">
        <f t="shared" si="49"/>
        <v>105</v>
      </c>
      <c r="AP21" s="1063">
        <f t="shared" si="50"/>
        <v>105</v>
      </c>
      <c r="AQ21" s="1063">
        <f t="shared" si="51"/>
        <v>105</v>
      </c>
      <c r="AR21" s="1064">
        <f t="shared" si="52"/>
        <v>97</v>
      </c>
      <c r="AS21" s="1065">
        <f t="shared" si="46"/>
        <v>-0.10185185185185185</v>
      </c>
      <c r="AT21" s="1065">
        <f t="shared" si="43"/>
        <v>-9.7560975609756101E-2</v>
      </c>
      <c r="AU21" s="1061">
        <f t="shared" si="44"/>
        <v>-0.11538461538461539</v>
      </c>
      <c r="AV21" s="179"/>
      <c r="AW21" s="4695"/>
      <c r="AX21" s="4695"/>
      <c r="AY21" s="4695"/>
      <c r="AZ21" s="4695"/>
      <c r="BA21" s="4695"/>
      <c r="BB21" s="4695"/>
      <c r="BC21" s="4695"/>
      <c r="BD21" s="4695"/>
      <c r="BE21" s="4695"/>
      <c r="BF21" s="4695"/>
      <c r="BG21" s="4695"/>
      <c r="BH21" s="4695"/>
      <c r="BI21" s="4695"/>
      <c r="BJ21" s="4695"/>
      <c r="BK21" s="4695"/>
      <c r="BL21" s="4695"/>
      <c r="BM21" s="4695"/>
      <c r="BN21" s="4695"/>
      <c r="BO21" s="4695"/>
      <c r="BP21" s="4695"/>
      <c r="BQ21" s="4695"/>
      <c r="BR21" s="4695"/>
      <c r="BS21" s="4695"/>
      <c r="BT21" s="4695"/>
      <c r="BU21" s="4695"/>
      <c r="BV21" s="4695"/>
      <c r="BW21" s="4695"/>
      <c r="BX21" s="4695"/>
      <c r="BY21" s="4695"/>
      <c r="BZ21" s="4695"/>
      <c r="CA21" s="4695"/>
      <c r="CB21" s="4695"/>
      <c r="CC21" s="4695"/>
      <c r="CD21" s="4695"/>
      <c r="CE21" s="4695"/>
      <c r="CF21" s="4695"/>
      <c r="CG21" s="4695"/>
      <c r="CH21" s="4695"/>
      <c r="CI21" s="4695"/>
      <c r="CJ21" s="4695"/>
      <c r="CK21" s="4695"/>
      <c r="CL21" s="4695"/>
      <c r="CM21" s="4695"/>
      <c r="CN21" s="4695"/>
      <c r="CO21" s="4695"/>
      <c r="CP21" s="4695"/>
      <c r="CQ21" s="4695"/>
      <c r="CR21" s="4695"/>
      <c r="CS21" s="4695"/>
      <c r="CT21" s="4695"/>
      <c r="CU21" s="4695"/>
      <c r="CV21" s="4695"/>
      <c r="CW21" s="4695"/>
      <c r="CX21" s="4695"/>
      <c r="CY21" s="4695"/>
      <c r="CZ21" s="4695"/>
      <c r="DA21" s="4695"/>
      <c r="DB21" s="4695"/>
      <c r="DC21" s="4695"/>
      <c r="DD21" s="4695"/>
      <c r="DE21" s="4695"/>
      <c r="DF21" s="4695"/>
      <c r="DG21" s="4695"/>
      <c r="DH21" s="4695"/>
      <c r="DI21" s="4695"/>
      <c r="DJ21" s="4695"/>
      <c r="DK21" s="4695"/>
      <c r="DL21" s="4695"/>
      <c r="DM21" s="4695"/>
      <c r="DN21" s="4695"/>
      <c r="DO21" s="4695"/>
    </row>
    <row r="22" spans="1:119" s="180" customFormat="1">
      <c r="A22" s="1494" t="s">
        <v>1354</v>
      </c>
      <c r="B22" s="669" t="s">
        <v>1222</v>
      </c>
      <c r="C22" s="321">
        <v>42</v>
      </c>
      <c r="D22" s="322">
        <v>42</v>
      </c>
      <c r="E22" s="322">
        <v>42</v>
      </c>
      <c r="F22" s="322">
        <v>42</v>
      </c>
      <c r="G22" s="322">
        <v>42</v>
      </c>
      <c r="H22" s="659">
        <v>38</v>
      </c>
      <c r="I22" s="321">
        <v>4</v>
      </c>
      <c r="J22" s="322">
        <v>4</v>
      </c>
      <c r="K22" s="322">
        <v>4</v>
      </c>
      <c r="L22" s="322">
        <v>4</v>
      </c>
      <c r="M22" s="322">
        <v>4</v>
      </c>
      <c r="N22" s="659">
        <v>4</v>
      </c>
      <c r="O22" s="321">
        <v>0</v>
      </c>
      <c r="P22" s="322">
        <v>0</v>
      </c>
      <c r="Q22" s="322">
        <v>0</v>
      </c>
      <c r="R22" s="322">
        <v>0</v>
      </c>
      <c r="S22" s="322">
        <v>0</v>
      </c>
      <c r="T22" s="659">
        <v>0</v>
      </c>
      <c r="U22" s="321">
        <v>0</v>
      </c>
      <c r="V22" s="322">
        <v>0</v>
      </c>
      <c r="W22" s="322">
        <v>0</v>
      </c>
      <c r="X22" s="322">
        <v>0</v>
      </c>
      <c r="Y22" s="322">
        <v>0</v>
      </c>
      <c r="Z22" s="659">
        <v>0</v>
      </c>
      <c r="AA22" s="321"/>
      <c r="AB22" s="322"/>
      <c r="AC22" s="322"/>
      <c r="AD22" s="322"/>
      <c r="AE22" s="322"/>
      <c r="AF22" s="659"/>
      <c r="AG22" s="321">
        <v>0</v>
      </c>
      <c r="AH22" s="322">
        <v>0</v>
      </c>
      <c r="AI22" s="322">
        <v>0</v>
      </c>
      <c r="AJ22" s="322">
        <v>0</v>
      </c>
      <c r="AK22" s="322">
        <v>0</v>
      </c>
      <c r="AL22" s="659">
        <v>0</v>
      </c>
      <c r="AM22" s="1062">
        <f t="shared" si="47"/>
        <v>46</v>
      </c>
      <c r="AN22" s="1063">
        <f t="shared" si="48"/>
        <v>46</v>
      </c>
      <c r="AO22" s="1063">
        <f t="shared" si="49"/>
        <v>46</v>
      </c>
      <c r="AP22" s="1063">
        <f t="shared" si="50"/>
        <v>46</v>
      </c>
      <c r="AQ22" s="1063">
        <f t="shared" si="51"/>
        <v>46</v>
      </c>
      <c r="AR22" s="1064">
        <f t="shared" si="52"/>
        <v>42</v>
      </c>
      <c r="AS22" s="1065">
        <f t="shared" si="46"/>
        <v>-8.6956521739130432E-2</v>
      </c>
      <c r="AT22" s="1065">
        <f t="shared" si="43"/>
        <v>-9.5238095238095233E-2</v>
      </c>
      <c r="AU22" s="1061">
        <f t="shared" si="44"/>
        <v>0</v>
      </c>
      <c r="AV22" s="179"/>
      <c r="AW22" s="4695"/>
      <c r="AX22" s="4695"/>
      <c r="AY22" s="4695"/>
      <c r="AZ22" s="4695"/>
      <c r="BA22" s="4695"/>
      <c r="BB22" s="4695"/>
      <c r="BC22" s="4695"/>
      <c r="BD22" s="4695"/>
      <c r="BE22" s="4695"/>
      <c r="BF22" s="4695"/>
      <c r="BG22" s="4695"/>
      <c r="BH22" s="4695"/>
      <c r="BI22" s="4695"/>
      <c r="BJ22" s="4695"/>
      <c r="BK22" s="4695"/>
      <c r="BL22" s="4695"/>
      <c r="BM22" s="4695"/>
      <c r="BN22" s="4695"/>
      <c r="BO22" s="4695"/>
      <c r="BP22" s="4695"/>
      <c r="BQ22" s="4695"/>
      <c r="BR22" s="4695"/>
      <c r="BS22" s="4695"/>
      <c r="BT22" s="4695"/>
      <c r="BU22" s="4695"/>
      <c r="BV22" s="4695"/>
      <c r="BW22" s="4695"/>
      <c r="BX22" s="4695"/>
      <c r="BY22" s="4695"/>
      <c r="BZ22" s="4695"/>
      <c r="CA22" s="4695"/>
      <c r="CB22" s="4695"/>
      <c r="CC22" s="4695"/>
      <c r="CD22" s="4695"/>
      <c r="CE22" s="4695"/>
      <c r="CF22" s="4695"/>
      <c r="CG22" s="4695"/>
      <c r="CH22" s="4695"/>
      <c r="CI22" s="4695"/>
      <c r="CJ22" s="4695"/>
      <c r="CK22" s="4695"/>
      <c r="CL22" s="4695"/>
      <c r="CM22" s="4695"/>
      <c r="CN22" s="4695"/>
      <c r="CO22" s="4695"/>
      <c r="CP22" s="4695"/>
      <c r="CQ22" s="4695"/>
      <c r="CR22" s="4695"/>
      <c r="CS22" s="4695"/>
      <c r="CT22" s="4695"/>
      <c r="CU22" s="4695"/>
      <c r="CV22" s="4695"/>
      <c r="CW22" s="4695"/>
      <c r="CX22" s="4695"/>
      <c r="CY22" s="4695"/>
      <c r="CZ22" s="4695"/>
      <c r="DA22" s="4695"/>
      <c r="DB22" s="4695"/>
      <c r="DC22" s="4695"/>
      <c r="DD22" s="4695"/>
      <c r="DE22" s="4695"/>
      <c r="DF22" s="4695"/>
      <c r="DG22" s="4695"/>
      <c r="DH22" s="4695"/>
      <c r="DI22" s="4695"/>
      <c r="DJ22" s="4695"/>
      <c r="DK22" s="4695"/>
      <c r="DL22" s="4695"/>
      <c r="DM22" s="4695"/>
      <c r="DN22" s="4695"/>
      <c r="DO22" s="4695"/>
    </row>
    <row r="23" spans="1:119" s="180" customFormat="1" ht="13.5" thickBot="1">
      <c r="A23" s="1584" t="s">
        <v>1355</v>
      </c>
      <c r="B23" s="670" t="s">
        <v>1223</v>
      </c>
      <c r="C23" s="663">
        <v>1</v>
      </c>
      <c r="D23" s="664">
        <v>1</v>
      </c>
      <c r="E23" s="664">
        <v>1</v>
      </c>
      <c r="F23" s="664">
        <v>1</v>
      </c>
      <c r="G23" s="664">
        <v>1</v>
      </c>
      <c r="H23" s="665">
        <v>1</v>
      </c>
      <c r="I23" s="663">
        <v>0</v>
      </c>
      <c r="J23" s="664">
        <v>0</v>
      </c>
      <c r="K23" s="664">
        <v>0</v>
      </c>
      <c r="L23" s="664">
        <v>0</v>
      </c>
      <c r="M23" s="664">
        <v>0</v>
      </c>
      <c r="N23" s="665">
        <v>0</v>
      </c>
      <c r="O23" s="663">
        <v>0</v>
      </c>
      <c r="P23" s="664">
        <v>0</v>
      </c>
      <c r="Q23" s="664">
        <v>0</v>
      </c>
      <c r="R23" s="664">
        <v>0</v>
      </c>
      <c r="S23" s="664">
        <v>0</v>
      </c>
      <c r="T23" s="665">
        <v>0</v>
      </c>
      <c r="U23" s="663">
        <v>0</v>
      </c>
      <c r="V23" s="664">
        <v>0</v>
      </c>
      <c r="W23" s="664">
        <v>0</v>
      </c>
      <c r="X23" s="664">
        <v>0</v>
      </c>
      <c r="Y23" s="664">
        <v>0</v>
      </c>
      <c r="Z23" s="665">
        <v>0</v>
      </c>
      <c r="AA23" s="663"/>
      <c r="AB23" s="664"/>
      <c r="AC23" s="664"/>
      <c r="AD23" s="664"/>
      <c r="AE23" s="664"/>
      <c r="AF23" s="665"/>
      <c r="AG23" s="663">
        <v>0</v>
      </c>
      <c r="AH23" s="664">
        <v>0</v>
      </c>
      <c r="AI23" s="664">
        <v>0</v>
      </c>
      <c r="AJ23" s="664">
        <v>0</v>
      </c>
      <c r="AK23" s="664">
        <v>0</v>
      </c>
      <c r="AL23" s="665">
        <v>0</v>
      </c>
      <c r="AM23" s="1679">
        <f t="shared" si="47"/>
        <v>1</v>
      </c>
      <c r="AN23" s="1680">
        <f t="shared" si="48"/>
        <v>1</v>
      </c>
      <c r="AO23" s="1680">
        <f t="shared" si="49"/>
        <v>1</v>
      </c>
      <c r="AP23" s="1680">
        <f t="shared" si="50"/>
        <v>1</v>
      </c>
      <c r="AQ23" s="1680">
        <f t="shared" si="51"/>
        <v>1</v>
      </c>
      <c r="AR23" s="1681">
        <f t="shared" si="52"/>
        <v>1</v>
      </c>
      <c r="AS23" s="1682">
        <f>IFERROR((AR23-AM23)/AM23,0)</f>
        <v>0</v>
      </c>
      <c r="AT23" s="1682">
        <f t="shared" si="43"/>
        <v>0</v>
      </c>
      <c r="AU23" s="1683">
        <f t="shared" si="44"/>
        <v>0</v>
      </c>
      <c r="AV23" s="179"/>
      <c r="AW23" s="4695"/>
      <c r="AX23" s="4695"/>
      <c r="AY23" s="4695"/>
      <c r="AZ23" s="4695"/>
      <c r="BA23" s="4695"/>
      <c r="BB23" s="4695"/>
      <c r="BC23" s="4695"/>
      <c r="BD23" s="4695"/>
      <c r="BE23" s="4695"/>
      <c r="BF23" s="4695"/>
      <c r="BG23" s="4695"/>
      <c r="BH23" s="4695"/>
      <c r="BI23" s="4695"/>
      <c r="BJ23" s="4695"/>
      <c r="BK23" s="4695"/>
      <c r="BL23" s="4695"/>
      <c r="BM23" s="4695"/>
      <c r="BN23" s="4695"/>
      <c r="BO23" s="4695"/>
      <c r="BP23" s="4695"/>
      <c r="BQ23" s="4695"/>
      <c r="BR23" s="4695"/>
      <c r="BS23" s="4695"/>
      <c r="BT23" s="4695"/>
      <c r="BU23" s="4695"/>
      <c r="BV23" s="4695"/>
      <c r="BW23" s="4695"/>
      <c r="BX23" s="4695"/>
      <c r="BY23" s="4695"/>
      <c r="BZ23" s="4695"/>
      <c r="CA23" s="4695"/>
      <c r="CB23" s="4695"/>
      <c r="CC23" s="4695"/>
      <c r="CD23" s="4695"/>
      <c r="CE23" s="4695"/>
      <c r="CF23" s="4695"/>
      <c r="CG23" s="4695"/>
      <c r="CH23" s="4695"/>
      <c r="CI23" s="4695"/>
      <c r="CJ23" s="4695"/>
      <c r="CK23" s="4695"/>
      <c r="CL23" s="4695"/>
      <c r="CM23" s="4695"/>
      <c r="CN23" s="4695"/>
      <c r="CO23" s="4695"/>
      <c r="CP23" s="4695"/>
      <c r="CQ23" s="4695"/>
      <c r="CR23" s="4695"/>
      <c r="CS23" s="4695"/>
      <c r="CT23" s="4695"/>
      <c r="CU23" s="4695"/>
      <c r="CV23" s="4695"/>
      <c r="CW23" s="4695"/>
      <c r="CX23" s="4695"/>
      <c r="CY23" s="4695"/>
      <c r="CZ23" s="4695"/>
      <c r="DA23" s="4695"/>
      <c r="DB23" s="4695"/>
      <c r="DC23" s="4695"/>
      <c r="DD23" s="4695"/>
      <c r="DE23" s="4695"/>
      <c r="DF23" s="4695"/>
      <c r="DG23" s="4695"/>
      <c r="DH23" s="4695"/>
      <c r="DI23" s="4695"/>
      <c r="DJ23" s="4695"/>
      <c r="DK23" s="4695"/>
      <c r="DL23" s="4695"/>
      <c r="DM23" s="4695"/>
      <c r="DN23" s="4695"/>
      <c r="DO23" s="4695"/>
    </row>
    <row r="24" spans="1:119" s="1496" customFormat="1">
      <c r="A24" s="1494" t="s">
        <v>472</v>
      </c>
      <c r="B24" s="1582" t="s">
        <v>1588</v>
      </c>
      <c r="C24" s="661">
        <v>150</v>
      </c>
      <c r="D24" s="661">
        <v>147</v>
      </c>
      <c r="E24" s="661">
        <v>147</v>
      </c>
      <c r="F24" s="661">
        <v>147</v>
      </c>
      <c r="G24" s="661">
        <v>147</v>
      </c>
      <c r="H24" s="662">
        <v>121</v>
      </c>
      <c r="I24" s="660">
        <v>11</v>
      </c>
      <c r="J24" s="661">
        <v>11</v>
      </c>
      <c r="K24" s="661">
        <v>11</v>
      </c>
      <c r="L24" s="661">
        <v>11</v>
      </c>
      <c r="M24" s="661">
        <v>11</v>
      </c>
      <c r="N24" s="662">
        <v>11</v>
      </c>
      <c r="O24" s="660">
        <v>17</v>
      </c>
      <c r="P24" s="661">
        <v>17</v>
      </c>
      <c r="Q24" s="661">
        <v>17</v>
      </c>
      <c r="R24" s="661">
        <v>17</v>
      </c>
      <c r="S24" s="661">
        <v>17</v>
      </c>
      <c r="T24" s="662">
        <v>17</v>
      </c>
      <c r="U24" s="4701">
        <f>U14</f>
        <v>1</v>
      </c>
      <c r="V24" s="4527">
        <f t="shared" ref="V24:AF24" si="53">V14</f>
        <v>1</v>
      </c>
      <c r="W24" s="4527">
        <f t="shared" si="53"/>
        <v>1</v>
      </c>
      <c r="X24" s="4527">
        <f t="shared" si="53"/>
        <v>1</v>
      </c>
      <c r="Y24" s="4527">
        <f t="shared" si="53"/>
        <v>1</v>
      </c>
      <c r="Z24" s="4702">
        <f t="shared" si="53"/>
        <v>1</v>
      </c>
      <c r="AA24" s="4701">
        <f t="shared" si="53"/>
        <v>0</v>
      </c>
      <c r="AB24" s="4527">
        <f t="shared" si="53"/>
        <v>0</v>
      </c>
      <c r="AC24" s="4527">
        <f t="shared" si="53"/>
        <v>0</v>
      </c>
      <c r="AD24" s="4527">
        <f t="shared" si="53"/>
        <v>0</v>
      </c>
      <c r="AE24" s="4527">
        <f t="shared" si="53"/>
        <v>0</v>
      </c>
      <c r="AF24" s="4702">
        <f t="shared" si="53"/>
        <v>0</v>
      </c>
      <c r="AG24" s="660">
        <v>5</v>
      </c>
      <c r="AH24" s="661">
        <v>5</v>
      </c>
      <c r="AI24" s="661">
        <v>5</v>
      </c>
      <c r="AJ24" s="661">
        <v>5</v>
      </c>
      <c r="AK24" s="661">
        <v>5</v>
      </c>
      <c r="AL24" s="662">
        <v>5</v>
      </c>
      <c r="AM24" s="1066">
        <f>C24+I24+O24+U24+AA24</f>
        <v>179</v>
      </c>
      <c r="AN24" s="1067">
        <f t="shared" ref="AN24" si="54">D24+J24+P24+V24+AB24</f>
        <v>176</v>
      </c>
      <c r="AO24" s="1067">
        <f t="shared" ref="AO24" si="55">E24+K24+Q24+W24+AC24</f>
        <v>176</v>
      </c>
      <c r="AP24" s="1067">
        <f t="shared" ref="AP24" si="56">F24+L24+R24+X24+AD24</f>
        <v>176</v>
      </c>
      <c r="AQ24" s="1067">
        <f t="shared" ref="AQ24" si="57">G24+M24+S24+Y24+AE24</f>
        <v>176</v>
      </c>
      <c r="AR24" s="1068">
        <f>H24+N24+T24+Z24+AF24</f>
        <v>150</v>
      </c>
      <c r="AS24" s="1684">
        <f>IFERROR((AR24-AM24)/AM24,0)</f>
        <v>-0.16201117318435754</v>
      </c>
      <c r="AT24" s="1684">
        <f>IFERROR(((H24+Z24+AF24)-(+C24+U24+AA24))/(C24+U24+AA24),0)</f>
        <v>-0.19205298013245034</v>
      </c>
      <c r="AU24" s="1685">
        <f>IFERROR(((N24+T24)-(I24+O24))/(I24+O24),0)</f>
        <v>0</v>
      </c>
      <c r="AV24" s="1495"/>
      <c r="AW24" s="4695"/>
      <c r="AX24" s="4695"/>
      <c r="AY24" s="4695"/>
      <c r="AZ24" s="4695"/>
      <c r="BA24" s="4695"/>
      <c r="BB24" s="4695"/>
      <c r="BC24" s="4695"/>
      <c r="BD24" s="4695"/>
      <c r="BE24" s="4695"/>
      <c r="BF24" s="4695"/>
      <c r="BG24" s="4695"/>
      <c r="BH24" s="4695"/>
      <c r="BI24" s="4695"/>
      <c r="BJ24" s="4695"/>
      <c r="BK24" s="4695"/>
      <c r="BL24" s="4695"/>
      <c r="BM24" s="4695"/>
      <c r="BN24" s="4695"/>
      <c r="BO24" s="4695"/>
      <c r="BP24" s="4695"/>
      <c r="BQ24" s="4695"/>
      <c r="BR24" s="4695"/>
      <c r="BS24" s="4695"/>
      <c r="BT24" s="4695"/>
      <c r="BU24" s="4695"/>
      <c r="BV24" s="4695"/>
      <c r="BW24" s="4695"/>
      <c r="BX24" s="4695"/>
      <c r="BY24" s="4695"/>
      <c r="BZ24" s="4695"/>
      <c r="CA24" s="4695"/>
      <c r="CB24" s="4695"/>
      <c r="CC24" s="4695"/>
      <c r="CD24" s="4695"/>
      <c r="CE24" s="4695"/>
      <c r="CF24" s="4695"/>
      <c r="CG24" s="4695"/>
      <c r="CH24" s="4695"/>
      <c r="CI24" s="4695"/>
      <c r="CJ24" s="4695"/>
      <c r="CK24" s="4695"/>
      <c r="CL24" s="4695"/>
      <c r="CM24" s="4695"/>
      <c r="CN24" s="4695"/>
      <c r="CO24" s="4695"/>
      <c r="CP24" s="4695"/>
      <c r="CQ24" s="4695"/>
      <c r="CR24" s="4695"/>
      <c r="CS24" s="4695"/>
      <c r="CT24" s="4695"/>
      <c r="CU24" s="4695"/>
      <c r="CV24" s="4695"/>
      <c r="CW24" s="4695"/>
      <c r="CX24" s="4695"/>
      <c r="CY24" s="4695"/>
      <c r="CZ24" s="4695"/>
      <c r="DA24" s="4695"/>
      <c r="DB24" s="4695"/>
      <c r="DC24" s="4695"/>
      <c r="DD24" s="4695"/>
      <c r="DE24" s="4695"/>
      <c r="DF24" s="4695"/>
      <c r="DG24" s="4695"/>
      <c r="DH24" s="4695"/>
      <c r="DI24" s="4695"/>
      <c r="DJ24" s="4695"/>
      <c r="DK24" s="4695"/>
      <c r="DL24" s="4695"/>
      <c r="DM24" s="4695"/>
      <c r="DN24" s="4695"/>
      <c r="DO24" s="4695"/>
    </row>
    <row r="25" spans="1:119" s="1496" customFormat="1">
      <c r="A25" s="1494" t="s">
        <v>474</v>
      </c>
      <c r="B25" s="1582" t="s">
        <v>1589</v>
      </c>
      <c r="C25" s="4694">
        <f>C14-C24</f>
        <v>117</v>
      </c>
      <c r="D25" s="2214">
        <f t="shared" ref="D25:T25" si="58">D14-D24</f>
        <v>117</v>
      </c>
      <c r="E25" s="2214">
        <f t="shared" si="58"/>
        <v>117</v>
      </c>
      <c r="F25" s="2214">
        <f t="shared" si="58"/>
        <v>117</v>
      </c>
      <c r="G25" s="2214">
        <f t="shared" si="58"/>
        <v>117</v>
      </c>
      <c r="H25" s="3726">
        <f t="shared" si="58"/>
        <v>109</v>
      </c>
      <c r="I25" s="4694">
        <f t="shared" si="58"/>
        <v>9</v>
      </c>
      <c r="J25" s="2214">
        <f t="shared" si="58"/>
        <v>9</v>
      </c>
      <c r="K25" s="2214">
        <f t="shared" si="58"/>
        <v>9</v>
      </c>
      <c r="L25" s="2214">
        <f t="shared" si="58"/>
        <v>9</v>
      </c>
      <c r="M25" s="2214">
        <f t="shared" si="58"/>
        <v>9</v>
      </c>
      <c r="N25" s="3726">
        <f t="shared" si="58"/>
        <v>10</v>
      </c>
      <c r="O25" s="4694">
        <f t="shared" si="58"/>
        <v>13</v>
      </c>
      <c r="P25" s="2214">
        <f t="shared" si="58"/>
        <v>13</v>
      </c>
      <c r="Q25" s="2214">
        <f>Q14-Q24</f>
        <v>13</v>
      </c>
      <c r="R25" s="2214">
        <f t="shared" si="58"/>
        <v>13</v>
      </c>
      <c r="S25" s="2214">
        <f t="shared" si="58"/>
        <v>13</v>
      </c>
      <c r="T25" s="3726">
        <f t="shared" si="58"/>
        <v>15</v>
      </c>
      <c r="U25" s="2157"/>
      <c r="V25" s="2158"/>
      <c r="W25" s="2158"/>
      <c r="X25" s="2158"/>
      <c r="Y25" s="2158"/>
      <c r="Z25" s="2159"/>
      <c r="AA25" s="2157"/>
      <c r="AB25" s="2158"/>
      <c r="AC25" s="2158"/>
      <c r="AD25" s="2158"/>
      <c r="AE25" s="2158"/>
      <c r="AF25" s="2159"/>
      <c r="AG25" s="4694">
        <f t="shared" ref="AG25" si="59">AG14-AG24</f>
        <v>4</v>
      </c>
      <c r="AH25" s="2214">
        <f t="shared" ref="AH25" si="60">AH14-AH24</f>
        <v>4</v>
      </c>
      <c r="AI25" s="2214">
        <f t="shared" ref="AI25" si="61">AI14-AI24</f>
        <v>4</v>
      </c>
      <c r="AJ25" s="2214">
        <f t="shared" ref="AJ25" si="62">AJ14-AJ24</f>
        <v>4</v>
      </c>
      <c r="AK25" s="2214">
        <f t="shared" ref="AK25" si="63">AK14-AK24</f>
        <v>4</v>
      </c>
      <c r="AL25" s="3726">
        <f t="shared" ref="AL25" si="64">AL14-AL24</f>
        <v>4</v>
      </c>
      <c r="AM25" s="1066">
        <f>C25+I25+O25+U25+AA25</f>
        <v>139</v>
      </c>
      <c r="AN25" s="1067">
        <f t="shared" ref="AN25" si="65">D25+J25+P25+V25+AB25</f>
        <v>139</v>
      </c>
      <c r="AO25" s="1067">
        <f t="shared" ref="AO25" si="66">E25+K25+Q25+W25+AC25</f>
        <v>139</v>
      </c>
      <c r="AP25" s="1067">
        <f t="shared" ref="AP25" si="67">F25+L25+R25+X25+AD25</f>
        <v>139</v>
      </c>
      <c r="AQ25" s="1067">
        <f t="shared" ref="AQ25" si="68">G25+M25+S25+Y25+AE25</f>
        <v>139</v>
      </c>
      <c r="AR25" s="1068">
        <f>H25+N25+T25+Z25+AF25</f>
        <v>134</v>
      </c>
      <c r="AS25" s="1069">
        <f>IFERROR((AR25-AM25)/AM25,0)</f>
        <v>-3.5971223021582732E-2</v>
      </c>
      <c r="AT25" s="1069">
        <f>IFERROR(((H25+Z25+AF25)-(+C25+U25+AA25))/(C25+U25+AA25),0)</f>
        <v>-6.8376068376068383E-2</v>
      </c>
      <c r="AU25" s="1070">
        <f>IFERROR(((N25+T25)-(I25+O25))/(I25+O25),0)</f>
        <v>0.13636363636363635</v>
      </c>
      <c r="AV25" s="1495"/>
      <c r="AW25" s="4695"/>
      <c r="AX25" s="4695"/>
      <c r="AY25" s="4695"/>
      <c r="AZ25" s="4695"/>
      <c r="BA25" s="4695"/>
      <c r="BB25" s="4695"/>
      <c r="BC25" s="4695"/>
      <c r="BD25" s="4695"/>
      <c r="BE25" s="4695"/>
      <c r="BF25" s="4695"/>
      <c r="BG25" s="4695"/>
      <c r="BH25" s="4695"/>
      <c r="BI25" s="4695"/>
      <c r="BJ25" s="4695"/>
      <c r="BK25" s="4695"/>
      <c r="BL25" s="4695"/>
      <c r="BM25" s="4695"/>
      <c r="BN25" s="4695"/>
      <c r="BO25" s="4695"/>
      <c r="BP25" s="4695"/>
      <c r="BQ25" s="4695"/>
      <c r="BR25" s="4695"/>
      <c r="BS25" s="4695"/>
      <c r="BT25" s="4695"/>
      <c r="BU25" s="4695"/>
      <c r="BV25" s="4695"/>
      <c r="BW25" s="4695"/>
      <c r="BX25" s="4695"/>
      <c r="BY25" s="4695"/>
      <c r="BZ25" s="4695"/>
      <c r="CA25" s="4695"/>
      <c r="CB25" s="4695"/>
      <c r="CC25" s="4695"/>
      <c r="CD25" s="4695"/>
      <c r="CE25" s="4695"/>
      <c r="CF25" s="4695"/>
      <c r="CG25" s="4695"/>
      <c r="CH25" s="4695"/>
      <c r="CI25" s="4695"/>
      <c r="CJ25" s="4695"/>
      <c r="CK25" s="4695"/>
      <c r="CL25" s="4695"/>
      <c r="CM25" s="4695"/>
      <c r="CN25" s="4695"/>
      <c r="CO25" s="4695"/>
      <c r="CP25" s="4695"/>
      <c r="CQ25" s="4695"/>
      <c r="CR25" s="4695"/>
      <c r="CS25" s="4695"/>
      <c r="CT25" s="4695"/>
      <c r="CU25" s="4695"/>
      <c r="CV25" s="4695"/>
      <c r="CW25" s="4695"/>
      <c r="CX25" s="4695"/>
      <c r="CY25" s="4695"/>
      <c r="CZ25" s="4695"/>
      <c r="DA25" s="4695"/>
      <c r="DB25" s="4695"/>
      <c r="DC25" s="4695"/>
      <c r="DD25" s="4695"/>
      <c r="DE25" s="4695"/>
      <c r="DF25" s="4695"/>
      <c r="DG25" s="4695"/>
      <c r="DH25" s="4695"/>
      <c r="DI25" s="4695"/>
      <c r="DJ25" s="4695"/>
      <c r="DK25" s="4695"/>
      <c r="DL25" s="4695"/>
      <c r="DM25" s="4695"/>
      <c r="DN25" s="4695"/>
      <c r="DO25" s="4695"/>
    </row>
    <row r="26" spans="1:119" s="1496" customFormat="1" ht="24">
      <c r="A26" s="796" t="s">
        <v>476</v>
      </c>
      <c r="B26" s="1583" t="s">
        <v>1577</v>
      </c>
      <c r="C26" s="321">
        <v>16</v>
      </c>
      <c r="D26" s="322">
        <v>15.55</v>
      </c>
      <c r="E26" s="322">
        <v>15.55</v>
      </c>
      <c r="F26" s="322">
        <v>15.55</v>
      </c>
      <c r="G26" s="322">
        <v>15.55</v>
      </c>
      <c r="H26" s="4949">
        <v>15.01</v>
      </c>
      <c r="I26" s="323">
        <v>1</v>
      </c>
      <c r="J26" s="324">
        <v>1</v>
      </c>
      <c r="K26" s="324">
        <v>1</v>
      </c>
      <c r="L26" s="324">
        <v>1</v>
      </c>
      <c r="M26" s="324">
        <v>1</v>
      </c>
      <c r="N26" s="325">
        <v>1.33</v>
      </c>
      <c r="O26" s="323">
        <v>2</v>
      </c>
      <c r="P26" s="324">
        <v>2</v>
      </c>
      <c r="Q26" s="324">
        <v>2</v>
      </c>
      <c r="R26" s="324">
        <v>2</v>
      </c>
      <c r="S26" s="324">
        <v>2</v>
      </c>
      <c r="T26" s="325">
        <v>2.13</v>
      </c>
      <c r="U26" s="2157"/>
      <c r="V26" s="2158"/>
      <c r="W26" s="2158"/>
      <c r="X26" s="2158"/>
      <c r="Y26" s="2158"/>
      <c r="Z26" s="2159"/>
      <c r="AA26" s="2157"/>
      <c r="AB26" s="2158"/>
      <c r="AC26" s="2158"/>
      <c r="AD26" s="2158"/>
      <c r="AE26" s="2158"/>
      <c r="AF26" s="2159"/>
      <c r="AG26" s="323">
        <v>1</v>
      </c>
      <c r="AH26" s="324">
        <v>1</v>
      </c>
      <c r="AI26" s="324">
        <v>1</v>
      </c>
      <c r="AJ26" s="324">
        <v>1</v>
      </c>
      <c r="AK26" s="324">
        <v>1</v>
      </c>
      <c r="AL26" s="325">
        <v>0.53</v>
      </c>
      <c r="AM26" s="1062">
        <f>C26+I26+O26+U26+AA26</f>
        <v>19</v>
      </c>
      <c r="AN26" s="1063">
        <f t="shared" ref="AN26" si="69">D26+J26+P26+V26+AB26</f>
        <v>18.55</v>
      </c>
      <c r="AO26" s="1063">
        <f t="shared" ref="AO26" si="70">E26+K26+Q26+W26+AC26</f>
        <v>18.55</v>
      </c>
      <c r="AP26" s="1063">
        <f t="shared" ref="AP26" si="71">F26+L26+R26+X26+AD26</f>
        <v>18.55</v>
      </c>
      <c r="AQ26" s="1063">
        <f t="shared" ref="AQ26" si="72">G26+M26+S26+Y26+AE26</f>
        <v>18.55</v>
      </c>
      <c r="AR26" s="1064">
        <f t="shared" ref="AR26" si="73">H26+N26+T26+Z26+AF26</f>
        <v>18.47</v>
      </c>
      <c r="AS26" s="1065">
        <f>IFERROR((AR26-AM26)/AM26,0)</f>
        <v>-2.7894736842105323E-2</v>
      </c>
      <c r="AT26" s="1065">
        <f>IFERROR(((H26+Z26+AF26)-(+C26+U26+AA26))/(C26+U26+AA26),0)</f>
        <v>-6.1875000000000013E-2</v>
      </c>
      <c r="AU26" s="1061">
        <f>IFERROR(((N26+T26)-(I26+O26))/(I26+O26),0)</f>
        <v>0.15333333333333332</v>
      </c>
      <c r="AV26" s="1495"/>
      <c r="AW26" s="4695"/>
      <c r="AX26" s="4695"/>
      <c r="AY26" s="4695"/>
      <c r="AZ26" s="4695"/>
      <c r="BA26" s="4695"/>
      <c r="BB26" s="4695"/>
      <c r="BC26" s="4695"/>
      <c r="BD26" s="4695"/>
      <c r="BE26" s="4695"/>
      <c r="BF26" s="4695"/>
      <c r="BG26" s="4695"/>
      <c r="BH26" s="4695"/>
      <c r="BI26" s="4695"/>
      <c r="BJ26" s="4695"/>
      <c r="BK26" s="4695"/>
      <c r="BL26" s="4695"/>
      <c r="BM26" s="4695"/>
      <c r="BN26" s="4695"/>
      <c r="BO26" s="4695"/>
      <c r="BP26" s="4695"/>
      <c r="BQ26" s="4695"/>
      <c r="BR26" s="4695"/>
      <c r="BS26" s="4695"/>
      <c r="BT26" s="4695"/>
      <c r="BU26" s="4695"/>
      <c r="BV26" s="4695"/>
      <c r="BW26" s="4695"/>
      <c r="BX26" s="4695"/>
      <c r="BY26" s="4695"/>
      <c r="BZ26" s="4695"/>
      <c r="CA26" s="4695"/>
      <c r="CB26" s="4695"/>
      <c r="CC26" s="4695"/>
      <c r="CD26" s="4695"/>
      <c r="CE26" s="4695"/>
      <c r="CF26" s="4695"/>
      <c r="CG26" s="4695"/>
      <c r="CH26" s="4695"/>
      <c r="CI26" s="4695"/>
      <c r="CJ26" s="4695"/>
      <c r="CK26" s="4695"/>
      <c r="CL26" s="4695"/>
      <c r="CM26" s="4695"/>
      <c r="CN26" s="4695"/>
      <c r="CO26" s="4695"/>
      <c r="CP26" s="4695"/>
      <c r="CQ26" s="4695"/>
      <c r="CR26" s="4695"/>
      <c r="CS26" s="4695"/>
      <c r="CT26" s="4695"/>
      <c r="CU26" s="4695"/>
      <c r="CV26" s="4695"/>
      <c r="CW26" s="4695"/>
      <c r="CX26" s="4695"/>
      <c r="CY26" s="4695"/>
      <c r="CZ26" s="4695"/>
      <c r="DA26" s="4695"/>
      <c r="DB26" s="4695"/>
      <c r="DC26" s="4695"/>
      <c r="DD26" s="4695"/>
      <c r="DE26" s="4695"/>
      <c r="DF26" s="4695"/>
      <c r="DG26" s="4695"/>
      <c r="DH26" s="4695"/>
      <c r="DI26" s="4695"/>
      <c r="DJ26" s="4695"/>
      <c r="DK26" s="4695"/>
      <c r="DL26" s="4695"/>
      <c r="DM26" s="4695"/>
      <c r="DN26" s="4695"/>
      <c r="DO26" s="4695"/>
    </row>
    <row r="27" spans="1:119" s="180" customFormat="1" ht="13.5" thickBot="1">
      <c r="A27" s="1493" t="s">
        <v>478</v>
      </c>
      <c r="B27" s="1492" t="s">
        <v>1582</v>
      </c>
      <c r="C27" s="2160">
        <f>IFERROR(((C26+I26+O26+AG26)*C24)/(C24+I24+O24+AG24),0)</f>
        <v>16.393442622950818</v>
      </c>
      <c r="D27" s="2161">
        <f t="shared" ref="D27:H27" si="74">IFERROR(((D26+J26+P26+AH26)*D24)/(D24+J24+P24+AH24),0)</f>
        <v>15.965833333333332</v>
      </c>
      <c r="E27" s="2161">
        <f t="shared" si="74"/>
        <v>15.965833333333332</v>
      </c>
      <c r="F27" s="2161">
        <f t="shared" si="74"/>
        <v>15.965833333333332</v>
      </c>
      <c r="G27" s="2161">
        <f t="shared" si="74"/>
        <v>15.965833333333332</v>
      </c>
      <c r="H27" s="2162">
        <f t="shared" si="74"/>
        <v>14.928571428571429</v>
      </c>
      <c r="I27" s="2160">
        <f>IFERROR(((C26+I26+O26+AG26)*I24)/(C24+I24+O24+AG24),0)</f>
        <v>1.2021857923497268</v>
      </c>
      <c r="J27" s="2161">
        <f t="shared" ref="J27:N27" si="75">IFERROR(((D26+J26+P26+AH26)*J24)/(D24+J24+P24+AH24),0)</f>
        <v>1.1947222222222222</v>
      </c>
      <c r="K27" s="2163">
        <f t="shared" si="75"/>
        <v>1.1947222222222222</v>
      </c>
      <c r="L27" s="2163">
        <f t="shared" si="75"/>
        <v>1.1947222222222222</v>
      </c>
      <c r="M27" s="2163">
        <f t="shared" si="75"/>
        <v>1.1947222222222222</v>
      </c>
      <c r="N27" s="2164">
        <f t="shared" si="75"/>
        <v>1.3571428571428572</v>
      </c>
      <c r="O27" s="2165">
        <f>IFERROR(((C26+I26+O26+AG26)*O24)/(C24+I24+O24+AG24),0)</f>
        <v>1.8579234972677596</v>
      </c>
      <c r="P27" s="2163">
        <f t="shared" ref="P27:T27" si="76">IFERROR(((D26+J26+P26+AH26)*P24)/(D24+J24+P24+AH24),0)</f>
        <v>1.8463888888888891</v>
      </c>
      <c r="Q27" s="2163">
        <f t="shared" si="76"/>
        <v>1.8463888888888891</v>
      </c>
      <c r="R27" s="2163">
        <f t="shared" si="76"/>
        <v>1.8463888888888891</v>
      </c>
      <c r="S27" s="2163">
        <f t="shared" si="76"/>
        <v>1.8463888888888891</v>
      </c>
      <c r="T27" s="2164">
        <f t="shared" si="76"/>
        <v>2.0974025974025974</v>
      </c>
      <c r="U27" s="2166"/>
      <c r="V27" s="2167"/>
      <c r="W27" s="2167"/>
      <c r="X27" s="2167"/>
      <c r="Y27" s="2167"/>
      <c r="Z27" s="2168"/>
      <c r="AA27" s="2166"/>
      <c r="AB27" s="2167"/>
      <c r="AC27" s="2167"/>
      <c r="AD27" s="2167"/>
      <c r="AE27" s="2167"/>
      <c r="AF27" s="2168"/>
      <c r="AG27" s="1673">
        <f>IFERROR(((C26+I26+O26+AG26)*AG24)/(C24+I24+O24+AG24),0)</f>
        <v>0.54644808743169404</v>
      </c>
      <c r="AH27" s="1674">
        <f t="shared" ref="AH27:AL27" si="77">IFERROR(((D26+J26+P26+AH26)*AH24)/(D24+J24+P24+AH24),0)</f>
        <v>0.54305555555555551</v>
      </c>
      <c r="AI27" s="1674">
        <f t="shared" si="77"/>
        <v>0.54305555555555551</v>
      </c>
      <c r="AJ27" s="1674">
        <f t="shared" si="77"/>
        <v>0.54305555555555551</v>
      </c>
      <c r="AK27" s="1674">
        <f t="shared" si="77"/>
        <v>0.54305555555555551</v>
      </c>
      <c r="AL27" s="1675">
        <f t="shared" si="77"/>
        <v>0.61688311688311692</v>
      </c>
      <c r="AM27" s="1686">
        <f>AM14-AM24</f>
        <v>139</v>
      </c>
      <c r="AN27" s="1687">
        <f t="shared" ref="AN27:AR27" si="78">AN14-AN24</f>
        <v>139</v>
      </c>
      <c r="AO27" s="1687">
        <f t="shared" si="78"/>
        <v>139</v>
      </c>
      <c r="AP27" s="1687">
        <f t="shared" si="78"/>
        <v>139</v>
      </c>
      <c r="AQ27" s="1688">
        <f t="shared" si="78"/>
        <v>139</v>
      </c>
      <c r="AR27" s="1689">
        <f t="shared" si="78"/>
        <v>134</v>
      </c>
      <c r="AS27" s="1690">
        <f t="shared" ref="AS27" si="79">IFERROR((AR27-AM27)/AM27,0)</f>
        <v>-3.5971223021582732E-2</v>
      </c>
      <c r="AT27" s="1690">
        <f t="shared" ref="AT27" si="80">IFERROR(((H27+Z27+AF27)-(+C27+U27+AA27))/(C27+U27+AA27),0)</f>
        <v>-8.9357142857142774E-2</v>
      </c>
      <c r="AU27" s="1691">
        <f t="shared" ref="AU27" si="81">IFERROR(((N27+T27)-(I27+O27))/(I27+O27),0)</f>
        <v>0.12889610389610395</v>
      </c>
      <c r="AV27" s="179"/>
      <c r="AW27" s="4695"/>
      <c r="AX27" s="4695"/>
      <c r="AY27" s="4695"/>
      <c r="AZ27" s="4695"/>
      <c r="BA27" s="4695"/>
      <c r="BB27" s="4695"/>
      <c r="BC27" s="4695"/>
      <c r="BD27" s="4695"/>
      <c r="BE27" s="4695"/>
      <c r="BF27" s="4695"/>
      <c r="BG27" s="4695"/>
      <c r="BH27" s="4695"/>
      <c r="BI27" s="4695"/>
      <c r="BJ27" s="4695"/>
      <c r="BK27" s="4695"/>
      <c r="BL27" s="4695"/>
      <c r="BM27" s="4695"/>
      <c r="BN27" s="4695"/>
      <c r="BO27" s="4695"/>
      <c r="BP27" s="4695"/>
      <c r="BQ27" s="4695"/>
      <c r="BR27" s="4695"/>
      <c r="BS27" s="4695"/>
      <c r="BT27" s="4695"/>
      <c r="BU27" s="4695"/>
      <c r="BV27" s="4695"/>
      <c r="BW27" s="4695"/>
      <c r="BX27" s="4695"/>
      <c r="BY27" s="4695"/>
      <c r="BZ27" s="4695"/>
      <c r="CA27" s="4695"/>
      <c r="CB27" s="4695"/>
      <c r="CC27" s="4695"/>
      <c r="CD27" s="4695"/>
      <c r="CE27" s="4695"/>
      <c r="CF27" s="4695"/>
      <c r="CG27" s="4695"/>
      <c r="CH27" s="4695"/>
      <c r="CI27" s="4695"/>
      <c r="CJ27" s="4695"/>
      <c r="CK27" s="4695"/>
      <c r="CL27" s="4695"/>
      <c r="CM27" s="4695"/>
      <c r="CN27" s="4695"/>
      <c r="CO27" s="4695"/>
      <c r="CP27" s="4695"/>
      <c r="CQ27" s="4695"/>
      <c r="CR27" s="4695"/>
      <c r="CS27" s="4695"/>
      <c r="CT27" s="4695"/>
      <c r="CU27" s="4695"/>
      <c r="CV27" s="4695"/>
      <c r="CW27" s="4695"/>
      <c r="CX27" s="4695"/>
      <c r="CY27" s="4695"/>
      <c r="CZ27" s="4695"/>
      <c r="DA27" s="4695"/>
      <c r="DB27" s="4695"/>
      <c r="DC27" s="4695"/>
      <c r="DD27" s="4695"/>
      <c r="DE27" s="4695"/>
      <c r="DF27" s="4695"/>
      <c r="DG27" s="4695"/>
      <c r="DH27" s="4695"/>
      <c r="DI27" s="4695"/>
      <c r="DJ27" s="4695"/>
      <c r="DK27" s="4695"/>
      <c r="DL27" s="4695"/>
      <c r="DM27" s="4695"/>
      <c r="DN27" s="4695"/>
      <c r="DO27" s="4695"/>
    </row>
    <row r="28" spans="1:119" s="180" customFormat="1">
      <c r="A28" s="352"/>
      <c r="B28" s="353"/>
      <c r="C28" s="1692"/>
      <c r="D28" s="1693"/>
      <c r="E28" s="1693"/>
      <c r="F28" s="1693"/>
      <c r="G28" s="1693"/>
      <c r="H28" s="1694"/>
      <c r="I28" s="1692"/>
      <c r="J28" s="1693"/>
      <c r="K28" s="1693"/>
      <c r="L28" s="1693"/>
      <c r="M28" s="1693"/>
      <c r="N28" s="1694"/>
      <c r="O28" s="1692"/>
      <c r="P28" s="1693"/>
      <c r="Q28" s="1693"/>
      <c r="R28" s="1693"/>
      <c r="S28" s="1693"/>
      <c r="T28" s="1694"/>
      <c r="U28" s="1692"/>
      <c r="V28" s="1693"/>
      <c r="W28" s="1693"/>
      <c r="X28" s="1693"/>
      <c r="Y28" s="1693"/>
      <c r="Z28" s="1694"/>
      <c r="AA28" s="1692"/>
      <c r="AB28" s="1693"/>
      <c r="AC28" s="1693"/>
      <c r="AD28" s="1693"/>
      <c r="AE28" s="1693"/>
      <c r="AF28" s="1694"/>
      <c r="AG28" s="1692"/>
      <c r="AH28" s="1693"/>
      <c r="AI28" s="1693"/>
      <c r="AJ28" s="1693"/>
      <c r="AK28" s="1693"/>
      <c r="AL28" s="1694"/>
      <c r="AM28" s="1692"/>
      <c r="AN28" s="1693"/>
      <c r="AO28" s="1693"/>
      <c r="AP28" s="1693"/>
      <c r="AQ28" s="1693"/>
      <c r="AR28" s="1694"/>
      <c r="AS28" s="1695"/>
      <c r="AT28" s="1695"/>
      <c r="AU28" s="1696"/>
      <c r="AV28" s="179"/>
      <c r="AW28" s="4695"/>
      <c r="AX28" s="4695"/>
      <c r="AY28" s="4695"/>
      <c r="AZ28" s="4695"/>
      <c r="BA28" s="4695"/>
      <c r="BB28" s="4695"/>
      <c r="BC28" s="4695"/>
      <c r="BD28" s="4695"/>
      <c r="BE28" s="4695"/>
      <c r="BF28" s="4695"/>
      <c r="BG28" s="4695"/>
      <c r="BH28" s="4695"/>
      <c r="BI28" s="4695"/>
      <c r="BJ28" s="4695"/>
      <c r="BK28" s="4695"/>
      <c r="BL28" s="4695"/>
      <c r="BM28" s="4695"/>
      <c r="BN28" s="4695"/>
      <c r="BO28" s="4695"/>
      <c r="BP28" s="4695"/>
      <c r="BQ28" s="4695"/>
      <c r="BR28" s="4695"/>
      <c r="BS28" s="4695"/>
      <c r="BT28" s="4695"/>
      <c r="BU28" s="4695"/>
      <c r="BV28" s="4695"/>
      <c r="BW28" s="4695"/>
      <c r="BX28" s="4695"/>
      <c r="BY28" s="4695"/>
      <c r="BZ28" s="4695"/>
      <c r="CA28" s="4695"/>
      <c r="CB28" s="4695"/>
      <c r="CC28" s="4695"/>
      <c r="CD28" s="4695"/>
      <c r="CE28" s="4695"/>
      <c r="CF28" s="4695"/>
      <c r="CG28" s="4695"/>
      <c r="CH28" s="4695"/>
      <c r="CI28" s="4695"/>
      <c r="CJ28" s="4695"/>
      <c r="CK28" s="4695"/>
      <c r="CL28" s="4695"/>
      <c r="CM28" s="4695"/>
      <c r="CN28" s="4695"/>
      <c r="CO28" s="4695"/>
      <c r="CP28" s="4695"/>
      <c r="CQ28" s="4695"/>
      <c r="CR28" s="4695"/>
      <c r="CS28" s="4695"/>
      <c r="CT28" s="4695"/>
      <c r="CU28" s="4695"/>
      <c r="CV28" s="4695"/>
      <c r="CW28" s="4695"/>
      <c r="CX28" s="4695"/>
      <c r="CY28" s="4695"/>
      <c r="CZ28" s="4695"/>
      <c r="DA28" s="4695"/>
      <c r="DB28" s="4695"/>
      <c r="DC28" s="4695"/>
      <c r="DD28" s="4695"/>
      <c r="DE28" s="4695"/>
      <c r="DF28" s="4695"/>
      <c r="DG28" s="4695"/>
      <c r="DH28" s="4695"/>
      <c r="DI28" s="4695"/>
      <c r="DJ28" s="4695"/>
      <c r="DK28" s="4695"/>
      <c r="DL28" s="4695"/>
      <c r="DM28" s="4695"/>
      <c r="DN28" s="4695"/>
      <c r="DO28" s="4695"/>
    </row>
    <row r="29" spans="1:119" s="4897" customFormat="1">
      <c r="A29" s="4892" t="s">
        <v>98</v>
      </c>
      <c r="B29" s="4893" t="s">
        <v>1477</v>
      </c>
      <c r="C29" s="4894">
        <f>SUM(C30:C38)</f>
        <v>3114.2579999999998</v>
      </c>
      <c r="D29" s="1613">
        <f t="shared" ref="D29:AL29" si="82">SUM(D30:D38)</f>
        <v>3541.25</v>
      </c>
      <c r="E29" s="1613">
        <f t="shared" si="82"/>
        <v>4072.4</v>
      </c>
      <c r="F29" s="1613">
        <f t="shared" si="82"/>
        <v>4683.2</v>
      </c>
      <c r="G29" s="1613">
        <f t="shared" si="82"/>
        <v>5385.5</v>
      </c>
      <c r="H29" s="1614">
        <f t="shared" si="82"/>
        <v>5458.7</v>
      </c>
      <c r="I29" s="4894">
        <f t="shared" si="82"/>
        <v>176.83199999999999</v>
      </c>
      <c r="J29" s="1613">
        <f t="shared" si="82"/>
        <v>203.35</v>
      </c>
      <c r="K29" s="1613">
        <f t="shared" si="82"/>
        <v>233.85</v>
      </c>
      <c r="L29" s="1613">
        <f t="shared" si="82"/>
        <v>268.92</v>
      </c>
      <c r="M29" s="1613">
        <f t="shared" si="82"/>
        <v>309.25</v>
      </c>
      <c r="N29" s="1614">
        <f t="shared" si="82"/>
        <v>335.96000000000004</v>
      </c>
      <c r="O29" s="4894">
        <f t="shared" si="82"/>
        <v>433.46800000000002</v>
      </c>
      <c r="P29" s="1613">
        <f t="shared" si="82"/>
        <v>496.5</v>
      </c>
      <c r="Q29" s="1613">
        <f t="shared" si="82"/>
        <v>573.28</v>
      </c>
      <c r="R29" s="1613">
        <f t="shared" si="82"/>
        <v>659.3</v>
      </c>
      <c r="S29" s="1613">
        <f t="shared" si="82"/>
        <v>758.2</v>
      </c>
      <c r="T29" s="1614">
        <f t="shared" si="82"/>
        <v>857</v>
      </c>
      <c r="U29" s="4894">
        <f t="shared" si="82"/>
        <v>16.451999999999998</v>
      </c>
      <c r="V29" s="1613">
        <f t="shared" si="82"/>
        <v>18.920000000000002</v>
      </c>
      <c r="W29" s="1613">
        <f t="shared" si="82"/>
        <v>21.757999999999999</v>
      </c>
      <c r="X29" s="1613">
        <f t="shared" si="82"/>
        <v>25.021999999999998</v>
      </c>
      <c r="Y29" s="1613">
        <f t="shared" si="82"/>
        <v>28.774999999999999</v>
      </c>
      <c r="Z29" s="1614">
        <f t="shared" si="82"/>
        <v>32.904000000000003</v>
      </c>
      <c r="AA29" s="4894">
        <f t="shared" si="82"/>
        <v>0</v>
      </c>
      <c r="AB29" s="1613">
        <f t="shared" si="82"/>
        <v>0</v>
      </c>
      <c r="AC29" s="1613">
        <f t="shared" si="82"/>
        <v>0</v>
      </c>
      <c r="AD29" s="1613">
        <f t="shared" si="82"/>
        <v>0</v>
      </c>
      <c r="AE29" s="1613">
        <f t="shared" si="82"/>
        <v>0</v>
      </c>
      <c r="AF29" s="1614">
        <f t="shared" si="82"/>
        <v>0</v>
      </c>
      <c r="AG29" s="4894">
        <f t="shared" si="82"/>
        <v>102</v>
      </c>
      <c r="AH29" s="1613">
        <f t="shared" si="82"/>
        <v>117.3</v>
      </c>
      <c r="AI29" s="1613">
        <f t="shared" si="82"/>
        <v>134.9</v>
      </c>
      <c r="AJ29" s="1613">
        <f t="shared" si="82"/>
        <v>155.13999999999999</v>
      </c>
      <c r="AK29" s="1613">
        <f t="shared" si="82"/>
        <v>178.41</v>
      </c>
      <c r="AL29" s="1614">
        <f t="shared" si="82"/>
        <v>204</v>
      </c>
      <c r="AM29" s="4894">
        <f t="shared" ref="AM29:AR29" si="83">C29+I29+O29+AG29+U29+AA29</f>
        <v>3843.0099999999993</v>
      </c>
      <c r="AN29" s="1613">
        <f t="shared" si="83"/>
        <v>4377.3200000000006</v>
      </c>
      <c r="AO29" s="1613">
        <f t="shared" si="83"/>
        <v>5036.1879999999992</v>
      </c>
      <c r="AP29" s="1613">
        <f t="shared" si="83"/>
        <v>5791.5820000000003</v>
      </c>
      <c r="AQ29" s="1613">
        <f t="shared" si="83"/>
        <v>6660.1349999999993</v>
      </c>
      <c r="AR29" s="1614">
        <f t="shared" si="83"/>
        <v>6888.5640000000003</v>
      </c>
      <c r="AS29" s="1702">
        <f t="shared" si="46"/>
        <v>0.79249182281597019</v>
      </c>
      <c r="AT29" s="1702">
        <f t="shared" si="43"/>
        <v>0.75410817354529813</v>
      </c>
      <c r="AU29" s="1702">
        <f t="shared" si="44"/>
        <v>0.95471079796821257</v>
      </c>
      <c r="AV29" s="4895"/>
      <c r="AW29" s="4896"/>
      <c r="AX29" s="4896"/>
      <c r="AY29" s="4896"/>
      <c r="AZ29" s="4896"/>
      <c r="BA29" s="4896"/>
      <c r="BB29" s="4896"/>
      <c r="BC29" s="4896"/>
      <c r="BD29" s="4896"/>
      <c r="BE29" s="4896"/>
      <c r="BF29" s="4896"/>
      <c r="BG29" s="4896"/>
      <c r="BH29" s="4896"/>
      <c r="BI29" s="4896"/>
      <c r="BJ29" s="4896"/>
      <c r="BK29" s="4896"/>
      <c r="BL29" s="4896"/>
      <c r="BM29" s="4896"/>
      <c r="BN29" s="4896"/>
      <c r="BO29" s="4896"/>
      <c r="BP29" s="4896"/>
      <c r="BQ29" s="4896"/>
      <c r="BR29" s="4896"/>
      <c r="BS29" s="4896"/>
      <c r="BT29" s="4896"/>
      <c r="BU29" s="4896"/>
      <c r="BV29" s="4896"/>
      <c r="BW29" s="4896"/>
      <c r="BX29" s="4896"/>
      <c r="BY29" s="4896"/>
      <c r="BZ29" s="4896"/>
      <c r="CA29" s="4896"/>
      <c r="CB29" s="4896"/>
      <c r="CC29" s="4896"/>
      <c r="CD29" s="4896"/>
      <c r="CE29" s="4896"/>
      <c r="CF29" s="4896"/>
      <c r="CG29" s="4896"/>
      <c r="CH29" s="4896"/>
      <c r="CI29" s="4896"/>
      <c r="CJ29" s="4896"/>
      <c r="CK29" s="4896"/>
      <c r="CL29" s="4896"/>
      <c r="CM29" s="4896"/>
      <c r="CN29" s="4896"/>
      <c r="CO29" s="4896"/>
      <c r="CP29" s="4896"/>
      <c r="CQ29" s="4896"/>
      <c r="CR29" s="4896"/>
      <c r="CS29" s="4896"/>
      <c r="CT29" s="4896"/>
      <c r="CU29" s="4896"/>
      <c r="CV29" s="4896"/>
      <c r="CW29" s="4896"/>
      <c r="CX29" s="4896"/>
      <c r="CY29" s="4896"/>
      <c r="CZ29" s="4896"/>
      <c r="DA29" s="4896"/>
      <c r="DB29" s="4896"/>
      <c r="DC29" s="4896"/>
      <c r="DD29" s="4896"/>
      <c r="DE29" s="4896"/>
      <c r="DF29" s="4896"/>
      <c r="DG29" s="4896"/>
      <c r="DH29" s="4896"/>
      <c r="DI29" s="4896"/>
      <c r="DJ29" s="4896"/>
      <c r="DK29" s="4896"/>
      <c r="DL29" s="4896"/>
      <c r="DM29" s="4896"/>
      <c r="DN29" s="4896"/>
      <c r="DO29" s="4896"/>
    </row>
    <row r="30" spans="1:119" s="180" customFormat="1">
      <c r="A30" s="858" t="s">
        <v>961</v>
      </c>
      <c r="B30" s="668" t="s">
        <v>1215</v>
      </c>
      <c r="C30" s="321">
        <v>285</v>
      </c>
      <c r="D30" s="322">
        <v>327.75</v>
      </c>
      <c r="E30" s="322">
        <v>377</v>
      </c>
      <c r="F30" s="322">
        <v>433</v>
      </c>
      <c r="G30" s="322">
        <v>498</v>
      </c>
      <c r="H30" s="659">
        <v>472</v>
      </c>
      <c r="I30" s="321">
        <v>16</v>
      </c>
      <c r="J30" s="322">
        <v>18</v>
      </c>
      <c r="K30" s="322">
        <v>21</v>
      </c>
      <c r="L30" s="322">
        <v>24</v>
      </c>
      <c r="M30" s="322">
        <v>28</v>
      </c>
      <c r="N30" s="659">
        <v>32</v>
      </c>
      <c r="O30" s="321">
        <v>15</v>
      </c>
      <c r="P30" s="322">
        <v>16.5</v>
      </c>
      <c r="Q30" s="322">
        <v>20</v>
      </c>
      <c r="R30" s="322">
        <v>23</v>
      </c>
      <c r="S30" s="322">
        <v>27</v>
      </c>
      <c r="T30" s="659">
        <v>30</v>
      </c>
      <c r="U30" s="321"/>
      <c r="V30" s="322"/>
      <c r="W30" s="322"/>
      <c r="X30" s="322"/>
      <c r="Y30" s="322"/>
      <c r="Z30" s="659"/>
      <c r="AA30" s="321"/>
      <c r="AB30" s="322"/>
      <c r="AC30" s="322"/>
      <c r="AD30" s="322"/>
      <c r="AE30" s="322"/>
      <c r="AF30" s="659"/>
      <c r="AG30" s="660"/>
      <c r="AH30" s="661"/>
      <c r="AI30" s="661"/>
      <c r="AJ30" s="661"/>
      <c r="AK30" s="661"/>
      <c r="AL30" s="662"/>
      <c r="AM30" s="1062">
        <f t="shared" ref="AM30:AM48" si="84">C30+I30+O30+U30+AA30</f>
        <v>316</v>
      </c>
      <c r="AN30" s="1063">
        <f t="shared" ref="AN30:AN48" si="85">D30+J30+P30+V30+AB30</f>
        <v>362.25</v>
      </c>
      <c r="AO30" s="1063">
        <f t="shared" ref="AO30:AO48" si="86">E30+K30+Q30+W30+AC30</f>
        <v>418</v>
      </c>
      <c r="AP30" s="1063">
        <f t="shared" ref="AP30:AP48" si="87">F30+L30+R30+X30+AD30</f>
        <v>480</v>
      </c>
      <c r="AQ30" s="1063">
        <f t="shared" ref="AQ30:AQ48" si="88">G30+M30+S30+Y30+AE30</f>
        <v>553</v>
      </c>
      <c r="AR30" s="1064">
        <f t="shared" ref="AR30:AR48" si="89">H30+N30+T30+Z30+AF30</f>
        <v>534</v>
      </c>
      <c r="AS30" s="1697">
        <f t="shared" si="46"/>
        <v>0.689873417721519</v>
      </c>
      <c r="AT30" s="1697">
        <f t="shared" si="43"/>
        <v>0.65614035087719302</v>
      </c>
      <c r="AU30" s="1698">
        <f t="shared" si="44"/>
        <v>1</v>
      </c>
      <c r="AV30" s="179"/>
      <c r="AW30" s="4695"/>
      <c r="AX30" s="4695"/>
      <c r="AY30" s="4695"/>
      <c r="AZ30" s="4695"/>
      <c r="BA30" s="4695"/>
      <c r="BB30" s="4695"/>
      <c r="BC30" s="4695"/>
      <c r="BD30" s="4695"/>
      <c r="BE30" s="4695"/>
      <c r="BF30" s="4695"/>
      <c r="BG30" s="4695"/>
      <c r="BH30" s="4695"/>
      <c r="BI30" s="4695"/>
      <c r="BJ30" s="4695"/>
      <c r="BK30" s="4695"/>
      <c r="BL30" s="4695"/>
      <c r="BM30" s="4695"/>
      <c r="BN30" s="4695"/>
      <c r="BO30" s="4695"/>
      <c r="BP30" s="4695"/>
      <c r="BQ30" s="4695"/>
      <c r="BR30" s="4695"/>
      <c r="BS30" s="4695"/>
      <c r="BT30" s="4695"/>
      <c r="BU30" s="4695"/>
      <c r="BV30" s="4695"/>
      <c r="BW30" s="4695"/>
      <c r="BX30" s="4695"/>
      <c r="BY30" s="4695"/>
      <c r="BZ30" s="4695"/>
      <c r="CA30" s="4695"/>
      <c r="CB30" s="4695"/>
      <c r="CC30" s="4695"/>
      <c r="CD30" s="4695"/>
      <c r="CE30" s="4695"/>
      <c r="CF30" s="4695"/>
      <c r="CG30" s="4695"/>
      <c r="CH30" s="4695"/>
      <c r="CI30" s="4695"/>
      <c r="CJ30" s="4695"/>
      <c r="CK30" s="4695"/>
      <c r="CL30" s="4695"/>
      <c r="CM30" s="4695"/>
      <c r="CN30" s="4695"/>
      <c r="CO30" s="4695"/>
      <c r="CP30" s="4695"/>
      <c r="CQ30" s="4695"/>
      <c r="CR30" s="4695"/>
      <c r="CS30" s="4695"/>
      <c r="CT30" s="4695"/>
      <c r="CU30" s="4695"/>
      <c r="CV30" s="4695"/>
      <c r="CW30" s="4695"/>
      <c r="CX30" s="4695"/>
      <c r="CY30" s="4695"/>
      <c r="CZ30" s="4695"/>
      <c r="DA30" s="4695"/>
      <c r="DB30" s="4695"/>
      <c r="DC30" s="4695"/>
      <c r="DD30" s="4695"/>
      <c r="DE30" s="4695"/>
      <c r="DF30" s="4695"/>
      <c r="DG30" s="4695"/>
      <c r="DH30" s="4695"/>
      <c r="DI30" s="4695"/>
      <c r="DJ30" s="4695"/>
      <c r="DK30" s="4695"/>
      <c r="DL30" s="4695"/>
      <c r="DM30" s="4695"/>
      <c r="DN30" s="4695"/>
      <c r="DO30" s="4695"/>
    </row>
    <row r="31" spans="1:119" s="180" customFormat="1">
      <c r="A31" s="858" t="s">
        <v>1224</v>
      </c>
      <c r="B31" s="669" t="s">
        <v>1216</v>
      </c>
      <c r="C31" s="321">
        <v>157</v>
      </c>
      <c r="D31" s="322">
        <v>180</v>
      </c>
      <c r="E31" s="322">
        <v>207</v>
      </c>
      <c r="F31" s="322">
        <v>239</v>
      </c>
      <c r="G31" s="322">
        <v>275</v>
      </c>
      <c r="H31" s="659">
        <v>258</v>
      </c>
      <c r="I31" s="321">
        <v>14</v>
      </c>
      <c r="J31" s="322">
        <v>16</v>
      </c>
      <c r="K31" s="322">
        <v>18</v>
      </c>
      <c r="L31" s="322">
        <v>21</v>
      </c>
      <c r="M31" s="322">
        <v>24</v>
      </c>
      <c r="N31" s="659">
        <v>28</v>
      </c>
      <c r="O31" s="321">
        <v>38</v>
      </c>
      <c r="P31" s="322">
        <v>44</v>
      </c>
      <c r="Q31" s="322">
        <v>50</v>
      </c>
      <c r="R31" s="322">
        <v>58</v>
      </c>
      <c r="S31" s="322">
        <v>67</v>
      </c>
      <c r="T31" s="659">
        <v>76</v>
      </c>
      <c r="U31" s="321"/>
      <c r="V31" s="322"/>
      <c r="W31" s="322"/>
      <c r="X31" s="322"/>
      <c r="Y31" s="322"/>
      <c r="Z31" s="659"/>
      <c r="AA31" s="321"/>
      <c r="AB31" s="322"/>
      <c r="AC31" s="322"/>
      <c r="AD31" s="322"/>
      <c r="AE31" s="322"/>
      <c r="AF31" s="659"/>
      <c r="AG31" s="321"/>
      <c r="AH31" s="322"/>
      <c r="AI31" s="322"/>
      <c r="AJ31" s="322"/>
      <c r="AK31" s="322"/>
      <c r="AL31" s="659"/>
      <c r="AM31" s="1062">
        <f t="shared" si="84"/>
        <v>209</v>
      </c>
      <c r="AN31" s="1063">
        <f t="shared" si="85"/>
        <v>240</v>
      </c>
      <c r="AO31" s="1063">
        <f t="shared" si="86"/>
        <v>275</v>
      </c>
      <c r="AP31" s="1063">
        <f t="shared" si="87"/>
        <v>318</v>
      </c>
      <c r="AQ31" s="1063">
        <f t="shared" si="88"/>
        <v>366</v>
      </c>
      <c r="AR31" s="1064">
        <f t="shared" si="89"/>
        <v>362</v>
      </c>
      <c r="AS31" s="1699">
        <f t="shared" si="46"/>
        <v>0.73205741626794263</v>
      </c>
      <c r="AT31" s="1699">
        <f t="shared" si="43"/>
        <v>0.64331210191082799</v>
      </c>
      <c r="AU31" s="1700">
        <f t="shared" si="44"/>
        <v>1</v>
      </c>
      <c r="AV31" s="179"/>
      <c r="AW31" s="4695"/>
      <c r="AX31" s="4695"/>
      <c r="AY31" s="4695"/>
      <c r="AZ31" s="4695"/>
      <c r="BA31" s="4695"/>
      <c r="BB31" s="4695"/>
      <c r="BC31" s="4695"/>
      <c r="BD31" s="4695"/>
      <c r="BE31" s="4695"/>
      <c r="BF31" s="4695"/>
      <c r="BG31" s="4695"/>
      <c r="BH31" s="4695"/>
      <c r="BI31" s="4695"/>
      <c r="BJ31" s="4695"/>
      <c r="BK31" s="4695"/>
      <c r="BL31" s="4695"/>
      <c r="BM31" s="4695"/>
      <c r="BN31" s="4695"/>
      <c r="BO31" s="4695"/>
      <c r="BP31" s="4695"/>
      <c r="BQ31" s="4695"/>
      <c r="BR31" s="4695"/>
      <c r="BS31" s="4695"/>
      <c r="BT31" s="4695"/>
      <c r="BU31" s="4695"/>
      <c r="BV31" s="4695"/>
      <c r="BW31" s="4695"/>
      <c r="BX31" s="4695"/>
      <c r="BY31" s="4695"/>
      <c r="BZ31" s="4695"/>
      <c r="CA31" s="4695"/>
      <c r="CB31" s="4695"/>
      <c r="CC31" s="4695"/>
      <c r="CD31" s="4695"/>
      <c r="CE31" s="4695"/>
      <c r="CF31" s="4695"/>
      <c r="CG31" s="4695"/>
      <c r="CH31" s="4695"/>
      <c r="CI31" s="4695"/>
      <c r="CJ31" s="4695"/>
      <c r="CK31" s="4695"/>
      <c r="CL31" s="4695"/>
      <c r="CM31" s="4695"/>
      <c r="CN31" s="4695"/>
      <c r="CO31" s="4695"/>
      <c r="CP31" s="4695"/>
      <c r="CQ31" s="4695"/>
      <c r="CR31" s="4695"/>
      <c r="CS31" s="4695"/>
      <c r="CT31" s="4695"/>
      <c r="CU31" s="4695"/>
      <c r="CV31" s="4695"/>
      <c r="CW31" s="4695"/>
      <c r="CX31" s="4695"/>
      <c r="CY31" s="4695"/>
      <c r="CZ31" s="4695"/>
      <c r="DA31" s="4695"/>
      <c r="DB31" s="4695"/>
      <c r="DC31" s="4695"/>
      <c r="DD31" s="4695"/>
      <c r="DE31" s="4695"/>
      <c r="DF31" s="4695"/>
      <c r="DG31" s="4695"/>
      <c r="DH31" s="4695"/>
      <c r="DI31" s="4695"/>
      <c r="DJ31" s="4695"/>
      <c r="DK31" s="4695"/>
      <c r="DL31" s="4695"/>
      <c r="DM31" s="4695"/>
      <c r="DN31" s="4695"/>
      <c r="DO31" s="4695"/>
    </row>
    <row r="32" spans="1:119" s="180" customFormat="1">
      <c r="A32" s="858" t="s">
        <v>1225</v>
      </c>
      <c r="B32" s="669" t="s">
        <v>1217</v>
      </c>
      <c r="C32" s="321">
        <v>601</v>
      </c>
      <c r="D32" s="322">
        <v>691</v>
      </c>
      <c r="E32" s="322">
        <v>794</v>
      </c>
      <c r="F32" s="322">
        <v>914</v>
      </c>
      <c r="G32" s="322">
        <v>1051</v>
      </c>
      <c r="H32" s="659">
        <v>1068</v>
      </c>
      <c r="I32" s="321">
        <v>27</v>
      </c>
      <c r="J32" s="322">
        <v>31</v>
      </c>
      <c r="K32" s="322">
        <v>36</v>
      </c>
      <c r="L32" s="322">
        <v>41</v>
      </c>
      <c r="M32" s="322">
        <v>47</v>
      </c>
      <c r="N32" s="659">
        <v>54</v>
      </c>
      <c r="O32" s="321">
        <v>66</v>
      </c>
      <c r="P32" s="322">
        <v>76</v>
      </c>
      <c r="Q32" s="322">
        <v>87</v>
      </c>
      <c r="R32" s="322">
        <v>100</v>
      </c>
      <c r="S32" s="322">
        <v>115</v>
      </c>
      <c r="T32" s="659">
        <v>132</v>
      </c>
      <c r="U32" s="321"/>
      <c r="V32" s="322"/>
      <c r="W32" s="322"/>
      <c r="X32" s="322"/>
      <c r="Y32" s="322"/>
      <c r="Z32" s="659"/>
      <c r="AA32" s="321"/>
      <c r="AB32" s="322"/>
      <c r="AC32" s="322"/>
      <c r="AD32" s="322"/>
      <c r="AE32" s="322"/>
      <c r="AF32" s="659"/>
      <c r="AG32" s="321"/>
      <c r="AH32" s="322"/>
      <c r="AI32" s="322"/>
      <c r="AJ32" s="322"/>
      <c r="AK32" s="322"/>
      <c r="AL32" s="659"/>
      <c r="AM32" s="1062">
        <f t="shared" si="84"/>
        <v>694</v>
      </c>
      <c r="AN32" s="1063">
        <f t="shared" si="85"/>
        <v>798</v>
      </c>
      <c r="AO32" s="1063">
        <f t="shared" si="86"/>
        <v>917</v>
      </c>
      <c r="AP32" s="1063">
        <f t="shared" si="87"/>
        <v>1055</v>
      </c>
      <c r="AQ32" s="1063">
        <f t="shared" si="88"/>
        <v>1213</v>
      </c>
      <c r="AR32" s="1064">
        <f t="shared" si="89"/>
        <v>1254</v>
      </c>
      <c r="AS32" s="1699">
        <f t="shared" si="46"/>
        <v>0.80691642651296835</v>
      </c>
      <c r="AT32" s="1699">
        <f t="shared" si="43"/>
        <v>0.77703826955074873</v>
      </c>
      <c r="AU32" s="1700">
        <f t="shared" si="44"/>
        <v>1</v>
      </c>
      <c r="AV32" s="179"/>
      <c r="AW32" s="4695"/>
      <c r="AX32" s="4695"/>
      <c r="AY32" s="4695"/>
      <c r="AZ32" s="4695"/>
      <c r="BA32" s="4695"/>
      <c r="BB32" s="4695"/>
      <c r="BC32" s="4695"/>
      <c r="BD32" s="4695"/>
      <c r="BE32" s="4695"/>
      <c r="BF32" s="4695"/>
      <c r="BG32" s="4695"/>
      <c r="BH32" s="4695"/>
      <c r="BI32" s="4695"/>
      <c r="BJ32" s="4695"/>
      <c r="BK32" s="4695"/>
      <c r="BL32" s="4695"/>
      <c r="BM32" s="4695"/>
      <c r="BN32" s="4695"/>
      <c r="BO32" s="4695"/>
      <c r="BP32" s="4695"/>
      <c r="BQ32" s="4695"/>
      <c r="BR32" s="4695"/>
      <c r="BS32" s="4695"/>
      <c r="BT32" s="4695"/>
      <c r="BU32" s="4695"/>
      <c r="BV32" s="4695"/>
      <c r="BW32" s="4695"/>
      <c r="BX32" s="4695"/>
      <c r="BY32" s="4695"/>
      <c r="BZ32" s="4695"/>
      <c r="CA32" s="4695"/>
      <c r="CB32" s="4695"/>
      <c r="CC32" s="4695"/>
      <c r="CD32" s="4695"/>
      <c r="CE32" s="4695"/>
      <c r="CF32" s="4695"/>
      <c r="CG32" s="4695"/>
      <c r="CH32" s="4695"/>
      <c r="CI32" s="4695"/>
      <c r="CJ32" s="4695"/>
      <c r="CK32" s="4695"/>
      <c r="CL32" s="4695"/>
      <c r="CM32" s="4695"/>
      <c r="CN32" s="4695"/>
      <c r="CO32" s="4695"/>
      <c r="CP32" s="4695"/>
      <c r="CQ32" s="4695"/>
      <c r="CR32" s="4695"/>
      <c r="CS32" s="4695"/>
      <c r="CT32" s="4695"/>
      <c r="CU32" s="4695"/>
      <c r="CV32" s="4695"/>
      <c r="CW32" s="4695"/>
      <c r="CX32" s="4695"/>
      <c r="CY32" s="4695"/>
      <c r="CZ32" s="4695"/>
      <c r="DA32" s="4695"/>
      <c r="DB32" s="4695"/>
      <c r="DC32" s="4695"/>
      <c r="DD32" s="4695"/>
      <c r="DE32" s="4695"/>
      <c r="DF32" s="4695"/>
      <c r="DG32" s="4695"/>
      <c r="DH32" s="4695"/>
      <c r="DI32" s="4695"/>
      <c r="DJ32" s="4695"/>
      <c r="DK32" s="4695"/>
      <c r="DL32" s="4695"/>
      <c r="DM32" s="4695"/>
      <c r="DN32" s="4695"/>
      <c r="DO32" s="4695"/>
    </row>
    <row r="33" spans="1:119" s="180" customFormat="1">
      <c r="A33" s="858" t="s">
        <v>1226</v>
      </c>
      <c r="B33" s="669" t="s">
        <v>1218</v>
      </c>
      <c r="C33" s="321">
        <v>560</v>
      </c>
      <c r="D33" s="322">
        <v>644</v>
      </c>
      <c r="E33" s="322">
        <v>741</v>
      </c>
      <c r="F33" s="322">
        <v>852</v>
      </c>
      <c r="G33" s="322">
        <v>979</v>
      </c>
      <c r="H33" s="659">
        <v>979.8</v>
      </c>
      <c r="I33" s="321">
        <v>26</v>
      </c>
      <c r="J33" s="322">
        <v>30</v>
      </c>
      <c r="K33" s="322">
        <v>34</v>
      </c>
      <c r="L33" s="322">
        <v>39</v>
      </c>
      <c r="M33" s="322">
        <v>45</v>
      </c>
      <c r="N33" s="659">
        <v>52</v>
      </c>
      <c r="O33" s="321">
        <v>62</v>
      </c>
      <c r="P33" s="322">
        <v>71</v>
      </c>
      <c r="Q33" s="322">
        <v>82</v>
      </c>
      <c r="R33" s="322">
        <v>94</v>
      </c>
      <c r="S33" s="322">
        <v>108</v>
      </c>
      <c r="T33" s="659">
        <v>153</v>
      </c>
      <c r="U33" s="321"/>
      <c r="V33" s="322"/>
      <c r="W33" s="322"/>
      <c r="X33" s="322"/>
      <c r="Y33" s="322"/>
      <c r="Z33" s="659"/>
      <c r="AA33" s="321"/>
      <c r="AB33" s="322"/>
      <c r="AC33" s="322"/>
      <c r="AD33" s="322"/>
      <c r="AE33" s="322"/>
      <c r="AF33" s="659"/>
      <c r="AG33" s="321"/>
      <c r="AH33" s="322"/>
      <c r="AI33" s="322"/>
      <c r="AJ33" s="322"/>
      <c r="AK33" s="322"/>
      <c r="AL33" s="659"/>
      <c r="AM33" s="1062">
        <f t="shared" si="84"/>
        <v>648</v>
      </c>
      <c r="AN33" s="1063">
        <f t="shared" si="85"/>
        <v>745</v>
      </c>
      <c r="AO33" s="1063">
        <f t="shared" si="86"/>
        <v>857</v>
      </c>
      <c r="AP33" s="1063">
        <f t="shared" si="87"/>
        <v>985</v>
      </c>
      <c r="AQ33" s="1063">
        <f t="shared" si="88"/>
        <v>1132</v>
      </c>
      <c r="AR33" s="1064">
        <f t="shared" si="89"/>
        <v>1184.8</v>
      </c>
      <c r="AS33" s="1699">
        <f t="shared" si="46"/>
        <v>0.82839506172839494</v>
      </c>
      <c r="AT33" s="1699">
        <f t="shared" si="43"/>
        <v>0.74964285714285706</v>
      </c>
      <c r="AU33" s="1700">
        <f t="shared" si="44"/>
        <v>1.3295454545454546</v>
      </c>
      <c r="AV33" s="179"/>
      <c r="AW33" s="4695"/>
      <c r="AX33" s="4695"/>
      <c r="AY33" s="4695"/>
      <c r="AZ33" s="4695"/>
      <c r="BA33" s="4695"/>
      <c r="BB33" s="4695"/>
      <c r="BC33" s="4695"/>
      <c r="BD33" s="4695"/>
      <c r="BE33" s="4695"/>
      <c r="BF33" s="4695"/>
      <c r="BG33" s="4695"/>
      <c r="BH33" s="4695"/>
      <c r="BI33" s="4695"/>
      <c r="BJ33" s="4695"/>
      <c r="BK33" s="4695"/>
      <c r="BL33" s="4695"/>
      <c r="BM33" s="4695"/>
      <c r="BN33" s="4695"/>
      <c r="BO33" s="4695"/>
      <c r="BP33" s="4695"/>
      <c r="BQ33" s="4695"/>
      <c r="BR33" s="4695"/>
      <c r="BS33" s="4695"/>
      <c r="BT33" s="4695"/>
      <c r="BU33" s="4695"/>
      <c r="BV33" s="4695"/>
      <c r="BW33" s="4695"/>
      <c r="BX33" s="4695"/>
      <c r="BY33" s="4695"/>
      <c r="BZ33" s="4695"/>
      <c r="CA33" s="4695"/>
      <c r="CB33" s="4695"/>
      <c r="CC33" s="4695"/>
      <c r="CD33" s="4695"/>
      <c r="CE33" s="4695"/>
      <c r="CF33" s="4695"/>
      <c r="CG33" s="4695"/>
      <c r="CH33" s="4695"/>
      <c r="CI33" s="4695"/>
      <c r="CJ33" s="4695"/>
      <c r="CK33" s="4695"/>
      <c r="CL33" s="4695"/>
      <c r="CM33" s="4695"/>
      <c r="CN33" s="4695"/>
      <c r="CO33" s="4695"/>
      <c r="CP33" s="4695"/>
      <c r="CQ33" s="4695"/>
      <c r="CR33" s="4695"/>
      <c r="CS33" s="4695"/>
      <c r="CT33" s="4695"/>
      <c r="CU33" s="4695"/>
      <c r="CV33" s="4695"/>
      <c r="CW33" s="4695"/>
      <c r="CX33" s="4695"/>
      <c r="CY33" s="4695"/>
      <c r="CZ33" s="4695"/>
      <c r="DA33" s="4695"/>
      <c r="DB33" s="4695"/>
      <c r="DC33" s="4695"/>
      <c r="DD33" s="4695"/>
      <c r="DE33" s="4695"/>
      <c r="DF33" s="4695"/>
      <c r="DG33" s="4695"/>
      <c r="DH33" s="4695"/>
      <c r="DI33" s="4695"/>
      <c r="DJ33" s="4695"/>
      <c r="DK33" s="4695"/>
      <c r="DL33" s="4695"/>
      <c r="DM33" s="4695"/>
      <c r="DN33" s="4695"/>
      <c r="DO33" s="4695"/>
    </row>
    <row r="34" spans="1:119" s="180" customFormat="1" ht="24">
      <c r="A34" s="858" t="s">
        <v>1227</v>
      </c>
      <c r="B34" s="669" t="s">
        <v>1219</v>
      </c>
      <c r="C34" s="321">
        <v>143</v>
      </c>
      <c r="D34" s="322">
        <v>164</v>
      </c>
      <c r="E34" s="322">
        <v>189</v>
      </c>
      <c r="F34" s="322">
        <v>217</v>
      </c>
      <c r="G34" s="322">
        <v>250</v>
      </c>
      <c r="H34" s="659">
        <v>201</v>
      </c>
      <c r="I34" s="321">
        <v>0</v>
      </c>
      <c r="J34" s="322">
        <v>0</v>
      </c>
      <c r="K34" s="322">
        <v>0</v>
      </c>
      <c r="L34" s="322">
        <v>0</v>
      </c>
      <c r="M34" s="322">
        <v>0</v>
      </c>
      <c r="N34" s="659">
        <v>0</v>
      </c>
      <c r="O34" s="321">
        <v>0</v>
      </c>
      <c r="P34" s="322">
        <v>0</v>
      </c>
      <c r="Q34" s="322">
        <v>0</v>
      </c>
      <c r="R34" s="322">
        <v>0</v>
      </c>
      <c r="S34" s="322">
        <v>0</v>
      </c>
      <c r="T34" s="659">
        <v>0</v>
      </c>
      <c r="U34" s="321"/>
      <c r="V34" s="322"/>
      <c r="W34" s="322"/>
      <c r="X34" s="322"/>
      <c r="Y34" s="322"/>
      <c r="Z34" s="659"/>
      <c r="AA34" s="321"/>
      <c r="AB34" s="322"/>
      <c r="AC34" s="322"/>
      <c r="AD34" s="322"/>
      <c r="AE34" s="322"/>
      <c r="AF34" s="659"/>
      <c r="AG34" s="321"/>
      <c r="AH34" s="322"/>
      <c r="AI34" s="322"/>
      <c r="AJ34" s="322"/>
      <c r="AK34" s="322"/>
      <c r="AL34" s="659"/>
      <c r="AM34" s="1062">
        <f t="shared" si="84"/>
        <v>143</v>
      </c>
      <c r="AN34" s="1063">
        <f t="shared" si="85"/>
        <v>164</v>
      </c>
      <c r="AO34" s="1063">
        <f t="shared" si="86"/>
        <v>189</v>
      </c>
      <c r="AP34" s="1063">
        <f t="shared" si="87"/>
        <v>217</v>
      </c>
      <c r="AQ34" s="1063">
        <f t="shared" si="88"/>
        <v>250</v>
      </c>
      <c r="AR34" s="1064">
        <f t="shared" si="89"/>
        <v>201</v>
      </c>
      <c r="AS34" s="1699">
        <f t="shared" si="46"/>
        <v>0.40559440559440557</v>
      </c>
      <c r="AT34" s="1699">
        <f t="shared" si="43"/>
        <v>0.40559440559440557</v>
      </c>
      <c r="AU34" s="1700">
        <f t="shared" si="44"/>
        <v>0</v>
      </c>
      <c r="AV34" s="179"/>
      <c r="AW34" s="4695"/>
      <c r="AX34" s="4695"/>
      <c r="AY34" s="4695"/>
      <c r="AZ34" s="4695"/>
      <c r="BA34" s="4695"/>
      <c r="BB34" s="4695"/>
      <c r="BC34" s="4695"/>
      <c r="BD34" s="4695"/>
      <c r="BE34" s="4695"/>
      <c r="BF34" s="4695"/>
      <c r="BG34" s="4695"/>
      <c r="BH34" s="4695"/>
      <c r="BI34" s="4695"/>
      <c r="BJ34" s="4695"/>
      <c r="BK34" s="4695"/>
      <c r="BL34" s="4695"/>
      <c r="BM34" s="4695"/>
      <c r="BN34" s="4695"/>
      <c r="BO34" s="4695"/>
      <c r="BP34" s="4695"/>
      <c r="BQ34" s="4695"/>
      <c r="BR34" s="4695"/>
      <c r="BS34" s="4695"/>
      <c r="BT34" s="4695"/>
      <c r="BU34" s="4695"/>
      <c r="BV34" s="4695"/>
      <c r="BW34" s="4695"/>
      <c r="BX34" s="4695"/>
      <c r="BY34" s="4695"/>
      <c r="BZ34" s="4695"/>
      <c r="CA34" s="4695"/>
      <c r="CB34" s="4695"/>
      <c r="CC34" s="4695"/>
      <c r="CD34" s="4695"/>
      <c r="CE34" s="4695"/>
      <c r="CF34" s="4695"/>
      <c r="CG34" s="4695"/>
      <c r="CH34" s="4695"/>
      <c r="CI34" s="4695"/>
      <c r="CJ34" s="4695"/>
      <c r="CK34" s="4695"/>
      <c r="CL34" s="4695"/>
      <c r="CM34" s="4695"/>
      <c r="CN34" s="4695"/>
      <c r="CO34" s="4695"/>
      <c r="CP34" s="4695"/>
      <c r="CQ34" s="4695"/>
      <c r="CR34" s="4695"/>
      <c r="CS34" s="4695"/>
      <c r="CT34" s="4695"/>
      <c r="CU34" s="4695"/>
      <c r="CV34" s="4695"/>
      <c r="CW34" s="4695"/>
      <c r="CX34" s="4695"/>
      <c r="CY34" s="4695"/>
      <c r="CZ34" s="4695"/>
      <c r="DA34" s="4695"/>
      <c r="DB34" s="4695"/>
      <c r="DC34" s="4695"/>
      <c r="DD34" s="4695"/>
      <c r="DE34" s="4695"/>
      <c r="DF34" s="4695"/>
      <c r="DG34" s="4695"/>
      <c r="DH34" s="4695"/>
      <c r="DI34" s="4695"/>
      <c r="DJ34" s="4695"/>
      <c r="DK34" s="4695"/>
      <c r="DL34" s="4695"/>
      <c r="DM34" s="4695"/>
      <c r="DN34" s="4695"/>
      <c r="DO34" s="4695"/>
    </row>
    <row r="35" spans="1:119" s="180" customFormat="1" ht="36">
      <c r="A35" s="858" t="s">
        <v>1228</v>
      </c>
      <c r="B35" s="669" t="s">
        <v>1220</v>
      </c>
      <c r="C35" s="321">
        <v>0</v>
      </c>
      <c r="D35" s="322">
        <v>0</v>
      </c>
      <c r="E35" s="322">
        <v>0</v>
      </c>
      <c r="F35" s="322">
        <v>0</v>
      </c>
      <c r="G35" s="322">
        <v>0</v>
      </c>
      <c r="H35" s="659">
        <v>0</v>
      </c>
      <c r="I35" s="321">
        <v>0</v>
      </c>
      <c r="J35" s="322">
        <v>0</v>
      </c>
      <c r="K35" s="322">
        <v>0</v>
      </c>
      <c r="L35" s="322">
        <v>0</v>
      </c>
      <c r="M35" s="322">
        <v>0</v>
      </c>
      <c r="N35" s="659">
        <v>0</v>
      </c>
      <c r="O35" s="321">
        <v>0</v>
      </c>
      <c r="P35" s="322">
        <v>0</v>
      </c>
      <c r="Q35" s="322">
        <v>0</v>
      </c>
      <c r="R35" s="322">
        <v>0</v>
      </c>
      <c r="S35" s="322">
        <v>0</v>
      </c>
      <c r="T35" s="659">
        <v>0</v>
      </c>
      <c r="U35" s="321"/>
      <c r="V35" s="322"/>
      <c r="W35" s="322"/>
      <c r="X35" s="322"/>
      <c r="Y35" s="322"/>
      <c r="Z35" s="659"/>
      <c r="AA35" s="321"/>
      <c r="AB35" s="322"/>
      <c r="AC35" s="322"/>
      <c r="AD35" s="322"/>
      <c r="AE35" s="322"/>
      <c r="AF35" s="659"/>
      <c r="AG35" s="321"/>
      <c r="AH35" s="322"/>
      <c r="AI35" s="322"/>
      <c r="AJ35" s="322"/>
      <c r="AK35" s="322"/>
      <c r="AL35" s="659"/>
      <c r="AM35" s="1062">
        <f t="shared" si="84"/>
        <v>0</v>
      </c>
      <c r="AN35" s="1063">
        <f t="shared" si="85"/>
        <v>0</v>
      </c>
      <c r="AO35" s="1063">
        <f t="shared" si="86"/>
        <v>0</v>
      </c>
      <c r="AP35" s="1063">
        <f t="shared" si="87"/>
        <v>0</v>
      </c>
      <c r="AQ35" s="1063">
        <f t="shared" si="88"/>
        <v>0</v>
      </c>
      <c r="AR35" s="1064">
        <f t="shared" si="89"/>
        <v>0</v>
      </c>
      <c r="AS35" s="1699">
        <f t="shared" si="46"/>
        <v>0</v>
      </c>
      <c r="AT35" s="1699">
        <f t="shared" si="43"/>
        <v>0</v>
      </c>
      <c r="AU35" s="1700">
        <f t="shared" si="44"/>
        <v>0</v>
      </c>
      <c r="AV35" s="179"/>
      <c r="AW35" s="4695"/>
      <c r="AX35" s="4695"/>
      <c r="AY35" s="4695"/>
      <c r="AZ35" s="4695"/>
      <c r="BA35" s="4695"/>
      <c r="BB35" s="4695"/>
      <c r="BC35" s="4695"/>
      <c r="BD35" s="4695"/>
      <c r="BE35" s="4695"/>
      <c r="BF35" s="4695"/>
      <c r="BG35" s="4695"/>
      <c r="BH35" s="4695"/>
      <c r="BI35" s="4695"/>
      <c r="BJ35" s="4695"/>
      <c r="BK35" s="4695"/>
      <c r="BL35" s="4695"/>
      <c r="BM35" s="4695"/>
      <c r="BN35" s="4695"/>
      <c r="BO35" s="4695"/>
      <c r="BP35" s="4695"/>
      <c r="BQ35" s="4695"/>
      <c r="BR35" s="4695"/>
      <c r="BS35" s="4695"/>
      <c r="BT35" s="4695"/>
      <c r="BU35" s="4695"/>
      <c r="BV35" s="4695"/>
      <c r="BW35" s="4695"/>
      <c r="BX35" s="4695"/>
      <c r="BY35" s="4695"/>
      <c r="BZ35" s="4695"/>
      <c r="CA35" s="4695"/>
      <c r="CB35" s="4695"/>
      <c r="CC35" s="4695"/>
      <c r="CD35" s="4695"/>
      <c r="CE35" s="4695"/>
      <c r="CF35" s="4695"/>
      <c r="CG35" s="4695"/>
      <c r="CH35" s="4695"/>
      <c r="CI35" s="4695"/>
      <c r="CJ35" s="4695"/>
      <c r="CK35" s="4695"/>
      <c r="CL35" s="4695"/>
      <c r="CM35" s="4695"/>
      <c r="CN35" s="4695"/>
      <c r="CO35" s="4695"/>
      <c r="CP35" s="4695"/>
      <c r="CQ35" s="4695"/>
      <c r="CR35" s="4695"/>
      <c r="CS35" s="4695"/>
      <c r="CT35" s="4695"/>
      <c r="CU35" s="4695"/>
      <c r="CV35" s="4695"/>
      <c r="CW35" s="4695"/>
      <c r="CX35" s="4695"/>
      <c r="CY35" s="4695"/>
      <c r="CZ35" s="4695"/>
      <c r="DA35" s="4695"/>
      <c r="DB35" s="4695"/>
      <c r="DC35" s="4695"/>
      <c r="DD35" s="4695"/>
      <c r="DE35" s="4695"/>
      <c r="DF35" s="4695"/>
      <c r="DG35" s="4695"/>
      <c r="DH35" s="4695"/>
      <c r="DI35" s="4695"/>
      <c r="DJ35" s="4695"/>
      <c r="DK35" s="4695"/>
      <c r="DL35" s="4695"/>
      <c r="DM35" s="4695"/>
      <c r="DN35" s="4695"/>
      <c r="DO35" s="4695"/>
    </row>
    <row r="36" spans="1:119" s="180" customFormat="1" ht="24">
      <c r="A36" s="858" t="s">
        <v>1229</v>
      </c>
      <c r="B36" s="669" t="s">
        <v>1221</v>
      </c>
      <c r="C36" s="321">
        <f>954-45.33-72.412</f>
        <v>836.25799999999992</v>
      </c>
      <c r="D36" s="322">
        <v>926</v>
      </c>
      <c r="E36" s="322">
        <v>1064</v>
      </c>
      <c r="F36" s="322">
        <v>1225</v>
      </c>
      <c r="G36" s="322">
        <v>1408</v>
      </c>
      <c r="H36" s="659">
        <v>1516</v>
      </c>
      <c r="I36" s="321">
        <f>65-11.33-2.838</f>
        <v>50.832000000000001</v>
      </c>
      <c r="J36" s="322">
        <v>58</v>
      </c>
      <c r="K36" s="322">
        <v>65</v>
      </c>
      <c r="L36" s="322">
        <v>77</v>
      </c>
      <c r="M36" s="322">
        <v>89</v>
      </c>
      <c r="N36" s="659">
        <v>84.3</v>
      </c>
      <c r="O36" s="321">
        <f>273-11.33-9.202</f>
        <v>252.46800000000002</v>
      </c>
      <c r="P36" s="4979">
        <v>289</v>
      </c>
      <c r="Q36" s="322">
        <v>334.28</v>
      </c>
      <c r="R36" s="322">
        <v>384.3</v>
      </c>
      <c r="S36" s="322">
        <v>441.2</v>
      </c>
      <c r="T36" s="4949">
        <v>466</v>
      </c>
      <c r="U36" s="321">
        <f>18-1.548</f>
        <v>16.451999999999998</v>
      </c>
      <c r="V36" s="322">
        <v>18.920000000000002</v>
      </c>
      <c r="W36" s="322">
        <v>21.757999999999999</v>
      </c>
      <c r="X36" s="322">
        <v>25.021999999999998</v>
      </c>
      <c r="Y36" s="322">
        <v>28.774999999999999</v>
      </c>
      <c r="Z36" s="659">
        <v>32.904000000000003</v>
      </c>
      <c r="AA36" s="321"/>
      <c r="AB36" s="322"/>
      <c r="AC36" s="322"/>
      <c r="AD36" s="322"/>
      <c r="AE36" s="322"/>
      <c r="AF36" s="659"/>
      <c r="AG36" s="321">
        <v>102</v>
      </c>
      <c r="AH36" s="322">
        <v>117.3</v>
      </c>
      <c r="AI36" s="322">
        <v>134.9</v>
      </c>
      <c r="AJ36" s="322">
        <v>155.13999999999999</v>
      </c>
      <c r="AK36" s="322">
        <v>178.41</v>
      </c>
      <c r="AL36" s="659">
        <v>204</v>
      </c>
      <c r="AM36" s="1062">
        <f t="shared" si="84"/>
        <v>1156.01</v>
      </c>
      <c r="AN36" s="1063">
        <f t="shared" si="85"/>
        <v>1291.92</v>
      </c>
      <c r="AO36" s="1063">
        <f t="shared" si="86"/>
        <v>1485.038</v>
      </c>
      <c r="AP36" s="1063">
        <f t="shared" si="87"/>
        <v>1711.3219999999999</v>
      </c>
      <c r="AQ36" s="1063">
        <f t="shared" si="88"/>
        <v>1966.9750000000001</v>
      </c>
      <c r="AR36" s="1064">
        <f t="shared" si="89"/>
        <v>2099.2040000000002</v>
      </c>
      <c r="AS36" s="1699">
        <f t="shared" si="46"/>
        <v>0.81590470670668958</v>
      </c>
      <c r="AT36" s="1699">
        <f t="shared" si="43"/>
        <v>0.81644873403619067</v>
      </c>
      <c r="AU36" s="1700">
        <f t="shared" si="44"/>
        <v>0.81437520606660052</v>
      </c>
      <c r="AV36" s="179"/>
      <c r="AW36" s="4695"/>
      <c r="AX36" s="4695"/>
      <c r="AY36" s="4695"/>
      <c r="AZ36" s="4695"/>
      <c r="BA36" s="4695"/>
      <c r="BB36" s="4695"/>
      <c r="BC36" s="4695"/>
      <c r="BD36" s="4695"/>
      <c r="BE36" s="4695"/>
      <c r="BF36" s="4695"/>
      <c r="BG36" s="4695"/>
      <c r="BH36" s="4695"/>
      <c r="BI36" s="4695"/>
      <c r="BJ36" s="4695"/>
      <c r="BK36" s="4695"/>
      <c r="BL36" s="4695"/>
      <c r="BM36" s="4695"/>
      <c r="BN36" s="4695"/>
      <c r="BO36" s="4695"/>
      <c r="BP36" s="4695"/>
      <c r="BQ36" s="4695"/>
      <c r="BR36" s="4695"/>
      <c r="BS36" s="4695"/>
      <c r="BT36" s="4695"/>
      <c r="BU36" s="4695"/>
      <c r="BV36" s="4695"/>
      <c r="BW36" s="4695"/>
      <c r="BX36" s="4695"/>
      <c r="BY36" s="4695"/>
      <c r="BZ36" s="4695"/>
      <c r="CA36" s="4695"/>
      <c r="CB36" s="4695"/>
      <c r="CC36" s="4695"/>
      <c r="CD36" s="4695"/>
      <c r="CE36" s="4695"/>
      <c r="CF36" s="4695"/>
      <c r="CG36" s="4695"/>
      <c r="CH36" s="4695"/>
      <c r="CI36" s="4695"/>
      <c r="CJ36" s="4695"/>
      <c r="CK36" s="4695"/>
      <c r="CL36" s="4695"/>
      <c r="CM36" s="4695"/>
      <c r="CN36" s="4695"/>
      <c r="CO36" s="4695"/>
      <c r="CP36" s="4695"/>
      <c r="CQ36" s="4695"/>
      <c r="CR36" s="4695"/>
      <c r="CS36" s="4695"/>
      <c r="CT36" s="4695"/>
      <c r="CU36" s="4695"/>
      <c r="CV36" s="4695"/>
      <c r="CW36" s="4695"/>
      <c r="CX36" s="4695"/>
      <c r="CY36" s="4695"/>
      <c r="CZ36" s="4695"/>
      <c r="DA36" s="4695"/>
      <c r="DB36" s="4695"/>
      <c r="DC36" s="4695"/>
      <c r="DD36" s="4695"/>
      <c r="DE36" s="4695"/>
      <c r="DF36" s="4695"/>
      <c r="DG36" s="4695"/>
      <c r="DH36" s="4695"/>
      <c r="DI36" s="4695"/>
      <c r="DJ36" s="4695"/>
      <c r="DK36" s="4695"/>
      <c r="DL36" s="4695"/>
      <c r="DM36" s="4695"/>
      <c r="DN36" s="4695"/>
      <c r="DO36" s="4695"/>
    </row>
    <row r="37" spans="1:119" s="180" customFormat="1">
      <c r="A37" s="858" t="s">
        <v>1230</v>
      </c>
      <c r="B37" s="669" t="s">
        <v>1222</v>
      </c>
      <c r="C37" s="321">
        <v>524</v>
      </c>
      <c r="D37" s="322">
        <v>600</v>
      </c>
      <c r="E37" s="322">
        <v>689.4</v>
      </c>
      <c r="F37" s="322">
        <v>791.2</v>
      </c>
      <c r="G37" s="322">
        <v>910.5</v>
      </c>
      <c r="H37" s="659">
        <v>947.9</v>
      </c>
      <c r="I37" s="321">
        <v>43</v>
      </c>
      <c r="J37" s="322">
        <v>50.35</v>
      </c>
      <c r="K37" s="322">
        <v>59.85</v>
      </c>
      <c r="L37" s="322">
        <v>66.92</v>
      </c>
      <c r="M37" s="322">
        <v>76.25</v>
      </c>
      <c r="N37" s="659">
        <v>85.66</v>
      </c>
      <c r="O37" s="321">
        <v>0</v>
      </c>
      <c r="P37" s="322">
        <v>0</v>
      </c>
      <c r="Q37" s="322">
        <v>0</v>
      </c>
      <c r="R37" s="322">
        <v>0</v>
      </c>
      <c r="S37" s="322">
        <v>0</v>
      </c>
      <c r="T37" s="659">
        <v>0</v>
      </c>
      <c r="U37" s="321"/>
      <c r="V37" s="322"/>
      <c r="W37" s="322"/>
      <c r="X37" s="322"/>
      <c r="Y37" s="322"/>
      <c r="Z37" s="659"/>
      <c r="AA37" s="321"/>
      <c r="AB37" s="322"/>
      <c r="AC37" s="322"/>
      <c r="AD37" s="322"/>
      <c r="AE37" s="322"/>
      <c r="AF37" s="659"/>
      <c r="AG37" s="321"/>
      <c r="AH37" s="322"/>
      <c r="AI37" s="322"/>
      <c r="AJ37" s="322"/>
      <c r="AK37" s="322"/>
      <c r="AL37" s="659"/>
      <c r="AM37" s="1062">
        <f t="shared" si="84"/>
        <v>567</v>
      </c>
      <c r="AN37" s="1063">
        <f t="shared" si="85"/>
        <v>650.35</v>
      </c>
      <c r="AO37" s="1063">
        <f t="shared" si="86"/>
        <v>749.25</v>
      </c>
      <c r="AP37" s="1063">
        <f t="shared" si="87"/>
        <v>858.12</v>
      </c>
      <c r="AQ37" s="1063">
        <f t="shared" si="88"/>
        <v>986.75</v>
      </c>
      <c r="AR37" s="1064">
        <f t="shared" si="89"/>
        <v>1033.56</v>
      </c>
      <c r="AS37" s="1699">
        <f t="shared" si="46"/>
        <v>0.82285714285714273</v>
      </c>
      <c r="AT37" s="1699">
        <f t="shared" si="43"/>
        <v>0.80896946564885497</v>
      </c>
      <c r="AU37" s="1700">
        <f t="shared" si="44"/>
        <v>0.99209302325581383</v>
      </c>
      <c r="AV37" s="179"/>
      <c r="AW37" s="4695"/>
      <c r="AX37" s="4695"/>
      <c r="AY37" s="4695"/>
      <c r="AZ37" s="4695"/>
      <c r="BA37" s="4695"/>
      <c r="BB37" s="4695"/>
      <c r="BC37" s="4695"/>
      <c r="BD37" s="4695"/>
      <c r="BE37" s="4695"/>
      <c r="BF37" s="4695"/>
      <c r="BG37" s="4695"/>
      <c r="BH37" s="4695"/>
      <c r="BI37" s="4695"/>
      <c r="BJ37" s="4695"/>
      <c r="BK37" s="4695"/>
      <c r="BL37" s="4695"/>
      <c r="BM37" s="4695"/>
      <c r="BN37" s="4695"/>
      <c r="BO37" s="4695"/>
      <c r="BP37" s="4695"/>
      <c r="BQ37" s="4695"/>
      <c r="BR37" s="4695"/>
      <c r="BS37" s="4695"/>
      <c r="BT37" s="4695"/>
      <c r="BU37" s="4695"/>
      <c r="BV37" s="4695"/>
      <c r="BW37" s="4695"/>
      <c r="BX37" s="4695"/>
      <c r="BY37" s="4695"/>
      <c r="BZ37" s="4695"/>
      <c r="CA37" s="4695"/>
      <c r="CB37" s="4695"/>
      <c r="CC37" s="4695"/>
      <c r="CD37" s="4695"/>
      <c r="CE37" s="4695"/>
      <c r="CF37" s="4695"/>
      <c r="CG37" s="4695"/>
      <c r="CH37" s="4695"/>
      <c r="CI37" s="4695"/>
      <c r="CJ37" s="4695"/>
      <c r="CK37" s="4695"/>
      <c r="CL37" s="4695"/>
      <c r="CM37" s="4695"/>
      <c r="CN37" s="4695"/>
      <c r="CO37" s="4695"/>
      <c r="CP37" s="4695"/>
      <c r="CQ37" s="4695"/>
      <c r="CR37" s="4695"/>
      <c r="CS37" s="4695"/>
      <c r="CT37" s="4695"/>
      <c r="CU37" s="4695"/>
      <c r="CV37" s="4695"/>
      <c r="CW37" s="4695"/>
      <c r="CX37" s="4695"/>
      <c r="CY37" s="4695"/>
      <c r="CZ37" s="4695"/>
      <c r="DA37" s="4695"/>
      <c r="DB37" s="4695"/>
      <c r="DC37" s="4695"/>
      <c r="DD37" s="4695"/>
      <c r="DE37" s="4695"/>
      <c r="DF37" s="4695"/>
      <c r="DG37" s="4695"/>
      <c r="DH37" s="4695"/>
      <c r="DI37" s="4695"/>
      <c r="DJ37" s="4695"/>
      <c r="DK37" s="4695"/>
      <c r="DL37" s="4695"/>
      <c r="DM37" s="4695"/>
      <c r="DN37" s="4695"/>
      <c r="DO37" s="4695"/>
    </row>
    <row r="38" spans="1:119" s="180" customFormat="1">
      <c r="A38" s="859" t="s">
        <v>1231</v>
      </c>
      <c r="B38" s="692" t="s">
        <v>1223</v>
      </c>
      <c r="C38" s="321">
        <v>8</v>
      </c>
      <c r="D38" s="322">
        <v>8.5</v>
      </c>
      <c r="E38" s="322">
        <v>11</v>
      </c>
      <c r="F38" s="322">
        <v>12</v>
      </c>
      <c r="G38" s="322">
        <v>14</v>
      </c>
      <c r="H38" s="659">
        <v>16</v>
      </c>
      <c r="I38" s="321">
        <v>0</v>
      </c>
      <c r="J38" s="322">
        <v>0</v>
      </c>
      <c r="K38" s="322">
        <v>0</v>
      </c>
      <c r="L38" s="322">
        <v>0</v>
      </c>
      <c r="M38" s="322">
        <v>0</v>
      </c>
      <c r="N38" s="659">
        <v>0</v>
      </c>
      <c r="O38" s="321">
        <v>0</v>
      </c>
      <c r="P38" s="322">
        <v>0</v>
      </c>
      <c r="Q38" s="322">
        <v>0</v>
      </c>
      <c r="R38" s="322">
        <v>0</v>
      </c>
      <c r="S38" s="322">
        <v>0</v>
      </c>
      <c r="T38" s="659">
        <v>0</v>
      </c>
      <c r="U38" s="321"/>
      <c r="V38" s="322"/>
      <c r="W38" s="322"/>
      <c r="X38" s="322"/>
      <c r="Y38" s="322"/>
      <c r="Z38" s="659"/>
      <c r="AA38" s="321"/>
      <c r="AB38" s="322"/>
      <c r="AC38" s="322"/>
      <c r="AD38" s="322"/>
      <c r="AE38" s="322"/>
      <c r="AF38" s="659"/>
      <c r="AG38" s="321"/>
      <c r="AH38" s="322"/>
      <c r="AI38" s="322"/>
      <c r="AJ38" s="322"/>
      <c r="AK38" s="322"/>
      <c r="AL38" s="659"/>
      <c r="AM38" s="1062">
        <f t="shared" si="84"/>
        <v>8</v>
      </c>
      <c r="AN38" s="1063">
        <f t="shared" si="85"/>
        <v>8.5</v>
      </c>
      <c r="AO38" s="1063">
        <f t="shared" si="86"/>
        <v>11</v>
      </c>
      <c r="AP38" s="1063">
        <f t="shared" si="87"/>
        <v>12</v>
      </c>
      <c r="AQ38" s="1063">
        <f t="shared" si="88"/>
        <v>14</v>
      </c>
      <c r="AR38" s="1064">
        <f t="shared" si="89"/>
        <v>16</v>
      </c>
      <c r="AS38" s="1699">
        <f t="shared" si="46"/>
        <v>1</v>
      </c>
      <c r="AT38" s="1699">
        <f t="shared" si="43"/>
        <v>1</v>
      </c>
      <c r="AU38" s="1700">
        <f t="shared" si="44"/>
        <v>0</v>
      </c>
      <c r="AV38" s="179"/>
      <c r="AW38" s="4695"/>
      <c r="AX38" s="4695"/>
      <c r="AY38" s="4695"/>
      <c r="AZ38" s="4695"/>
      <c r="BA38" s="4695"/>
      <c r="BB38" s="4695"/>
      <c r="BC38" s="4695"/>
      <c r="BD38" s="4695"/>
      <c r="BE38" s="4695"/>
      <c r="BF38" s="4695"/>
      <c r="BG38" s="4695"/>
      <c r="BH38" s="4695"/>
      <c r="BI38" s="4695"/>
      <c r="BJ38" s="4695"/>
      <c r="BK38" s="4695"/>
      <c r="BL38" s="4695"/>
      <c r="BM38" s="4695"/>
      <c r="BN38" s="4695"/>
      <c r="BO38" s="4695"/>
      <c r="BP38" s="4695"/>
      <c r="BQ38" s="4695"/>
      <c r="BR38" s="4695"/>
      <c r="BS38" s="4695"/>
      <c r="BT38" s="4695"/>
      <c r="BU38" s="4695"/>
      <c r="BV38" s="4695"/>
      <c r="BW38" s="4695"/>
      <c r="BX38" s="4695"/>
      <c r="BY38" s="4695"/>
      <c r="BZ38" s="4695"/>
      <c r="CA38" s="4695"/>
      <c r="CB38" s="4695"/>
      <c r="CC38" s="4695"/>
      <c r="CD38" s="4695"/>
      <c r="CE38" s="4695"/>
      <c r="CF38" s="4695"/>
      <c r="CG38" s="4695"/>
      <c r="CH38" s="4695"/>
      <c r="CI38" s="4695"/>
      <c r="CJ38" s="4695"/>
      <c r="CK38" s="4695"/>
      <c r="CL38" s="4695"/>
      <c r="CM38" s="4695"/>
      <c r="CN38" s="4695"/>
      <c r="CO38" s="4695"/>
      <c r="CP38" s="4695"/>
      <c r="CQ38" s="4695"/>
      <c r="CR38" s="4695"/>
      <c r="CS38" s="4695"/>
      <c r="CT38" s="4695"/>
      <c r="CU38" s="4695"/>
      <c r="CV38" s="4695"/>
      <c r="CW38" s="4695"/>
      <c r="CX38" s="4695"/>
      <c r="CY38" s="4695"/>
      <c r="CZ38" s="4695"/>
      <c r="DA38" s="4695"/>
      <c r="DB38" s="4695"/>
      <c r="DC38" s="4695"/>
      <c r="DD38" s="4695"/>
      <c r="DE38" s="4695"/>
      <c r="DF38" s="4695"/>
      <c r="DG38" s="4695"/>
      <c r="DH38" s="4695"/>
      <c r="DI38" s="4695"/>
      <c r="DJ38" s="4695"/>
      <c r="DK38" s="4695"/>
      <c r="DL38" s="4695"/>
      <c r="DM38" s="4695"/>
      <c r="DN38" s="4695"/>
      <c r="DO38" s="4695"/>
    </row>
    <row r="39" spans="1:119" s="793" customFormat="1" ht="24">
      <c r="A39" s="791" t="s">
        <v>100</v>
      </c>
      <c r="B39" s="792" t="s">
        <v>1278</v>
      </c>
      <c r="C39" s="1678">
        <f>'8. Ремонтна програма'!J33</f>
        <v>455</v>
      </c>
      <c r="D39" s="1678">
        <f>'8. Ремонтна програма'!K33</f>
        <v>500</v>
      </c>
      <c r="E39" s="1678">
        <f>'8. Ремонтна програма'!L33</f>
        <v>540</v>
      </c>
      <c r="F39" s="1678">
        <f>'8. Ремонтна програма'!M33</f>
        <v>590</v>
      </c>
      <c r="G39" s="1678">
        <f>'8. Ремонтна програма'!N33</f>
        <v>650</v>
      </c>
      <c r="H39" s="1676">
        <f>'8. Ремонтна програма'!O33</f>
        <v>650</v>
      </c>
      <c r="I39" s="1677">
        <f>'8. Ремонтна програма'!J62</f>
        <v>25</v>
      </c>
      <c r="J39" s="1678">
        <f>'8. Ремонтна програма'!K62</f>
        <v>28.75</v>
      </c>
      <c r="K39" s="1678">
        <f>'8. Ремонтна програма'!L62</f>
        <v>33</v>
      </c>
      <c r="L39" s="1678">
        <f>'8. Ремонтна програма'!M62</f>
        <v>36</v>
      </c>
      <c r="M39" s="1678">
        <f>'8. Ремонтна програма'!N62</f>
        <v>41</v>
      </c>
      <c r="N39" s="1676">
        <f>'8. Ремонтна програма'!O62</f>
        <v>45</v>
      </c>
      <c r="O39" s="1677">
        <f>'8. Ремонтна програма'!J88</f>
        <v>1.887</v>
      </c>
      <c r="P39" s="1678">
        <f>'8. Ремонтна програма'!K88</f>
        <v>2.16</v>
      </c>
      <c r="Q39" s="1678">
        <f>'8. Ремонтна програма'!L88</f>
        <v>2.16</v>
      </c>
      <c r="R39" s="1678">
        <f>'8. Ремонтна програма'!M88</f>
        <v>2.16</v>
      </c>
      <c r="S39" s="1678">
        <f>'8. Ремонтна програма'!N88</f>
        <v>2.16</v>
      </c>
      <c r="T39" s="1676">
        <f>'8. Ремонтна програма'!O88</f>
        <v>2.16</v>
      </c>
      <c r="U39" s="1677">
        <f>'8. Ремонтна програма'!J119</f>
        <v>0</v>
      </c>
      <c r="V39" s="1678">
        <f>'8. Ремонтна програма'!K119</f>
        <v>0</v>
      </c>
      <c r="W39" s="1678">
        <f>'8. Ремонтна програма'!L119</f>
        <v>2</v>
      </c>
      <c r="X39" s="1678">
        <f>'8. Ремонтна програма'!M119</f>
        <v>2</v>
      </c>
      <c r="Y39" s="1678">
        <f>'8. Ремонтна програма'!N119</f>
        <v>7</v>
      </c>
      <c r="Z39" s="1676">
        <f>'8. Ремонтна програма'!O119</f>
        <v>2</v>
      </c>
      <c r="AA39" s="1677">
        <f>'8. Ремонтна програма'!J150</f>
        <v>0</v>
      </c>
      <c r="AB39" s="1678">
        <f>'8. Ремонтна програма'!K150</f>
        <v>0</v>
      </c>
      <c r="AC39" s="1678">
        <f>'8. Ремонтна програма'!L150</f>
        <v>0</v>
      </c>
      <c r="AD39" s="1678">
        <f>'8. Ремонтна програма'!M150</f>
        <v>0</v>
      </c>
      <c r="AE39" s="1678">
        <f>'8. Ремонтна програма'!N150</f>
        <v>0</v>
      </c>
      <c r="AF39" s="1676">
        <f>'8. Ремонтна програма'!O150</f>
        <v>0</v>
      </c>
      <c r="AG39" s="660"/>
      <c r="AH39" s="661"/>
      <c r="AI39" s="661"/>
      <c r="AJ39" s="661"/>
      <c r="AK39" s="661"/>
      <c r="AL39" s="662"/>
      <c r="AM39" s="1062">
        <f t="shared" si="84"/>
        <v>481.887</v>
      </c>
      <c r="AN39" s="1063">
        <f t="shared" si="85"/>
        <v>530.91</v>
      </c>
      <c r="AO39" s="1063">
        <f t="shared" si="86"/>
        <v>577.16</v>
      </c>
      <c r="AP39" s="1063">
        <f t="shared" si="87"/>
        <v>630.16</v>
      </c>
      <c r="AQ39" s="1063">
        <f t="shared" si="88"/>
        <v>700.16</v>
      </c>
      <c r="AR39" s="1064">
        <f t="shared" si="89"/>
        <v>699.16</v>
      </c>
      <c r="AS39" s="1701"/>
      <c r="AT39" s="1701">
        <f t="shared" si="43"/>
        <v>0.43296703296703298</v>
      </c>
      <c r="AU39" s="1702">
        <f t="shared" si="44"/>
        <v>0.75400751292446144</v>
      </c>
      <c r="AW39" s="4695"/>
      <c r="AX39" s="4695"/>
      <c r="AY39" s="4695"/>
      <c r="AZ39" s="4695"/>
      <c r="BA39" s="4695"/>
      <c r="BB39" s="4695"/>
      <c r="BC39" s="4695"/>
      <c r="BD39" s="4695"/>
      <c r="BE39" s="4695"/>
      <c r="BF39" s="4695"/>
      <c r="BG39" s="4695"/>
      <c r="BH39" s="4695"/>
      <c r="BI39" s="4695"/>
      <c r="BJ39" s="4695"/>
      <c r="BK39" s="4695"/>
      <c r="BL39" s="4695"/>
      <c r="BM39" s="4695"/>
      <c r="BN39" s="4695"/>
      <c r="BO39" s="4695"/>
      <c r="BP39" s="4695"/>
      <c r="BQ39" s="4695"/>
      <c r="BR39" s="4695"/>
      <c r="BS39" s="4695"/>
      <c r="BT39" s="4695"/>
      <c r="BU39" s="4695"/>
      <c r="BV39" s="4695"/>
      <c r="BW39" s="4695"/>
      <c r="BX39" s="4695"/>
      <c r="BY39" s="4695"/>
      <c r="BZ39" s="4695"/>
      <c r="CA39" s="4695"/>
      <c r="CB39" s="4695"/>
      <c r="CC39" s="4695"/>
      <c r="CD39" s="4695"/>
      <c r="CE39" s="4695"/>
      <c r="CF39" s="4695"/>
      <c r="CG39" s="4695"/>
      <c r="CH39" s="4695"/>
      <c r="CI39" s="4695"/>
      <c r="CJ39" s="4695"/>
      <c r="CK39" s="4695"/>
      <c r="CL39" s="4695"/>
      <c r="CM39" s="4695"/>
      <c r="CN39" s="4695"/>
      <c r="CO39" s="4695"/>
      <c r="CP39" s="4695"/>
      <c r="CQ39" s="4695"/>
      <c r="CR39" s="4695"/>
      <c r="CS39" s="4695"/>
      <c r="CT39" s="4695"/>
      <c r="CU39" s="4695"/>
      <c r="CV39" s="4695"/>
      <c r="CW39" s="4695"/>
      <c r="CX39" s="4695"/>
      <c r="CY39" s="4695"/>
      <c r="CZ39" s="4695"/>
      <c r="DA39" s="4695"/>
      <c r="DB39" s="4695"/>
      <c r="DC39" s="4695"/>
      <c r="DD39" s="4695"/>
      <c r="DE39" s="4695"/>
      <c r="DF39" s="4695"/>
      <c r="DG39" s="4695"/>
      <c r="DH39" s="4695"/>
      <c r="DI39" s="4695"/>
      <c r="DJ39" s="4695"/>
      <c r="DK39" s="4695"/>
      <c r="DL39" s="4695"/>
      <c r="DM39" s="4695"/>
      <c r="DN39" s="4695"/>
      <c r="DO39" s="4695"/>
    </row>
    <row r="40" spans="1:119" s="691" customFormat="1" ht="24.75" thickBot="1">
      <c r="A40" s="354" t="s">
        <v>173</v>
      </c>
      <c r="B40" s="698" t="s">
        <v>1279</v>
      </c>
      <c r="C40" s="663">
        <v>88</v>
      </c>
      <c r="D40" s="664">
        <v>102</v>
      </c>
      <c r="E40" s="664">
        <v>116</v>
      </c>
      <c r="F40" s="664">
        <v>133</v>
      </c>
      <c r="G40" s="664">
        <v>153</v>
      </c>
      <c r="H40" s="665">
        <v>176</v>
      </c>
      <c r="I40" s="663">
        <v>17</v>
      </c>
      <c r="J40" s="664">
        <v>20</v>
      </c>
      <c r="K40" s="664">
        <v>23</v>
      </c>
      <c r="L40" s="664">
        <v>26</v>
      </c>
      <c r="M40" s="664">
        <v>30</v>
      </c>
      <c r="N40" s="665">
        <v>34</v>
      </c>
      <c r="O40" s="663">
        <v>12</v>
      </c>
      <c r="P40" s="664">
        <v>14</v>
      </c>
      <c r="Q40" s="664">
        <v>16</v>
      </c>
      <c r="R40" s="664">
        <v>19</v>
      </c>
      <c r="S40" s="664">
        <v>21</v>
      </c>
      <c r="T40" s="665">
        <v>24</v>
      </c>
      <c r="U40" s="663">
        <v>0</v>
      </c>
      <c r="V40" s="664">
        <v>1</v>
      </c>
      <c r="W40" s="664">
        <v>1</v>
      </c>
      <c r="X40" s="664">
        <v>1</v>
      </c>
      <c r="Y40" s="664">
        <v>1</v>
      </c>
      <c r="Z40" s="665">
        <v>1</v>
      </c>
      <c r="AA40" s="663"/>
      <c r="AB40" s="664"/>
      <c r="AC40" s="664"/>
      <c r="AD40" s="664"/>
      <c r="AE40" s="664"/>
      <c r="AF40" s="665"/>
      <c r="AG40" s="663"/>
      <c r="AH40" s="664"/>
      <c r="AI40" s="664"/>
      <c r="AJ40" s="664"/>
      <c r="AK40" s="664"/>
      <c r="AL40" s="665"/>
      <c r="AM40" s="1679">
        <f t="shared" si="84"/>
        <v>117</v>
      </c>
      <c r="AN40" s="1680">
        <f t="shared" si="85"/>
        <v>137</v>
      </c>
      <c r="AO40" s="1680">
        <f t="shared" si="86"/>
        <v>156</v>
      </c>
      <c r="AP40" s="1680">
        <f t="shared" si="87"/>
        <v>179</v>
      </c>
      <c r="AQ40" s="1680">
        <f t="shared" si="88"/>
        <v>205</v>
      </c>
      <c r="AR40" s="1681">
        <f t="shared" si="89"/>
        <v>235</v>
      </c>
      <c r="AS40" s="1703">
        <f>IFERROR((AR40-AM40)/AM40,0)</f>
        <v>1.0085470085470085</v>
      </c>
      <c r="AT40" s="1703">
        <f t="shared" si="43"/>
        <v>1.0113636363636365</v>
      </c>
      <c r="AU40" s="1704">
        <f t="shared" si="44"/>
        <v>1</v>
      </c>
      <c r="AW40" s="4695"/>
      <c r="AX40" s="4695"/>
      <c r="AY40" s="4695"/>
      <c r="AZ40" s="4695"/>
      <c r="BA40" s="4695"/>
      <c r="BB40" s="4695"/>
      <c r="BC40" s="4695"/>
      <c r="BD40" s="4695"/>
      <c r="BE40" s="4695"/>
      <c r="BF40" s="4695"/>
      <c r="BG40" s="4695"/>
      <c r="BH40" s="4695"/>
      <c r="BI40" s="4695"/>
      <c r="BJ40" s="4695"/>
      <c r="BK40" s="4695"/>
      <c r="BL40" s="4695"/>
      <c r="BM40" s="4695"/>
      <c r="BN40" s="4695"/>
      <c r="BO40" s="4695"/>
      <c r="BP40" s="4695"/>
      <c r="BQ40" s="4695"/>
      <c r="BR40" s="4695"/>
      <c r="BS40" s="4695"/>
      <c r="BT40" s="4695"/>
      <c r="BU40" s="4695"/>
      <c r="BV40" s="4695"/>
      <c r="BW40" s="4695"/>
      <c r="BX40" s="4695"/>
      <c r="BY40" s="4695"/>
      <c r="BZ40" s="4695"/>
      <c r="CA40" s="4695"/>
      <c r="CB40" s="4695"/>
      <c r="CC40" s="4695"/>
      <c r="CD40" s="4695"/>
      <c r="CE40" s="4695"/>
      <c r="CF40" s="4695"/>
      <c r="CG40" s="4695"/>
      <c r="CH40" s="4695"/>
      <c r="CI40" s="4695"/>
      <c r="CJ40" s="4695"/>
      <c r="CK40" s="4695"/>
      <c r="CL40" s="4695"/>
      <c r="CM40" s="4695"/>
      <c r="CN40" s="4695"/>
      <c r="CO40" s="4695"/>
      <c r="CP40" s="4695"/>
      <c r="CQ40" s="4695"/>
      <c r="CR40" s="4695"/>
      <c r="CS40" s="4695"/>
      <c r="CT40" s="4695"/>
      <c r="CU40" s="4695"/>
      <c r="CV40" s="4695"/>
      <c r="CW40" s="4695"/>
      <c r="CX40" s="4695"/>
      <c r="CY40" s="4695"/>
      <c r="CZ40" s="4695"/>
      <c r="DA40" s="4695"/>
      <c r="DB40" s="4695"/>
      <c r="DC40" s="4695"/>
      <c r="DD40" s="4695"/>
      <c r="DE40" s="4695"/>
      <c r="DF40" s="4695"/>
      <c r="DG40" s="4695"/>
      <c r="DH40" s="4695"/>
      <c r="DI40" s="4695"/>
      <c r="DJ40" s="4695"/>
      <c r="DK40" s="4695"/>
      <c r="DL40" s="4695"/>
      <c r="DM40" s="4695"/>
      <c r="DN40" s="4695"/>
      <c r="DO40" s="4695"/>
    </row>
    <row r="41" spans="1:119" s="180" customFormat="1">
      <c r="A41" s="352"/>
      <c r="B41" s="353"/>
      <c r="C41" s="1692"/>
      <c r="D41" s="1693"/>
      <c r="E41" s="1693"/>
      <c r="F41" s="1693"/>
      <c r="G41" s="1693"/>
      <c r="H41" s="1694"/>
      <c r="I41" s="1692"/>
      <c r="J41" s="1693"/>
      <c r="K41" s="1693"/>
      <c r="L41" s="1693"/>
      <c r="M41" s="1693"/>
      <c r="N41" s="1694"/>
      <c r="O41" s="1692"/>
      <c r="P41" s="1693"/>
      <c r="Q41" s="1693"/>
      <c r="R41" s="1693"/>
      <c r="S41" s="1693"/>
      <c r="T41" s="1694"/>
      <c r="U41" s="1692"/>
      <c r="V41" s="1693"/>
      <c r="W41" s="1693"/>
      <c r="X41" s="1693"/>
      <c r="Y41" s="1693"/>
      <c r="Z41" s="1694"/>
      <c r="AA41" s="1692"/>
      <c r="AB41" s="1693"/>
      <c r="AC41" s="1693"/>
      <c r="AD41" s="1693"/>
      <c r="AE41" s="1693"/>
      <c r="AF41" s="1694"/>
      <c r="AG41" s="1692"/>
      <c r="AH41" s="1693"/>
      <c r="AI41" s="1693"/>
      <c r="AJ41" s="1693"/>
      <c r="AK41" s="1693"/>
      <c r="AL41" s="1694"/>
      <c r="AM41" s="1692"/>
      <c r="AN41" s="1693"/>
      <c r="AO41" s="1693"/>
      <c r="AP41" s="1693"/>
      <c r="AQ41" s="1693"/>
      <c r="AR41" s="1694"/>
      <c r="AS41" s="1695"/>
      <c r="AT41" s="1695"/>
      <c r="AU41" s="1696"/>
      <c r="AV41" s="179"/>
      <c r="AW41" s="4695"/>
      <c r="AX41" s="4695"/>
      <c r="AY41" s="4695"/>
      <c r="AZ41" s="4695"/>
      <c r="BA41" s="4695"/>
      <c r="BB41" s="4695"/>
      <c r="BC41" s="4695"/>
      <c r="BD41" s="4695"/>
      <c r="BE41" s="4695"/>
      <c r="BF41" s="4695"/>
      <c r="BG41" s="4695"/>
      <c r="BH41" s="4695"/>
      <c r="BI41" s="4695"/>
      <c r="BJ41" s="4695"/>
      <c r="BK41" s="4695"/>
      <c r="BL41" s="4695"/>
      <c r="BM41" s="4695"/>
      <c r="BN41" s="4695"/>
      <c r="BO41" s="4695"/>
      <c r="BP41" s="4695"/>
      <c r="BQ41" s="4695"/>
      <c r="BR41" s="4695"/>
      <c r="BS41" s="4695"/>
      <c r="BT41" s="4695"/>
      <c r="BU41" s="4695"/>
      <c r="BV41" s="4695"/>
      <c r="BW41" s="4695"/>
      <c r="BX41" s="4695"/>
      <c r="BY41" s="4695"/>
      <c r="BZ41" s="4695"/>
      <c r="CA41" s="4695"/>
      <c r="CB41" s="4695"/>
      <c r="CC41" s="4695"/>
      <c r="CD41" s="4695"/>
      <c r="CE41" s="4695"/>
      <c r="CF41" s="4695"/>
      <c r="CG41" s="4695"/>
      <c r="CH41" s="4695"/>
      <c r="CI41" s="4695"/>
      <c r="CJ41" s="4695"/>
      <c r="CK41" s="4695"/>
      <c r="CL41" s="4695"/>
      <c r="CM41" s="4695"/>
      <c r="CN41" s="4695"/>
      <c r="CO41" s="4695"/>
      <c r="CP41" s="4695"/>
      <c r="CQ41" s="4695"/>
      <c r="CR41" s="4695"/>
      <c r="CS41" s="4695"/>
      <c r="CT41" s="4695"/>
      <c r="CU41" s="4695"/>
      <c r="CV41" s="4695"/>
      <c r="CW41" s="4695"/>
      <c r="CX41" s="4695"/>
      <c r="CY41" s="4695"/>
      <c r="CZ41" s="4695"/>
      <c r="DA41" s="4695"/>
      <c r="DB41" s="4695"/>
      <c r="DC41" s="4695"/>
      <c r="DD41" s="4695"/>
      <c r="DE41" s="4695"/>
      <c r="DF41" s="4695"/>
      <c r="DG41" s="4695"/>
      <c r="DH41" s="4695"/>
      <c r="DI41" s="4695"/>
      <c r="DJ41" s="4695"/>
      <c r="DK41" s="4695"/>
      <c r="DL41" s="4695"/>
      <c r="DM41" s="4695"/>
      <c r="DN41" s="4695"/>
      <c r="DO41" s="4695"/>
    </row>
    <row r="42" spans="1:119" s="181" customFormat="1">
      <c r="A42" s="1046" t="s">
        <v>102</v>
      </c>
      <c r="B42" s="1047" t="s">
        <v>728</v>
      </c>
      <c r="C42" s="2202">
        <v>663</v>
      </c>
      <c r="D42" s="2203">
        <v>762</v>
      </c>
      <c r="E42" s="2203">
        <v>877</v>
      </c>
      <c r="F42" s="2203">
        <v>1008</v>
      </c>
      <c r="G42" s="2203">
        <v>1159</v>
      </c>
      <c r="H42" s="2204">
        <v>1333</v>
      </c>
      <c r="I42" s="2202">
        <v>48</v>
      </c>
      <c r="J42" s="2203">
        <v>55</v>
      </c>
      <c r="K42" s="2203">
        <v>63</v>
      </c>
      <c r="L42" s="2203">
        <v>73</v>
      </c>
      <c r="M42" s="2203">
        <v>84</v>
      </c>
      <c r="N42" s="2204">
        <v>96</v>
      </c>
      <c r="O42" s="2202">
        <v>93</v>
      </c>
      <c r="P42" s="2203">
        <v>107</v>
      </c>
      <c r="Q42" s="2203">
        <v>123</v>
      </c>
      <c r="R42" s="2203">
        <v>141</v>
      </c>
      <c r="S42" s="2203">
        <v>163</v>
      </c>
      <c r="T42" s="2204">
        <v>187</v>
      </c>
      <c r="U42" s="2202">
        <v>3.65</v>
      </c>
      <c r="V42" s="2203">
        <v>5</v>
      </c>
      <c r="W42" s="2203">
        <v>5</v>
      </c>
      <c r="X42" s="2203">
        <v>6</v>
      </c>
      <c r="Y42" s="2203">
        <v>7</v>
      </c>
      <c r="Z42" s="2204">
        <v>8</v>
      </c>
      <c r="AA42" s="660"/>
      <c r="AB42" s="661"/>
      <c r="AC42" s="661"/>
      <c r="AD42" s="661"/>
      <c r="AE42" s="661"/>
      <c r="AF42" s="662"/>
      <c r="AG42" s="2202">
        <v>21</v>
      </c>
      <c r="AH42" s="2203">
        <v>24</v>
      </c>
      <c r="AI42" s="2203">
        <v>28</v>
      </c>
      <c r="AJ42" s="2203">
        <v>32</v>
      </c>
      <c r="AK42" s="2203">
        <v>37</v>
      </c>
      <c r="AL42" s="2204">
        <v>42</v>
      </c>
      <c r="AM42" s="1066">
        <f t="shared" si="84"/>
        <v>807.65</v>
      </c>
      <c r="AN42" s="1067">
        <f t="shared" si="85"/>
        <v>929</v>
      </c>
      <c r="AO42" s="1067">
        <f t="shared" si="86"/>
        <v>1068</v>
      </c>
      <c r="AP42" s="1067">
        <f t="shared" si="87"/>
        <v>1228</v>
      </c>
      <c r="AQ42" s="1067">
        <f t="shared" si="88"/>
        <v>1413</v>
      </c>
      <c r="AR42" s="1068">
        <f t="shared" si="89"/>
        <v>1624</v>
      </c>
      <c r="AS42" s="1701">
        <f>IFERROR((AR42-AM42)/AM42,0)</f>
        <v>1.0107719928186716</v>
      </c>
      <c r="AT42" s="1701">
        <f t="shared" si="43"/>
        <v>1.011550288757219</v>
      </c>
      <c r="AU42" s="1702">
        <f t="shared" si="44"/>
        <v>1.0070921985815602</v>
      </c>
      <c r="AV42" s="165"/>
      <c r="AW42" s="4695"/>
      <c r="AX42" s="4695"/>
      <c r="AY42" s="4695"/>
      <c r="AZ42" s="4695"/>
      <c r="BA42" s="4695"/>
      <c r="BB42" s="4695"/>
      <c r="BC42" s="4695"/>
      <c r="BD42" s="4695"/>
      <c r="BE42" s="4695"/>
      <c r="BF42" s="4695"/>
      <c r="BG42" s="4695"/>
      <c r="BH42" s="4695"/>
      <c r="BI42" s="4695"/>
      <c r="BJ42" s="4695"/>
      <c r="BK42" s="4695"/>
      <c r="BL42" s="4695"/>
      <c r="BM42" s="4695"/>
      <c r="BN42" s="4695"/>
      <c r="BO42" s="4695"/>
      <c r="BP42" s="4695"/>
      <c r="BQ42" s="4695"/>
      <c r="BR42" s="4695"/>
      <c r="BS42" s="4695"/>
      <c r="BT42" s="4695"/>
      <c r="BU42" s="4695"/>
      <c r="BV42" s="4695"/>
      <c r="BW42" s="4695"/>
      <c r="BX42" s="4695"/>
      <c r="BY42" s="4695"/>
      <c r="BZ42" s="4695"/>
      <c r="CA42" s="4695"/>
      <c r="CB42" s="4695"/>
      <c r="CC42" s="4695"/>
      <c r="CD42" s="4695"/>
      <c r="CE42" s="4695"/>
      <c r="CF42" s="4695"/>
      <c r="CG42" s="4695"/>
      <c r="CH42" s="4695"/>
      <c r="CI42" s="4695"/>
      <c r="CJ42" s="4695"/>
      <c r="CK42" s="4695"/>
      <c r="CL42" s="4695"/>
      <c r="CM42" s="4695"/>
      <c r="CN42" s="4695"/>
      <c r="CO42" s="4695"/>
      <c r="CP42" s="4695"/>
      <c r="CQ42" s="4695"/>
      <c r="CR42" s="4695"/>
      <c r="CS42" s="4695"/>
      <c r="CT42" s="4695"/>
      <c r="CU42" s="4695"/>
      <c r="CV42" s="4695"/>
      <c r="CW42" s="4695"/>
      <c r="CX42" s="4695"/>
      <c r="CY42" s="4695"/>
      <c r="CZ42" s="4695"/>
      <c r="DA42" s="4695"/>
      <c r="DB42" s="4695"/>
      <c r="DC42" s="4695"/>
      <c r="DD42" s="4695"/>
      <c r="DE42" s="4695"/>
      <c r="DF42" s="4695"/>
      <c r="DG42" s="4695"/>
      <c r="DH42" s="4695"/>
      <c r="DI42" s="4695"/>
      <c r="DJ42" s="4695"/>
      <c r="DK42" s="4695"/>
      <c r="DL42" s="4695"/>
      <c r="DM42" s="4695"/>
      <c r="DN42" s="4695"/>
      <c r="DO42" s="4695"/>
    </row>
    <row r="43" spans="1:119" s="793" customFormat="1" ht="24">
      <c r="A43" s="794" t="s">
        <v>268</v>
      </c>
      <c r="B43" s="697" t="s">
        <v>1280</v>
      </c>
      <c r="C43" s="1677">
        <f>'8. Ремонтна програма'!J35</f>
        <v>95</v>
      </c>
      <c r="D43" s="1678">
        <f>'8. Ремонтна програма'!K35</f>
        <v>104</v>
      </c>
      <c r="E43" s="1678">
        <f>'8. Ремонтна програма'!L35</f>
        <v>112</v>
      </c>
      <c r="F43" s="1678">
        <f>'8. Ремонтна програма'!M35</f>
        <v>123</v>
      </c>
      <c r="G43" s="1678">
        <f>'8. Ремонтна програма'!N35</f>
        <v>135</v>
      </c>
      <c r="H43" s="1676">
        <f>'8. Ремонтна програма'!O35</f>
        <v>135</v>
      </c>
      <c r="I43" s="1677">
        <f>'8. Ремонтна програма'!J64</f>
        <v>5</v>
      </c>
      <c r="J43" s="1678">
        <f>'8. Ремонтна програма'!K64</f>
        <v>5.75</v>
      </c>
      <c r="K43" s="1678">
        <f>'8. Ремонтна програма'!L64</f>
        <v>6.6</v>
      </c>
      <c r="L43" s="1678">
        <f>'8. Ремонтна програма'!M64</f>
        <v>7.2</v>
      </c>
      <c r="M43" s="1678">
        <f>'8. Ремонтна програма'!N64</f>
        <v>8.1999999999999993</v>
      </c>
      <c r="N43" s="1676">
        <f>'8. Ремонтна програма'!O64</f>
        <v>9</v>
      </c>
      <c r="O43" s="1677">
        <f>'8. Ремонтна програма'!J90</f>
        <v>0.53300000000000003</v>
      </c>
      <c r="P43" s="1678">
        <f>'8. Ремонтна програма'!K90</f>
        <v>0.61199999999999999</v>
      </c>
      <c r="Q43" s="1678">
        <f>'8. Ремонтна програма'!L90</f>
        <v>0.61199999999999999</v>
      </c>
      <c r="R43" s="1678">
        <f>'8. Ремонтна програма'!M90</f>
        <v>0.61199999999999999</v>
      </c>
      <c r="S43" s="1678">
        <f>'8. Ремонтна програма'!N90</f>
        <v>0.61199999999999999</v>
      </c>
      <c r="T43" s="1676">
        <f>'8. Ремонтна програма'!O90</f>
        <v>0.61199999999999999</v>
      </c>
      <c r="U43" s="1677">
        <f>'8. Ремонтна програма'!J121</f>
        <v>0</v>
      </c>
      <c r="V43" s="1678">
        <f>'8. Ремонтна програма'!K121</f>
        <v>0</v>
      </c>
      <c r="W43" s="1678">
        <f>'8. Ремонтна програма'!L121</f>
        <v>1</v>
      </c>
      <c r="X43" s="1678">
        <f>'8. Ремонтна програма'!M121</f>
        <v>0.8</v>
      </c>
      <c r="Y43" s="1678">
        <f>'8. Ремонтна програма'!N121</f>
        <v>1</v>
      </c>
      <c r="Z43" s="1676">
        <f>'8. Ремонтна програма'!O121</f>
        <v>1</v>
      </c>
      <c r="AA43" s="1677">
        <f>'8. Ремонтна програма'!J152</f>
        <v>0</v>
      </c>
      <c r="AB43" s="1678">
        <f>'8. Ремонтна програма'!K152</f>
        <v>0</v>
      </c>
      <c r="AC43" s="1678">
        <f>'8. Ремонтна програма'!L152</f>
        <v>0</v>
      </c>
      <c r="AD43" s="1678">
        <f>'8. Ремонтна програма'!M152</f>
        <v>0</v>
      </c>
      <c r="AE43" s="1678">
        <f>'8. Ремонтна програма'!N152</f>
        <v>0</v>
      </c>
      <c r="AF43" s="1676">
        <f>'8. Ремонтна програма'!O152</f>
        <v>0</v>
      </c>
      <c r="AG43" s="660">
        <v>4</v>
      </c>
      <c r="AH43" s="661">
        <v>5</v>
      </c>
      <c r="AI43" s="661">
        <v>5</v>
      </c>
      <c r="AJ43" s="661">
        <v>6</v>
      </c>
      <c r="AK43" s="661">
        <v>7</v>
      </c>
      <c r="AL43" s="662">
        <v>8</v>
      </c>
      <c r="AM43" s="1062">
        <f t="shared" si="84"/>
        <v>100.533</v>
      </c>
      <c r="AN43" s="1063">
        <f t="shared" si="85"/>
        <v>110.36199999999999</v>
      </c>
      <c r="AO43" s="1063">
        <f t="shared" si="86"/>
        <v>120.21199999999999</v>
      </c>
      <c r="AP43" s="1063">
        <f t="shared" si="87"/>
        <v>131.61199999999999</v>
      </c>
      <c r="AQ43" s="1063">
        <f t="shared" si="88"/>
        <v>144.81199999999998</v>
      </c>
      <c r="AR43" s="1064">
        <f t="shared" si="89"/>
        <v>145.61199999999999</v>
      </c>
      <c r="AS43" s="1701">
        <f>IFERROR((AR43-AM43)/AM43,0)</f>
        <v>0.44840002785155114</v>
      </c>
      <c r="AT43" s="1705">
        <f t="shared" si="43"/>
        <v>0.43157894736842106</v>
      </c>
      <c r="AU43" s="1706">
        <f t="shared" si="44"/>
        <v>0.7372130851256099</v>
      </c>
      <c r="AW43" s="4695"/>
      <c r="AX43" s="4695"/>
      <c r="AY43" s="4695"/>
      <c r="AZ43" s="4695"/>
      <c r="BA43" s="4695"/>
      <c r="BB43" s="4695"/>
      <c r="BC43" s="4695"/>
      <c r="BD43" s="4695"/>
      <c r="BE43" s="4695"/>
      <c r="BF43" s="4695"/>
      <c r="BG43" s="4695"/>
      <c r="BH43" s="4695"/>
      <c r="BI43" s="4695"/>
      <c r="BJ43" s="4695"/>
      <c r="BK43" s="4695"/>
      <c r="BL43" s="4695"/>
      <c r="BM43" s="4695"/>
      <c r="BN43" s="4695"/>
      <c r="BO43" s="4695"/>
      <c r="BP43" s="4695"/>
      <c r="BQ43" s="4695"/>
      <c r="BR43" s="4695"/>
      <c r="BS43" s="4695"/>
      <c r="BT43" s="4695"/>
      <c r="BU43" s="4695"/>
      <c r="BV43" s="4695"/>
      <c r="BW43" s="4695"/>
      <c r="BX43" s="4695"/>
      <c r="BY43" s="4695"/>
      <c r="BZ43" s="4695"/>
      <c r="CA43" s="4695"/>
      <c r="CB43" s="4695"/>
      <c r="CC43" s="4695"/>
      <c r="CD43" s="4695"/>
      <c r="CE43" s="4695"/>
      <c r="CF43" s="4695"/>
      <c r="CG43" s="4695"/>
      <c r="CH43" s="4695"/>
      <c r="CI43" s="4695"/>
      <c r="CJ43" s="4695"/>
      <c r="CK43" s="4695"/>
      <c r="CL43" s="4695"/>
      <c r="CM43" s="4695"/>
      <c r="CN43" s="4695"/>
      <c r="CO43" s="4695"/>
      <c r="CP43" s="4695"/>
      <c r="CQ43" s="4695"/>
      <c r="CR43" s="4695"/>
      <c r="CS43" s="4695"/>
      <c r="CT43" s="4695"/>
      <c r="CU43" s="4695"/>
      <c r="CV43" s="4695"/>
      <c r="CW43" s="4695"/>
      <c r="CX43" s="4695"/>
      <c r="CY43" s="4695"/>
      <c r="CZ43" s="4695"/>
      <c r="DA43" s="4695"/>
      <c r="DB43" s="4695"/>
      <c r="DC43" s="4695"/>
      <c r="DD43" s="4695"/>
      <c r="DE43" s="4695"/>
      <c r="DF43" s="4695"/>
      <c r="DG43" s="4695"/>
      <c r="DH43" s="4695"/>
      <c r="DI43" s="4695"/>
      <c r="DJ43" s="4695"/>
      <c r="DK43" s="4695"/>
      <c r="DL43" s="4695"/>
      <c r="DM43" s="4695"/>
      <c r="DN43" s="4695"/>
      <c r="DO43" s="4695"/>
    </row>
    <row r="44" spans="1:119" s="691" customFormat="1" ht="24.75" thickBot="1">
      <c r="A44" s="354" t="s">
        <v>269</v>
      </c>
      <c r="B44" s="698" t="s">
        <v>1281</v>
      </c>
      <c r="C44" s="663">
        <v>21</v>
      </c>
      <c r="D44" s="664">
        <v>28</v>
      </c>
      <c r="E44" s="664">
        <v>28</v>
      </c>
      <c r="F44" s="664">
        <v>32</v>
      </c>
      <c r="G44" s="664">
        <v>37</v>
      </c>
      <c r="H44" s="665">
        <v>43</v>
      </c>
      <c r="I44" s="663">
        <v>2</v>
      </c>
      <c r="J44" s="664">
        <v>2</v>
      </c>
      <c r="K44" s="664">
        <v>3</v>
      </c>
      <c r="L44" s="664">
        <v>3</v>
      </c>
      <c r="M44" s="664">
        <v>4</v>
      </c>
      <c r="N44" s="665">
        <v>4</v>
      </c>
      <c r="O44" s="663">
        <v>3</v>
      </c>
      <c r="P44" s="664">
        <v>3</v>
      </c>
      <c r="Q44" s="664">
        <v>4</v>
      </c>
      <c r="R44" s="664">
        <v>5</v>
      </c>
      <c r="S44" s="664">
        <v>5</v>
      </c>
      <c r="T44" s="665">
        <v>6</v>
      </c>
      <c r="U44" s="663">
        <v>0</v>
      </c>
      <c r="V44" s="664">
        <v>1</v>
      </c>
      <c r="W44" s="664">
        <v>1</v>
      </c>
      <c r="X44" s="664">
        <v>1</v>
      </c>
      <c r="Y44" s="664">
        <v>1</v>
      </c>
      <c r="Z44" s="665">
        <v>1</v>
      </c>
      <c r="AA44" s="663"/>
      <c r="AB44" s="664"/>
      <c r="AC44" s="664"/>
      <c r="AD44" s="664"/>
      <c r="AE44" s="664"/>
      <c r="AF44" s="665"/>
      <c r="AG44" s="663">
        <v>1</v>
      </c>
      <c r="AH44" s="664">
        <v>3</v>
      </c>
      <c r="AI44" s="664">
        <v>3</v>
      </c>
      <c r="AJ44" s="664">
        <v>3</v>
      </c>
      <c r="AK44" s="664">
        <v>3</v>
      </c>
      <c r="AL44" s="665">
        <v>3</v>
      </c>
      <c r="AM44" s="1679">
        <f t="shared" si="84"/>
        <v>26</v>
      </c>
      <c r="AN44" s="1680">
        <f t="shared" si="85"/>
        <v>34</v>
      </c>
      <c r="AO44" s="1680">
        <f t="shared" si="86"/>
        <v>36</v>
      </c>
      <c r="AP44" s="1680">
        <f t="shared" si="87"/>
        <v>41</v>
      </c>
      <c r="AQ44" s="1680">
        <f t="shared" si="88"/>
        <v>47</v>
      </c>
      <c r="AR44" s="1681">
        <f t="shared" si="89"/>
        <v>54</v>
      </c>
      <c r="AS44" s="1703">
        <f>IFERROR((AR44-AM44)/AM44,0)</f>
        <v>1.0769230769230769</v>
      </c>
      <c r="AT44" s="1703">
        <f t="shared" si="43"/>
        <v>1.0952380952380953</v>
      </c>
      <c r="AU44" s="1704">
        <f t="shared" si="44"/>
        <v>1</v>
      </c>
      <c r="AW44" s="4695"/>
      <c r="AX44" s="4695"/>
      <c r="AY44" s="4695"/>
      <c r="AZ44" s="4695"/>
      <c r="BA44" s="4695"/>
      <c r="BB44" s="4695"/>
      <c r="BC44" s="4695"/>
      <c r="BD44" s="4695"/>
      <c r="BE44" s="4695"/>
      <c r="BF44" s="4695"/>
      <c r="BG44" s="4695"/>
      <c r="BH44" s="4695"/>
      <c r="BI44" s="4695"/>
      <c r="BJ44" s="4695"/>
      <c r="BK44" s="4695"/>
      <c r="BL44" s="4695"/>
      <c r="BM44" s="4695"/>
      <c r="BN44" s="4695"/>
      <c r="BO44" s="4695"/>
      <c r="BP44" s="4695"/>
      <c r="BQ44" s="4695"/>
      <c r="BR44" s="4695"/>
      <c r="BS44" s="4695"/>
      <c r="BT44" s="4695"/>
      <c r="BU44" s="4695"/>
      <c r="BV44" s="4695"/>
      <c r="BW44" s="4695"/>
      <c r="BX44" s="4695"/>
      <c r="BY44" s="4695"/>
      <c r="BZ44" s="4695"/>
      <c r="CA44" s="4695"/>
      <c r="CB44" s="4695"/>
      <c r="CC44" s="4695"/>
      <c r="CD44" s="4695"/>
      <c r="CE44" s="4695"/>
      <c r="CF44" s="4695"/>
      <c r="CG44" s="4695"/>
      <c r="CH44" s="4695"/>
      <c r="CI44" s="4695"/>
      <c r="CJ44" s="4695"/>
      <c r="CK44" s="4695"/>
      <c r="CL44" s="4695"/>
      <c r="CM44" s="4695"/>
      <c r="CN44" s="4695"/>
      <c r="CO44" s="4695"/>
      <c r="CP44" s="4695"/>
      <c r="CQ44" s="4695"/>
      <c r="CR44" s="4695"/>
      <c r="CS44" s="4695"/>
      <c r="CT44" s="4695"/>
      <c r="CU44" s="4695"/>
      <c r="CV44" s="4695"/>
      <c r="CW44" s="4695"/>
      <c r="CX44" s="4695"/>
      <c r="CY44" s="4695"/>
      <c r="CZ44" s="4695"/>
      <c r="DA44" s="4695"/>
      <c r="DB44" s="4695"/>
      <c r="DC44" s="4695"/>
      <c r="DD44" s="4695"/>
      <c r="DE44" s="4695"/>
      <c r="DF44" s="4695"/>
      <c r="DG44" s="4695"/>
      <c r="DH44" s="4695"/>
      <c r="DI44" s="4695"/>
      <c r="DJ44" s="4695"/>
      <c r="DK44" s="4695"/>
      <c r="DL44" s="4695"/>
      <c r="DM44" s="4695"/>
      <c r="DN44" s="4695"/>
      <c r="DO44" s="4695"/>
    </row>
    <row r="45" spans="1:119" s="180" customFormat="1">
      <c r="A45" s="352"/>
      <c r="B45" s="353"/>
      <c r="C45" s="1692"/>
      <c r="D45" s="1693"/>
      <c r="E45" s="1693"/>
      <c r="F45" s="1693"/>
      <c r="G45" s="1693"/>
      <c r="H45" s="1694"/>
      <c r="I45" s="1692"/>
      <c r="J45" s="1693"/>
      <c r="K45" s="1693"/>
      <c r="L45" s="1693"/>
      <c r="M45" s="1693"/>
      <c r="N45" s="1694"/>
      <c r="O45" s="1692"/>
      <c r="P45" s="1693"/>
      <c r="Q45" s="1693"/>
      <c r="R45" s="1693"/>
      <c r="S45" s="1693"/>
      <c r="T45" s="1694"/>
      <c r="U45" s="1692"/>
      <c r="V45" s="1693"/>
      <c r="W45" s="1693"/>
      <c r="X45" s="1693"/>
      <c r="Y45" s="1693"/>
      <c r="Z45" s="1694"/>
      <c r="AA45" s="1692"/>
      <c r="AB45" s="1693"/>
      <c r="AC45" s="1693"/>
      <c r="AD45" s="1693"/>
      <c r="AE45" s="1693"/>
      <c r="AF45" s="1694"/>
      <c r="AG45" s="1692"/>
      <c r="AH45" s="1693"/>
      <c r="AI45" s="1693"/>
      <c r="AJ45" s="1693"/>
      <c r="AK45" s="1693"/>
      <c r="AL45" s="1694"/>
      <c r="AM45" s="1692"/>
      <c r="AN45" s="1693"/>
      <c r="AO45" s="1693"/>
      <c r="AP45" s="1693"/>
      <c r="AQ45" s="1693"/>
      <c r="AR45" s="1694"/>
      <c r="AS45" s="1695"/>
      <c r="AT45" s="1695"/>
      <c r="AU45" s="1696"/>
      <c r="AV45" s="179"/>
      <c r="AW45" s="4695"/>
      <c r="AX45" s="4695"/>
      <c r="AY45" s="4695"/>
      <c r="AZ45" s="4695"/>
      <c r="BA45" s="4695"/>
      <c r="BB45" s="4695"/>
      <c r="BC45" s="4695"/>
      <c r="BD45" s="4695"/>
      <c r="BE45" s="4695"/>
      <c r="BF45" s="4695"/>
      <c r="BG45" s="4695"/>
      <c r="BH45" s="4695"/>
      <c r="BI45" s="4695"/>
      <c r="BJ45" s="4695"/>
      <c r="BK45" s="4695"/>
      <c r="BL45" s="4695"/>
      <c r="BM45" s="4695"/>
      <c r="BN45" s="4695"/>
      <c r="BO45" s="4695"/>
      <c r="BP45" s="4695"/>
      <c r="BQ45" s="4695"/>
      <c r="BR45" s="4695"/>
      <c r="BS45" s="4695"/>
      <c r="BT45" s="4695"/>
      <c r="BU45" s="4695"/>
      <c r="BV45" s="4695"/>
      <c r="BW45" s="4695"/>
      <c r="BX45" s="4695"/>
      <c r="BY45" s="4695"/>
      <c r="BZ45" s="4695"/>
      <c r="CA45" s="4695"/>
      <c r="CB45" s="4695"/>
      <c r="CC45" s="4695"/>
      <c r="CD45" s="4695"/>
      <c r="CE45" s="4695"/>
      <c r="CF45" s="4695"/>
      <c r="CG45" s="4695"/>
      <c r="CH45" s="4695"/>
      <c r="CI45" s="4695"/>
      <c r="CJ45" s="4695"/>
      <c r="CK45" s="4695"/>
      <c r="CL45" s="4695"/>
      <c r="CM45" s="4695"/>
      <c r="CN45" s="4695"/>
      <c r="CO45" s="4695"/>
      <c r="CP45" s="4695"/>
      <c r="CQ45" s="4695"/>
      <c r="CR45" s="4695"/>
      <c r="CS45" s="4695"/>
      <c r="CT45" s="4695"/>
      <c r="CU45" s="4695"/>
      <c r="CV45" s="4695"/>
      <c r="CW45" s="4695"/>
      <c r="CX45" s="4695"/>
      <c r="CY45" s="4695"/>
      <c r="CZ45" s="4695"/>
      <c r="DA45" s="4695"/>
      <c r="DB45" s="4695"/>
      <c r="DC45" s="4695"/>
      <c r="DD45" s="4695"/>
      <c r="DE45" s="4695"/>
      <c r="DF45" s="4695"/>
      <c r="DG45" s="4695"/>
      <c r="DH45" s="4695"/>
      <c r="DI45" s="4695"/>
      <c r="DJ45" s="4695"/>
      <c r="DK45" s="4695"/>
      <c r="DL45" s="4695"/>
      <c r="DM45" s="4695"/>
      <c r="DN45" s="4695"/>
      <c r="DO45" s="4695"/>
    </row>
    <row r="46" spans="1:119" s="691" customFormat="1">
      <c r="A46" s="1046">
        <v>4</v>
      </c>
      <c r="B46" s="1047" t="s">
        <v>1283</v>
      </c>
      <c r="C46" s="660">
        <v>292</v>
      </c>
      <c r="D46" s="661">
        <v>335</v>
      </c>
      <c r="E46" s="661">
        <v>386</v>
      </c>
      <c r="F46" s="661">
        <v>443</v>
      </c>
      <c r="G46" s="661">
        <v>510</v>
      </c>
      <c r="H46" s="662">
        <v>586</v>
      </c>
      <c r="I46" s="660">
        <v>19</v>
      </c>
      <c r="J46" s="661">
        <v>22</v>
      </c>
      <c r="K46" s="661">
        <v>25</v>
      </c>
      <c r="L46" s="661">
        <v>29</v>
      </c>
      <c r="M46" s="661">
        <v>33</v>
      </c>
      <c r="N46" s="662">
        <v>38</v>
      </c>
      <c r="O46" s="660">
        <v>40</v>
      </c>
      <c r="P46" s="661">
        <v>46</v>
      </c>
      <c r="Q46" s="661">
        <v>53</v>
      </c>
      <c r="R46" s="661">
        <v>61</v>
      </c>
      <c r="S46" s="661">
        <v>70</v>
      </c>
      <c r="T46" s="662">
        <v>80</v>
      </c>
      <c r="U46" s="660">
        <v>1.62</v>
      </c>
      <c r="V46" s="661">
        <v>2.6</v>
      </c>
      <c r="W46" s="661">
        <v>3</v>
      </c>
      <c r="X46" s="661">
        <v>3</v>
      </c>
      <c r="Y46" s="661">
        <v>3</v>
      </c>
      <c r="Z46" s="662">
        <v>4</v>
      </c>
      <c r="AA46" s="660"/>
      <c r="AB46" s="661"/>
      <c r="AC46" s="661"/>
      <c r="AD46" s="661"/>
      <c r="AE46" s="661"/>
      <c r="AF46" s="662"/>
      <c r="AG46" s="660">
        <v>10</v>
      </c>
      <c r="AH46" s="661">
        <v>12</v>
      </c>
      <c r="AI46" s="661">
        <v>13</v>
      </c>
      <c r="AJ46" s="661">
        <v>16</v>
      </c>
      <c r="AK46" s="661">
        <v>18</v>
      </c>
      <c r="AL46" s="662">
        <v>21</v>
      </c>
      <c r="AM46" s="1066">
        <f t="shared" si="84"/>
        <v>352.62</v>
      </c>
      <c r="AN46" s="1067">
        <f t="shared" si="85"/>
        <v>405.6</v>
      </c>
      <c r="AO46" s="1067">
        <f t="shared" si="86"/>
        <v>467</v>
      </c>
      <c r="AP46" s="1067">
        <f t="shared" si="87"/>
        <v>536</v>
      </c>
      <c r="AQ46" s="1067">
        <f t="shared" si="88"/>
        <v>616</v>
      </c>
      <c r="AR46" s="1068">
        <f t="shared" si="89"/>
        <v>708</v>
      </c>
      <c r="AS46" s="1069">
        <f>IFERROR((AR46-AM46)/AM46,0)</f>
        <v>1.0078271226816402</v>
      </c>
      <c r="AT46" s="1069">
        <f t="shared" si="43"/>
        <v>1.0093999046386486</v>
      </c>
      <c r="AU46" s="1070">
        <f t="shared" si="44"/>
        <v>1</v>
      </c>
      <c r="AW46" s="4695"/>
      <c r="AX46" s="4695"/>
      <c r="AY46" s="4695"/>
      <c r="AZ46" s="4695"/>
      <c r="BA46" s="4695"/>
      <c r="BB46" s="4695"/>
      <c r="BC46" s="4695"/>
      <c r="BD46" s="4695"/>
      <c r="BE46" s="4695"/>
      <c r="BF46" s="4695"/>
      <c r="BG46" s="4695"/>
      <c r="BH46" s="4695"/>
      <c r="BI46" s="4695"/>
      <c r="BJ46" s="4695"/>
      <c r="BK46" s="4695"/>
      <c r="BL46" s="4695"/>
      <c r="BM46" s="4695"/>
      <c r="BN46" s="4695"/>
      <c r="BO46" s="4695"/>
      <c r="BP46" s="4695"/>
      <c r="BQ46" s="4695"/>
      <c r="BR46" s="4695"/>
      <c r="BS46" s="4695"/>
      <c r="BT46" s="4695"/>
      <c r="BU46" s="4695"/>
      <c r="BV46" s="4695"/>
      <c r="BW46" s="4695"/>
      <c r="BX46" s="4695"/>
      <c r="BY46" s="4695"/>
      <c r="BZ46" s="4695"/>
      <c r="CA46" s="4695"/>
      <c r="CB46" s="4695"/>
      <c r="CC46" s="4695"/>
      <c r="CD46" s="4695"/>
      <c r="CE46" s="4695"/>
      <c r="CF46" s="4695"/>
      <c r="CG46" s="4695"/>
      <c r="CH46" s="4695"/>
      <c r="CI46" s="4695"/>
      <c r="CJ46" s="4695"/>
      <c r="CK46" s="4695"/>
      <c r="CL46" s="4695"/>
      <c r="CM46" s="4695"/>
      <c r="CN46" s="4695"/>
      <c r="CO46" s="4695"/>
      <c r="CP46" s="4695"/>
      <c r="CQ46" s="4695"/>
      <c r="CR46" s="4695"/>
      <c r="CS46" s="4695"/>
      <c r="CT46" s="4695"/>
      <c r="CU46" s="4695"/>
      <c r="CV46" s="4695"/>
      <c r="CW46" s="4695"/>
      <c r="CX46" s="4695"/>
      <c r="CY46" s="4695"/>
      <c r="CZ46" s="4695"/>
      <c r="DA46" s="4695"/>
      <c r="DB46" s="4695"/>
      <c r="DC46" s="4695"/>
      <c r="DD46" s="4695"/>
      <c r="DE46" s="4695"/>
      <c r="DF46" s="4695"/>
      <c r="DG46" s="4695"/>
      <c r="DH46" s="4695"/>
      <c r="DI46" s="4695"/>
      <c r="DJ46" s="4695"/>
      <c r="DK46" s="4695"/>
      <c r="DL46" s="4695"/>
      <c r="DM46" s="4695"/>
      <c r="DN46" s="4695"/>
      <c r="DO46" s="4695"/>
    </row>
    <row r="47" spans="1:119" s="793" customFormat="1" ht="24">
      <c r="A47" s="794" t="s">
        <v>572</v>
      </c>
      <c r="B47" s="697" t="s">
        <v>1282</v>
      </c>
      <c r="C47" s="1677">
        <f>'8. Ремонтна програма'!J37</f>
        <v>32.079759999999851</v>
      </c>
      <c r="D47" s="1678">
        <f>'8. Ремонтна програма'!K37</f>
        <v>31.619999999999891</v>
      </c>
      <c r="E47" s="1678">
        <f>'8. Ремонтна програма'!L37</f>
        <v>31.619999999999891</v>
      </c>
      <c r="F47" s="1678">
        <f>'8. Ремонтна програма'!M37</f>
        <v>31.619999999999891</v>
      </c>
      <c r="G47" s="1678">
        <f>'8. Ремонтна програма'!N37</f>
        <v>31.619999999999891</v>
      </c>
      <c r="H47" s="1676">
        <f>'8. Ремонтна програма'!O37</f>
        <v>31.619999999999891</v>
      </c>
      <c r="I47" s="1677">
        <f>'8. Ремонтна програма'!J66</f>
        <v>2.5363700000000051</v>
      </c>
      <c r="J47" s="1678">
        <f>'8. Ремонтна програма'!K66</f>
        <v>3.0550000000000068</v>
      </c>
      <c r="K47" s="1678">
        <f>'8. Ремонтна програма'!L66</f>
        <v>3.9550000000000072</v>
      </c>
      <c r="L47" s="1678">
        <f>'8. Ремонтна програма'!M66</f>
        <v>4.3550000000000066</v>
      </c>
      <c r="M47" s="1678">
        <f>'8. Ремонтна програма'!N66</f>
        <v>4.3550000000000075</v>
      </c>
      <c r="N47" s="1676">
        <f>'8. Ремонтна програма'!O66</f>
        <v>3.5550000000000068</v>
      </c>
      <c r="O47" s="1677">
        <f>'8. Ремонтна програма'!J92</f>
        <v>0.42891000000000001</v>
      </c>
      <c r="P47" s="1678">
        <f>'8. Ремонтна програма'!K92</f>
        <v>1.2279999999999998</v>
      </c>
      <c r="Q47" s="1678">
        <f>'8. Ремонтна програма'!L92</f>
        <v>1.2279999999999998</v>
      </c>
      <c r="R47" s="1678">
        <f>'8. Ремонтна програма'!M92</f>
        <v>1.2279999999999998</v>
      </c>
      <c r="S47" s="1678">
        <f>'8. Ремонтна програма'!N92</f>
        <v>1.2279999999999998</v>
      </c>
      <c r="T47" s="1676">
        <f>'8. Ремонтна програма'!O92</f>
        <v>1.2279999999999998</v>
      </c>
      <c r="U47" s="1677">
        <f>'8. Ремонтна програма'!J123</f>
        <v>0.13</v>
      </c>
      <c r="V47" s="1678">
        <f>'8. Ремонтна програма'!K123</f>
        <v>0.13</v>
      </c>
      <c r="W47" s="1678">
        <f>'8. Ремонтна програма'!L123</f>
        <v>1.1999999999999993</v>
      </c>
      <c r="X47" s="1678">
        <f>'8. Ремонтна програма'!M123</f>
        <v>1.3649999999999991</v>
      </c>
      <c r="Y47" s="1678">
        <f>'8. Ремонтна програма'!N123</f>
        <v>0.69899999999999807</v>
      </c>
      <c r="Z47" s="1676">
        <f>'8. Ремонтна програма'!O123</f>
        <v>1</v>
      </c>
      <c r="AA47" s="1677">
        <f>'8. Ремонтна програма'!J154</f>
        <v>0</v>
      </c>
      <c r="AB47" s="1678">
        <f>'8. Ремонтна програма'!K154</f>
        <v>0</v>
      </c>
      <c r="AC47" s="1678">
        <f>'8. Ремонтна програма'!L154</f>
        <v>0</v>
      </c>
      <c r="AD47" s="1678">
        <f>'8. Ремонтна програма'!M154</f>
        <v>0</v>
      </c>
      <c r="AE47" s="1678">
        <f>'8. Ремонтна програма'!N154</f>
        <v>0</v>
      </c>
      <c r="AF47" s="1676">
        <f>'8. Ремонтна програма'!O154</f>
        <v>0</v>
      </c>
      <c r="AG47" s="660"/>
      <c r="AH47" s="661"/>
      <c r="AI47" s="661"/>
      <c r="AJ47" s="661"/>
      <c r="AK47" s="661"/>
      <c r="AL47" s="662"/>
      <c r="AM47" s="1062">
        <f t="shared" si="84"/>
        <v>35.175039999999861</v>
      </c>
      <c r="AN47" s="1063">
        <f t="shared" si="85"/>
        <v>36.032999999999902</v>
      </c>
      <c r="AO47" s="1063">
        <f t="shared" si="86"/>
        <v>38.002999999999901</v>
      </c>
      <c r="AP47" s="1063">
        <f t="shared" si="87"/>
        <v>38.567999999999898</v>
      </c>
      <c r="AQ47" s="1063">
        <f t="shared" si="88"/>
        <v>37.901999999999894</v>
      </c>
      <c r="AR47" s="1064">
        <f t="shared" si="89"/>
        <v>37.402999999999899</v>
      </c>
      <c r="AS47" s="1705">
        <f>IFERROR((AR47-AM47)/AM47,0)</f>
        <v>6.3339231455033104E-2</v>
      </c>
      <c r="AT47" s="1705">
        <f t="shared" si="43"/>
        <v>1.2736512162774237E-2</v>
      </c>
      <c r="AU47" s="1706">
        <f t="shared" si="44"/>
        <v>0.61300113311390425</v>
      </c>
      <c r="AW47" s="4695"/>
      <c r="AX47" s="4695"/>
      <c r="AY47" s="4695"/>
      <c r="AZ47" s="4695"/>
      <c r="BA47" s="4695"/>
      <c r="BB47" s="4695"/>
      <c r="BC47" s="4695"/>
      <c r="BD47" s="4695"/>
      <c r="BE47" s="4695"/>
      <c r="BF47" s="4695"/>
      <c r="BG47" s="4695"/>
      <c r="BH47" s="4695"/>
      <c r="BI47" s="4695"/>
      <c r="BJ47" s="4695"/>
      <c r="BK47" s="4695"/>
      <c r="BL47" s="4695"/>
      <c r="BM47" s="4695"/>
      <c r="BN47" s="4695"/>
      <c r="BO47" s="4695"/>
      <c r="BP47" s="4695"/>
      <c r="BQ47" s="4695"/>
      <c r="BR47" s="4695"/>
      <c r="BS47" s="4695"/>
      <c r="BT47" s="4695"/>
      <c r="BU47" s="4695"/>
      <c r="BV47" s="4695"/>
      <c r="BW47" s="4695"/>
      <c r="BX47" s="4695"/>
      <c r="BY47" s="4695"/>
      <c r="BZ47" s="4695"/>
      <c r="CA47" s="4695"/>
      <c r="CB47" s="4695"/>
      <c r="CC47" s="4695"/>
      <c r="CD47" s="4695"/>
      <c r="CE47" s="4695"/>
      <c r="CF47" s="4695"/>
      <c r="CG47" s="4695"/>
      <c r="CH47" s="4695"/>
      <c r="CI47" s="4695"/>
      <c r="CJ47" s="4695"/>
      <c r="CK47" s="4695"/>
      <c r="CL47" s="4695"/>
      <c r="CM47" s="4695"/>
      <c r="CN47" s="4695"/>
      <c r="CO47" s="4695"/>
      <c r="CP47" s="4695"/>
      <c r="CQ47" s="4695"/>
      <c r="CR47" s="4695"/>
      <c r="CS47" s="4695"/>
      <c r="CT47" s="4695"/>
      <c r="CU47" s="4695"/>
      <c r="CV47" s="4695"/>
      <c r="CW47" s="4695"/>
      <c r="CX47" s="4695"/>
      <c r="CY47" s="4695"/>
      <c r="CZ47" s="4695"/>
      <c r="DA47" s="4695"/>
      <c r="DB47" s="4695"/>
      <c r="DC47" s="4695"/>
      <c r="DD47" s="4695"/>
      <c r="DE47" s="4695"/>
      <c r="DF47" s="4695"/>
      <c r="DG47" s="4695"/>
      <c r="DH47" s="4695"/>
      <c r="DI47" s="4695"/>
      <c r="DJ47" s="4695"/>
      <c r="DK47" s="4695"/>
      <c r="DL47" s="4695"/>
      <c r="DM47" s="4695"/>
      <c r="DN47" s="4695"/>
      <c r="DO47" s="4695"/>
    </row>
    <row r="48" spans="1:119" s="691" customFormat="1" ht="24.75" thickBot="1">
      <c r="A48" s="354" t="s">
        <v>573</v>
      </c>
      <c r="B48" s="698" t="s">
        <v>1284</v>
      </c>
      <c r="C48" s="326">
        <v>8</v>
      </c>
      <c r="D48" s="327">
        <v>10</v>
      </c>
      <c r="E48" s="327">
        <v>12</v>
      </c>
      <c r="F48" s="327">
        <v>13</v>
      </c>
      <c r="G48" s="327">
        <v>15</v>
      </c>
      <c r="H48" s="328">
        <v>18</v>
      </c>
      <c r="I48" s="326">
        <v>0</v>
      </c>
      <c r="J48" s="327">
        <v>1</v>
      </c>
      <c r="K48" s="327">
        <v>2</v>
      </c>
      <c r="L48" s="327">
        <v>2</v>
      </c>
      <c r="M48" s="327">
        <v>2</v>
      </c>
      <c r="N48" s="328">
        <v>3</v>
      </c>
      <c r="O48" s="326">
        <v>0</v>
      </c>
      <c r="P48" s="327">
        <v>3</v>
      </c>
      <c r="Q48" s="327">
        <v>3</v>
      </c>
      <c r="R48" s="327">
        <v>3</v>
      </c>
      <c r="S48" s="327">
        <v>3</v>
      </c>
      <c r="T48" s="328">
        <v>3</v>
      </c>
      <c r="U48" s="326">
        <v>0</v>
      </c>
      <c r="V48" s="327">
        <v>1</v>
      </c>
      <c r="W48" s="327">
        <v>1</v>
      </c>
      <c r="X48" s="327">
        <v>1</v>
      </c>
      <c r="Y48" s="327">
        <v>1</v>
      </c>
      <c r="Z48" s="328">
        <v>1</v>
      </c>
      <c r="AA48" s="326"/>
      <c r="AB48" s="327"/>
      <c r="AC48" s="327"/>
      <c r="AD48" s="327"/>
      <c r="AE48" s="327"/>
      <c r="AF48" s="328"/>
      <c r="AG48" s="326">
        <v>0</v>
      </c>
      <c r="AH48" s="327">
        <v>2</v>
      </c>
      <c r="AI48" s="327">
        <v>2</v>
      </c>
      <c r="AJ48" s="327">
        <v>2</v>
      </c>
      <c r="AK48" s="327">
        <v>2</v>
      </c>
      <c r="AL48" s="328">
        <v>2</v>
      </c>
      <c r="AM48" s="1679">
        <f t="shared" si="84"/>
        <v>8</v>
      </c>
      <c r="AN48" s="1680">
        <f t="shared" si="85"/>
        <v>15</v>
      </c>
      <c r="AO48" s="1680">
        <f t="shared" si="86"/>
        <v>18</v>
      </c>
      <c r="AP48" s="1680">
        <f t="shared" si="87"/>
        <v>19</v>
      </c>
      <c r="AQ48" s="1680">
        <f t="shared" si="88"/>
        <v>21</v>
      </c>
      <c r="AR48" s="1681">
        <f t="shared" si="89"/>
        <v>25</v>
      </c>
      <c r="AS48" s="1703">
        <f t="shared" ref="AS48:AS61" si="90">IFERROR((AR48-AM48)/AM48,0)</f>
        <v>2.125</v>
      </c>
      <c r="AT48" s="1703">
        <f t="shared" si="43"/>
        <v>1.375</v>
      </c>
      <c r="AU48" s="1704">
        <f t="shared" si="44"/>
        <v>0</v>
      </c>
      <c r="AW48" s="4695"/>
      <c r="AX48" s="4695"/>
      <c r="AY48" s="4695"/>
      <c r="AZ48" s="4695"/>
      <c r="BA48" s="4695"/>
      <c r="BB48" s="4695"/>
      <c r="BC48" s="4695"/>
      <c r="BD48" s="4695"/>
      <c r="BE48" s="4695"/>
      <c r="BF48" s="4695"/>
      <c r="BG48" s="4695"/>
      <c r="BH48" s="4695"/>
      <c r="BI48" s="4695"/>
      <c r="BJ48" s="4695"/>
      <c r="BK48" s="4695"/>
      <c r="BL48" s="4695"/>
      <c r="BM48" s="4695"/>
      <c r="BN48" s="4695"/>
      <c r="BO48" s="4695"/>
      <c r="BP48" s="4695"/>
      <c r="BQ48" s="4695"/>
      <c r="BR48" s="4695"/>
      <c r="BS48" s="4695"/>
      <c r="BT48" s="4695"/>
      <c r="BU48" s="4695"/>
      <c r="BV48" s="4695"/>
      <c r="BW48" s="4695"/>
      <c r="BX48" s="4695"/>
      <c r="BY48" s="4695"/>
      <c r="BZ48" s="4695"/>
      <c r="CA48" s="4695"/>
      <c r="CB48" s="4695"/>
      <c r="CC48" s="4695"/>
      <c r="CD48" s="4695"/>
      <c r="CE48" s="4695"/>
      <c r="CF48" s="4695"/>
      <c r="CG48" s="4695"/>
      <c r="CH48" s="4695"/>
      <c r="CI48" s="4695"/>
      <c r="CJ48" s="4695"/>
      <c r="CK48" s="4695"/>
      <c r="CL48" s="4695"/>
      <c r="CM48" s="4695"/>
      <c r="CN48" s="4695"/>
      <c r="CO48" s="4695"/>
      <c r="CP48" s="4695"/>
      <c r="CQ48" s="4695"/>
      <c r="CR48" s="4695"/>
      <c r="CS48" s="4695"/>
      <c r="CT48" s="4695"/>
      <c r="CU48" s="4695"/>
      <c r="CV48" s="4695"/>
      <c r="CW48" s="4695"/>
      <c r="CX48" s="4695"/>
      <c r="CY48" s="4695"/>
      <c r="CZ48" s="4695"/>
      <c r="DA48" s="4695"/>
      <c r="DB48" s="4695"/>
      <c r="DC48" s="4695"/>
      <c r="DD48" s="4695"/>
      <c r="DE48" s="4695"/>
      <c r="DF48" s="4695"/>
      <c r="DG48" s="4695"/>
      <c r="DH48" s="4695"/>
      <c r="DI48" s="4695"/>
      <c r="DJ48" s="4695"/>
      <c r="DK48" s="4695"/>
      <c r="DL48" s="4695"/>
      <c r="DM48" s="4695"/>
      <c r="DN48" s="4695"/>
      <c r="DO48" s="4695"/>
    </row>
    <row r="49" spans="1:119" s="180" customFormat="1">
      <c r="A49" s="352"/>
      <c r="B49" s="353"/>
      <c r="C49" s="1692"/>
      <c r="D49" s="1693"/>
      <c r="E49" s="1693"/>
      <c r="F49" s="1693"/>
      <c r="G49" s="1693"/>
      <c r="H49" s="1694"/>
      <c r="I49" s="2169"/>
      <c r="J49" s="2170"/>
      <c r="K49" s="2170"/>
      <c r="L49" s="2170"/>
      <c r="M49" s="2170"/>
      <c r="N49" s="2171"/>
      <c r="O49" s="2169"/>
      <c r="P49" s="2170"/>
      <c r="Q49" s="2170"/>
      <c r="R49" s="2170"/>
      <c r="S49" s="2170"/>
      <c r="T49" s="2171"/>
      <c r="U49" s="2169"/>
      <c r="V49" s="2170"/>
      <c r="W49" s="2170"/>
      <c r="X49" s="2170"/>
      <c r="Y49" s="2170"/>
      <c r="Z49" s="2171"/>
      <c r="AA49" s="2169"/>
      <c r="AB49" s="2170"/>
      <c r="AC49" s="2170"/>
      <c r="AD49" s="2170"/>
      <c r="AE49" s="2170"/>
      <c r="AF49" s="2171"/>
      <c r="AG49" s="2169"/>
      <c r="AH49" s="2170"/>
      <c r="AI49" s="2170"/>
      <c r="AJ49" s="2170"/>
      <c r="AK49" s="2170"/>
      <c r="AL49" s="2171"/>
      <c r="AM49" s="1692"/>
      <c r="AN49" s="1693"/>
      <c r="AO49" s="1693"/>
      <c r="AP49" s="1693"/>
      <c r="AQ49" s="1693"/>
      <c r="AR49" s="1694"/>
      <c r="AS49" s="1695"/>
      <c r="AT49" s="1695"/>
      <c r="AU49" s="1696"/>
      <c r="AV49" s="179"/>
      <c r="AW49" s="4695"/>
      <c r="AX49" s="4695"/>
      <c r="AY49" s="4695"/>
      <c r="AZ49" s="4695"/>
      <c r="BA49" s="4695"/>
      <c r="BB49" s="4695"/>
      <c r="BC49" s="4695"/>
      <c r="BD49" s="4695"/>
      <c r="BE49" s="4695"/>
      <c r="BF49" s="4695"/>
      <c r="BG49" s="4695"/>
      <c r="BH49" s="4695"/>
      <c r="BI49" s="4695"/>
      <c r="BJ49" s="4695"/>
      <c r="BK49" s="4695"/>
      <c r="BL49" s="4695"/>
      <c r="BM49" s="4695"/>
      <c r="BN49" s="4695"/>
      <c r="BO49" s="4695"/>
      <c r="BP49" s="4695"/>
      <c r="BQ49" s="4695"/>
      <c r="BR49" s="4695"/>
      <c r="BS49" s="4695"/>
      <c r="BT49" s="4695"/>
      <c r="BU49" s="4695"/>
      <c r="BV49" s="4695"/>
      <c r="BW49" s="4695"/>
      <c r="BX49" s="4695"/>
      <c r="BY49" s="4695"/>
      <c r="BZ49" s="4695"/>
      <c r="CA49" s="4695"/>
      <c r="CB49" s="4695"/>
      <c r="CC49" s="4695"/>
      <c r="CD49" s="4695"/>
      <c r="CE49" s="4695"/>
      <c r="CF49" s="4695"/>
      <c r="CG49" s="4695"/>
      <c r="CH49" s="4695"/>
      <c r="CI49" s="4695"/>
      <c r="CJ49" s="4695"/>
      <c r="CK49" s="4695"/>
      <c r="CL49" s="4695"/>
      <c r="CM49" s="4695"/>
      <c r="CN49" s="4695"/>
      <c r="CO49" s="4695"/>
      <c r="CP49" s="4695"/>
      <c r="CQ49" s="4695"/>
      <c r="CR49" s="4695"/>
      <c r="CS49" s="4695"/>
      <c r="CT49" s="4695"/>
      <c r="CU49" s="4695"/>
      <c r="CV49" s="4695"/>
      <c r="CW49" s="4695"/>
      <c r="CX49" s="4695"/>
      <c r="CY49" s="4695"/>
      <c r="CZ49" s="4695"/>
      <c r="DA49" s="4695"/>
      <c r="DB49" s="4695"/>
      <c r="DC49" s="4695"/>
      <c r="DD49" s="4695"/>
      <c r="DE49" s="4695"/>
      <c r="DF49" s="4695"/>
      <c r="DG49" s="4695"/>
      <c r="DH49" s="4695"/>
      <c r="DI49" s="4695"/>
      <c r="DJ49" s="4695"/>
      <c r="DK49" s="4695"/>
      <c r="DL49" s="4695"/>
      <c r="DM49" s="4695"/>
      <c r="DN49" s="4695"/>
      <c r="DO49" s="4695"/>
    </row>
    <row r="50" spans="1:119" s="181" customFormat="1" ht="36">
      <c r="A50" s="1048" t="s">
        <v>108</v>
      </c>
      <c r="B50" s="1049" t="s">
        <v>1532</v>
      </c>
      <c r="C50" s="1707">
        <f>IFERROR(C29/C14,0)</f>
        <v>11.663887640449438</v>
      </c>
      <c r="D50" s="1708">
        <f t="shared" ref="D50:AL50" si="91">IFERROR(D29/D14,0)</f>
        <v>13.413825757575758</v>
      </c>
      <c r="E50" s="1708">
        <f t="shared" si="91"/>
        <v>15.425757575757576</v>
      </c>
      <c r="F50" s="1708">
        <f t="shared" si="91"/>
        <v>17.739393939393938</v>
      </c>
      <c r="G50" s="1708">
        <f t="shared" si="91"/>
        <v>20.399621212121211</v>
      </c>
      <c r="H50" s="1709">
        <f t="shared" si="91"/>
        <v>23.733478260869564</v>
      </c>
      <c r="I50" s="1707">
        <f t="shared" si="91"/>
        <v>8.8415999999999997</v>
      </c>
      <c r="J50" s="1708">
        <f t="shared" si="91"/>
        <v>10.1675</v>
      </c>
      <c r="K50" s="1708">
        <f t="shared" si="91"/>
        <v>11.692499999999999</v>
      </c>
      <c r="L50" s="1708">
        <f t="shared" si="91"/>
        <v>13.446000000000002</v>
      </c>
      <c r="M50" s="1708">
        <f t="shared" si="91"/>
        <v>15.4625</v>
      </c>
      <c r="N50" s="1709">
        <f t="shared" si="91"/>
        <v>15.998095238095241</v>
      </c>
      <c r="O50" s="1707">
        <f t="shared" si="91"/>
        <v>14.448933333333335</v>
      </c>
      <c r="P50" s="1708">
        <f t="shared" si="91"/>
        <v>16.55</v>
      </c>
      <c r="Q50" s="1708">
        <f t="shared" si="91"/>
        <v>19.109333333333332</v>
      </c>
      <c r="R50" s="1708">
        <f t="shared" si="91"/>
        <v>21.976666666666667</v>
      </c>
      <c r="S50" s="1708">
        <f t="shared" si="91"/>
        <v>25.273333333333333</v>
      </c>
      <c r="T50" s="1709">
        <f t="shared" si="91"/>
        <v>26.78125</v>
      </c>
      <c r="U50" s="1707">
        <f t="shared" si="91"/>
        <v>16.451999999999998</v>
      </c>
      <c r="V50" s="1708">
        <f t="shared" si="91"/>
        <v>18.920000000000002</v>
      </c>
      <c r="W50" s="1708">
        <f t="shared" si="91"/>
        <v>21.757999999999999</v>
      </c>
      <c r="X50" s="1708">
        <f t="shared" si="91"/>
        <v>25.021999999999998</v>
      </c>
      <c r="Y50" s="1708">
        <f t="shared" si="91"/>
        <v>28.774999999999999</v>
      </c>
      <c r="Z50" s="1709">
        <f t="shared" si="91"/>
        <v>32.904000000000003</v>
      </c>
      <c r="AA50" s="1707">
        <f t="shared" si="91"/>
        <v>0</v>
      </c>
      <c r="AB50" s="1708">
        <f t="shared" si="91"/>
        <v>0</v>
      </c>
      <c r="AC50" s="1708">
        <f t="shared" si="91"/>
        <v>0</v>
      </c>
      <c r="AD50" s="1708">
        <f t="shared" si="91"/>
        <v>0</v>
      </c>
      <c r="AE50" s="1708">
        <f t="shared" si="91"/>
        <v>0</v>
      </c>
      <c r="AF50" s="1709">
        <f t="shared" si="91"/>
        <v>0</v>
      </c>
      <c r="AG50" s="1707">
        <f t="shared" si="91"/>
        <v>11.333333333333334</v>
      </c>
      <c r="AH50" s="1708">
        <f t="shared" si="91"/>
        <v>13.033333333333333</v>
      </c>
      <c r="AI50" s="1708">
        <f t="shared" si="91"/>
        <v>14.988888888888889</v>
      </c>
      <c r="AJ50" s="1708">
        <f t="shared" si="91"/>
        <v>17.237777777777776</v>
      </c>
      <c r="AK50" s="1708">
        <f t="shared" si="91"/>
        <v>19.823333333333334</v>
      </c>
      <c r="AL50" s="1709">
        <f t="shared" si="91"/>
        <v>22.666666666666668</v>
      </c>
      <c r="AM50" s="1707">
        <f t="shared" ref="AM50:AR50" si="92">IFERROR(AM29/AM14,0)</f>
        <v>12.084937106918236</v>
      </c>
      <c r="AN50" s="1708">
        <f>IFERROR(AN29/AN14,0)</f>
        <v>13.896253968253971</v>
      </c>
      <c r="AO50" s="1708">
        <f t="shared" si="92"/>
        <v>15.98789841269841</v>
      </c>
      <c r="AP50" s="1708">
        <f t="shared" si="92"/>
        <v>18.385974603174603</v>
      </c>
      <c r="AQ50" s="1708">
        <f t="shared" si="92"/>
        <v>21.143285714285714</v>
      </c>
      <c r="AR50" s="1709">
        <f t="shared" si="92"/>
        <v>24.255507042253523</v>
      </c>
      <c r="AS50" s="1710"/>
      <c r="AT50" s="1710"/>
      <c r="AU50" s="1711"/>
      <c r="AW50" s="4695"/>
      <c r="AX50" s="4695"/>
      <c r="AY50" s="4695"/>
      <c r="AZ50" s="4695"/>
      <c r="BA50" s="4695"/>
      <c r="BB50" s="4695"/>
      <c r="BC50" s="4695"/>
      <c r="BD50" s="4695"/>
      <c r="BE50" s="4695"/>
      <c r="BF50" s="4695"/>
      <c r="BG50" s="4695"/>
      <c r="BH50" s="4695"/>
      <c r="BI50" s="4695"/>
      <c r="BJ50" s="4695"/>
      <c r="BK50" s="4695"/>
      <c r="BL50" s="4695"/>
      <c r="BM50" s="4695"/>
      <c r="BN50" s="4695"/>
      <c r="BO50" s="4695"/>
      <c r="BP50" s="4695"/>
      <c r="BQ50" s="4695"/>
      <c r="BR50" s="4695"/>
      <c r="BS50" s="4695"/>
      <c r="BT50" s="4695"/>
      <c r="BU50" s="4695"/>
      <c r="BV50" s="4695"/>
      <c r="BW50" s="4695"/>
      <c r="BX50" s="4695"/>
      <c r="BY50" s="4695"/>
      <c r="BZ50" s="4695"/>
      <c r="CA50" s="4695"/>
      <c r="CB50" s="4695"/>
      <c r="CC50" s="4695"/>
      <c r="CD50" s="4695"/>
      <c r="CE50" s="4695"/>
      <c r="CF50" s="4695"/>
      <c r="CG50" s="4695"/>
      <c r="CH50" s="4695"/>
      <c r="CI50" s="4695"/>
      <c r="CJ50" s="4695"/>
      <c r="CK50" s="4695"/>
      <c r="CL50" s="4695"/>
      <c r="CM50" s="4695"/>
      <c r="CN50" s="4695"/>
      <c r="CO50" s="4695"/>
      <c r="CP50" s="4695"/>
      <c r="CQ50" s="4695"/>
      <c r="CR50" s="4695"/>
      <c r="CS50" s="4695"/>
      <c r="CT50" s="4695"/>
      <c r="CU50" s="4695"/>
      <c r="CV50" s="4695"/>
      <c r="CW50" s="4695"/>
      <c r="CX50" s="4695"/>
      <c r="CY50" s="4695"/>
      <c r="CZ50" s="4695"/>
      <c r="DA50" s="4695"/>
      <c r="DB50" s="4695"/>
      <c r="DC50" s="4695"/>
      <c r="DD50" s="4695"/>
      <c r="DE50" s="4695"/>
      <c r="DF50" s="4695"/>
      <c r="DG50" s="4695"/>
      <c r="DH50" s="4695"/>
      <c r="DI50" s="4695"/>
      <c r="DJ50" s="4695"/>
      <c r="DK50" s="4695"/>
      <c r="DL50" s="4695"/>
      <c r="DM50" s="4695"/>
      <c r="DN50" s="4695"/>
      <c r="DO50" s="4695"/>
    </row>
    <row r="51" spans="1:119" s="793" customFormat="1" ht="24">
      <c r="A51" s="791"/>
      <c r="B51" s="888" t="s">
        <v>1345</v>
      </c>
      <c r="C51" s="1712"/>
      <c r="D51" s="1713">
        <f>IFERROR((D50-C50)/C50,0)</f>
        <v>0.15003043334005317</v>
      </c>
      <c r="E51" s="1713">
        <f t="shared" ref="E51:G51" si="93">IFERROR((E50-D50)/D50,0)</f>
        <v>0.14998941051888456</v>
      </c>
      <c r="F51" s="1713">
        <f t="shared" si="93"/>
        <v>0.14998526667321474</v>
      </c>
      <c r="G51" s="1713">
        <f t="shared" si="93"/>
        <v>0.14996156474205671</v>
      </c>
      <c r="H51" s="1713">
        <f>IFERROR((H50-G50)/G50,0)</f>
        <v>0.16342739966011796</v>
      </c>
      <c r="I51" s="1712"/>
      <c r="J51" s="1713">
        <f>IFERROR((J50-I50)/I50,0)</f>
        <v>0.14996154542164322</v>
      </c>
      <c r="K51" s="1713">
        <f t="shared" ref="K51:N51" si="94">IFERROR((K50-J50)/J50,0)</f>
        <v>0.14998770592574365</v>
      </c>
      <c r="L51" s="1713">
        <f t="shared" si="94"/>
        <v>0.14996792815907656</v>
      </c>
      <c r="M51" s="1713">
        <f t="shared" si="94"/>
        <v>0.14997025137587378</v>
      </c>
      <c r="N51" s="1713">
        <f t="shared" si="94"/>
        <v>3.4638333910767358E-2</v>
      </c>
      <c r="O51" s="1712"/>
      <c r="P51" s="1713">
        <f>IFERROR((P50-O50)/O50,0)</f>
        <v>0.1454132715679127</v>
      </c>
      <c r="Q51" s="1713">
        <f t="shared" ref="Q51:T51" si="95">IFERROR((Q50-P50)/P50,0)</f>
        <v>0.15464249748237649</v>
      </c>
      <c r="R51" s="1713">
        <f t="shared" si="95"/>
        <v>0.15004884175272126</v>
      </c>
      <c r="S51" s="1713">
        <f t="shared" si="95"/>
        <v>0.15000758380100107</v>
      </c>
      <c r="T51" s="1713">
        <f t="shared" si="95"/>
        <v>5.9664336586652593E-2</v>
      </c>
      <c r="U51" s="1712"/>
      <c r="V51" s="1713">
        <f>IFERROR((V50-U50)/U50,0)</f>
        <v>0.15001215657670822</v>
      </c>
      <c r="W51" s="1713">
        <f t="shared" ref="W51:Z51" si="96">IFERROR((W50-V50)/V50,0)</f>
        <v>0.14999999999999986</v>
      </c>
      <c r="X51" s="1713">
        <f t="shared" si="96"/>
        <v>0.1500137880319882</v>
      </c>
      <c r="Y51" s="1713">
        <f t="shared" si="96"/>
        <v>0.14998801055071539</v>
      </c>
      <c r="Z51" s="1713">
        <f t="shared" si="96"/>
        <v>0.1434926151172895</v>
      </c>
      <c r="AA51" s="1712"/>
      <c r="AB51" s="1713">
        <f>IFERROR((AB50-AA50)/AA50,0)</f>
        <v>0</v>
      </c>
      <c r="AC51" s="1713">
        <f t="shared" ref="AC51:AF51" si="97">IFERROR((AC50-AB50)/AB50,0)</f>
        <v>0</v>
      </c>
      <c r="AD51" s="1713">
        <f t="shared" si="97"/>
        <v>0</v>
      </c>
      <c r="AE51" s="1713">
        <f t="shared" si="97"/>
        <v>0</v>
      </c>
      <c r="AF51" s="1713">
        <f t="shared" si="97"/>
        <v>0</v>
      </c>
      <c r="AG51" s="1712"/>
      <c r="AH51" s="1713">
        <f>IFERROR((AH50-AG50)/AG50,0)</f>
        <v>0.14999999999999994</v>
      </c>
      <c r="AI51" s="1713">
        <f t="shared" ref="AI51:AL51" si="98">IFERROR((AI50-AH50)/AH50,0)</f>
        <v>0.15004262574595056</v>
      </c>
      <c r="AJ51" s="1713">
        <f t="shared" si="98"/>
        <v>0.15003706449221632</v>
      </c>
      <c r="AK51" s="1713">
        <f t="shared" si="98"/>
        <v>0.14999355420910163</v>
      </c>
      <c r="AL51" s="1713">
        <f t="shared" si="98"/>
        <v>0.14343366403228519</v>
      </c>
      <c r="AM51" s="1712"/>
      <c r="AN51" s="1713">
        <f>IFERROR((AN50-AM50)/AM50,0)</f>
        <v>0.14988219179881496</v>
      </c>
      <c r="AO51" s="1713">
        <f t="shared" ref="AO51:AR51" si="99">IFERROR((AO50-AN50)/AN50,0)</f>
        <v>0.15051858214615293</v>
      </c>
      <c r="AP51" s="1713">
        <f t="shared" si="99"/>
        <v>0.14999320914946004</v>
      </c>
      <c r="AQ51" s="1713">
        <f t="shared" si="99"/>
        <v>0.14996817795206904</v>
      </c>
      <c r="AR51" s="1713">
        <f t="shared" si="99"/>
        <v>0.14719667368752434</v>
      </c>
      <c r="AS51" s="1710"/>
      <c r="AT51" s="1710"/>
      <c r="AU51" s="1711"/>
      <c r="AW51" s="4695"/>
      <c r="AX51" s="4695"/>
      <c r="AY51" s="4695"/>
      <c r="AZ51" s="4695"/>
      <c r="BA51" s="4695"/>
      <c r="BB51" s="4695"/>
      <c r="BC51" s="4695"/>
      <c r="BD51" s="4695"/>
      <c r="BE51" s="4695"/>
      <c r="BF51" s="4695"/>
      <c r="BG51" s="4695"/>
      <c r="BH51" s="4695"/>
      <c r="BI51" s="4695"/>
      <c r="BJ51" s="4695"/>
      <c r="BK51" s="4695"/>
      <c r="BL51" s="4695"/>
      <c r="BM51" s="4695"/>
      <c r="BN51" s="4695"/>
      <c r="BO51" s="4695"/>
      <c r="BP51" s="4695"/>
      <c r="BQ51" s="4695"/>
      <c r="BR51" s="4695"/>
      <c r="BS51" s="4695"/>
      <c r="BT51" s="4695"/>
      <c r="BU51" s="4695"/>
      <c r="BV51" s="4695"/>
      <c r="BW51" s="4695"/>
      <c r="BX51" s="4695"/>
      <c r="BY51" s="4695"/>
      <c r="BZ51" s="4695"/>
      <c r="CA51" s="4695"/>
      <c r="CB51" s="4695"/>
      <c r="CC51" s="4695"/>
      <c r="CD51" s="4695"/>
      <c r="CE51" s="4695"/>
      <c r="CF51" s="4695"/>
      <c r="CG51" s="4695"/>
      <c r="CH51" s="4695"/>
      <c r="CI51" s="4695"/>
      <c r="CJ51" s="4695"/>
      <c r="CK51" s="4695"/>
      <c r="CL51" s="4695"/>
      <c r="CM51" s="4695"/>
      <c r="CN51" s="4695"/>
      <c r="CO51" s="4695"/>
      <c r="CP51" s="4695"/>
      <c r="CQ51" s="4695"/>
      <c r="CR51" s="4695"/>
      <c r="CS51" s="4695"/>
      <c r="CT51" s="4695"/>
      <c r="CU51" s="4695"/>
      <c r="CV51" s="4695"/>
      <c r="CW51" s="4695"/>
      <c r="CX51" s="4695"/>
      <c r="CY51" s="4695"/>
      <c r="CZ51" s="4695"/>
      <c r="DA51" s="4695"/>
      <c r="DB51" s="4695"/>
      <c r="DC51" s="4695"/>
      <c r="DD51" s="4695"/>
      <c r="DE51" s="4695"/>
      <c r="DF51" s="4695"/>
      <c r="DG51" s="4695"/>
      <c r="DH51" s="4695"/>
      <c r="DI51" s="4695"/>
      <c r="DJ51" s="4695"/>
      <c r="DK51" s="4695"/>
      <c r="DL51" s="4695"/>
      <c r="DM51" s="4695"/>
      <c r="DN51" s="4695"/>
      <c r="DO51" s="4695"/>
    </row>
    <row r="52" spans="1:119" s="793" customFormat="1" ht="13.5" thickBot="1">
      <c r="A52" s="890"/>
      <c r="B52" s="889" t="s">
        <v>1346</v>
      </c>
      <c r="C52" s="1714"/>
      <c r="D52" s="1715">
        <f>IFERROR((D50-$C$50)/$C$50,0)</f>
        <v>0.15003043334005317</v>
      </c>
      <c r="E52" s="1715">
        <f t="shared" ref="E52:G52" si="100">IFERROR((E50-$C$50)/$C$50,0)</f>
        <v>0.32252282011550509</v>
      </c>
      <c r="F52" s="1715">
        <f t="shared" si="100"/>
        <v>0.52088175797194114</v>
      </c>
      <c r="G52" s="1715">
        <f t="shared" si="100"/>
        <v>0.74895556618506343</v>
      </c>
      <c r="H52" s="1715">
        <f>IFERROR((H50-$C$50)/$C$50,0)</f>
        <v>1.0347828264877776</v>
      </c>
      <c r="I52" s="1714"/>
      <c r="J52" s="1715">
        <f>IFERROR((J50-$I$50)/$I$50,0)</f>
        <v>0.14996154542164322</v>
      </c>
      <c r="K52" s="1715">
        <f t="shared" ref="K52:M52" si="101">IFERROR((K50-$I$50)/$I$50,0)</f>
        <v>0.32244163952225835</v>
      </c>
      <c r="L52" s="1715">
        <f t="shared" si="101"/>
        <v>0.52076547231270376</v>
      </c>
      <c r="M52" s="1715">
        <f t="shared" si="101"/>
        <v>0.74883505247918936</v>
      </c>
      <c r="N52" s="1715">
        <f>IFERROR((N50-$I$50)/$I$50,0)</f>
        <v>0.80941178498181787</v>
      </c>
      <c r="O52" s="1714"/>
      <c r="P52" s="1715">
        <f>IFERROR((P50-$O$50)/$O$50,0)</f>
        <v>0.1454132715679127</v>
      </c>
      <c r="Q52" s="1715">
        <f t="shared" ref="Q52:S52" si="102">IFERROR((Q50-$O$50)/$O$50,0)</f>
        <v>0.32254284053263427</v>
      </c>
      <c r="R52" s="1715">
        <f t="shared" si="102"/>
        <v>0.52098886192290994</v>
      </c>
      <c r="S52" s="1715">
        <f t="shared" si="102"/>
        <v>0.74914872608820016</v>
      </c>
      <c r="T52" s="1715">
        <f>IFERROR((T50-$O$50)/$O$50,0)</f>
        <v>0.8535105244216411</v>
      </c>
      <c r="U52" s="1714"/>
      <c r="V52" s="1715">
        <f>IFERROR((V50-$U$50)/$U$50,0)</f>
        <v>0.15001215657670822</v>
      </c>
      <c r="W52" s="1715">
        <f t="shared" ref="W52:Y52" si="103">IFERROR((W50-$U$50)/$U$50,0)</f>
        <v>0.3225139800632143</v>
      </c>
      <c r="X52" s="1715">
        <f t="shared" si="103"/>
        <v>0.52090931193775836</v>
      </c>
      <c r="Y52" s="1715">
        <f t="shared" si="103"/>
        <v>0.74902747386336022</v>
      </c>
      <c r="Z52" s="1715">
        <f>IFERROR((Z50-$U$50)/$U$50,0)</f>
        <v>1.0000000000000004</v>
      </c>
      <c r="AA52" s="1714"/>
      <c r="AB52" s="1715">
        <f>IFERROR((AB50-$AA$50)/$AA$50,0)</f>
        <v>0</v>
      </c>
      <c r="AC52" s="1715">
        <f t="shared" ref="AC52:AF52" si="104">IFERROR((AC50-$AA$50)/$AA$50,0)</f>
        <v>0</v>
      </c>
      <c r="AD52" s="1715">
        <f t="shared" si="104"/>
        <v>0</v>
      </c>
      <c r="AE52" s="1715">
        <f t="shared" si="104"/>
        <v>0</v>
      </c>
      <c r="AF52" s="1715">
        <f t="shared" si="104"/>
        <v>0</v>
      </c>
      <c r="AG52" s="1714"/>
      <c r="AH52" s="1715">
        <f>IFERROR((AH50-$AG$50)/$AG$50,0)</f>
        <v>0.14999999999999994</v>
      </c>
      <c r="AI52" s="1715">
        <f>IFERROR((AI50-$AG$50)/$AG$50,0)</f>
        <v>0.32254901960784305</v>
      </c>
      <c r="AJ52" s="1715">
        <f t="shared" ref="AJ52:AK52" si="105">IFERROR((AJ50-$AG$50)/$AG$50,0)</f>
        <v>0.52098039215686254</v>
      </c>
      <c r="AK52" s="1715">
        <f t="shared" si="105"/>
        <v>0.74911764705882355</v>
      </c>
      <c r="AL52" s="1715">
        <f>IFERROR((AL50-$AG$50)/$AG$50,0)</f>
        <v>1</v>
      </c>
      <c r="AM52" s="1714"/>
      <c r="AN52" s="1715">
        <f>IFERROR((AN50-$AM$50)/$AM$50,0)</f>
        <v>0.14988219179881496</v>
      </c>
      <c r="AO52" s="1715">
        <f t="shared" ref="AO52:AQ52" si="106">IFERROR((AO50-$AM$50)/$AM$50,0)</f>
        <v>0.32296082894348327</v>
      </c>
      <c r="AP52" s="1715">
        <f t="shared" si="106"/>
        <v>0.52139596925574616</v>
      </c>
      <c r="AQ52" s="1715">
        <f t="shared" si="106"/>
        <v>0.74955695070865247</v>
      </c>
      <c r="AR52" s="1715">
        <f>IFERROR((AR50-$AM$50)/$AM$50,0)</f>
        <v>1.0070859142798541</v>
      </c>
      <c r="AS52" s="1716"/>
      <c r="AT52" s="1716"/>
      <c r="AU52" s="1717"/>
      <c r="AW52" s="4695"/>
      <c r="AX52" s="4695"/>
      <c r="AY52" s="4695"/>
      <c r="AZ52" s="4695"/>
      <c r="BA52" s="4695"/>
      <c r="BB52" s="4695"/>
      <c r="BC52" s="4695"/>
      <c r="BD52" s="4695"/>
      <c r="BE52" s="4695"/>
      <c r="BF52" s="4695"/>
      <c r="BG52" s="4695"/>
      <c r="BH52" s="4695"/>
      <c r="BI52" s="4695"/>
      <c r="BJ52" s="4695"/>
      <c r="BK52" s="4695"/>
      <c r="BL52" s="4695"/>
      <c r="BM52" s="4695"/>
      <c r="BN52" s="4695"/>
      <c r="BO52" s="4695"/>
      <c r="BP52" s="4695"/>
      <c r="BQ52" s="4695"/>
      <c r="BR52" s="4695"/>
      <c r="BS52" s="4695"/>
      <c r="BT52" s="4695"/>
      <c r="BU52" s="4695"/>
      <c r="BV52" s="4695"/>
      <c r="BW52" s="4695"/>
      <c r="BX52" s="4695"/>
      <c r="BY52" s="4695"/>
      <c r="BZ52" s="4695"/>
      <c r="CA52" s="4695"/>
      <c r="CB52" s="4695"/>
      <c r="CC52" s="4695"/>
      <c r="CD52" s="4695"/>
      <c r="CE52" s="4695"/>
      <c r="CF52" s="4695"/>
      <c r="CG52" s="4695"/>
      <c r="CH52" s="4695"/>
      <c r="CI52" s="4695"/>
      <c r="CJ52" s="4695"/>
      <c r="CK52" s="4695"/>
      <c r="CL52" s="4695"/>
      <c r="CM52" s="4695"/>
      <c r="CN52" s="4695"/>
      <c r="CO52" s="4695"/>
      <c r="CP52" s="4695"/>
      <c r="CQ52" s="4695"/>
      <c r="CR52" s="4695"/>
      <c r="CS52" s="4695"/>
      <c r="CT52" s="4695"/>
      <c r="CU52" s="4695"/>
      <c r="CV52" s="4695"/>
      <c r="CW52" s="4695"/>
      <c r="CX52" s="4695"/>
      <c r="CY52" s="4695"/>
      <c r="CZ52" s="4695"/>
      <c r="DA52" s="4695"/>
      <c r="DB52" s="4695"/>
      <c r="DC52" s="4695"/>
      <c r="DD52" s="4695"/>
      <c r="DE52" s="4695"/>
      <c r="DF52" s="4695"/>
      <c r="DG52" s="4695"/>
      <c r="DH52" s="4695"/>
      <c r="DI52" s="4695"/>
      <c r="DJ52" s="4695"/>
      <c r="DK52" s="4695"/>
      <c r="DL52" s="4695"/>
      <c r="DM52" s="4695"/>
      <c r="DN52" s="4695"/>
      <c r="DO52" s="4695"/>
    </row>
    <row r="53" spans="1:119" s="180" customFormat="1">
      <c r="A53" s="797" t="s">
        <v>1289</v>
      </c>
      <c r="B53" s="798" t="s">
        <v>1215</v>
      </c>
      <c r="C53" s="1718">
        <f>IFERROR(C30/C15,0)</f>
        <v>16.764705882352942</v>
      </c>
      <c r="D53" s="1718">
        <f>IFERROR(D30/D15,0)</f>
        <v>19.279411764705884</v>
      </c>
      <c r="E53" s="1718">
        <f t="shared" ref="E53:H53" si="107">IFERROR(E30/E15,0)</f>
        <v>22.176470588235293</v>
      </c>
      <c r="F53" s="1718">
        <f t="shared" si="107"/>
        <v>25.470588235294116</v>
      </c>
      <c r="G53" s="1718">
        <f t="shared" si="107"/>
        <v>29.294117647058822</v>
      </c>
      <c r="H53" s="1719">
        <f t="shared" si="107"/>
        <v>33.714285714285715</v>
      </c>
      <c r="I53" s="1718">
        <f>IFERROR(I30/I15,0)</f>
        <v>16</v>
      </c>
      <c r="J53" s="1718">
        <f>IFERROR(J30/J15,0)</f>
        <v>18</v>
      </c>
      <c r="K53" s="1718">
        <f t="shared" ref="K53:N53" si="108">IFERROR(K30/K15,0)</f>
        <v>21</v>
      </c>
      <c r="L53" s="1718">
        <f t="shared" si="108"/>
        <v>24</v>
      </c>
      <c r="M53" s="1718">
        <f t="shared" si="108"/>
        <v>28</v>
      </c>
      <c r="N53" s="1719">
        <f t="shared" si="108"/>
        <v>32</v>
      </c>
      <c r="O53" s="1718">
        <f t="shared" ref="O53:Q54" si="109">IFERROR(O30/O15,0)</f>
        <v>15</v>
      </c>
      <c r="P53" s="1718">
        <f t="shared" si="109"/>
        <v>16.5</v>
      </c>
      <c r="Q53" s="1718">
        <f t="shared" si="109"/>
        <v>20</v>
      </c>
      <c r="R53" s="1718">
        <f t="shared" ref="R53:T53" si="110">IFERROR(R30/R15,0)</f>
        <v>23</v>
      </c>
      <c r="S53" s="1718">
        <f t="shared" si="110"/>
        <v>27</v>
      </c>
      <c r="T53" s="1719">
        <f t="shared" si="110"/>
        <v>30</v>
      </c>
      <c r="U53" s="1718">
        <f>IFERROR(U30/U15,0)</f>
        <v>0</v>
      </c>
      <c r="V53" s="1718">
        <f>IFERROR(V30/V15,0)</f>
        <v>0</v>
      </c>
      <c r="W53" s="1718">
        <f t="shared" ref="W53:Z53" si="111">IFERROR(W30/W15,0)</f>
        <v>0</v>
      </c>
      <c r="X53" s="1718">
        <f t="shared" si="111"/>
        <v>0</v>
      </c>
      <c r="Y53" s="1718">
        <f t="shared" si="111"/>
        <v>0</v>
      </c>
      <c r="Z53" s="1719">
        <f t="shared" si="111"/>
        <v>0</v>
      </c>
      <c r="AA53" s="1718">
        <f>IFERROR(AA30/AA15,0)</f>
        <v>0</v>
      </c>
      <c r="AB53" s="1718">
        <f>IFERROR(AB30/AB15,0)</f>
        <v>0</v>
      </c>
      <c r="AC53" s="1718">
        <f t="shared" ref="AC53:AF53" si="112">IFERROR(AC30/AC15,0)</f>
        <v>0</v>
      </c>
      <c r="AD53" s="1718">
        <f t="shared" si="112"/>
        <v>0</v>
      </c>
      <c r="AE53" s="1718">
        <f t="shared" si="112"/>
        <v>0</v>
      </c>
      <c r="AF53" s="1719">
        <f t="shared" si="112"/>
        <v>0</v>
      </c>
      <c r="AG53" s="1718">
        <f>IFERROR(AG30/AG15,0)</f>
        <v>0</v>
      </c>
      <c r="AH53" s="1718">
        <f>IFERROR(AH30/AH15,0)</f>
        <v>0</v>
      </c>
      <c r="AI53" s="1718">
        <f t="shared" ref="AI53:AL53" si="113">IFERROR(AI30/AI15,0)</f>
        <v>0</v>
      </c>
      <c r="AJ53" s="1718">
        <f t="shared" si="113"/>
        <v>0</v>
      </c>
      <c r="AK53" s="1718">
        <f t="shared" si="113"/>
        <v>0</v>
      </c>
      <c r="AL53" s="1719">
        <f t="shared" si="113"/>
        <v>0</v>
      </c>
      <c r="AM53" s="1718">
        <f>IFERROR(AM30/AM15,0)</f>
        <v>16.631578947368421</v>
      </c>
      <c r="AN53" s="1718">
        <f>IFERROR(AN30/AN15,0)</f>
        <v>19.065789473684209</v>
      </c>
      <c r="AO53" s="1718">
        <f t="shared" ref="AO53:AR53" si="114">IFERROR(AO30/AO15,0)</f>
        <v>22</v>
      </c>
      <c r="AP53" s="1718">
        <f t="shared" si="114"/>
        <v>25.263157894736842</v>
      </c>
      <c r="AQ53" s="1718">
        <f t="shared" si="114"/>
        <v>29.105263157894736</v>
      </c>
      <c r="AR53" s="1719">
        <f t="shared" si="114"/>
        <v>33.375</v>
      </c>
      <c r="AS53" s="1684">
        <f t="shared" si="90"/>
        <v>1.0067246835443038</v>
      </c>
      <c r="AT53" s="1684">
        <f t="shared" si="43"/>
        <v>1.0110275689223058</v>
      </c>
      <c r="AU53" s="1685">
        <f t="shared" si="44"/>
        <v>1</v>
      </c>
      <c r="AV53" s="179"/>
      <c r="AW53" s="4695"/>
      <c r="AX53" s="4695"/>
      <c r="AY53" s="4695"/>
      <c r="AZ53" s="4695"/>
      <c r="BA53" s="4695"/>
      <c r="BB53" s="4695"/>
      <c r="BC53" s="4695"/>
      <c r="BD53" s="4695"/>
      <c r="BE53" s="4695"/>
      <c r="BF53" s="4695"/>
      <c r="BG53" s="4695"/>
      <c r="BH53" s="4695"/>
      <c r="BI53" s="4695"/>
      <c r="BJ53" s="4695"/>
      <c r="BK53" s="4695"/>
      <c r="BL53" s="4695"/>
      <c r="BM53" s="4695"/>
      <c r="BN53" s="4695"/>
      <c r="BO53" s="4695"/>
      <c r="BP53" s="4695"/>
      <c r="BQ53" s="4695"/>
      <c r="BR53" s="4695"/>
      <c r="BS53" s="4695"/>
      <c r="BT53" s="4695"/>
      <c r="BU53" s="4695"/>
      <c r="BV53" s="4695"/>
      <c r="BW53" s="4695"/>
      <c r="BX53" s="4695"/>
      <c r="BY53" s="4695"/>
      <c r="BZ53" s="4695"/>
      <c r="CA53" s="4695"/>
      <c r="CB53" s="4695"/>
      <c r="CC53" s="4695"/>
      <c r="CD53" s="4695"/>
      <c r="CE53" s="4695"/>
      <c r="CF53" s="4695"/>
      <c r="CG53" s="4695"/>
      <c r="CH53" s="4695"/>
      <c r="CI53" s="4695"/>
      <c r="CJ53" s="4695"/>
      <c r="CK53" s="4695"/>
      <c r="CL53" s="4695"/>
      <c r="CM53" s="4695"/>
      <c r="CN53" s="4695"/>
      <c r="CO53" s="4695"/>
      <c r="CP53" s="4695"/>
      <c r="CQ53" s="4695"/>
      <c r="CR53" s="4695"/>
      <c r="CS53" s="4695"/>
      <c r="CT53" s="4695"/>
      <c r="CU53" s="4695"/>
      <c r="CV53" s="4695"/>
      <c r="CW53" s="4695"/>
      <c r="CX53" s="4695"/>
      <c r="CY53" s="4695"/>
      <c r="CZ53" s="4695"/>
      <c r="DA53" s="4695"/>
      <c r="DB53" s="4695"/>
      <c r="DC53" s="4695"/>
      <c r="DD53" s="4695"/>
      <c r="DE53" s="4695"/>
      <c r="DF53" s="4695"/>
      <c r="DG53" s="4695"/>
      <c r="DH53" s="4695"/>
      <c r="DI53" s="4695"/>
      <c r="DJ53" s="4695"/>
      <c r="DK53" s="4695"/>
      <c r="DL53" s="4695"/>
      <c r="DM53" s="4695"/>
      <c r="DN53" s="4695"/>
      <c r="DO53" s="4695"/>
    </row>
    <row r="54" spans="1:119" s="180" customFormat="1">
      <c r="A54" s="667" t="s">
        <v>1290</v>
      </c>
      <c r="B54" s="669" t="s">
        <v>1216</v>
      </c>
      <c r="C54" s="1720">
        <f t="shared" ref="C54" si="115">IFERROR(C31/C16,0)</f>
        <v>14.272727272727273</v>
      </c>
      <c r="D54" s="1720">
        <f>IFERROR(D31/D16,0)</f>
        <v>16.363636363636363</v>
      </c>
      <c r="E54" s="1720">
        <f>IFERROR(E31/E16,0)</f>
        <v>18.818181818181817</v>
      </c>
      <c r="F54" s="1720">
        <f>IFERROR(F31/F16,0)</f>
        <v>21.727272727272727</v>
      </c>
      <c r="G54" s="1720">
        <f>IFERROR(G31/G16,0)</f>
        <v>25</v>
      </c>
      <c r="H54" s="1721">
        <f>IFERROR(H31/H16,0)</f>
        <v>28.666666666666668</v>
      </c>
      <c r="I54" s="1720">
        <f>IFERROR(I31/I16,0)</f>
        <v>14</v>
      </c>
      <c r="J54" s="1720">
        <f>IFERROR(J31/J16,0)</f>
        <v>16</v>
      </c>
      <c r="K54" s="1720">
        <f>IFERROR(K31/K16,0)</f>
        <v>18</v>
      </c>
      <c r="L54" s="1720">
        <f>IFERROR(L31/L16,0)</f>
        <v>21</v>
      </c>
      <c r="M54" s="1720">
        <f>IFERROR(M31/M16,0)</f>
        <v>24</v>
      </c>
      <c r="N54" s="1721">
        <f>IFERROR(N31/N16,0)</f>
        <v>28</v>
      </c>
      <c r="O54" s="1720">
        <f t="shared" si="109"/>
        <v>12.666666666666666</v>
      </c>
      <c r="P54" s="1720">
        <f t="shared" si="109"/>
        <v>14.666666666666666</v>
      </c>
      <c r="Q54" s="1720">
        <f t="shared" si="109"/>
        <v>16.666666666666668</v>
      </c>
      <c r="R54" s="1720">
        <f>IFERROR(R31/R16,0)</f>
        <v>19.333333333333332</v>
      </c>
      <c r="S54" s="1720">
        <f>IFERROR(S31/S16,0)</f>
        <v>22.333333333333332</v>
      </c>
      <c r="T54" s="1721">
        <f>IFERROR(T31/T16,0)</f>
        <v>25.333333333333332</v>
      </c>
      <c r="U54" s="1720">
        <f>IFERROR(U31/U16,0)</f>
        <v>0</v>
      </c>
      <c r="V54" s="1720">
        <f>IFERROR(V31/V16,0)</f>
        <v>0</v>
      </c>
      <c r="W54" s="1720">
        <f>IFERROR(W31/W16,0)</f>
        <v>0</v>
      </c>
      <c r="X54" s="1720">
        <f>IFERROR(X31/X16,0)</f>
        <v>0</v>
      </c>
      <c r="Y54" s="1720">
        <f>IFERROR(Y31/Y16,0)</f>
        <v>0</v>
      </c>
      <c r="Z54" s="1721">
        <f>IFERROR(Z31/Z16,0)</f>
        <v>0</v>
      </c>
      <c r="AA54" s="1720">
        <f>IFERROR(AA31/AA16,0)</f>
        <v>0</v>
      </c>
      <c r="AB54" s="1720">
        <f>IFERROR(AB31/AB16,0)</f>
        <v>0</v>
      </c>
      <c r="AC54" s="1720">
        <f>IFERROR(AC31/AC16,0)</f>
        <v>0</v>
      </c>
      <c r="AD54" s="1720">
        <f>IFERROR(AD31/AD16,0)</f>
        <v>0</v>
      </c>
      <c r="AE54" s="1720">
        <f>IFERROR(AE31/AE16,0)</f>
        <v>0</v>
      </c>
      <c r="AF54" s="1721">
        <f>IFERROR(AF31/AF16,0)</f>
        <v>0</v>
      </c>
      <c r="AG54" s="1720">
        <f>IFERROR(AG31/AG16,0)</f>
        <v>0</v>
      </c>
      <c r="AH54" s="1720">
        <f>IFERROR(AH31/AH16,0)</f>
        <v>0</v>
      </c>
      <c r="AI54" s="1720">
        <f>IFERROR(AI31/AI16,0)</f>
        <v>0</v>
      </c>
      <c r="AJ54" s="1720">
        <f>IFERROR(AJ31/AJ16,0)</f>
        <v>0</v>
      </c>
      <c r="AK54" s="1720">
        <f>IFERROR(AK31/AK16,0)</f>
        <v>0</v>
      </c>
      <c r="AL54" s="1721">
        <f>IFERROR(AL31/AL16,0)</f>
        <v>0</v>
      </c>
      <c r="AM54" s="1720">
        <f>IFERROR(AM31/AM16,0)</f>
        <v>13.933333333333334</v>
      </c>
      <c r="AN54" s="1720">
        <f t="shared" ref="AN54:AR54" si="116">IFERROR(AN31/AN16,0)</f>
        <v>16</v>
      </c>
      <c r="AO54" s="1720">
        <f t="shared" si="116"/>
        <v>18.333333333333332</v>
      </c>
      <c r="AP54" s="1720">
        <f t="shared" si="116"/>
        <v>21.2</v>
      </c>
      <c r="AQ54" s="1720">
        <f t="shared" si="116"/>
        <v>24.4</v>
      </c>
      <c r="AR54" s="1721">
        <f t="shared" si="116"/>
        <v>27.846153846153847</v>
      </c>
      <c r="AS54" s="1065">
        <f t="shared" si="90"/>
        <v>0.99852778800147224</v>
      </c>
      <c r="AT54" s="1065">
        <f t="shared" si="43"/>
        <v>1.0084925690021231</v>
      </c>
      <c r="AU54" s="1061">
        <f t="shared" si="44"/>
        <v>1</v>
      </c>
      <c r="AV54" s="179"/>
      <c r="AW54" s="4695"/>
      <c r="AX54" s="4695"/>
      <c r="AY54" s="4695"/>
      <c r="AZ54" s="4695"/>
      <c r="BA54" s="4695"/>
      <c r="BB54" s="4695"/>
      <c r="BC54" s="4695"/>
      <c r="BD54" s="4695"/>
      <c r="BE54" s="4695"/>
      <c r="BF54" s="4695"/>
      <c r="BG54" s="4695"/>
      <c r="BH54" s="4695"/>
      <c r="BI54" s="4695"/>
      <c r="BJ54" s="4695"/>
      <c r="BK54" s="4695"/>
      <c r="BL54" s="4695"/>
      <c r="BM54" s="4695"/>
      <c r="BN54" s="4695"/>
      <c r="BO54" s="4695"/>
      <c r="BP54" s="4695"/>
      <c r="BQ54" s="4695"/>
      <c r="BR54" s="4695"/>
      <c r="BS54" s="4695"/>
      <c r="BT54" s="4695"/>
      <c r="BU54" s="4695"/>
      <c r="BV54" s="4695"/>
      <c r="BW54" s="4695"/>
      <c r="BX54" s="4695"/>
      <c r="BY54" s="4695"/>
      <c r="BZ54" s="4695"/>
      <c r="CA54" s="4695"/>
      <c r="CB54" s="4695"/>
      <c r="CC54" s="4695"/>
      <c r="CD54" s="4695"/>
      <c r="CE54" s="4695"/>
      <c r="CF54" s="4695"/>
      <c r="CG54" s="4695"/>
      <c r="CH54" s="4695"/>
      <c r="CI54" s="4695"/>
      <c r="CJ54" s="4695"/>
      <c r="CK54" s="4695"/>
      <c r="CL54" s="4695"/>
      <c r="CM54" s="4695"/>
      <c r="CN54" s="4695"/>
      <c r="CO54" s="4695"/>
      <c r="CP54" s="4695"/>
      <c r="CQ54" s="4695"/>
      <c r="CR54" s="4695"/>
      <c r="CS54" s="4695"/>
      <c r="CT54" s="4695"/>
      <c r="CU54" s="4695"/>
      <c r="CV54" s="4695"/>
      <c r="CW54" s="4695"/>
      <c r="CX54" s="4695"/>
      <c r="CY54" s="4695"/>
      <c r="CZ54" s="4695"/>
      <c r="DA54" s="4695"/>
      <c r="DB54" s="4695"/>
      <c r="DC54" s="4695"/>
      <c r="DD54" s="4695"/>
      <c r="DE54" s="4695"/>
      <c r="DF54" s="4695"/>
      <c r="DG54" s="4695"/>
      <c r="DH54" s="4695"/>
      <c r="DI54" s="4695"/>
      <c r="DJ54" s="4695"/>
      <c r="DK54" s="4695"/>
      <c r="DL54" s="4695"/>
      <c r="DM54" s="4695"/>
      <c r="DN54" s="4695"/>
      <c r="DO54" s="4695"/>
    </row>
    <row r="55" spans="1:119" s="180" customFormat="1">
      <c r="A55" s="667" t="s">
        <v>1291</v>
      </c>
      <c r="B55" s="669" t="s">
        <v>1217</v>
      </c>
      <c r="C55" s="1720">
        <f t="shared" ref="C55" si="117">IFERROR(C32/C17,0)</f>
        <v>13.976744186046512</v>
      </c>
      <c r="D55" s="1720">
        <f t="shared" ref="D55:H55" si="118">IFERROR(D32/D17,0)</f>
        <v>16.069767441860463</v>
      </c>
      <c r="E55" s="1720">
        <f t="shared" si="118"/>
        <v>18.465116279069768</v>
      </c>
      <c r="F55" s="1720">
        <f t="shared" si="118"/>
        <v>21.255813953488371</v>
      </c>
      <c r="G55" s="1720">
        <f t="shared" si="118"/>
        <v>24.441860465116278</v>
      </c>
      <c r="H55" s="1721">
        <f t="shared" si="118"/>
        <v>28.105263157894736</v>
      </c>
      <c r="I55" s="1720">
        <f t="shared" ref="I55:I61" si="119">IFERROR(I32/I17,0)</f>
        <v>13.5</v>
      </c>
      <c r="J55" s="1720">
        <f t="shared" ref="J55:N55" si="120">IFERROR(J32/J17,0)</f>
        <v>15.5</v>
      </c>
      <c r="K55" s="1720">
        <f t="shared" si="120"/>
        <v>18</v>
      </c>
      <c r="L55" s="1720">
        <f t="shared" si="120"/>
        <v>20.5</v>
      </c>
      <c r="M55" s="1720">
        <f t="shared" si="120"/>
        <v>23.5</v>
      </c>
      <c r="N55" s="1721">
        <f t="shared" si="120"/>
        <v>27</v>
      </c>
      <c r="O55" s="1720">
        <f t="shared" ref="O55:O61" si="121">IFERROR(O32/O17,0)</f>
        <v>13.2</v>
      </c>
      <c r="P55" s="1720">
        <f t="shared" ref="P55:T55" si="122">IFERROR(P32/P17,0)</f>
        <v>15.2</v>
      </c>
      <c r="Q55" s="1720">
        <f t="shared" si="122"/>
        <v>17.399999999999999</v>
      </c>
      <c r="R55" s="1720">
        <f t="shared" si="122"/>
        <v>20</v>
      </c>
      <c r="S55" s="1720">
        <f t="shared" si="122"/>
        <v>23</v>
      </c>
      <c r="T55" s="1721">
        <f t="shared" si="122"/>
        <v>26.4</v>
      </c>
      <c r="U55" s="1720">
        <f t="shared" ref="U55:U61" si="123">IFERROR(U32/U17,0)</f>
        <v>0</v>
      </c>
      <c r="V55" s="1720">
        <f t="shared" ref="V55:Z55" si="124">IFERROR(V32/V17,0)</f>
        <v>0</v>
      </c>
      <c r="W55" s="1720">
        <f t="shared" si="124"/>
        <v>0</v>
      </c>
      <c r="X55" s="1720">
        <f t="shared" si="124"/>
        <v>0</v>
      </c>
      <c r="Y55" s="1720">
        <f t="shared" si="124"/>
        <v>0</v>
      </c>
      <c r="Z55" s="1721">
        <f t="shared" si="124"/>
        <v>0</v>
      </c>
      <c r="AA55" s="1720">
        <f t="shared" ref="AA55:AA61" si="125">IFERROR(AA32/AA17,0)</f>
        <v>0</v>
      </c>
      <c r="AB55" s="1720">
        <f t="shared" ref="AB55:AF55" si="126">IFERROR(AB32/AB17,0)</f>
        <v>0</v>
      </c>
      <c r="AC55" s="1720">
        <f t="shared" si="126"/>
        <v>0</v>
      </c>
      <c r="AD55" s="1720">
        <f t="shared" si="126"/>
        <v>0</v>
      </c>
      <c r="AE55" s="1720">
        <f t="shared" si="126"/>
        <v>0</v>
      </c>
      <c r="AF55" s="1721">
        <f t="shared" si="126"/>
        <v>0</v>
      </c>
      <c r="AG55" s="1720">
        <f t="shared" ref="AG55:AG61" si="127">IFERROR(AG32/AG17,0)</f>
        <v>0</v>
      </c>
      <c r="AH55" s="1720">
        <f t="shared" ref="AH55:AL55" si="128">IFERROR(AH32/AH17,0)</f>
        <v>0</v>
      </c>
      <c r="AI55" s="1720">
        <f t="shared" si="128"/>
        <v>0</v>
      </c>
      <c r="AJ55" s="1720">
        <f t="shared" si="128"/>
        <v>0</v>
      </c>
      <c r="AK55" s="1720">
        <f t="shared" si="128"/>
        <v>0</v>
      </c>
      <c r="AL55" s="1721">
        <f t="shared" si="128"/>
        <v>0</v>
      </c>
      <c r="AM55" s="1720">
        <f t="shared" ref="AM55:AM61" si="129">IFERROR(AM32/AM17,0)</f>
        <v>13.88</v>
      </c>
      <c r="AN55" s="1720">
        <f t="shared" ref="AN55:AR55" si="130">IFERROR(AN32/AN17,0)</f>
        <v>15.96</v>
      </c>
      <c r="AO55" s="1720">
        <f t="shared" si="130"/>
        <v>18.34</v>
      </c>
      <c r="AP55" s="1720">
        <f t="shared" si="130"/>
        <v>21.1</v>
      </c>
      <c r="AQ55" s="1720">
        <f t="shared" si="130"/>
        <v>24.26</v>
      </c>
      <c r="AR55" s="1721">
        <f t="shared" si="130"/>
        <v>27.866666666666667</v>
      </c>
      <c r="AS55" s="1065">
        <f t="shared" si="90"/>
        <v>1.0076849183477425</v>
      </c>
      <c r="AT55" s="1065">
        <f t="shared" si="43"/>
        <v>1.0108590944916367</v>
      </c>
      <c r="AU55" s="1061">
        <f t="shared" si="44"/>
        <v>1</v>
      </c>
      <c r="AV55" s="179"/>
      <c r="AW55" s="4695"/>
      <c r="AX55" s="4695"/>
      <c r="AY55" s="4695"/>
      <c r="AZ55" s="4695"/>
      <c r="BA55" s="4695"/>
      <c r="BB55" s="4695"/>
      <c r="BC55" s="4695"/>
      <c r="BD55" s="4695"/>
      <c r="BE55" s="4695"/>
      <c r="BF55" s="4695"/>
      <c r="BG55" s="4695"/>
      <c r="BH55" s="4695"/>
      <c r="BI55" s="4695"/>
      <c r="BJ55" s="4695"/>
      <c r="BK55" s="4695"/>
      <c r="BL55" s="4695"/>
      <c r="BM55" s="4695"/>
      <c r="BN55" s="4695"/>
      <c r="BO55" s="4695"/>
      <c r="BP55" s="4695"/>
      <c r="BQ55" s="4695"/>
      <c r="BR55" s="4695"/>
      <c r="BS55" s="4695"/>
      <c r="BT55" s="4695"/>
      <c r="BU55" s="4695"/>
      <c r="BV55" s="4695"/>
      <c r="BW55" s="4695"/>
      <c r="BX55" s="4695"/>
      <c r="BY55" s="4695"/>
      <c r="BZ55" s="4695"/>
      <c r="CA55" s="4695"/>
      <c r="CB55" s="4695"/>
      <c r="CC55" s="4695"/>
      <c r="CD55" s="4695"/>
      <c r="CE55" s="4695"/>
      <c r="CF55" s="4695"/>
      <c r="CG55" s="4695"/>
      <c r="CH55" s="4695"/>
      <c r="CI55" s="4695"/>
      <c r="CJ55" s="4695"/>
      <c r="CK55" s="4695"/>
      <c r="CL55" s="4695"/>
      <c r="CM55" s="4695"/>
      <c r="CN55" s="4695"/>
      <c r="CO55" s="4695"/>
      <c r="CP55" s="4695"/>
      <c r="CQ55" s="4695"/>
      <c r="CR55" s="4695"/>
      <c r="CS55" s="4695"/>
      <c r="CT55" s="4695"/>
      <c r="CU55" s="4695"/>
      <c r="CV55" s="4695"/>
      <c r="CW55" s="4695"/>
      <c r="CX55" s="4695"/>
      <c r="CY55" s="4695"/>
      <c r="CZ55" s="4695"/>
      <c r="DA55" s="4695"/>
      <c r="DB55" s="4695"/>
      <c r="DC55" s="4695"/>
      <c r="DD55" s="4695"/>
      <c r="DE55" s="4695"/>
      <c r="DF55" s="4695"/>
      <c r="DG55" s="4695"/>
      <c r="DH55" s="4695"/>
      <c r="DI55" s="4695"/>
      <c r="DJ55" s="4695"/>
      <c r="DK55" s="4695"/>
      <c r="DL55" s="4695"/>
      <c r="DM55" s="4695"/>
      <c r="DN55" s="4695"/>
      <c r="DO55" s="4695"/>
    </row>
    <row r="56" spans="1:119" s="180" customFormat="1">
      <c r="A56" s="667" t="s">
        <v>1292</v>
      </c>
      <c r="B56" s="669" t="s">
        <v>1218</v>
      </c>
      <c r="C56" s="1720">
        <f t="shared" ref="C56" si="131">IFERROR(C33/C18,0)</f>
        <v>9.0322580645161299</v>
      </c>
      <c r="D56" s="1720">
        <f t="shared" ref="D56:H56" si="132">IFERROR(D33/D18,0)</f>
        <v>10.387096774193548</v>
      </c>
      <c r="E56" s="1720">
        <f t="shared" si="132"/>
        <v>11.951612903225806</v>
      </c>
      <c r="F56" s="1720">
        <f t="shared" si="132"/>
        <v>13.741935483870968</v>
      </c>
      <c r="G56" s="1720">
        <f t="shared" si="132"/>
        <v>15.790322580645162</v>
      </c>
      <c r="H56" s="1721">
        <f t="shared" si="132"/>
        <v>19.596</v>
      </c>
      <c r="I56" s="1720">
        <f t="shared" si="119"/>
        <v>13</v>
      </c>
      <c r="J56" s="1720">
        <f t="shared" ref="J56:N56" si="133">IFERROR(J33/J18,0)</f>
        <v>15</v>
      </c>
      <c r="K56" s="1720">
        <f t="shared" si="133"/>
        <v>17</v>
      </c>
      <c r="L56" s="1720">
        <f t="shared" si="133"/>
        <v>19.5</v>
      </c>
      <c r="M56" s="1720">
        <f t="shared" si="133"/>
        <v>22.5</v>
      </c>
      <c r="N56" s="1721">
        <f t="shared" si="133"/>
        <v>5.7777777777777777</v>
      </c>
      <c r="O56" s="1720">
        <f t="shared" si="121"/>
        <v>12.4</v>
      </c>
      <c r="P56" s="1720">
        <f t="shared" ref="P56:T56" si="134">IFERROR(P33/P18,0)</f>
        <v>14.2</v>
      </c>
      <c r="Q56" s="1720">
        <f t="shared" si="134"/>
        <v>16.399999999999999</v>
      </c>
      <c r="R56" s="1720">
        <f t="shared" si="134"/>
        <v>18.8</v>
      </c>
      <c r="S56" s="1720">
        <f t="shared" si="134"/>
        <v>21.6</v>
      </c>
      <c r="T56" s="1721">
        <f t="shared" si="134"/>
        <v>38.25</v>
      </c>
      <c r="U56" s="1720">
        <f t="shared" si="123"/>
        <v>0</v>
      </c>
      <c r="V56" s="1720">
        <f t="shared" ref="V56:Z56" si="135">IFERROR(V33/V18,0)</f>
        <v>0</v>
      </c>
      <c r="W56" s="1720">
        <f t="shared" si="135"/>
        <v>0</v>
      </c>
      <c r="X56" s="1720">
        <f t="shared" si="135"/>
        <v>0</v>
      </c>
      <c r="Y56" s="1720">
        <f t="shared" si="135"/>
        <v>0</v>
      </c>
      <c r="Z56" s="1721">
        <f t="shared" si="135"/>
        <v>0</v>
      </c>
      <c r="AA56" s="1720">
        <f t="shared" si="125"/>
        <v>0</v>
      </c>
      <c r="AB56" s="1720">
        <f t="shared" ref="AB56:AF56" si="136">IFERROR(AB33/AB18,0)</f>
        <v>0</v>
      </c>
      <c r="AC56" s="1720">
        <f t="shared" si="136"/>
        <v>0</v>
      </c>
      <c r="AD56" s="1720">
        <f t="shared" si="136"/>
        <v>0</v>
      </c>
      <c r="AE56" s="1720">
        <f t="shared" si="136"/>
        <v>0</v>
      </c>
      <c r="AF56" s="1721">
        <f t="shared" si="136"/>
        <v>0</v>
      </c>
      <c r="AG56" s="1720">
        <f t="shared" si="127"/>
        <v>0</v>
      </c>
      <c r="AH56" s="1720">
        <f t="shared" ref="AH56:AL56" si="137">IFERROR(AH33/AH18,0)</f>
        <v>0</v>
      </c>
      <c r="AI56" s="1720">
        <f t="shared" si="137"/>
        <v>0</v>
      </c>
      <c r="AJ56" s="1720">
        <f t="shared" si="137"/>
        <v>0</v>
      </c>
      <c r="AK56" s="1720">
        <f t="shared" si="137"/>
        <v>0</v>
      </c>
      <c r="AL56" s="1721">
        <f t="shared" si="137"/>
        <v>0</v>
      </c>
      <c r="AM56" s="1720">
        <f t="shared" si="129"/>
        <v>9.3913043478260878</v>
      </c>
      <c r="AN56" s="1720">
        <f t="shared" ref="AN56:AR56" si="138">IFERROR(AN33/AN18,0)</f>
        <v>10.797101449275363</v>
      </c>
      <c r="AO56" s="1720">
        <f t="shared" si="138"/>
        <v>12.420289855072463</v>
      </c>
      <c r="AP56" s="1720">
        <f t="shared" si="138"/>
        <v>14.27536231884058</v>
      </c>
      <c r="AQ56" s="1720">
        <f t="shared" si="138"/>
        <v>16.405797101449274</v>
      </c>
      <c r="AR56" s="1721">
        <f t="shared" si="138"/>
        <v>18.806349206349207</v>
      </c>
      <c r="AS56" s="1065">
        <f t="shared" si="90"/>
        <v>1.0025279247501468</v>
      </c>
      <c r="AT56" s="1065">
        <f t="shared" si="43"/>
        <v>1.1695571428571427</v>
      </c>
      <c r="AU56" s="1061">
        <f t="shared" si="44"/>
        <v>0.73337707786526696</v>
      </c>
      <c r="AV56" s="179"/>
      <c r="AW56" s="4695"/>
      <c r="AX56" s="4695"/>
      <c r="AY56" s="4695"/>
      <c r="AZ56" s="4695"/>
      <c r="BA56" s="4695"/>
      <c r="BB56" s="4695"/>
      <c r="BC56" s="4695"/>
      <c r="BD56" s="4695"/>
      <c r="BE56" s="4695"/>
      <c r="BF56" s="4695"/>
      <c r="BG56" s="4695"/>
      <c r="BH56" s="4695"/>
      <c r="BI56" s="4695"/>
      <c r="BJ56" s="4695"/>
      <c r="BK56" s="4695"/>
      <c r="BL56" s="4695"/>
      <c r="BM56" s="4695"/>
      <c r="BN56" s="4695"/>
      <c r="BO56" s="4695"/>
      <c r="BP56" s="4695"/>
      <c r="BQ56" s="4695"/>
      <c r="BR56" s="4695"/>
      <c r="BS56" s="4695"/>
      <c r="BT56" s="4695"/>
      <c r="BU56" s="4695"/>
      <c r="BV56" s="4695"/>
      <c r="BW56" s="4695"/>
      <c r="BX56" s="4695"/>
      <c r="BY56" s="4695"/>
      <c r="BZ56" s="4695"/>
      <c r="CA56" s="4695"/>
      <c r="CB56" s="4695"/>
      <c r="CC56" s="4695"/>
      <c r="CD56" s="4695"/>
      <c r="CE56" s="4695"/>
      <c r="CF56" s="4695"/>
      <c r="CG56" s="4695"/>
      <c r="CH56" s="4695"/>
      <c r="CI56" s="4695"/>
      <c r="CJ56" s="4695"/>
      <c r="CK56" s="4695"/>
      <c r="CL56" s="4695"/>
      <c r="CM56" s="4695"/>
      <c r="CN56" s="4695"/>
      <c r="CO56" s="4695"/>
      <c r="CP56" s="4695"/>
      <c r="CQ56" s="4695"/>
      <c r="CR56" s="4695"/>
      <c r="CS56" s="4695"/>
      <c r="CT56" s="4695"/>
      <c r="CU56" s="4695"/>
      <c r="CV56" s="4695"/>
      <c r="CW56" s="4695"/>
      <c r="CX56" s="4695"/>
      <c r="CY56" s="4695"/>
      <c r="CZ56" s="4695"/>
      <c r="DA56" s="4695"/>
      <c r="DB56" s="4695"/>
      <c r="DC56" s="4695"/>
      <c r="DD56" s="4695"/>
      <c r="DE56" s="4695"/>
      <c r="DF56" s="4695"/>
      <c r="DG56" s="4695"/>
      <c r="DH56" s="4695"/>
      <c r="DI56" s="4695"/>
      <c r="DJ56" s="4695"/>
      <c r="DK56" s="4695"/>
      <c r="DL56" s="4695"/>
      <c r="DM56" s="4695"/>
      <c r="DN56" s="4695"/>
      <c r="DO56" s="4695"/>
    </row>
    <row r="57" spans="1:119" s="180" customFormat="1" ht="24">
      <c r="A57" s="667" t="s">
        <v>1293</v>
      </c>
      <c r="B57" s="669" t="s">
        <v>1219</v>
      </c>
      <c r="C57" s="1720">
        <f>IFERROR(C34/C19,0)</f>
        <v>14.3</v>
      </c>
      <c r="D57" s="1720">
        <f t="shared" ref="D57:H57" si="139">IFERROR(D34/D19,0)</f>
        <v>16.399999999999999</v>
      </c>
      <c r="E57" s="1720">
        <f t="shared" si="139"/>
        <v>18.899999999999999</v>
      </c>
      <c r="F57" s="1720">
        <f t="shared" si="139"/>
        <v>21.7</v>
      </c>
      <c r="G57" s="1720">
        <f t="shared" si="139"/>
        <v>25</v>
      </c>
      <c r="H57" s="1721">
        <f t="shared" si="139"/>
        <v>28.714285714285715</v>
      </c>
      <c r="I57" s="1720">
        <f t="shared" si="119"/>
        <v>0</v>
      </c>
      <c r="J57" s="1720">
        <f t="shared" ref="J57:N57" si="140">IFERROR(J34/J19,0)</f>
        <v>0</v>
      </c>
      <c r="K57" s="1720">
        <f t="shared" si="140"/>
        <v>0</v>
      </c>
      <c r="L57" s="1720">
        <f t="shared" si="140"/>
        <v>0</v>
      </c>
      <c r="M57" s="1720">
        <f t="shared" si="140"/>
        <v>0</v>
      </c>
      <c r="N57" s="1721">
        <f t="shared" si="140"/>
        <v>0</v>
      </c>
      <c r="O57" s="1720">
        <f t="shared" si="121"/>
        <v>0</v>
      </c>
      <c r="P57" s="1720">
        <f t="shared" ref="P57:T57" si="141">IFERROR(P34/P19,0)</f>
        <v>0</v>
      </c>
      <c r="Q57" s="1720">
        <f t="shared" si="141"/>
        <v>0</v>
      </c>
      <c r="R57" s="1720">
        <f t="shared" si="141"/>
        <v>0</v>
      </c>
      <c r="S57" s="1720">
        <f t="shared" si="141"/>
        <v>0</v>
      </c>
      <c r="T57" s="1721">
        <f t="shared" si="141"/>
        <v>0</v>
      </c>
      <c r="U57" s="1720">
        <f t="shared" si="123"/>
        <v>0</v>
      </c>
      <c r="V57" s="1720">
        <f t="shared" ref="V57:Z57" si="142">IFERROR(V34/V19,0)</f>
        <v>0</v>
      </c>
      <c r="W57" s="1720">
        <f t="shared" si="142"/>
        <v>0</v>
      </c>
      <c r="X57" s="1720">
        <f t="shared" si="142"/>
        <v>0</v>
      </c>
      <c r="Y57" s="1720">
        <f t="shared" si="142"/>
        <v>0</v>
      </c>
      <c r="Z57" s="1721">
        <f t="shared" si="142"/>
        <v>0</v>
      </c>
      <c r="AA57" s="1720">
        <f t="shared" si="125"/>
        <v>0</v>
      </c>
      <c r="AB57" s="1720">
        <f t="shared" ref="AB57:AF57" si="143">IFERROR(AB34/AB19,0)</f>
        <v>0</v>
      </c>
      <c r="AC57" s="1720">
        <f t="shared" si="143"/>
        <v>0</v>
      </c>
      <c r="AD57" s="1720">
        <f t="shared" si="143"/>
        <v>0</v>
      </c>
      <c r="AE57" s="1720">
        <f t="shared" si="143"/>
        <v>0</v>
      </c>
      <c r="AF57" s="1721">
        <f t="shared" si="143"/>
        <v>0</v>
      </c>
      <c r="AG57" s="1720">
        <f t="shared" si="127"/>
        <v>0</v>
      </c>
      <c r="AH57" s="1720">
        <f t="shared" ref="AH57:AL57" si="144">IFERROR(AH34/AH19,0)</f>
        <v>0</v>
      </c>
      <c r="AI57" s="1720">
        <f t="shared" si="144"/>
        <v>0</v>
      </c>
      <c r="AJ57" s="1720">
        <f t="shared" si="144"/>
        <v>0</v>
      </c>
      <c r="AK57" s="1720">
        <f t="shared" si="144"/>
        <v>0</v>
      </c>
      <c r="AL57" s="1721">
        <f t="shared" si="144"/>
        <v>0</v>
      </c>
      <c r="AM57" s="1720">
        <f t="shared" si="129"/>
        <v>14.3</v>
      </c>
      <c r="AN57" s="1720">
        <f t="shared" ref="AN57:AR57" si="145">IFERROR(AN34/AN19,0)</f>
        <v>16.399999999999999</v>
      </c>
      <c r="AO57" s="1720">
        <f t="shared" si="145"/>
        <v>18.899999999999999</v>
      </c>
      <c r="AP57" s="1720">
        <f t="shared" si="145"/>
        <v>21.7</v>
      </c>
      <c r="AQ57" s="1720">
        <f t="shared" si="145"/>
        <v>25</v>
      </c>
      <c r="AR57" s="1721">
        <f t="shared" si="145"/>
        <v>28.714285714285715</v>
      </c>
      <c r="AS57" s="1065">
        <f t="shared" si="90"/>
        <v>1.0079920079920079</v>
      </c>
      <c r="AT57" s="1065">
        <f t="shared" si="43"/>
        <v>1.0079920079920079</v>
      </c>
      <c r="AU57" s="1061">
        <f t="shared" si="44"/>
        <v>0</v>
      </c>
      <c r="AV57" s="179"/>
      <c r="AW57" s="4695"/>
      <c r="AX57" s="4695"/>
      <c r="AY57" s="4695"/>
      <c r="AZ57" s="4695"/>
      <c r="BA57" s="4695"/>
      <c r="BB57" s="4695"/>
      <c r="BC57" s="4695"/>
      <c r="BD57" s="4695"/>
      <c r="BE57" s="4695"/>
      <c r="BF57" s="4695"/>
      <c r="BG57" s="4695"/>
      <c r="BH57" s="4695"/>
      <c r="BI57" s="4695"/>
      <c r="BJ57" s="4695"/>
      <c r="BK57" s="4695"/>
      <c r="BL57" s="4695"/>
      <c r="BM57" s="4695"/>
      <c r="BN57" s="4695"/>
      <c r="BO57" s="4695"/>
      <c r="BP57" s="4695"/>
      <c r="BQ57" s="4695"/>
      <c r="BR57" s="4695"/>
      <c r="BS57" s="4695"/>
      <c r="BT57" s="4695"/>
      <c r="BU57" s="4695"/>
      <c r="BV57" s="4695"/>
      <c r="BW57" s="4695"/>
      <c r="BX57" s="4695"/>
      <c r="BY57" s="4695"/>
      <c r="BZ57" s="4695"/>
      <c r="CA57" s="4695"/>
      <c r="CB57" s="4695"/>
      <c r="CC57" s="4695"/>
      <c r="CD57" s="4695"/>
      <c r="CE57" s="4695"/>
      <c r="CF57" s="4695"/>
      <c r="CG57" s="4695"/>
      <c r="CH57" s="4695"/>
      <c r="CI57" s="4695"/>
      <c r="CJ57" s="4695"/>
      <c r="CK57" s="4695"/>
      <c r="CL57" s="4695"/>
      <c r="CM57" s="4695"/>
      <c r="CN57" s="4695"/>
      <c r="CO57" s="4695"/>
      <c r="CP57" s="4695"/>
      <c r="CQ57" s="4695"/>
      <c r="CR57" s="4695"/>
      <c r="CS57" s="4695"/>
      <c r="CT57" s="4695"/>
      <c r="CU57" s="4695"/>
      <c r="CV57" s="4695"/>
      <c r="CW57" s="4695"/>
      <c r="CX57" s="4695"/>
      <c r="CY57" s="4695"/>
      <c r="CZ57" s="4695"/>
      <c r="DA57" s="4695"/>
      <c r="DB57" s="4695"/>
      <c r="DC57" s="4695"/>
      <c r="DD57" s="4695"/>
      <c r="DE57" s="4695"/>
      <c r="DF57" s="4695"/>
      <c r="DG57" s="4695"/>
      <c r="DH57" s="4695"/>
      <c r="DI57" s="4695"/>
      <c r="DJ57" s="4695"/>
      <c r="DK57" s="4695"/>
      <c r="DL57" s="4695"/>
      <c r="DM57" s="4695"/>
      <c r="DN57" s="4695"/>
      <c r="DO57" s="4695"/>
    </row>
    <row r="58" spans="1:119" s="180" customFormat="1" ht="36">
      <c r="A58" s="667" t="s">
        <v>1294</v>
      </c>
      <c r="B58" s="669" t="s">
        <v>1220</v>
      </c>
      <c r="C58" s="1720">
        <f t="shared" ref="C58" si="146">IFERROR(C35/C20,0)</f>
        <v>0</v>
      </c>
      <c r="D58" s="1720">
        <f>IFERROR(D35/D20,0)</f>
        <v>0</v>
      </c>
      <c r="E58" s="1720">
        <f>IFERROR(E35/E20,0)</f>
        <v>0</v>
      </c>
      <c r="F58" s="1720">
        <f>IFERROR(F35/F20,0)</f>
        <v>0</v>
      </c>
      <c r="G58" s="1720">
        <f>IFERROR(G35/G20,0)</f>
        <v>0</v>
      </c>
      <c r="H58" s="1721">
        <f>IFERROR(H35/H20,0)</f>
        <v>0</v>
      </c>
      <c r="I58" s="1720">
        <f t="shared" si="119"/>
        <v>0</v>
      </c>
      <c r="J58" s="1720">
        <f>IFERROR(J35/J20,0)</f>
        <v>0</v>
      </c>
      <c r="K58" s="1720">
        <f>IFERROR(K35/K20,0)</f>
        <v>0</v>
      </c>
      <c r="L58" s="1720">
        <f>IFERROR(L35/L20,0)</f>
        <v>0</v>
      </c>
      <c r="M58" s="1720">
        <f>IFERROR(M35/M20,0)</f>
        <v>0</v>
      </c>
      <c r="N58" s="1721">
        <f>IFERROR(N35/N20,0)</f>
        <v>0</v>
      </c>
      <c r="O58" s="1720">
        <f t="shared" si="121"/>
        <v>0</v>
      </c>
      <c r="P58" s="1720">
        <f>IFERROR(P35/P20,0)</f>
        <v>0</v>
      </c>
      <c r="Q58" s="1720">
        <f>IFERROR(Q35/Q20,0)</f>
        <v>0</v>
      </c>
      <c r="R58" s="1720">
        <f>IFERROR(R35/R20,0)</f>
        <v>0</v>
      </c>
      <c r="S58" s="1720">
        <f>IFERROR(S35/S20,0)</f>
        <v>0</v>
      </c>
      <c r="T58" s="1721">
        <f>IFERROR(T35/T20,0)</f>
        <v>0</v>
      </c>
      <c r="U58" s="1720">
        <f t="shared" si="123"/>
        <v>0</v>
      </c>
      <c r="V58" s="1720">
        <f>IFERROR(V35/V20,0)</f>
        <v>0</v>
      </c>
      <c r="W58" s="1720">
        <f>IFERROR(W35/W20,0)</f>
        <v>0</v>
      </c>
      <c r="X58" s="1720">
        <f>IFERROR(X35/X20,0)</f>
        <v>0</v>
      </c>
      <c r="Y58" s="1720">
        <f>IFERROR(Y35/Y20,0)</f>
        <v>0</v>
      </c>
      <c r="Z58" s="1721">
        <f>IFERROR(Z35/Z20,0)</f>
        <v>0</v>
      </c>
      <c r="AA58" s="1720">
        <f t="shared" si="125"/>
        <v>0</v>
      </c>
      <c r="AB58" s="1720">
        <f>IFERROR(AB35/AB20,0)</f>
        <v>0</v>
      </c>
      <c r="AC58" s="1720">
        <f>IFERROR(AC35/AC20,0)</f>
        <v>0</v>
      </c>
      <c r="AD58" s="1720">
        <f>IFERROR(AD35/AD20,0)</f>
        <v>0</v>
      </c>
      <c r="AE58" s="1720">
        <f>IFERROR(AE35/AE20,0)</f>
        <v>0</v>
      </c>
      <c r="AF58" s="1721">
        <f>IFERROR(AF35/AF20,0)</f>
        <v>0</v>
      </c>
      <c r="AG58" s="1720">
        <f t="shared" si="127"/>
        <v>0</v>
      </c>
      <c r="AH58" s="1720">
        <f>IFERROR(AH35/AH20,0)</f>
        <v>0</v>
      </c>
      <c r="AI58" s="1720">
        <f>IFERROR(AI35/AI20,0)</f>
        <v>0</v>
      </c>
      <c r="AJ58" s="1720">
        <f>IFERROR(AJ35/AJ20,0)</f>
        <v>0</v>
      </c>
      <c r="AK58" s="1720">
        <f>IFERROR(AK35/AK20,0)</f>
        <v>0</v>
      </c>
      <c r="AL58" s="1721">
        <f>IFERROR(AL35/AL20,0)</f>
        <v>0</v>
      </c>
      <c r="AM58" s="1720">
        <f t="shared" si="129"/>
        <v>0</v>
      </c>
      <c r="AN58" s="1720">
        <f>IFERROR(AN35/AN20,0)</f>
        <v>0</v>
      </c>
      <c r="AO58" s="1720">
        <f t="shared" ref="AO58:AR58" si="147">IFERROR(AO35/AO20,0)</f>
        <v>0</v>
      </c>
      <c r="AP58" s="1720">
        <f t="shared" si="147"/>
        <v>0</v>
      </c>
      <c r="AQ58" s="1720">
        <f t="shared" si="147"/>
        <v>0</v>
      </c>
      <c r="AR58" s="1721">
        <f t="shared" si="147"/>
        <v>0</v>
      </c>
      <c r="AS58" s="1065">
        <f t="shared" si="90"/>
        <v>0</v>
      </c>
      <c r="AT58" s="1065">
        <f t="shared" si="43"/>
        <v>0</v>
      </c>
      <c r="AU58" s="1061">
        <f t="shared" si="44"/>
        <v>0</v>
      </c>
      <c r="AV58" s="179"/>
    </row>
    <row r="59" spans="1:119" s="180" customFormat="1" ht="24">
      <c r="A59" s="667" t="s">
        <v>1295</v>
      </c>
      <c r="B59" s="669" t="s">
        <v>1221</v>
      </c>
      <c r="C59" s="1720">
        <f t="shared" ref="C59" si="148">IFERROR(C36/C21,0)</f>
        <v>10.324172839506172</v>
      </c>
      <c r="D59" s="1720">
        <f t="shared" ref="D59:H59" si="149">IFERROR(D36/D21,0)</f>
        <v>11.871794871794872</v>
      </c>
      <c r="E59" s="1720">
        <f t="shared" si="149"/>
        <v>13.641025641025641</v>
      </c>
      <c r="F59" s="1720">
        <f t="shared" si="149"/>
        <v>15.705128205128204</v>
      </c>
      <c r="G59" s="1720">
        <f t="shared" si="149"/>
        <v>18.051282051282051</v>
      </c>
      <c r="H59" s="1721">
        <f t="shared" si="149"/>
        <v>20.767123287671232</v>
      </c>
      <c r="I59" s="1720">
        <f t="shared" si="119"/>
        <v>5.0831999999999997</v>
      </c>
      <c r="J59" s="1720">
        <f t="shared" ref="J59:N59" si="150">IFERROR(J36/J21,0)</f>
        <v>5.8</v>
      </c>
      <c r="K59" s="1720">
        <f t="shared" si="150"/>
        <v>6.5</v>
      </c>
      <c r="L59" s="1720">
        <f t="shared" si="150"/>
        <v>7.7</v>
      </c>
      <c r="M59" s="1720">
        <f t="shared" si="150"/>
        <v>8.9</v>
      </c>
      <c r="N59" s="1721">
        <f t="shared" si="150"/>
        <v>21.074999999999999</v>
      </c>
      <c r="O59" s="1720">
        <f t="shared" si="121"/>
        <v>15.779250000000001</v>
      </c>
      <c r="P59" s="1720">
        <f t="shared" ref="P59:T59" si="151">IFERROR(P36/P21,0)</f>
        <v>18.0625</v>
      </c>
      <c r="Q59" s="1720">
        <f t="shared" si="151"/>
        <v>20.892499999999998</v>
      </c>
      <c r="R59" s="1720">
        <f t="shared" si="151"/>
        <v>24.018750000000001</v>
      </c>
      <c r="S59" s="1720">
        <f t="shared" si="151"/>
        <v>27.574999999999999</v>
      </c>
      <c r="T59" s="1721">
        <f t="shared" si="151"/>
        <v>24.526315789473685</v>
      </c>
      <c r="U59" s="1720">
        <f t="shared" si="123"/>
        <v>16.451999999999998</v>
      </c>
      <c r="V59" s="1720">
        <f t="shared" ref="V59:Z59" si="152">IFERROR(V36/V21,0)</f>
        <v>18.920000000000002</v>
      </c>
      <c r="W59" s="1720">
        <f t="shared" si="152"/>
        <v>21.757999999999999</v>
      </c>
      <c r="X59" s="1720">
        <f t="shared" si="152"/>
        <v>25.021999999999998</v>
      </c>
      <c r="Y59" s="1720">
        <f t="shared" si="152"/>
        <v>28.774999999999999</v>
      </c>
      <c r="Z59" s="1721">
        <f t="shared" si="152"/>
        <v>32.904000000000003</v>
      </c>
      <c r="AA59" s="1720">
        <f t="shared" si="125"/>
        <v>0</v>
      </c>
      <c r="AB59" s="1720">
        <f t="shared" ref="AB59:AF59" si="153">IFERROR(AB36/AB21,0)</f>
        <v>0</v>
      </c>
      <c r="AC59" s="1720">
        <f t="shared" si="153"/>
        <v>0</v>
      </c>
      <c r="AD59" s="1720">
        <f t="shared" si="153"/>
        <v>0</v>
      </c>
      <c r="AE59" s="1720">
        <f t="shared" si="153"/>
        <v>0</v>
      </c>
      <c r="AF59" s="1721">
        <f t="shared" si="153"/>
        <v>0</v>
      </c>
      <c r="AG59" s="1720">
        <f t="shared" si="127"/>
        <v>11.333333333333334</v>
      </c>
      <c r="AH59" s="1720">
        <f t="shared" ref="AH59:AL59" si="154">IFERROR(AH36/AH21,0)</f>
        <v>13.033333333333333</v>
      </c>
      <c r="AI59" s="1720">
        <f t="shared" si="154"/>
        <v>14.988888888888889</v>
      </c>
      <c r="AJ59" s="1720">
        <f t="shared" si="154"/>
        <v>17.237777777777776</v>
      </c>
      <c r="AK59" s="1720">
        <f t="shared" si="154"/>
        <v>19.823333333333334</v>
      </c>
      <c r="AL59" s="1721">
        <f t="shared" si="154"/>
        <v>22.666666666666668</v>
      </c>
      <c r="AM59" s="1720">
        <f t="shared" si="129"/>
        <v>10.703796296296296</v>
      </c>
      <c r="AN59" s="1720">
        <f t="shared" ref="AN59:AR59" si="155">IFERROR(AN36/AN21,0)</f>
        <v>12.304</v>
      </c>
      <c r="AO59" s="1720">
        <f t="shared" si="155"/>
        <v>14.143219047619048</v>
      </c>
      <c r="AP59" s="1720">
        <f t="shared" si="155"/>
        <v>16.29830476190476</v>
      </c>
      <c r="AQ59" s="1720">
        <f t="shared" si="155"/>
        <v>18.733095238095238</v>
      </c>
      <c r="AR59" s="1721">
        <f t="shared" si="155"/>
        <v>21.641278350515467</v>
      </c>
      <c r="AS59" s="1065">
        <f t="shared" si="90"/>
        <v>1.0218320445806441</v>
      </c>
      <c r="AT59" s="1065">
        <f t="shared" si="43"/>
        <v>1.0044359442019901</v>
      </c>
      <c r="AU59" s="1061">
        <f t="shared" si="44"/>
        <v>1.1858082722534353</v>
      </c>
      <c r="AV59" s="179"/>
    </row>
    <row r="60" spans="1:119" s="180" customFormat="1">
      <c r="A60" s="667" t="s">
        <v>1296</v>
      </c>
      <c r="B60" s="669" t="s">
        <v>1222</v>
      </c>
      <c r="C60" s="1720">
        <f t="shared" ref="C60" si="156">IFERROR(C37/C22,0)</f>
        <v>12.476190476190476</v>
      </c>
      <c r="D60" s="1720">
        <f t="shared" ref="D60:H60" si="157">IFERROR(D37/D22,0)</f>
        <v>14.285714285714286</v>
      </c>
      <c r="E60" s="1720">
        <f t="shared" si="157"/>
        <v>16.414285714285715</v>
      </c>
      <c r="F60" s="1720">
        <f t="shared" si="157"/>
        <v>18.838095238095239</v>
      </c>
      <c r="G60" s="1720">
        <f t="shared" si="157"/>
        <v>21.678571428571427</v>
      </c>
      <c r="H60" s="1721">
        <f t="shared" si="157"/>
        <v>24.944736842105261</v>
      </c>
      <c r="I60" s="1720">
        <f t="shared" si="119"/>
        <v>10.75</v>
      </c>
      <c r="J60" s="1720">
        <f t="shared" ref="J60:N60" si="158">IFERROR(J37/J22,0)</f>
        <v>12.5875</v>
      </c>
      <c r="K60" s="1720">
        <f t="shared" si="158"/>
        <v>14.9625</v>
      </c>
      <c r="L60" s="1720">
        <f t="shared" si="158"/>
        <v>16.73</v>
      </c>
      <c r="M60" s="1720">
        <f t="shared" si="158"/>
        <v>19.0625</v>
      </c>
      <c r="N60" s="1721">
        <f t="shared" si="158"/>
        <v>21.414999999999999</v>
      </c>
      <c r="O60" s="1720">
        <f t="shared" si="121"/>
        <v>0</v>
      </c>
      <c r="P60" s="1720">
        <f t="shared" ref="P60:T60" si="159">IFERROR(P37/P22,0)</f>
        <v>0</v>
      </c>
      <c r="Q60" s="1720">
        <f t="shared" si="159"/>
        <v>0</v>
      </c>
      <c r="R60" s="1720">
        <f t="shared" si="159"/>
        <v>0</v>
      </c>
      <c r="S60" s="1720">
        <f t="shared" si="159"/>
        <v>0</v>
      </c>
      <c r="T60" s="1721">
        <f t="shared" si="159"/>
        <v>0</v>
      </c>
      <c r="U60" s="1720">
        <f t="shared" si="123"/>
        <v>0</v>
      </c>
      <c r="V60" s="1720">
        <f t="shared" ref="V60:Z60" si="160">IFERROR(V37/V22,0)</f>
        <v>0</v>
      </c>
      <c r="W60" s="1720">
        <f t="shared" si="160"/>
        <v>0</v>
      </c>
      <c r="X60" s="1720">
        <f t="shared" si="160"/>
        <v>0</v>
      </c>
      <c r="Y60" s="1720">
        <f t="shared" si="160"/>
        <v>0</v>
      </c>
      <c r="Z60" s="1721">
        <f t="shared" si="160"/>
        <v>0</v>
      </c>
      <c r="AA60" s="1720">
        <f t="shared" si="125"/>
        <v>0</v>
      </c>
      <c r="AB60" s="1720">
        <f t="shared" ref="AB60:AF60" si="161">IFERROR(AB37/AB22,0)</f>
        <v>0</v>
      </c>
      <c r="AC60" s="1720">
        <f t="shared" si="161"/>
        <v>0</v>
      </c>
      <c r="AD60" s="1720">
        <f t="shared" si="161"/>
        <v>0</v>
      </c>
      <c r="AE60" s="1720">
        <f t="shared" si="161"/>
        <v>0</v>
      </c>
      <c r="AF60" s="1721">
        <f t="shared" si="161"/>
        <v>0</v>
      </c>
      <c r="AG60" s="1720">
        <f t="shared" si="127"/>
        <v>0</v>
      </c>
      <c r="AH60" s="1720">
        <f t="shared" ref="AH60:AL60" si="162">IFERROR(AH37/AH22,0)</f>
        <v>0</v>
      </c>
      <c r="AI60" s="1720">
        <f t="shared" si="162"/>
        <v>0</v>
      </c>
      <c r="AJ60" s="1720">
        <f t="shared" si="162"/>
        <v>0</v>
      </c>
      <c r="AK60" s="1720">
        <f t="shared" si="162"/>
        <v>0</v>
      </c>
      <c r="AL60" s="1721">
        <f t="shared" si="162"/>
        <v>0</v>
      </c>
      <c r="AM60" s="1720">
        <f t="shared" si="129"/>
        <v>12.326086956521738</v>
      </c>
      <c r="AN60" s="1720">
        <f t="shared" ref="AN60:AR60" si="163">IFERROR(AN37/AN22,0)</f>
        <v>14.138043478260871</v>
      </c>
      <c r="AO60" s="1720">
        <f t="shared" si="163"/>
        <v>16.288043478260871</v>
      </c>
      <c r="AP60" s="1720">
        <f t="shared" si="163"/>
        <v>18.654782608695651</v>
      </c>
      <c r="AQ60" s="1720">
        <f t="shared" si="163"/>
        <v>21.451086956521738</v>
      </c>
      <c r="AR60" s="1721">
        <f t="shared" si="163"/>
        <v>24.608571428571427</v>
      </c>
      <c r="AS60" s="1065">
        <f t="shared" si="90"/>
        <v>0.99646258503401364</v>
      </c>
      <c r="AT60" s="1065">
        <f t="shared" si="43"/>
        <v>0.99938730413820787</v>
      </c>
      <c r="AU60" s="1061">
        <f t="shared" si="44"/>
        <v>0.99209302325581383</v>
      </c>
      <c r="AV60" s="179"/>
    </row>
    <row r="61" spans="1:119" s="180" customFormat="1" ht="13.5" thickBot="1">
      <c r="A61" s="857" t="s">
        <v>1297</v>
      </c>
      <c r="B61" s="670" t="s">
        <v>1223</v>
      </c>
      <c r="C61" s="1722">
        <f t="shared" ref="C61" si="164">IFERROR(C38/C23,0)</f>
        <v>8</v>
      </c>
      <c r="D61" s="1722">
        <f t="shared" ref="D61:H61" si="165">IFERROR(D38/D23,0)</f>
        <v>8.5</v>
      </c>
      <c r="E61" s="1722">
        <f t="shared" si="165"/>
        <v>11</v>
      </c>
      <c r="F61" s="1722">
        <f t="shared" si="165"/>
        <v>12</v>
      </c>
      <c r="G61" s="1722">
        <f t="shared" si="165"/>
        <v>14</v>
      </c>
      <c r="H61" s="1723">
        <f t="shared" si="165"/>
        <v>16</v>
      </c>
      <c r="I61" s="1722">
        <f t="shared" si="119"/>
        <v>0</v>
      </c>
      <c r="J61" s="1722">
        <f t="shared" ref="J61:N61" si="166">IFERROR(J38/J23,0)</f>
        <v>0</v>
      </c>
      <c r="K61" s="1722">
        <f t="shared" si="166"/>
        <v>0</v>
      </c>
      <c r="L61" s="1722">
        <f t="shared" si="166"/>
        <v>0</v>
      </c>
      <c r="M61" s="1722">
        <f t="shared" si="166"/>
        <v>0</v>
      </c>
      <c r="N61" s="1723">
        <f t="shared" si="166"/>
        <v>0</v>
      </c>
      <c r="O61" s="1722">
        <f t="shared" si="121"/>
        <v>0</v>
      </c>
      <c r="P61" s="1722">
        <f t="shared" ref="P61:T61" si="167">IFERROR(P38/P23,0)</f>
        <v>0</v>
      </c>
      <c r="Q61" s="1722">
        <f t="shared" si="167"/>
        <v>0</v>
      </c>
      <c r="R61" s="1722">
        <f t="shared" si="167"/>
        <v>0</v>
      </c>
      <c r="S61" s="1722">
        <f t="shared" si="167"/>
        <v>0</v>
      </c>
      <c r="T61" s="1723">
        <f t="shared" si="167"/>
        <v>0</v>
      </c>
      <c r="U61" s="1722">
        <f t="shared" si="123"/>
        <v>0</v>
      </c>
      <c r="V61" s="1722">
        <f t="shared" ref="V61:Z61" si="168">IFERROR(V38/V23,0)</f>
        <v>0</v>
      </c>
      <c r="W61" s="1722">
        <f t="shared" si="168"/>
        <v>0</v>
      </c>
      <c r="X61" s="1722">
        <f t="shared" si="168"/>
        <v>0</v>
      </c>
      <c r="Y61" s="1722">
        <f t="shared" si="168"/>
        <v>0</v>
      </c>
      <c r="Z61" s="1723">
        <f t="shared" si="168"/>
        <v>0</v>
      </c>
      <c r="AA61" s="1722">
        <f t="shared" si="125"/>
        <v>0</v>
      </c>
      <c r="AB61" s="1722">
        <f t="shared" ref="AB61:AF61" si="169">IFERROR(AB38/AB23,0)</f>
        <v>0</v>
      </c>
      <c r="AC61" s="1722">
        <f t="shared" si="169"/>
        <v>0</v>
      </c>
      <c r="AD61" s="1722">
        <f t="shared" si="169"/>
        <v>0</v>
      </c>
      <c r="AE61" s="1722">
        <f t="shared" si="169"/>
        <v>0</v>
      </c>
      <c r="AF61" s="1723">
        <f t="shared" si="169"/>
        <v>0</v>
      </c>
      <c r="AG61" s="1722">
        <f t="shared" si="127"/>
        <v>0</v>
      </c>
      <c r="AH61" s="1722">
        <f t="shared" ref="AH61:AL61" si="170">IFERROR(AH38/AH23,0)</f>
        <v>0</v>
      </c>
      <c r="AI61" s="1722">
        <f t="shared" si="170"/>
        <v>0</v>
      </c>
      <c r="AJ61" s="1722">
        <f t="shared" si="170"/>
        <v>0</v>
      </c>
      <c r="AK61" s="1722">
        <f t="shared" si="170"/>
        <v>0</v>
      </c>
      <c r="AL61" s="1723">
        <f t="shared" si="170"/>
        <v>0</v>
      </c>
      <c r="AM61" s="1722">
        <f t="shared" si="129"/>
        <v>8</v>
      </c>
      <c r="AN61" s="1722">
        <f t="shared" ref="AN61:AR61" si="171">IFERROR(AN38/AN23,0)</f>
        <v>8.5</v>
      </c>
      <c r="AO61" s="1722">
        <f t="shared" si="171"/>
        <v>11</v>
      </c>
      <c r="AP61" s="1722">
        <f t="shared" si="171"/>
        <v>12</v>
      </c>
      <c r="AQ61" s="1722">
        <f t="shared" si="171"/>
        <v>14</v>
      </c>
      <c r="AR61" s="1723">
        <f t="shared" si="171"/>
        <v>16</v>
      </c>
      <c r="AS61" s="1703">
        <f t="shared" si="90"/>
        <v>1</v>
      </c>
      <c r="AT61" s="1703">
        <f t="shared" si="43"/>
        <v>1</v>
      </c>
      <c r="AU61" s="1704">
        <f t="shared" si="44"/>
        <v>0</v>
      </c>
      <c r="AV61" s="179"/>
    </row>
    <row r="62" spans="1:119" ht="24">
      <c r="A62" s="854" t="s">
        <v>112</v>
      </c>
      <c r="B62" s="855" t="s">
        <v>1015</v>
      </c>
      <c r="C62" s="1724">
        <f t="shared" ref="C62:AL62" si="172">IFERROR(C42/C29,0)</f>
        <v>0.21289180279861208</v>
      </c>
      <c r="D62" s="1725">
        <f t="shared" si="172"/>
        <v>0.21517825626544299</v>
      </c>
      <c r="E62" s="1725">
        <f t="shared" si="172"/>
        <v>0.215352126510166</v>
      </c>
      <c r="F62" s="1725">
        <f t="shared" si="172"/>
        <v>0.2152374444824052</v>
      </c>
      <c r="G62" s="1725">
        <f t="shared" si="172"/>
        <v>0.21520750162473307</v>
      </c>
      <c r="H62" s="1726">
        <f t="shared" si="172"/>
        <v>0.2441973363621375</v>
      </c>
      <c r="I62" s="1724">
        <f t="shared" si="172"/>
        <v>0.2714440825190011</v>
      </c>
      <c r="J62" s="1725">
        <f t="shared" si="172"/>
        <v>0.27046963363658716</v>
      </c>
      <c r="K62" s="1725">
        <f t="shared" si="172"/>
        <v>0.26940346375881974</v>
      </c>
      <c r="L62" s="1725">
        <f t="shared" si="172"/>
        <v>0.27145619515097424</v>
      </c>
      <c r="M62" s="1725">
        <f t="shared" si="172"/>
        <v>0.27162489894907033</v>
      </c>
      <c r="N62" s="1726">
        <f t="shared" si="172"/>
        <v>0.28574830336944873</v>
      </c>
      <c r="O62" s="1724">
        <f t="shared" si="172"/>
        <v>0.21454870947797761</v>
      </c>
      <c r="P62" s="1725">
        <f t="shared" si="172"/>
        <v>0.21550855991943604</v>
      </c>
      <c r="Q62" s="1725">
        <f t="shared" si="172"/>
        <v>0.21455484231091265</v>
      </c>
      <c r="R62" s="1725">
        <f t="shared" si="172"/>
        <v>0.21386318822994085</v>
      </c>
      <c r="S62" s="1725">
        <f t="shared" si="172"/>
        <v>0.21498285412819834</v>
      </c>
      <c r="T62" s="1726">
        <f t="shared" si="172"/>
        <v>0.21820303383897316</v>
      </c>
      <c r="U62" s="1724">
        <f t="shared" si="172"/>
        <v>0.22185752492098226</v>
      </c>
      <c r="V62" s="1725">
        <f t="shared" si="172"/>
        <v>0.26427061310782241</v>
      </c>
      <c r="W62" s="1725">
        <f t="shared" si="172"/>
        <v>0.22980053313723689</v>
      </c>
      <c r="X62" s="1725">
        <f t="shared" si="172"/>
        <v>0.23978898569259052</v>
      </c>
      <c r="Y62" s="1725">
        <f t="shared" si="172"/>
        <v>0.24326672458731538</v>
      </c>
      <c r="Z62" s="1726">
        <f t="shared" si="172"/>
        <v>0.24313153415998051</v>
      </c>
      <c r="AA62" s="1724">
        <f t="shared" si="172"/>
        <v>0</v>
      </c>
      <c r="AB62" s="1725">
        <f t="shared" si="172"/>
        <v>0</v>
      </c>
      <c r="AC62" s="1725">
        <f t="shared" si="172"/>
        <v>0</v>
      </c>
      <c r="AD62" s="1725">
        <f t="shared" si="172"/>
        <v>0</v>
      </c>
      <c r="AE62" s="1725">
        <f t="shared" si="172"/>
        <v>0</v>
      </c>
      <c r="AF62" s="1726">
        <f t="shared" si="172"/>
        <v>0</v>
      </c>
      <c r="AG62" s="1724">
        <f t="shared" si="172"/>
        <v>0.20588235294117646</v>
      </c>
      <c r="AH62" s="1725">
        <f t="shared" si="172"/>
        <v>0.20460358056265984</v>
      </c>
      <c r="AI62" s="1725">
        <f t="shared" si="172"/>
        <v>0.20756115641215714</v>
      </c>
      <c r="AJ62" s="1725">
        <f t="shared" si="172"/>
        <v>0.20626530875338406</v>
      </c>
      <c r="AK62" s="1725">
        <f t="shared" si="172"/>
        <v>0.20738747828036547</v>
      </c>
      <c r="AL62" s="1726">
        <f t="shared" si="172"/>
        <v>0.20588235294117646</v>
      </c>
      <c r="AM62" s="1724">
        <f>IFERROR(#REF!/#REF!,0)</f>
        <v>0</v>
      </c>
      <c r="AN62" s="1725">
        <f>IFERROR(#REF!/#REF!,0)</f>
        <v>0</v>
      </c>
      <c r="AO62" s="1725">
        <f>IFERROR(#REF!/#REF!,0)</f>
        <v>0</v>
      </c>
      <c r="AP62" s="1725">
        <f>IFERROR(#REF!/#REF!,0)</f>
        <v>0</v>
      </c>
      <c r="AQ62" s="1725">
        <f>IFERROR(#REF!/#REF!,0)</f>
        <v>0</v>
      </c>
      <c r="AR62" s="1726">
        <f>IFERROR(#REF!/#REF!,0)</f>
        <v>0</v>
      </c>
      <c r="AS62" s="1710"/>
      <c r="AT62" s="1710"/>
      <c r="AU62" s="1711"/>
      <c r="AV62" s="158"/>
      <c r="AW62" s="158"/>
      <c r="AX62" s="158"/>
      <c r="AY62" s="158"/>
    </row>
    <row r="63" spans="1:119" ht="24.75" thickBot="1">
      <c r="A63" s="354" t="s">
        <v>86</v>
      </c>
      <c r="B63" s="856" t="s">
        <v>1016</v>
      </c>
      <c r="C63" s="2172">
        <f t="shared" ref="C63:AR63" si="173">IFERROR(C46/C29,0)</f>
        <v>9.3762302288378174E-2</v>
      </c>
      <c r="D63" s="2173">
        <f t="shared" si="173"/>
        <v>9.4599364631133068E-2</v>
      </c>
      <c r="E63" s="2173">
        <f t="shared" si="173"/>
        <v>9.4784402318043415E-2</v>
      </c>
      <c r="F63" s="2173">
        <f t="shared" si="173"/>
        <v>9.4593440382644348E-2</v>
      </c>
      <c r="G63" s="2173">
        <f t="shared" si="173"/>
        <v>9.4698728066103424E-2</v>
      </c>
      <c r="H63" s="2174">
        <f t="shared" si="173"/>
        <v>0.10735156722296518</v>
      </c>
      <c r="I63" s="2172">
        <f t="shared" si="173"/>
        <v>0.1074466159971046</v>
      </c>
      <c r="J63" s="2173">
        <f t="shared" si="173"/>
        <v>0.10818785345463487</v>
      </c>
      <c r="K63" s="2173">
        <f t="shared" si="173"/>
        <v>0.10690613641223007</v>
      </c>
      <c r="L63" s="2173">
        <f t="shared" si="173"/>
        <v>0.10783876245723635</v>
      </c>
      <c r="M63" s="2173">
        <f t="shared" si="173"/>
        <v>0.10670978172999192</v>
      </c>
      <c r="N63" s="2174">
        <f t="shared" si="173"/>
        <v>0.11310870341707345</v>
      </c>
      <c r="O63" s="2172">
        <f t="shared" si="173"/>
        <v>9.2279014829237685E-2</v>
      </c>
      <c r="P63" s="2173">
        <f t="shared" si="173"/>
        <v>9.264853977844914E-2</v>
      </c>
      <c r="Q63" s="2173">
        <f t="shared" si="173"/>
        <v>9.2450460507954232E-2</v>
      </c>
      <c r="R63" s="2173">
        <f t="shared" si="173"/>
        <v>9.2522372212953133E-2</v>
      </c>
      <c r="S63" s="2173">
        <f t="shared" si="173"/>
        <v>9.2323925085729355E-2</v>
      </c>
      <c r="T63" s="2174">
        <f t="shared" si="173"/>
        <v>9.3348891481913651E-2</v>
      </c>
      <c r="U63" s="2172">
        <f t="shared" si="173"/>
        <v>9.8468271334792135E-2</v>
      </c>
      <c r="V63" s="2173">
        <f t="shared" si="173"/>
        <v>0.13742071881606766</v>
      </c>
      <c r="W63" s="2173">
        <f t="shared" si="173"/>
        <v>0.13788031988234214</v>
      </c>
      <c r="X63" s="2173">
        <f t="shared" si="173"/>
        <v>0.11989449284629526</v>
      </c>
      <c r="Y63" s="2173">
        <f t="shared" si="173"/>
        <v>0.10425716768027803</v>
      </c>
      <c r="Z63" s="2174">
        <f t="shared" si="173"/>
        <v>0.12156576707999026</v>
      </c>
      <c r="AA63" s="2172">
        <f t="shared" si="173"/>
        <v>0</v>
      </c>
      <c r="AB63" s="2173">
        <f t="shared" si="173"/>
        <v>0</v>
      </c>
      <c r="AC63" s="2173">
        <f t="shared" si="173"/>
        <v>0</v>
      </c>
      <c r="AD63" s="2173">
        <f t="shared" si="173"/>
        <v>0</v>
      </c>
      <c r="AE63" s="2173">
        <f t="shared" si="173"/>
        <v>0</v>
      </c>
      <c r="AF63" s="2174">
        <f t="shared" si="173"/>
        <v>0</v>
      </c>
      <c r="AG63" s="2172">
        <f t="shared" si="173"/>
        <v>9.8039215686274508E-2</v>
      </c>
      <c r="AH63" s="2173">
        <f t="shared" si="173"/>
        <v>0.10230179028132992</v>
      </c>
      <c r="AI63" s="2173">
        <f t="shared" si="173"/>
        <v>9.6367679762787248E-2</v>
      </c>
      <c r="AJ63" s="2173">
        <f t="shared" si="173"/>
        <v>0.10313265437669203</v>
      </c>
      <c r="AK63" s="2173">
        <f t="shared" si="173"/>
        <v>0.10089120564990751</v>
      </c>
      <c r="AL63" s="2174">
        <f t="shared" si="173"/>
        <v>0.10294117647058823</v>
      </c>
      <c r="AM63" s="1727">
        <f t="shared" si="173"/>
        <v>9.1756201519121741E-2</v>
      </c>
      <c r="AN63" s="1728">
        <f t="shared" si="173"/>
        <v>9.2659435453656569E-2</v>
      </c>
      <c r="AO63" s="1728">
        <f t="shared" si="173"/>
        <v>9.272886556260411E-2</v>
      </c>
      <c r="AP63" s="1728">
        <f t="shared" si="173"/>
        <v>9.2548115523530525E-2</v>
      </c>
      <c r="AQ63" s="1728">
        <f t="shared" si="173"/>
        <v>9.2490617682674608E-2</v>
      </c>
      <c r="AR63" s="1729">
        <f t="shared" si="173"/>
        <v>0.10277904074056654</v>
      </c>
      <c r="AS63" s="1716"/>
      <c r="AT63" s="1716"/>
      <c r="AU63" s="1717"/>
      <c r="AV63" s="158"/>
      <c r="AW63" s="158"/>
      <c r="AX63" s="158"/>
      <c r="AY63" s="158"/>
    </row>
    <row r="64" spans="1:119" s="157" customFormat="1" ht="48">
      <c r="A64" s="352" t="s">
        <v>316</v>
      </c>
      <c r="B64" s="795" t="s">
        <v>1479</v>
      </c>
      <c r="C64" s="173"/>
      <c r="D64" s="174"/>
      <c r="E64" s="174"/>
      <c r="F64" s="174"/>
      <c r="G64" s="174"/>
      <c r="H64" s="175"/>
      <c r="I64" s="176"/>
      <c r="J64" s="177"/>
      <c r="K64" s="177"/>
      <c r="L64" s="177"/>
      <c r="M64" s="177"/>
      <c r="N64" s="178"/>
      <c r="O64" s="176"/>
      <c r="P64" s="177"/>
      <c r="Q64" s="177"/>
      <c r="R64" s="177"/>
      <c r="S64" s="177"/>
      <c r="T64" s="178"/>
      <c r="U64" s="176"/>
      <c r="V64" s="177"/>
      <c r="W64" s="177"/>
      <c r="X64" s="177"/>
      <c r="Y64" s="177"/>
      <c r="Z64" s="178"/>
      <c r="AA64" s="176"/>
      <c r="AB64" s="177"/>
      <c r="AC64" s="177"/>
      <c r="AD64" s="177"/>
      <c r="AE64" s="177"/>
      <c r="AF64" s="178"/>
      <c r="AG64" s="176"/>
      <c r="AH64" s="177"/>
      <c r="AI64" s="177"/>
      <c r="AJ64" s="177"/>
      <c r="AK64" s="177"/>
      <c r="AL64" s="178"/>
      <c r="AM64" s="176"/>
      <c r="AN64" s="177"/>
      <c r="AO64" s="177"/>
      <c r="AP64" s="177"/>
      <c r="AQ64" s="177"/>
      <c r="AR64" s="178"/>
      <c r="AS64" s="849"/>
      <c r="AT64" s="849"/>
      <c r="AU64" s="658"/>
      <c r="AV64" s="166"/>
    </row>
    <row r="65" spans="1:51" s="180" customFormat="1">
      <c r="A65" s="891" t="s">
        <v>964</v>
      </c>
      <c r="B65" s="892" t="s">
        <v>1285</v>
      </c>
      <c r="C65" s="321">
        <v>10</v>
      </c>
      <c r="D65" s="322"/>
      <c r="E65" s="322"/>
      <c r="F65" s="322"/>
      <c r="G65" s="322"/>
      <c r="H65" s="659"/>
      <c r="I65" s="323">
        <v>1</v>
      </c>
      <c r="J65" s="324">
        <v>2</v>
      </c>
      <c r="K65" s="324">
        <v>2</v>
      </c>
      <c r="L65" s="324">
        <v>2</v>
      </c>
      <c r="M65" s="324">
        <v>2</v>
      </c>
      <c r="N65" s="325">
        <v>2</v>
      </c>
      <c r="O65" s="323">
        <v>2</v>
      </c>
      <c r="P65" s="324">
        <v>4</v>
      </c>
      <c r="Q65" s="324">
        <v>4</v>
      </c>
      <c r="R65" s="324">
        <v>4</v>
      </c>
      <c r="S65" s="324">
        <v>4</v>
      </c>
      <c r="T65" s="325">
        <v>4</v>
      </c>
      <c r="U65" s="323"/>
      <c r="V65" s="324"/>
      <c r="W65" s="324"/>
      <c r="X65" s="324"/>
      <c r="Y65" s="324"/>
      <c r="Z65" s="325"/>
      <c r="AA65" s="323"/>
      <c r="AB65" s="324"/>
      <c r="AC65" s="324"/>
      <c r="AD65" s="324"/>
      <c r="AE65" s="324"/>
      <c r="AF65" s="325"/>
      <c r="AG65" s="323"/>
      <c r="AH65" s="324"/>
      <c r="AI65" s="324"/>
      <c r="AJ65" s="324"/>
      <c r="AK65" s="324"/>
      <c r="AL65" s="325"/>
      <c r="AM65" s="1062">
        <f t="shared" ref="AM65:AR68" si="174">C65+I65+O65+AG65+U65+AA65</f>
        <v>13</v>
      </c>
      <c r="AN65" s="1063">
        <f t="shared" si="174"/>
        <v>6</v>
      </c>
      <c r="AO65" s="1063">
        <f t="shared" si="174"/>
        <v>6</v>
      </c>
      <c r="AP65" s="1063">
        <f t="shared" si="174"/>
        <v>6</v>
      </c>
      <c r="AQ65" s="1063">
        <f t="shared" si="174"/>
        <v>6</v>
      </c>
      <c r="AR65" s="1064">
        <f t="shared" si="174"/>
        <v>6</v>
      </c>
      <c r="AS65" s="1705">
        <f>IFERROR((AR65-AM65)/AM65,0)</f>
        <v>-0.53846153846153844</v>
      </c>
      <c r="AT65" s="1705">
        <f t="shared" ref="AT65:AT68" si="175">IFERROR(((H65+Z65+AF65)-(+C65+U65+AA65))/(C65+U65+AA65),0)</f>
        <v>-1</v>
      </c>
      <c r="AU65" s="1705">
        <f t="shared" ref="AU65:AU68" si="176">IFERROR(((N65+T65)-(I65+O65))/(I65+O65),0)</f>
        <v>1</v>
      </c>
      <c r="AV65" s="179"/>
    </row>
    <row r="66" spans="1:51" s="180" customFormat="1" ht="24">
      <c r="A66" s="891" t="s">
        <v>965</v>
      </c>
      <c r="B66" s="892" t="s">
        <v>1478</v>
      </c>
      <c r="C66" s="321">
        <f>6.2+45.33</f>
        <v>51.53</v>
      </c>
      <c r="D66" s="322"/>
      <c r="E66" s="322"/>
      <c r="F66" s="322"/>
      <c r="G66" s="322"/>
      <c r="H66" s="659"/>
      <c r="I66" s="323">
        <v>11.33</v>
      </c>
      <c r="J66" s="324">
        <v>2</v>
      </c>
      <c r="K66" s="324">
        <v>2</v>
      </c>
      <c r="L66" s="324">
        <v>2</v>
      </c>
      <c r="M66" s="324">
        <v>2</v>
      </c>
      <c r="N66" s="325">
        <v>2</v>
      </c>
      <c r="O66" s="323">
        <f>1+11.33</f>
        <v>12.33</v>
      </c>
      <c r="P66" s="324">
        <v>5</v>
      </c>
      <c r="Q66" s="324">
        <v>5</v>
      </c>
      <c r="R66" s="324">
        <v>5</v>
      </c>
      <c r="S66" s="324">
        <v>5</v>
      </c>
      <c r="T66" s="325">
        <v>5</v>
      </c>
      <c r="U66" s="323"/>
      <c r="V66" s="324"/>
      <c r="W66" s="324"/>
      <c r="X66" s="324"/>
      <c r="Y66" s="324"/>
      <c r="Z66" s="325"/>
      <c r="AA66" s="323"/>
      <c r="AB66" s="324"/>
      <c r="AC66" s="324"/>
      <c r="AD66" s="324"/>
      <c r="AE66" s="324"/>
      <c r="AF66" s="325"/>
      <c r="AG66" s="323"/>
      <c r="AH66" s="324"/>
      <c r="AI66" s="324"/>
      <c r="AJ66" s="324"/>
      <c r="AK66" s="324"/>
      <c r="AL66" s="325"/>
      <c r="AM66" s="1062">
        <f t="shared" si="174"/>
        <v>75.19</v>
      </c>
      <c r="AN66" s="1063">
        <f t="shared" si="174"/>
        <v>7</v>
      </c>
      <c r="AO66" s="1063">
        <f t="shared" si="174"/>
        <v>7</v>
      </c>
      <c r="AP66" s="1063">
        <f t="shared" si="174"/>
        <v>7</v>
      </c>
      <c r="AQ66" s="1063">
        <f t="shared" si="174"/>
        <v>7</v>
      </c>
      <c r="AR66" s="1064">
        <f t="shared" si="174"/>
        <v>7</v>
      </c>
      <c r="AS66" s="1705">
        <f>IFERROR((AR66-AM66)/AM66,0)</f>
        <v>-0.90690251363213192</v>
      </c>
      <c r="AT66" s="1705">
        <f t="shared" si="175"/>
        <v>-1</v>
      </c>
      <c r="AU66" s="1705">
        <f t="shared" si="176"/>
        <v>-0.70414201183431957</v>
      </c>
      <c r="AV66" s="179"/>
    </row>
    <row r="67" spans="1:51" s="180" customFormat="1">
      <c r="A67" s="791" t="s">
        <v>1116</v>
      </c>
      <c r="B67" s="893" t="s">
        <v>728</v>
      </c>
      <c r="C67" s="4882">
        <v>11.227</v>
      </c>
      <c r="D67" s="672"/>
      <c r="E67" s="672"/>
      <c r="F67" s="672"/>
      <c r="G67" s="672"/>
      <c r="H67" s="673"/>
      <c r="I67" s="323">
        <v>2</v>
      </c>
      <c r="J67" s="324">
        <v>0.5</v>
      </c>
      <c r="K67" s="324">
        <v>0.5</v>
      </c>
      <c r="L67" s="324">
        <v>0.5</v>
      </c>
      <c r="M67" s="324">
        <v>0.5</v>
      </c>
      <c r="N67" s="325">
        <v>0.5</v>
      </c>
      <c r="O67" s="323">
        <v>2</v>
      </c>
      <c r="P67" s="324">
        <v>1</v>
      </c>
      <c r="Q67" s="324">
        <v>1</v>
      </c>
      <c r="R67" s="324">
        <v>1</v>
      </c>
      <c r="S67" s="324">
        <v>1</v>
      </c>
      <c r="T67" s="325">
        <v>1</v>
      </c>
      <c r="U67" s="323"/>
      <c r="V67" s="324"/>
      <c r="W67" s="324"/>
      <c r="X67" s="324"/>
      <c r="Y67" s="324"/>
      <c r="Z67" s="325"/>
      <c r="AA67" s="323"/>
      <c r="AB67" s="324"/>
      <c r="AC67" s="324"/>
      <c r="AD67" s="324"/>
      <c r="AE67" s="324"/>
      <c r="AF67" s="325"/>
      <c r="AG67" s="323"/>
      <c r="AH67" s="324"/>
      <c r="AI67" s="324"/>
      <c r="AJ67" s="324"/>
      <c r="AK67" s="324"/>
      <c r="AL67" s="325"/>
      <c r="AM67" s="1062">
        <f t="shared" si="174"/>
        <v>15.227</v>
      </c>
      <c r="AN67" s="1063">
        <f t="shared" si="174"/>
        <v>1.5</v>
      </c>
      <c r="AO67" s="1063">
        <f t="shared" si="174"/>
        <v>1.5</v>
      </c>
      <c r="AP67" s="1063">
        <f t="shared" si="174"/>
        <v>1.5</v>
      </c>
      <c r="AQ67" s="1063">
        <f t="shared" si="174"/>
        <v>1.5</v>
      </c>
      <c r="AR67" s="1064">
        <f t="shared" si="174"/>
        <v>1.5</v>
      </c>
      <c r="AS67" s="1705">
        <f>IFERROR((AR67-AM67)/AM67,0)</f>
        <v>-0.9014907729690681</v>
      </c>
      <c r="AT67" s="1705">
        <f t="shared" si="175"/>
        <v>-1</v>
      </c>
      <c r="AU67" s="1705">
        <f t="shared" si="176"/>
        <v>-0.625</v>
      </c>
      <c r="AV67" s="179"/>
    </row>
    <row r="68" spans="1:51" s="180" customFormat="1" ht="24">
      <c r="A68" s="794" t="s">
        <v>1286</v>
      </c>
      <c r="B68" s="894" t="s">
        <v>1283</v>
      </c>
      <c r="C68" s="671"/>
      <c r="D68" s="672"/>
      <c r="E68" s="672"/>
      <c r="F68" s="672"/>
      <c r="G68" s="672"/>
      <c r="H68" s="673"/>
      <c r="I68" s="323"/>
      <c r="J68" s="324"/>
      <c r="K68" s="324"/>
      <c r="L68" s="324"/>
      <c r="M68" s="324"/>
      <c r="N68" s="325"/>
      <c r="O68" s="323"/>
      <c r="P68" s="324"/>
      <c r="Q68" s="324"/>
      <c r="R68" s="324"/>
      <c r="S68" s="324"/>
      <c r="T68" s="325"/>
      <c r="U68" s="323"/>
      <c r="V68" s="324"/>
      <c r="W68" s="324"/>
      <c r="X68" s="324"/>
      <c r="Y68" s="324"/>
      <c r="Z68" s="325"/>
      <c r="AA68" s="323"/>
      <c r="AB68" s="324"/>
      <c r="AC68" s="324"/>
      <c r="AD68" s="324"/>
      <c r="AE68" s="324"/>
      <c r="AF68" s="325"/>
      <c r="AG68" s="323"/>
      <c r="AH68" s="324"/>
      <c r="AI68" s="324"/>
      <c r="AJ68" s="324"/>
      <c r="AK68" s="324"/>
      <c r="AL68" s="325"/>
      <c r="AM68" s="1062">
        <f t="shared" si="174"/>
        <v>0</v>
      </c>
      <c r="AN68" s="1063">
        <f t="shared" si="174"/>
        <v>0</v>
      </c>
      <c r="AO68" s="1063">
        <f t="shared" si="174"/>
        <v>0</v>
      </c>
      <c r="AP68" s="1063">
        <f t="shared" si="174"/>
        <v>0</v>
      </c>
      <c r="AQ68" s="1063">
        <f t="shared" si="174"/>
        <v>0</v>
      </c>
      <c r="AR68" s="1064">
        <f t="shared" si="174"/>
        <v>0</v>
      </c>
      <c r="AS68" s="1705">
        <f>IFERROR((AR68-AM68)/AM68,0)</f>
        <v>0</v>
      </c>
      <c r="AT68" s="1705">
        <f t="shared" si="175"/>
        <v>0</v>
      </c>
      <c r="AU68" s="1705">
        <f t="shared" si="176"/>
        <v>0</v>
      </c>
      <c r="AV68" s="179"/>
    </row>
    <row r="69" spans="1:51" s="691" customFormat="1" ht="24.75" thickBot="1">
      <c r="A69" s="852" t="s">
        <v>1287</v>
      </c>
      <c r="B69" s="853" t="s">
        <v>1347</v>
      </c>
      <c r="C69" s="1730">
        <f>IFERROR(C66/C65,0)</f>
        <v>5.1530000000000005</v>
      </c>
      <c r="D69" s="1731">
        <f t="shared" ref="D69:AL69" si="177">IFERROR(D66/D65,0)</f>
        <v>0</v>
      </c>
      <c r="E69" s="1731">
        <f t="shared" si="177"/>
        <v>0</v>
      </c>
      <c r="F69" s="1731">
        <f t="shared" si="177"/>
        <v>0</v>
      </c>
      <c r="G69" s="1731">
        <f t="shared" si="177"/>
        <v>0</v>
      </c>
      <c r="H69" s="1732">
        <f t="shared" si="177"/>
        <v>0</v>
      </c>
      <c r="I69" s="1730">
        <f t="shared" si="177"/>
        <v>11.33</v>
      </c>
      <c r="J69" s="1731">
        <f t="shared" si="177"/>
        <v>1</v>
      </c>
      <c r="K69" s="1731">
        <f t="shared" si="177"/>
        <v>1</v>
      </c>
      <c r="L69" s="1731">
        <f t="shared" si="177"/>
        <v>1</v>
      </c>
      <c r="M69" s="1731">
        <f t="shared" si="177"/>
        <v>1</v>
      </c>
      <c r="N69" s="1732">
        <f t="shared" si="177"/>
        <v>1</v>
      </c>
      <c r="O69" s="1730">
        <f t="shared" si="177"/>
        <v>6.165</v>
      </c>
      <c r="P69" s="1731">
        <f t="shared" si="177"/>
        <v>1.25</v>
      </c>
      <c r="Q69" s="1731">
        <f t="shared" si="177"/>
        <v>1.25</v>
      </c>
      <c r="R69" s="1731">
        <f t="shared" si="177"/>
        <v>1.25</v>
      </c>
      <c r="S69" s="1731">
        <f t="shared" si="177"/>
        <v>1.25</v>
      </c>
      <c r="T69" s="1732">
        <f t="shared" si="177"/>
        <v>1.25</v>
      </c>
      <c r="U69" s="1730">
        <f t="shared" si="177"/>
        <v>0</v>
      </c>
      <c r="V69" s="1731">
        <f t="shared" si="177"/>
        <v>0</v>
      </c>
      <c r="W69" s="1731">
        <f t="shared" si="177"/>
        <v>0</v>
      </c>
      <c r="X69" s="1731">
        <f t="shared" si="177"/>
        <v>0</v>
      </c>
      <c r="Y69" s="1731">
        <f t="shared" si="177"/>
        <v>0</v>
      </c>
      <c r="Z69" s="1732">
        <f t="shared" si="177"/>
        <v>0</v>
      </c>
      <c r="AA69" s="1730">
        <f t="shared" si="177"/>
        <v>0</v>
      </c>
      <c r="AB69" s="1731">
        <f t="shared" si="177"/>
        <v>0</v>
      </c>
      <c r="AC69" s="1731">
        <f t="shared" si="177"/>
        <v>0</v>
      </c>
      <c r="AD69" s="1731">
        <f t="shared" si="177"/>
        <v>0</v>
      </c>
      <c r="AE69" s="1731">
        <f t="shared" si="177"/>
        <v>0</v>
      </c>
      <c r="AF69" s="1732">
        <f t="shared" si="177"/>
        <v>0</v>
      </c>
      <c r="AG69" s="1730">
        <f t="shared" si="177"/>
        <v>0</v>
      </c>
      <c r="AH69" s="1731">
        <f t="shared" si="177"/>
        <v>0</v>
      </c>
      <c r="AI69" s="1731">
        <f t="shared" si="177"/>
        <v>0</v>
      </c>
      <c r="AJ69" s="1731">
        <f t="shared" si="177"/>
        <v>0</v>
      </c>
      <c r="AK69" s="1731">
        <f t="shared" si="177"/>
        <v>0</v>
      </c>
      <c r="AL69" s="1732">
        <f t="shared" si="177"/>
        <v>0</v>
      </c>
      <c r="AM69" s="1730">
        <f t="shared" ref="AM69:AR69" si="178">IFERROR(AM66/AM40,0)</f>
        <v>0.64264957264957268</v>
      </c>
      <c r="AN69" s="1731">
        <f t="shared" si="178"/>
        <v>5.1094890510948905E-2</v>
      </c>
      <c r="AO69" s="1731">
        <f t="shared" si="178"/>
        <v>4.4871794871794872E-2</v>
      </c>
      <c r="AP69" s="1731">
        <f t="shared" si="178"/>
        <v>3.9106145251396648E-2</v>
      </c>
      <c r="AQ69" s="1731">
        <f t="shared" si="178"/>
        <v>3.4146341463414637E-2</v>
      </c>
      <c r="AR69" s="1732">
        <f t="shared" si="178"/>
        <v>2.9787234042553193E-2</v>
      </c>
      <c r="AS69" s="1716"/>
      <c r="AT69" s="1716"/>
      <c r="AU69" s="1717"/>
    </row>
    <row r="70" spans="1:51">
      <c r="A70" s="2175"/>
      <c r="B70" s="2148"/>
      <c r="C70" s="2175"/>
      <c r="D70" s="2176"/>
      <c r="E70" s="2176"/>
      <c r="F70" s="2176"/>
      <c r="G70" s="2176"/>
      <c r="H70" s="2176"/>
      <c r="I70" s="2150"/>
      <c r="J70" s="2148"/>
      <c r="K70" s="2148"/>
      <c r="L70" s="2148"/>
      <c r="M70" s="2148"/>
      <c r="N70" s="2148"/>
      <c r="O70" s="2148"/>
      <c r="P70" s="2148"/>
      <c r="Q70" s="2150"/>
      <c r="R70" s="2150"/>
      <c r="S70" s="2150"/>
      <c r="T70" s="2150"/>
      <c r="U70" s="2150"/>
      <c r="V70" s="2150"/>
      <c r="W70" s="2148"/>
      <c r="X70" s="2175"/>
      <c r="Y70" s="2150"/>
      <c r="Z70" s="2150"/>
      <c r="AA70" s="2150"/>
      <c r="AB70" s="2150"/>
      <c r="AC70" s="2150"/>
      <c r="AD70" s="2150"/>
      <c r="AE70" s="2148"/>
      <c r="AF70" s="2152"/>
      <c r="AG70" s="2152"/>
      <c r="AH70" s="2150"/>
      <c r="AI70" s="2150"/>
      <c r="AJ70" s="2150"/>
      <c r="AK70" s="2150"/>
      <c r="AL70" s="2150"/>
      <c r="AM70" s="2150"/>
      <c r="AN70" s="2150"/>
      <c r="AO70" s="2150"/>
      <c r="AP70" s="2150"/>
      <c r="AQ70" s="2150"/>
      <c r="AR70" s="2150"/>
      <c r="AS70" s="2177"/>
      <c r="AT70" s="2177"/>
      <c r="AU70" s="2178"/>
      <c r="AV70" s="158"/>
      <c r="AW70" s="158"/>
      <c r="AX70" s="158"/>
      <c r="AY70" s="158"/>
    </row>
    <row r="71" spans="1:51">
      <c r="A71" s="2179"/>
      <c r="B71" s="2180"/>
      <c r="C71" s="2175"/>
      <c r="D71" s="2176"/>
      <c r="E71" s="2176"/>
      <c r="F71" s="2176"/>
      <c r="G71" s="2176"/>
      <c r="H71" s="2176"/>
      <c r="I71" s="2150"/>
      <c r="J71" s="2148"/>
      <c r="K71" s="2148"/>
      <c r="L71" s="2148"/>
      <c r="M71" s="2148"/>
      <c r="N71" s="2148"/>
      <c r="O71" s="2148"/>
      <c r="P71" s="2148"/>
      <c r="Q71" s="2181"/>
      <c r="R71" s="2182"/>
      <c r="S71" s="2183"/>
      <c r="T71" s="2150"/>
      <c r="U71" s="2150"/>
      <c r="V71" s="2175"/>
      <c r="W71" s="2148"/>
      <c r="X71" s="2175"/>
      <c r="Y71" s="2150"/>
      <c r="Z71" s="2150"/>
      <c r="AA71" s="2150"/>
      <c r="AB71" s="2150"/>
      <c r="AC71" s="2150"/>
      <c r="AD71" s="2150"/>
      <c r="AE71" s="2148"/>
      <c r="AF71" s="2152"/>
      <c r="AG71" s="2152"/>
      <c r="AH71" s="2150"/>
      <c r="AI71" s="2150"/>
      <c r="AJ71" s="2150"/>
      <c r="AK71" s="2150"/>
      <c r="AL71" s="2150"/>
      <c r="AM71" s="2150"/>
      <c r="AN71" s="2150"/>
      <c r="AO71" s="2150"/>
      <c r="AP71" s="2150"/>
      <c r="AQ71" s="2150"/>
      <c r="AR71" s="2150"/>
      <c r="AS71" s="2177"/>
      <c r="AT71" s="2177"/>
      <c r="AU71" s="2178"/>
      <c r="AV71" s="158"/>
      <c r="AW71" s="158"/>
      <c r="AX71" s="158"/>
      <c r="AY71" s="158"/>
    </row>
    <row r="72" spans="1:51">
      <c r="A72" s="2184"/>
      <c r="B72" s="2185"/>
      <c r="C72" s="2175"/>
      <c r="D72" s="2176"/>
      <c r="E72" s="2176"/>
      <c r="F72" s="2176"/>
      <c r="G72" s="2176"/>
      <c r="H72" s="2176"/>
      <c r="I72" s="2150"/>
      <c r="J72" s="2150"/>
      <c r="K72" s="2150"/>
      <c r="L72" s="2150"/>
      <c r="M72" s="2150"/>
      <c r="N72" s="2150"/>
      <c r="O72" s="2150"/>
      <c r="P72" s="2150"/>
      <c r="Q72" s="2184"/>
      <c r="R72" s="2186"/>
      <c r="S72" s="2187"/>
      <c r="T72" s="2148"/>
      <c r="U72" s="2181"/>
      <c r="V72" s="2175"/>
      <c r="W72" s="2150"/>
      <c r="X72" s="2175"/>
      <c r="Y72" s="2150"/>
      <c r="Z72" s="2150"/>
      <c r="AA72" s="2150"/>
      <c r="AB72" s="2150"/>
      <c r="AC72" s="2188" t="str">
        <f>'Приложение '!B81</f>
        <v>Дата: 24 юни 2021 година</v>
      </c>
      <c r="AD72" s="2189"/>
      <c r="AE72" s="2189"/>
      <c r="AF72" s="2190"/>
      <c r="AG72" s="2190"/>
      <c r="AH72" s="2189"/>
      <c r="AI72" s="2189"/>
      <c r="AJ72" s="2189"/>
      <c r="AK72" s="2189"/>
      <c r="AL72" s="2189"/>
      <c r="AM72" s="2189"/>
      <c r="AN72" s="2189"/>
      <c r="AO72" s="2191" t="str">
        <f>'Приложение '!C81</f>
        <v xml:space="preserve">Гл. счетоводител/Фин.директор: </v>
      </c>
      <c r="AP72" s="2192" t="str">
        <f>'Приложение '!D81</f>
        <v>..............................................</v>
      </c>
      <c r="AQ72" s="2190"/>
      <c r="AR72" s="2189"/>
      <c r="AS72" s="2189"/>
      <c r="AT72" s="2189"/>
      <c r="AU72" s="2190"/>
      <c r="AV72" s="158"/>
      <c r="AW72" s="158"/>
      <c r="AX72" s="158"/>
      <c r="AY72" s="158"/>
    </row>
    <row r="73" spans="1:51">
      <c r="A73" s="2184"/>
      <c r="B73" s="2185"/>
      <c r="C73" s="2175"/>
      <c r="D73" s="2176"/>
      <c r="E73" s="2176"/>
      <c r="F73" s="2176"/>
      <c r="G73" s="2176"/>
      <c r="H73" s="2176"/>
      <c r="I73" s="2150"/>
      <c r="J73" s="2150"/>
      <c r="K73" s="2150"/>
      <c r="L73" s="2150"/>
      <c r="M73" s="2150"/>
      <c r="N73" s="2150"/>
      <c r="O73" s="2150"/>
      <c r="P73" s="2150"/>
      <c r="Q73" s="2175"/>
      <c r="R73" s="2193"/>
      <c r="S73" s="2194"/>
      <c r="T73" s="2150"/>
      <c r="U73" s="2175"/>
      <c r="V73" s="2176"/>
      <c r="W73" s="2150"/>
      <c r="X73" s="2175"/>
      <c r="Y73" s="2150"/>
      <c r="Z73" s="2150"/>
      <c r="AA73" s="2150"/>
      <c r="AB73" s="2150"/>
      <c r="AC73" s="2189"/>
      <c r="AD73" s="2189"/>
      <c r="AE73" s="2189"/>
      <c r="AF73" s="2190"/>
      <c r="AG73" s="2190"/>
      <c r="AH73" s="2189"/>
      <c r="AI73" s="2189"/>
      <c r="AJ73" s="2189"/>
      <c r="AK73" s="2189"/>
      <c r="AL73" s="2189"/>
      <c r="AM73" s="2189"/>
      <c r="AN73" s="2189"/>
      <c r="AO73" s="2191"/>
      <c r="AP73" s="2195" t="str">
        <f>'Приложение '!D82</f>
        <v>(подпис)</v>
      </c>
      <c r="AQ73" s="2190"/>
      <c r="AR73" s="2189"/>
      <c r="AS73" s="2189"/>
      <c r="AT73" s="2189"/>
      <c r="AU73" s="2190"/>
      <c r="AV73" s="158"/>
      <c r="AW73" s="158"/>
      <c r="AX73" s="158"/>
      <c r="AY73" s="158"/>
    </row>
    <row r="74" spans="1:51">
      <c r="B74" s="4526"/>
      <c r="C74" s="4526" t="s">
        <v>191</v>
      </c>
      <c r="D74" s="2197"/>
      <c r="E74" s="2197"/>
      <c r="F74" s="2197"/>
      <c r="G74" s="2197"/>
      <c r="H74" s="2197"/>
      <c r="I74" s="2177"/>
      <c r="J74" s="2177"/>
      <c r="K74" s="2177"/>
      <c r="L74" s="2177"/>
      <c r="M74" s="2177"/>
      <c r="N74" s="2177"/>
      <c r="O74" s="2177"/>
      <c r="P74" s="2177"/>
      <c r="Q74" s="2196"/>
      <c r="R74" s="2198"/>
      <c r="S74" s="2194"/>
      <c r="T74" s="2177"/>
      <c r="U74" s="2175"/>
      <c r="V74" s="2176"/>
      <c r="W74" s="2150"/>
      <c r="X74" s="2175"/>
      <c r="Y74" s="2150"/>
      <c r="Z74" s="2150"/>
      <c r="AA74" s="2150"/>
      <c r="AB74" s="2150"/>
      <c r="AC74" s="2189"/>
      <c r="AD74" s="2189"/>
      <c r="AE74" s="2189"/>
      <c r="AF74" s="2190"/>
      <c r="AG74" s="2190"/>
      <c r="AH74" s="2189"/>
      <c r="AI74" s="2189"/>
      <c r="AJ74" s="2189"/>
      <c r="AK74" s="2189"/>
      <c r="AL74" s="2189"/>
      <c r="AM74" s="2189"/>
      <c r="AN74" s="2189"/>
      <c r="AO74" s="2191"/>
      <c r="AP74" s="2192"/>
      <c r="AQ74" s="2190"/>
      <c r="AR74" s="2189"/>
      <c r="AS74" s="2189"/>
      <c r="AT74" s="2189"/>
      <c r="AU74" s="2190"/>
      <c r="AV74" s="158"/>
      <c r="AW74" s="158"/>
      <c r="AX74" s="158"/>
      <c r="AY74" s="158"/>
    </row>
    <row r="75" spans="1:51">
      <c r="B75" s="4427"/>
      <c r="C75" s="4427" t="s">
        <v>192</v>
      </c>
      <c r="D75" s="2177"/>
      <c r="E75" s="2177"/>
      <c r="F75" s="2177"/>
      <c r="G75" s="2177"/>
      <c r="H75" s="2177"/>
      <c r="I75" s="2177"/>
      <c r="J75" s="2177"/>
      <c r="K75" s="2177"/>
      <c r="L75" s="2177"/>
      <c r="M75" s="2177"/>
      <c r="N75" s="2177"/>
      <c r="O75" s="2177"/>
      <c r="P75" s="2177"/>
      <c r="Q75" s="2151"/>
      <c r="R75" s="3902"/>
      <c r="S75" s="3903"/>
      <c r="T75" s="2177"/>
      <c r="U75" s="2150"/>
      <c r="V75" s="2176"/>
      <c r="W75" s="2150"/>
      <c r="X75" s="2175"/>
      <c r="Y75" s="2150"/>
      <c r="Z75" s="2150"/>
      <c r="AA75" s="2150"/>
      <c r="AB75" s="2150"/>
      <c r="AC75" s="2189"/>
      <c r="AD75" s="2189"/>
      <c r="AE75" s="2189"/>
      <c r="AF75" s="2190"/>
      <c r="AG75" s="2190"/>
      <c r="AH75" s="2189"/>
      <c r="AI75" s="2189"/>
      <c r="AJ75" s="2189"/>
      <c r="AK75" s="2189"/>
      <c r="AL75" s="2189"/>
      <c r="AM75" s="2189"/>
      <c r="AN75" s="2189"/>
      <c r="AO75" s="2191"/>
      <c r="AP75" s="2192"/>
      <c r="AQ75" s="2190"/>
      <c r="AR75" s="2189"/>
      <c r="AS75" s="2189"/>
      <c r="AT75" s="2189"/>
      <c r="AU75" s="2190"/>
      <c r="AV75" s="158"/>
      <c r="AW75" s="158"/>
      <c r="AX75" s="158"/>
      <c r="AY75" s="158"/>
    </row>
    <row r="76" spans="1:51" ht="46.5" customHeight="1">
      <c r="B76" s="4426"/>
      <c r="C76" s="5258" t="s">
        <v>1548</v>
      </c>
      <c r="D76" s="5258"/>
      <c r="E76" s="5258"/>
      <c r="F76" s="5258"/>
      <c r="G76" s="5258"/>
      <c r="H76" s="5258"/>
      <c r="I76" s="5258"/>
      <c r="J76" s="5258"/>
      <c r="K76" s="5258"/>
      <c r="L76" s="5258"/>
      <c r="M76" s="5258"/>
      <c r="N76" s="5258"/>
      <c r="O76" s="5258"/>
      <c r="P76" s="5258"/>
      <c r="Q76" s="5258"/>
      <c r="R76" s="5258"/>
      <c r="S76" s="5258"/>
      <c r="T76" s="5258"/>
      <c r="U76" s="5258"/>
      <c r="V76" s="5258"/>
      <c r="W76" s="5258"/>
      <c r="X76" s="5258"/>
      <c r="Y76" s="5258"/>
      <c r="Z76" s="5258"/>
      <c r="AA76" s="2150"/>
      <c r="AB76" s="2150"/>
      <c r="AC76" s="2189"/>
      <c r="AD76" s="2189"/>
      <c r="AE76" s="2189"/>
      <c r="AF76" s="2189"/>
      <c r="AG76" s="2189"/>
      <c r="AH76" s="2189"/>
      <c r="AI76" s="2189"/>
      <c r="AJ76" s="2199"/>
      <c r="AK76" s="2199"/>
      <c r="AL76" s="2199"/>
      <c r="AM76" s="2189"/>
      <c r="AN76" s="2189"/>
      <c r="AO76" s="2191" t="str">
        <f>'Приложение '!C85</f>
        <v xml:space="preserve">Управител/Изп.директор: </v>
      </c>
      <c r="AP76" s="2192" t="str">
        <f>'Приложение '!D85</f>
        <v>.............................................</v>
      </c>
      <c r="AQ76" s="2191"/>
      <c r="AR76" s="2189"/>
      <c r="AS76" s="2199"/>
      <c r="AT76" s="2199"/>
      <c r="AU76" s="2200"/>
      <c r="AV76" s="158"/>
    </row>
    <row r="77" spans="1:51" ht="35.25" customHeight="1">
      <c r="B77" s="4426"/>
      <c r="C77" s="5258" t="s">
        <v>1547</v>
      </c>
      <c r="D77" s="5258"/>
      <c r="E77" s="5258"/>
      <c r="F77" s="5258"/>
      <c r="G77" s="5258"/>
      <c r="H77" s="5258"/>
      <c r="I77" s="5258"/>
      <c r="J77" s="5258"/>
      <c r="K77" s="5258"/>
      <c r="L77" s="5258"/>
      <c r="M77" s="5258"/>
      <c r="N77" s="5258"/>
      <c r="O77" s="5258"/>
      <c r="P77" s="5258"/>
      <c r="Q77" s="5258"/>
      <c r="R77" s="5258"/>
      <c r="S77" s="5258"/>
      <c r="T77" s="5258"/>
      <c r="U77" s="5258"/>
      <c r="V77" s="5258"/>
      <c r="W77" s="5258"/>
      <c r="X77" s="5258"/>
      <c r="Y77" s="5258"/>
      <c r="Z77" s="5258"/>
      <c r="AA77" s="2150"/>
      <c r="AB77" s="2150"/>
      <c r="AC77" s="2189"/>
      <c r="AD77" s="2189"/>
      <c r="AE77" s="2189"/>
      <c r="AF77" s="2189"/>
      <c r="AG77" s="2189"/>
      <c r="AH77" s="2189"/>
      <c r="AI77" s="2189"/>
      <c r="AJ77" s="2189"/>
      <c r="AK77" s="2189"/>
      <c r="AL77" s="2189"/>
      <c r="AM77" s="2189"/>
      <c r="AN77" s="2189"/>
      <c r="AO77" s="2191"/>
      <c r="AP77" s="2195" t="str">
        <f>'Приложение '!D86</f>
        <v>(подпис и печат)</v>
      </c>
      <c r="AQ77" s="2191"/>
      <c r="AR77" s="2189"/>
      <c r="AS77" s="2189"/>
      <c r="AT77" s="2189"/>
      <c r="AU77" s="2190"/>
    </row>
    <row r="78" spans="1:51" ht="21.75" customHeight="1">
      <c r="B78" s="4426"/>
      <c r="C78" s="4427" t="s">
        <v>1591</v>
      </c>
      <c r="D78" s="4427"/>
      <c r="E78" s="4427"/>
      <c r="F78" s="4427"/>
      <c r="G78" s="4427"/>
      <c r="H78" s="4427"/>
      <c r="I78" s="4427"/>
      <c r="J78" s="4427"/>
      <c r="K78" s="4427"/>
      <c r="L78" s="4427"/>
      <c r="M78" s="4427"/>
      <c r="N78" s="4427"/>
      <c r="O78" s="4427"/>
      <c r="P78" s="4427"/>
      <c r="Q78" s="4427"/>
      <c r="R78" s="4427"/>
      <c r="S78" s="4427"/>
      <c r="T78" s="4427"/>
      <c r="U78" s="4427"/>
      <c r="V78" s="2150"/>
      <c r="W78" s="2150"/>
      <c r="X78" s="2150"/>
      <c r="Y78" s="2150"/>
      <c r="Z78" s="2150"/>
      <c r="AA78" s="2150"/>
      <c r="AB78" s="2150"/>
      <c r="AC78" s="2189"/>
      <c r="AD78" s="2189"/>
      <c r="AE78" s="2189"/>
      <c r="AF78" s="2189"/>
      <c r="AG78" s="2189"/>
      <c r="AH78" s="2189"/>
      <c r="AI78" s="2189"/>
      <c r="AJ78" s="2189"/>
      <c r="AK78" s="2189"/>
      <c r="AL78" s="2189"/>
      <c r="AM78" s="2189"/>
      <c r="AN78" s="2189"/>
      <c r="AO78" s="2189"/>
      <c r="AP78" s="2189"/>
      <c r="AQ78" s="2189"/>
      <c r="AR78" s="2189"/>
      <c r="AS78" s="2189"/>
      <c r="AT78" s="2189"/>
      <c r="AU78" s="2190"/>
    </row>
    <row r="79" spans="1:51" ht="41.25" customHeight="1">
      <c r="B79" s="4426"/>
      <c r="C79" s="5258" t="s">
        <v>1590</v>
      </c>
      <c r="D79" s="5258"/>
      <c r="E79" s="5258"/>
      <c r="F79" s="5258"/>
      <c r="G79" s="5258"/>
      <c r="H79" s="5258"/>
      <c r="I79" s="5258"/>
      <c r="J79" s="5258"/>
      <c r="K79" s="5258"/>
      <c r="L79" s="5258"/>
      <c r="M79" s="5258"/>
      <c r="N79" s="5258"/>
      <c r="O79" s="5258"/>
      <c r="P79" s="5258"/>
      <c r="Q79" s="5258"/>
      <c r="R79" s="5258"/>
      <c r="S79" s="5258"/>
      <c r="T79" s="5258"/>
      <c r="U79" s="5258"/>
      <c r="V79" s="5258"/>
      <c r="W79" s="5258"/>
      <c r="X79" s="5258"/>
      <c r="Y79" s="5258"/>
      <c r="Z79" s="5258"/>
      <c r="AA79" s="2150"/>
      <c r="AB79" s="2150"/>
      <c r="AC79" s="2150"/>
      <c r="AD79" s="2150"/>
      <c r="AE79" s="2150"/>
      <c r="AF79" s="2150"/>
      <c r="AG79" s="2150"/>
      <c r="AH79" s="2150"/>
      <c r="AI79" s="2150"/>
      <c r="AJ79" s="2150"/>
      <c r="AK79" s="2150"/>
      <c r="AL79" s="2150"/>
      <c r="AM79" s="2150"/>
      <c r="AN79" s="2150"/>
      <c r="AO79" s="2150"/>
      <c r="AP79" s="2150"/>
      <c r="AQ79" s="2150"/>
      <c r="AR79" s="2150"/>
      <c r="AS79" s="2194"/>
      <c r="AT79" s="2194"/>
      <c r="AU79" s="2201"/>
    </row>
  </sheetData>
  <sheetProtection password="EB75" sheet="1" objects="1" scenarios="1" formatCells="0" formatColumns="0" formatRows="0"/>
  <mergeCells count="19">
    <mergeCell ref="A2:Z2"/>
    <mergeCell ref="A3:Z3"/>
    <mergeCell ref="A4:Z4"/>
    <mergeCell ref="A5:Z5"/>
    <mergeCell ref="A7:A9"/>
    <mergeCell ref="B7:B9"/>
    <mergeCell ref="C8:H8"/>
    <mergeCell ref="I8:N8"/>
    <mergeCell ref="O8:T8"/>
    <mergeCell ref="C76:Z76"/>
    <mergeCell ref="C77:Z77"/>
    <mergeCell ref="C79:Z79"/>
    <mergeCell ref="AT7:AT8"/>
    <mergeCell ref="AU7:AU8"/>
    <mergeCell ref="C7:AF7"/>
    <mergeCell ref="U8:Z8"/>
    <mergeCell ref="AA8:AF8"/>
    <mergeCell ref="AM7:AS8"/>
    <mergeCell ref="AG7:AL8"/>
  </mergeCells>
  <conditionalFormatting sqref="M26">
    <cfRule type="cellIs" priority="2" operator="notEqual">
      <formula>$M$18</formula>
    </cfRule>
  </conditionalFormatting>
  <conditionalFormatting sqref="M25">
    <cfRule type="cellIs" priority="1" operator="notEqual">
      <formula>$M$18</formula>
    </cfRule>
  </conditionalFormatting>
  <conditionalFormatting sqref="M18">
    <cfRule type="cellIs" priority="3" operator="notEqual">
      <formula>$M$18</formula>
    </cfRule>
  </conditionalFormatting>
  <printOptions horizontalCentered="1"/>
  <pageMargins left="0" right="0" top="0.43307086614173229" bottom="0.15748031496062992" header="0.31496062992125984" footer="0.11811023622047245"/>
  <pageSetup paperSize="9" scale="65" orientation="landscape" r:id="rId1"/>
  <headerFooter alignWithMargins="0">
    <oddFooter>&amp;C&amp;A&amp;RСтр. &amp;P от &amp;N</oddFooter>
  </headerFooter>
  <colBreaks count="1" manualBreakCount="1">
    <brk id="26" max="7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CC"/>
  </sheetPr>
  <dimension ref="A1:CY107"/>
  <sheetViews>
    <sheetView view="pageBreakPreview" topLeftCell="B28" zoomScaleNormal="85" zoomScaleSheetLayoutView="100" workbookViewId="0">
      <selection activeCell="H33" sqref="H33"/>
    </sheetView>
  </sheetViews>
  <sheetFormatPr defaultColWidth="9.140625" defaultRowHeight="12.75"/>
  <cols>
    <col min="1" max="1" width="4.5703125" style="157" customWidth="1"/>
    <col min="2" max="2" width="33.85546875" style="157" customWidth="1"/>
    <col min="3" max="3" width="10.85546875" style="156" customWidth="1"/>
    <col min="4" max="4" width="10.140625" style="156" bestFit="1" customWidth="1"/>
    <col min="5" max="5" width="10.140625" style="156" customWidth="1"/>
    <col min="6" max="6" width="9.85546875" style="156" customWidth="1"/>
    <col min="7" max="7" width="11" style="156" customWidth="1"/>
    <col min="8" max="8" width="10.85546875" style="156" customWidth="1"/>
    <col min="9" max="9" width="9.140625" style="156" customWidth="1"/>
    <col min="10" max="14" width="7.85546875" style="156" customWidth="1"/>
    <col min="15" max="15" width="9.7109375" style="156" customWidth="1"/>
    <col min="16" max="20" width="8" style="156" customWidth="1"/>
    <col min="21" max="21" width="8.85546875" style="156" customWidth="1"/>
    <col min="22" max="22" width="8" style="156" customWidth="1"/>
    <col min="23" max="26" width="5.7109375" style="156" customWidth="1"/>
    <col min="27" max="30" width="5.7109375" style="157" customWidth="1"/>
    <col min="31" max="16384" width="9.140625" style="157"/>
  </cols>
  <sheetData>
    <row r="1" spans="1:103" ht="13.5" customHeight="1">
      <c r="A1" s="2205"/>
      <c r="B1" s="2205"/>
      <c r="C1" s="2206"/>
      <c r="D1" s="2206"/>
      <c r="E1" s="2206"/>
      <c r="F1" s="2206"/>
      <c r="G1" s="2206"/>
      <c r="H1" s="2206"/>
      <c r="I1" s="2206"/>
      <c r="J1" s="2206"/>
      <c r="K1" s="2206"/>
      <c r="L1" s="2206"/>
      <c r="M1" s="2206"/>
      <c r="N1" s="2206"/>
      <c r="O1" s="2206"/>
      <c r="P1" s="2206"/>
      <c r="Q1" s="2206"/>
      <c r="R1" s="2206"/>
      <c r="S1" s="2207" t="s">
        <v>1058</v>
      </c>
      <c r="T1" s="2208"/>
      <c r="U1" s="2206"/>
    </row>
    <row r="2" spans="1:103" s="158" customFormat="1" ht="18.75" customHeight="1">
      <c r="A2" s="5307" t="s">
        <v>1415</v>
      </c>
      <c r="B2" s="5307"/>
      <c r="C2" s="5307"/>
      <c r="D2" s="5307"/>
      <c r="E2" s="5307"/>
      <c r="F2" s="5307"/>
      <c r="G2" s="5307"/>
      <c r="H2" s="5307"/>
      <c r="I2" s="5307"/>
      <c r="J2" s="5307"/>
      <c r="K2" s="5307"/>
      <c r="L2" s="5307"/>
      <c r="M2" s="5307"/>
      <c r="N2" s="5307"/>
      <c r="O2" s="5307"/>
      <c r="P2" s="5307"/>
      <c r="Q2" s="5307"/>
      <c r="R2" s="5307"/>
      <c r="S2" s="5307"/>
      <c r="T2" s="5307"/>
      <c r="U2" s="5307"/>
      <c r="V2" s="156"/>
      <c r="W2" s="156"/>
      <c r="X2" s="156"/>
      <c r="Y2" s="156"/>
      <c r="Z2" s="156"/>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row>
    <row r="3" spans="1:103" s="158" customFormat="1" ht="18.75">
      <c r="A3" s="5307" t="s">
        <v>1414</v>
      </c>
      <c r="B3" s="5307"/>
      <c r="C3" s="5307"/>
      <c r="D3" s="5307"/>
      <c r="E3" s="5307"/>
      <c r="F3" s="5307"/>
      <c r="G3" s="5307"/>
      <c r="H3" s="5307"/>
      <c r="I3" s="5307"/>
      <c r="J3" s="5307"/>
      <c r="K3" s="5307"/>
      <c r="L3" s="5307"/>
      <c r="M3" s="5307"/>
      <c r="N3" s="5307"/>
      <c r="O3" s="5307"/>
      <c r="P3" s="5307"/>
      <c r="Q3" s="5307"/>
      <c r="R3" s="5307"/>
      <c r="S3" s="5307"/>
      <c r="T3" s="5307"/>
      <c r="U3" s="5307"/>
      <c r="V3" s="156"/>
      <c r="W3" s="156"/>
      <c r="X3" s="156"/>
      <c r="Y3" s="156"/>
      <c r="Z3" s="156"/>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row>
    <row r="4" spans="1:103" s="158" customFormat="1" ht="17.25" customHeight="1">
      <c r="A4" s="5247" t="str">
        <f>'1. Обща информация'!A4</f>
        <v>на "Водоснабдяване и канализаиця"ООД, гр. Перник</v>
      </c>
      <c r="B4" s="5247"/>
      <c r="C4" s="5247"/>
      <c r="D4" s="5247"/>
      <c r="E4" s="5247"/>
      <c r="F4" s="5247"/>
      <c r="G4" s="5247"/>
      <c r="H4" s="5247"/>
      <c r="I4" s="5247"/>
      <c r="J4" s="5247"/>
      <c r="K4" s="5247"/>
      <c r="L4" s="5247"/>
      <c r="M4" s="5247"/>
      <c r="N4" s="5247"/>
      <c r="O4" s="5247"/>
      <c r="P4" s="5247"/>
      <c r="Q4" s="5247"/>
      <c r="R4" s="5247"/>
      <c r="S4" s="5247"/>
      <c r="T4" s="5247"/>
      <c r="U4" s="5247"/>
      <c r="V4" s="159"/>
      <c r="W4" s="159"/>
      <c r="X4" s="159"/>
      <c r="Y4" s="159"/>
      <c r="Z4" s="159"/>
    </row>
    <row r="5" spans="1:103" s="158" customFormat="1" ht="17.25" customHeight="1">
      <c r="A5" s="5308" t="str">
        <f>'Приложение '!A4</f>
        <v>ЕИК по БУЛСТАТ: 823073638</v>
      </c>
      <c r="B5" s="5308"/>
      <c r="C5" s="5308"/>
      <c r="D5" s="5308"/>
      <c r="E5" s="5308"/>
      <c r="F5" s="5308"/>
      <c r="G5" s="5308"/>
      <c r="H5" s="5308"/>
      <c r="I5" s="5308"/>
      <c r="J5" s="5308"/>
      <c r="K5" s="5308"/>
      <c r="L5" s="5308"/>
      <c r="M5" s="5308"/>
      <c r="N5" s="5308"/>
      <c r="O5" s="5308"/>
      <c r="P5" s="5308"/>
      <c r="Q5" s="5308"/>
      <c r="R5" s="5308"/>
      <c r="S5" s="5308"/>
      <c r="T5" s="5308"/>
      <c r="U5" s="5308"/>
      <c r="V5" s="159"/>
      <c r="W5" s="159"/>
      <c r="X5" s="159"/>
      <c r="Y5" s="159"/>
      <c r="Z5" s="159"/>
    </row>
    <row r="6" spans="1:103" s="158" customFormat="1" ht="6" customHeight="1" thickBot="1">
      <c r="A6" s="160"/>
      <c r="B6" s="160"/>
      <c r="C6" s="161"/>
      <c r="D6" s="161"/>
      <c r="E6" s="161"/>
      <c r="F6" s="161"/>
      <c r="G6" s="161"/>
      <c r="H6" s="161"/>
      <c r="I6" s="161"/>
      <c r="J6" s="161"/>
      <c r="K6" s="161"/>
      <c r="L6" s="161"/>
      <c r="M6" s="161"/>
      <c r="N6" s="2206"/>
      <c r="O6" s="2206"/>
      <c r="P6" s="2206"/>
      <c r="Q6" s="2206"/>
      <c r="R6" s="2206"/>
      <c r="S6" s="5301"/>
      <c r="T6" s="5301"/>
      <c r="U6" s="2209"/>
      <c r="V6" s="156"/>
      <c r="W6" s="156"/>
      <c r="X6" s="156"/>
      <c r="Y6" s="156"/>
      <c r="Z6" s="156"/>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c r="CS6" s="157"/>
      <c r="CT6" s="157"/>
      <c r="CU6" s="157"/>
      <c r="CV6" s="157"/>
      <c r="CW6" s="157"/>
      <c r="CX6" s="157"/>
      <c r="CY6" s="157"/>
    </row>
    <row r="7" spans="1:103" s="158" customFormat="1" ht="23.25" customHeight="1">
      <c r="A7" s="5302" t="s">
        <v>1</v>
      </c>
      <c r="B7" s="5299" t="s">
        <v>1910</v>
      </c>
      <c r="C7" s="5299" t="s">
        <v>212</v>
      </c>
      <c r="D7" s="5299"/>
      <c r="E7" s="5299"/>
      <c r="F7" s="5299"/>
      <c r="G7" s="5299"/>
      <c r="H7" s="5299"/>
      <c r="I7" s="5299"/>
      <c r="J7" s="5299"/>
      <c r="K7" s="5299"/>
      <c r="L7" s="5299"/>
      <c r="M7" s="5299"/>
      <c r="N7" s="5299"/>
      <c r="O7" s="5299"/>
      <c r="P7" s="5299"/>
      <c r="Q7" s="5299"/>
      <c r="R7" s="5299"/>
      <c r="S7" s="5299"/>
      <c r="T7" s="5299"/>
      <c r="U7" s="5300"/>
      <c r="V7" s="156"/>
      <c r="W7" s="156"/>
      <c r="X7" s="156"/>
      <c r="Y7" s="156"/>
      <c r="Z7" s="156"/>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row>
    <row r="8" spans="1:103" s="158" customFormat="1" ht="23.25" customHeight="1">
      <c r="A8" s="5303"/>
      <c r="B8" s="5305"/>
      <c r="C8" s="5296" t="s">
        <v>353</v>
      </c>
      <c r="D8" s="5296"/>
      <c r="E8" s="5296"/>
      <c r="F8" s="5296"/>
      <c r="G8" s="5296"/>
      <c r="H8" s="5296"/>
      <c r="I8" s="5296" t="s">
        <v>919</v>
      </c>
      <c r="J8" s="5296"/>
      <c r="K8" s="5296"/>
      <c r="L8" s="5296"/>
      <c r="M8" s="5296"/>
      <c r="N8" s="5296"/>
      <c r="O8" s="5296" t="s">
        <v>1929</v>
      </c>
      <c r="P8" s="5296"/>
      <c r="Q8" s="5296"/>
      <c r="R8" s="5296"/>
      <c r="S8" s="5296"/>
      <c r="T8" s="5296"/>
      <c r="U8" s="5297" t="s">
        <v>1411</v>
      </c>
      <c r="V8" s="156"/>
      <c r="W8" s="156"/>
      <c r="X8" s="156"/>
      <c r="Y8" s="156"/>
      <c r="Z8" s="156"/>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c r="CK8" s="157"/>
      <c r="CL8" s="157"/>
      <c r="CM8" s="157"/>
      <c r="CN8" s="157"/>
      <c r="CO8" s="157"/>
      <c r="CP8" s="157"/>
      <c r="CQ8" s="157"/>
      <c r="CR8" s="157"/>
      <c r="CS8" s="157"/>
      <c r="CT8" s="157"/>
      <c r="CU8" s="157"/>
      <c r="CV8" s="157"/>
      <c r="CW8" s="157"/>
      <c r="CX8" s="157"/>
      <c r="CY8" s="157"/>
    </row>
    <row r="9" spans="1:103" s="158" customFormat="1" ht="23.25" customHeight="1" thickBot="1">
      <c r="A9" s="5304"/>
      <c r="B9" s="5306"/>
      <c r="C9" s="168" t="str">
        <f>'Приложение '!C12</f>
        <v>2020 г.</v>
      </c>
      <c r="D9" s="168" t="str">
        <f>'Приложение '!$C14</f>
        <v>2022 г.</v>
      </c>
      <c r="E9" s="168" t="str">
        <f>'Приложение '!$C15</f>
        <v>2023 г.</v>
      </c>
      <c r="F9" s="168" t="str">
        <f>'Приложение '!$C16</f>
        <v>2024 г.</v>
      </c>
      <c r="G9" s="168" t="str">
        <f>'Приложение '!$C17</f>
        <v>2025 г.</v>
      </c>
      <c r="H9" s="168" t="str">
        <f>'Приложение '!$C18</f>
        <v>2026 г.</v>
      </c>
      <c r="I9" s="168" t="str">
        <f t="shared" ref="I9:T9" si="0">C9</f>
        <v>2020 г.</v>
      </c>
      <c r="J9" s="168" t="str">
        <f t="shared" si="0"/>
        <v>2022 г.</v>
      </c>
      <c r="K9" s="168" t="str">
        <f t="shared" si="0"/>
        <v>2023 г.</v>
      </c>
      <c r="L9" s="168" t="str">
        <f t="shared" si="0"/>
        <v>2024 г.</v>
      </c>
      <c r="M9" s="168" t="str">
        <f t="shared" si="0"/>
        <v>2025 г.</v>
      </c>
      <c r="N9" s="168" t="str">
        <f t="shared" si="0"/>
        <v>2026 г.</v>
      </c>
      <c r="O9" s="168" t="str">
        <f t="shared" si="0"/>
        <v>2020 г.</v>
      </c>
      <c r="P9" s="168" t="str">
        <f t="shared" si="0"/>
        <v>2022 г.</v>
      </c>
      <c r="Q9" s="168" t="str">
        <f t="shared" si="0"/>
        <v>2023 г.</v>
      </c>
      <c r="R9" s="168" t="str">
        <f t="shared" si="0"/>
        <v>2024 г.</v>
      </c>
      <c r="S9" s="168" t="str">
        <f t="shared" si="0"/>
        <v>2025 г.</v>
      </c>
      <c r="T9" s="168" t="str">
        <f t="shared" si="0"/>
        <v>2026 г.</v>
      </c>
      <c r="U9" s="5298"/>
      <c r="V9" s="156"/>
      <c r="W9" s="156"/>
      <c r="X9" s="156"/>
      <c r="Y9" s="156"/>
      <c r="Z9" s="156"/>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row>
    <row r="10" spans="1:103" s="20" customFormat="1" ht="22.5" customHeight="1">
      <c r="A10" s="4558">
        <v>1</v>
      </c>
      <c r="B10" s="4559" t="s">
        <v>1909</v>
      </c>
      <c r="C10" s="4856">
        <v>7782227</v>
      </c>
      <c r="D10" s="4565">
        <v>6550075</v>
      </c>
      <c r="E10" s="4943">
        <v>4600123</v>
      </c>
      <c r="F10" s="4943">
        <v>3800012</v>
      </c>
      <c r="G10" s="4943">
        <v>3321020</v>
      </c>
      <c r="H10" s="4943">
        <v>3010132</v>
      </c>
      <c r="I10" s="4564">
        <f>1406.588+1502.05</f>
        <v>2908.6379999999999</v>
      </c>
      <c r="J10" s="4566">
        <f t="shared" ref="J10:N11" si="1">IF($I10=0,+D10*$U10/1000000,+D10*$I10/$C10)</f>
        <v>2448.1163358316326</v>
      </c>
      <c r="K10" s="4566">
        <f>IF($I10=0,+E10*$U10/1000000,+E10*$I10/$C10)</f>
        <v>1719.3140938286688</v>
      </c>
      <c r="L10" s="4566">
        <f>IF($I10=0,+F10*$U10/1000000,+F10*$I10/$C10)</f>
        <v>1420.2694554728357</v>
      </c>
      <c r="M10" s="4566">
        <f>IF($I10=0,+G10*$U10/1000000,+G10*$I10/$C10)</f>
        <v>1241.2443084428146</v>
      </c>
      <c r="N10" s="4566">
        <f>IF($I10=0,+H10*$U10/1000000,+H10*$I10/$C10)</f>
        <v>1125.0486936729037</v>
      </c>
      <c r="O10" s="4561">
        <f t="shared" ref="O10:P10" si="2">ROUND((IFERROR((I10*1000)/(C10/1000),0)),3)</f>
        <v>373.75400000000002</v>
      </c>
      <c r="P10" s="4561">
        <f t="shared" si="2"/>
        <v>373.75400000000002</v>
      </c>
      <c r="Q10" s="4561">
        <f>ROUND((IFERROR((K10*1000)/(E10/1000),0)),3)</f>
        <v>373.75400000000002</v>
      </c>
      <c r="R10" s="4561">
        <f>ROUND((IFERROR((L10*1000)/(F10/1000),0)),3)</f>
        <v>373.75400000000002</v>
      </c>
      <c r="S10" s="4561">
        <f>ROUND((IFERROR((M10*1000)/(G10/1000),0)),3)</f>
        <v>373.75400000000002</v>
      </c>
      <c r="T10" s="4561">
        <f>ROUND((IFERROR((N10*1000)/(H10/1000),0)),3)</f>
        <v>373.75400000000002</v>
      </c>
      <c r="U10" s="4567">
        <v>373.75400000000002</v>
      </c>
      <c r="V10" s="65"/>
      <c r="W10" s="65"/>
      <c r="X10" s="65"/>
      <c r="Y10" s="65"/>
      <c r="Z10" s="65"/>
    </row>
    <row r="11" spans="1:103" s="20" customFormat="1" ht="24">
      <c r="A11" s="3762">
        <v>2</v>
      </c>
      <c r="B11" s="107" t="s">
        <v>1911</v>
      </c>
      <c r="C11" s="674"/>
      <c r="D11" s="4938"/>
      <c r="E11" s="4946"/>
      <c r="F11" s="4946"/>
      <c r="G11" s="4946"/>
      <c r="H11" s="4946"/>
      <c r="I11" s="674"/>
      <c r="J11" s="2210">
        <f t="shared" si="1"/>
        <v>0</v>
      </c>
      <c r="K11" s="2210">
        <f t="shared" si="1"/>
        <v>0</v>
      </c>
      <c r="L11" s="2210">
        <f t="shared" si="1"/>
        <v>0</v>
      </c>
      <c r="M11" s="2210">
        <f t="shared" si="1"/>
        <v>0</v>
      </c>
      <c r="N11" s="2210">
        <f t="shared" si="1"/>
        <v>0</v>
      </c>
      <c r="O11" s="329">
        <f t="shared" ref="O11:T12" si="3">ROUND((IFERROR((I11*1000)/(C11/1000),0)),3)</f>
        <v>0</v>
      </c>
      <c r="P11" s="329">
        <f>ROUND((IFERROR((J11*1000)/(D11/1000),0)),3)</f>
        <v>0</v>
      </c>
      <c r="Q11" s="329">
        <f>ROUND((IFERROR((K11*1000)/(#REF!/1000),0)),3)</f>
        <v>0</v>
      </c>
      <c r="R11" s="329">
        <f>ROUND((IFERROR((L11*1000)/(#REF!/1000),0)),3)</f>
        <v>0</v>
      </c>
      <c r="S11" s="329">
        <f>ROUND((IFERROR((M11*1000)/(#REF!/1000),0)),3)</f>
        <v>0</v>
      </c>
      <c r="T11" s="329">
        <f>ROUND((IFERROR((N11*1000)/(#REF!/1000),0)),3)</f>
        <v>0</v>
      </c>
      <c r="U11" s="659"/>
      <c r="V11" s="66"/>
      <c r="W11" s="65"/>
      <c r="X11" s="65"/>
      <c r="Y11" s="65"/>
      <c r="Z11" s="66"/>
    </row>
    <row r="12" spans="1:103" s="20" customFormat="1" ht="24">
      <c r="A12" s="3762">
        <v>3</v>
      </c>
      <c r="B12" s="107" t="s">
        <v>1912</v>
      </c>
      <c r="C12" s="4856"/>
      <c r="D12" s="674"/>
      <c r="E12" s="674"/>
      <c r="F12" s="674"/>
      <c r="G12" s="674"/>
      <c r="H12" s="674"/>
      <c r="I12" s="674"/>
      <c r="J12" s="2210">
        <f t="shared" ref="J12:N12" si="4">IF($I12=0,+D12*$U12/1000000,+D12*$I12/$C12)</f>
        <v>0</v>
      </c>
      <c r="K12" s="2210">
        <f t="shared" si="4"/>
        <v>0</v>
      </c>
      <c r="L12" s="2210">
        <f t="shared" si="4"/>
        <v>0</v>
      </c>
      <c r="M12" s="2210">
        <f t="shared" si="4"/>
        <v>0</v>
      </c>
      <c r="N12" s="2210">
        <f t="shared" si="4"/>
        <v>0</v>
      </c>
      <c r="O12" s="329">
        <f t="shared" si="3"/>
        <v>0</v>
      </c>
      <c r="P12" s="329">
        <f t="shared" si="3"/>
        <v>0</v>
      </c>
      <c r="Q12" s="329">
        <f t="shared" si="3"/>
        <v>0</v>
      </c>
      <c r="R12" s="329">
        <f t="shared" si="3"/>
        <v>0</v>
      </c>
      <c r="S12" s="329">
        <f t="shared" si="3"/>
        <v>0</v>
      </c>
      <c r="T12" s="329">
        <f t="shared" si="3"/>
        <v>0</v>
      </c>
      <c r="U12" s="659"/>
      <c r="V12" s="66"/>
      <c r="W12" s="66"/>
      <c r="X12" s="66"/>
      <c r="Y12" s="66"/>
      <c r="Z12" s="66"/>
    </row>
    <row r="13" spans="1:103" s="20" customFormat="1" ht="24" customHeight="1">
      <c r="A13" s="3762">
        <v>4</v>
      </c>
      <c r="B13" s="699" t="s">
        <v>1913</v>
      </c>
      <c r="C13" s="674"/>
      <c r="D13" s="674"/>
      <c r="E13" s="674"/>
      <c r="F13" s="674"/>
      <c r="G13" s="674"/>
      <c r="H13" s="674"/>
      <c r="I13" s="2210">
        <f>(C13*O13)/1000000</f>
        <v>0</v>
      </c>
      <c r="J13" s="2210">
        <f>(D13*P13)/1000000</f>
        <v>0</v>
      </c>
      <c r="K13" s="2210">
        <f t="shared" ref="K13:N13" si="5">(E13*Q13)/1000000</f>
        <v>0</v>
      </c>
      <c r="L13" s="2210">
        <f t="shared" si="5"/>
        <v>0</v>
      </c>
      <c r="M13" s="2210">
        <f t="shared" si="5"/>
        <v>0</v>
      </c>
      <c r="N13" s="2210">
        <f t="shared" si="5"/>
        <v>0</v>
      </c>
      <c r="O13" s="329">
        <f>ROUND($C$86,3)</f>
        <v>0</v>
      </c>
      <c r="P13" s="329">
        <f t="shared" ref="P13:T13" si="6">ROUND($C$86,3)</f>
        <v>0</v>
      </c>
      <c r="Q13" s="329">
        <f t="shared" si="6"/>
        <v>0</v>
      </c>
      <c r="R13" s="329">
        <f t="shared" si="6"/>
        <v>0</v>
      </c>
      <c r="S13" s="329">
        <f t="shared" si="6"/>
        <v>0</v>
      </c>
      <c r="T13" s="329">
        <f t="shared" si="6"/>
        <v>0</v>
      </c>
      <c r="U13" s="2298"/>
      <c r="V13" s="66"/>
      <c r="W13" s="66"/>
      <c r="X13" s="66"/>
      <c r="Y13" s="66"/>
      <c r="Z13" s="66"/>
    </row>
    <row r="14" spans="1:103" s="20" customFormat="1" ht="26.25" customHeight="1">
      <c r="A14" s="4528">
        <v>5</v>
      </c>
      <c r="B14" s="338" t="s">
        <v>1914</v>
      </c>
      <c r="C14" s="676">
        <f t="shared" ref="C14:I14" si="7">C10+C11+C12+C13</f>
        <v>7782227</v>
      </c>
      <c r="D14" s="676">
        <f t="shared" si="7"/>
        <v>6550075</v>
      </c>
      <c r="E14" s="676">
        <f t="shared" si="7"/>
        <v>4600123</v>
      </c>
      <c r="F14" s="676">
        <f t="shared" si="7"/>
        <v>3800012</v>
      </c>
      <c r="G14" s="676">
        <f t="shared" si="7"/>
        <v>3321020</v>
      </c>
      <c r="H14" s="676">
        <f t="shared" si="7"/>
        <v>3010132</v>
      </c>
      <c r="I14" s="676">
        <f t="shared" si="7"/>
        <v>2908.6379999999999</v>
      </c>
      <c r="J14" s="676">
        <f t="shared" ref="J14:N14" si="8">J10+J11+J12+J13</f>
        <v>2448.1163358316326</v>
      </c>
      <c r="K14" s="676">
        <f t="shared" si="8"/>
        <v>1719.3140938286688</v>
      </c>
      <c r="L14" s="676">
        <f t="shared" si="8"/>
        <v>1420.2694554728357</v>
      </c>
      <c r="M14" s="676">
        <f t="shared" si="8"/>
        <v>1241.2443084428146</v>
      </c>
      <c r="N14" s="676">
        <f t="shared" si="8"/>
        <v>1125.0486936729037</v>
      </c>
      <c r="O14" s="330">
        <f t="shared" ref="O14:T14" si="9">IFERROR((I14*1000)/(C14/1000),0)</f>
        <v>373.75393958567389</v>
      </c>
      <c r="P14" s="330">
        <f t="shared" si="9"/>
        <v>373.75393958567383</v>
      </c>
      <c r="Q14" s="330">
        <f t="shared" si="9"/>
        <v>373.75393958567389</v>
      </c>
      <c r="R14" s="330">
        <f t="shared" si="9"/>
        <v>373.75393958567389</v>
      </c>
      <c r="S14" s="330">
        <f t="shared" si="9"/>
        <v>373.75393958567383</v>
      </c>
      <c r="T14" s="330">
        <f t="shared" si="9"/>
        <v>373.75393958567389</v>
      </c>
      <c r="U14" s="2298"/>
      <c r="V14" s="66"/>
      <c r="W14" s="66"/>
      <c r="X14" s="66"/>
      <c r="Y14" s="66"/>
      <c r="Z14" s="66"/>
    </row>
    <row r="15" spans="1:103" ht="22.5" customHeight="1">
      <c r="A15" s="4529">
        <v>6</v>
      </c>
      <c r="B15" s="107" t="s">
        <v>355</v>
      </c>
      <c r="C15" s="677"/>
      <c r="D15" s="678">
        <f>D14-C14</f>
        <v>-1232152</v>
      </c>
      <c r="E15" s="678">
        <f>E14-D14</f>
        <v>-1949952</v>
      </c>
      <c r="F15" s="678">
        <f t="shared" ref="F15:H15" si="10">F14-E14</f>
        <v>-800111</v>
      </c>
      <c r="G15" s="678">
        <f t="shared" si="10"/>
        <v>-478992</v>
      </c>
      <c r="H15" s="678">
        <f t="shared" si="10"/>
        <v>-310888</v>
      </c>
      <c r="I15" s="677"/>
      <c r="J15" s="678">
        <f>J14-I14</f>
        <v>-460.52166416836735</v>
      </c>
      <c r="K15" s="678">
        <f t="shared" ref="K15:N15" si="11">K14-J14</f>
        <v>-728.80224200296379</v>
      </c>
      <c r="L15" s="678">
        <f t="shared" si="11"/>
        <v>-299.04463835583306</v>
      </c>
      <c r="M15" s="678">
        <f t="shared" si="11"/>
        <v>-179.02514703002112</v>
      </c>
      <c r="N15" s="678">
        <f t="shared" si="11"/>
        <v>-116.19561476991089</v>
      </c>
      <c r="O15" s="331"/>
      <c r="P15" s="332">
        <f>P14-O14</f>
        <v>0</v>
      </c>
      <c r="Q15" s="332">
        <f t="shared" ref="Q15:T15" si="12">Q14-P14</f>
        <v>0</v>
      </c>
      <c r="R15" s="332">
        <f t="shared" si="12"/>
        <v>0</v>
      </c>
      <c r="S15" s="332">
        <f t="shared" si="12"/>
        <v>0</v>
      </c>
      <c r="T15" s="332">
        <f t="shared" si="12"/>
        <v>0</v>
      </c>
      <c r="U15" s="4530"/>
    </row>
    <row r="16" spans="1:103" ht="22.5" customHeight="1">
      <c r="A16" s="4531">
        <v>7</v>
      </c>
      <c r="B16" s="336" t="s">
        <v>1846</v>
      </c>
      <c r="C16" s="333">
        <f>IFERROR(C14/'4. Отчет и прогн. потребление'!D9,0)</f>
        <v>0.28993947944374487</v>
      </c>
      <c r="D16" s="333">
        <f>IFERROR(D14/'4. Отчет и прогн. потребление'!E9,0)</f>
        <v>0.29015681998636794</v>
      </c>
      <c r="E16" s="333">
        <f>IFERROR(E14/'4. Отчет и прогн. потребление'!F9,0)</f>
        <v>0.28589144461261679</v>
      </c>
      <c r="F16" s="333">
        <f>IFERROR(F14/'4. Отчет и прогн. потребление'!G9,0)</f>
        <v>0.28470589119626205</v>
      </c>
      <c r="G16" s="333">
        <f>IFERROR(G14/'4. Отчет и прогн. потребление'!H9,0)</f>
        <v>0.28351237774547555</v>
      </c>
      <c r="H16" s="333">
        <f>IFERROR(H14/'4. Отчет и прогн. потребление'!I9,0)</f>
        <v>0.28379768120668308</v>
      </c>
      <c r="I16" s="331"/>
      <c r="J16" s="331"/>
      <c r="K16" s="331"/>
      <c r="L16" s="331"/>
      <c r="M16" s="331"/>
      <c r="N16" s="331"/>
      <c r="O16" s="331"/>
      <c r="P16" s="331"/>
      <c r="Q16" s="331"/>
      <c r="R16" s="331"/>
      <c r="S16" s="331"/>
      <c r="T16" s="331"/>
      <c r="U16" s="4530"/>
    </row>
    <row r="17" spans="1:26" ht="26.25" thickBot="1">
      <c r="A17" s="4532">
        <v>8</v>
      </c>
      <c r="B17" s="4533" t="s">
        <v>1847</v>
      </c>
      <c r="C17" s="4534">
        <f>IFERROR(C14/'4. Отчет и прогн. потребление'!D20,0)</f>
        <v>1.4956711941015923</v>
      </c>
      <c r="D17" s="4534">
        <f>IFERROR(D14/'4. Отчет и прогн. потребление'!E20,0)</f>
        <v>1.1649393550779865</v>
      </c>
      <c r="E17" s="4534">
        <f>IFERROR(E14/'4. Отчет и прогн. потребление'!F20,0)</f>
        <v>0.82158012415777892</v>
      </c>
      <c r="F17" s="4534">
        <f>IFERROR(F14/'4. Отчет и прогн. потребление'!G20,0)</f>
        <v>0.68634585188258268</v>
      </c>
      <c r="G17" s="4534">
        <f>IFERROR(G14/'4. Отчет и прогн. потребление'!H20,0)</f>
        <v>0.60594214637700805</v>
      </c>
      <c r="H17" s="4534">
        <f>IFERROR(H14/'4. Отчет и прогн. потребление'!I20,0)</f>
        <v>0.55295803197848337</v>
      </c>
      <c r="I17" s="459"/>
      <c r="J17" s="459"/>
      <c r="K17" s="459"/>
      <c r="L17" s="459"/>
      <c r="M17" s="459"/>
      <c r="N17" s="459"/>
      <c r="O17" s="459"/>
      <c r="P17" s="459"/>
      <c r="Q17" s="459"/>
      <c r="R17" s="459"/>
      <c r="S17" s="459"/>
      <c r="T17" s="459"/>
      <c r="U17" s="460"/>
    </row>
    <row r="18" spans="1:26" s="158" customFormat="1" ht="18.75" customHeight="1" thickBot="1">
      <c r="A18" s="337"/>
      <c r="B18" s="72"/>
      <c r="C18" s="334"/>
      <c r="D18" s="335"/>
      <c r="E18" s="335"/>
      <c r="F18" s="335"/>
      <c r="G18" s="335"/>
      <c r="H18" s="335"/>
      <c r="I18" s="334"/>
      <c r="J18" s="335"/>
      <c r="K18" s="335"/>
      <c r="L18" s="335"/>
      <c r="M18" s="335"/>
      <c r="N18" s="335"/>
      <c r="O18" s="334"/>
      <c r="P18" s="335"/>
      <c r="Q18" s="335"/>
      <c r="R18" s="335"/>
      <c r="S18" s="335"/>
      <c r="T18" s="335"/>
      <c r="U18" s="335"/>
      <c r="V18" s="159"/>
      <c r="W18" s="159"/>
      <c r="X18" s="159"/>
      <c r="Y18" s="159"/>
      <c r="Z18" s="159"/>
    </row>
    <row r="19" spans="1:26" ht="24" customHeight="1">
      <c r="A19" s="5302" t="s">
        <v>1</v>
      </c>
      <c r="B19" s="5299" t="s">
        <v>1910</v>
      </c>
      <c r="C19" s="5299" t="s">
        <v>213</v>
      </c>
      <c r="D19" s="5299"/>
      <c r="E19" s="5299"/>
      <c r="F19" s="5299"/>
      <c r="G19" s="5299"/>
      <c r="H19" s="5299"/>
      <c r="I19" s="5299"/>
      <c r="J19" s="5299"/>
      <c r="K19" s="5299"/>
      <c r="L19" s="5299"/>
      <c r="M19" s="5299"/>
      <c r="N19" s="5299"/>
      <c r="O19" s="5299"/>
      <c r="P19" s="5299"/>
      <c r="Q19" s="5299"/>
      <c r="R19" s="5299"/>
      <c r="S19" s="5299"/>
      <c r="T19" s="5299"/>
      <c r="U19" s="5300"/>
    </row>
    <row r="20" spans="1:26" ht="24" customHeight="1">
      <c r="A20" s="5303"/>
      <c r="B20" s="5305"/>
      <c r="C20" s="5296" t="s">
        <v>353</v>
      </c>
      <c r="D20" s="5296"/>
      <c r="E20" s="5296"/>
      <c r="F20" s="5296"/>
      <c r="G20" s="5296"/>
      <c r="H20" s="5296"/>
      <c r="I20" s="5296" t="s">
        <v>919</v>
      </c>
      <c r="J20" s="5296"/>
      <c r="K20" s="5296"/>
      <c r="L20" s="5296"/>
      <c r="M20" s="5296"/>
      <c r="N20" s="5296"/>
      <c r="O20" s="5296" t="s">
        <v>1929</v>
      </c>
      <c r="P20" s="5296"/>
      <c r="Q20" s="5296"/>
      <c r="R20" s="5296"/>
      <c r="S20" s="5296"/>
      <c r="T20" s="5296"/>
      <c r="U20" s="5297" t="s">
        <v>1260</v>
      </c>
    </row>
    <row r="21" spans="1:26" ht="24" customHeight="1" thickBot="1">
      <c r="A21" s="5304"/>
      <c r="B21" s="5306"/>
      <c r="C21" s="168" t="str">
        <f>'Приложение '!C12</f>
        <v>2020 г.</v>
      </c>
      <c r="D21" s="168" t="str">
        <f>'Приложение '!$C14</f>
        <v>2022 г.</v>
      </c>
      <c r="E21" s="168" t="str">
        <f>'Приложение '!$C15</f>
        <v>2023 г.</v>
      </c>
      <c r="F21" s="168" t="str">
        <f>'Приложение '!$C16</f>
        <v>2024 г.</v>
      </c>
      <c r="G21" s="168" t="str">
        <f>'Приложение '!$C17</f>
        <v>2025 г.</v>
      </c>
      <c r="H21" s="168" t="str">
        <f>'Приложение '!$C18</f>
        <v>2026 г.</v>
      </c>
      <c r="I21" s="168" t="str">
        <f t="shared" ref="I21:T21" si="13">C21</f>
        <v>2020 г.</v>
      </c>
      <c r="J21" s="168" t="str">
        <f t="shared" si="13"/>
        <v>2022 г.</v>
      </c>
      <c r="K21" s="168" t="str">
        <f t="shared" si="13"/>
        <v>2023 г.</v>
      </c>
      <c r="L21" s="168" t="str">
        <f t="shared" si="13"/>
        <v>2024 г.</v>
      </c>
      <c r="M21" s="168" t="str">
        <f t="shared" si="13"/>
        <v>2025 г.</v>
      </c>
      <c r="N21" s="168" t="str">
        <f t="shared" si="13"/>
        <v>2026 г.</v>
      </c>
      <c r="O21" s="168" t="str">
        <f t="shared" si="13"/>
        <v>2020 г.</v>
      </c>
      <c r="P21" s="168" t="str">
        <f t="shared" si="13"/>
        <v>2022 г.</v>
      </c>
      <c r="Q21" s="168" t="str">
        <f t="shared" si="13"/>
        <v>2023 г.</v>
      </c>
      <c r="R21" s="168" t="str">
        <f t="shared" si="13"/>
        <v>2024 г.</v>
      </c>
      <c r="S21" s="168" t="str">
        <f t="shared" si="13"/>
        <v>2025 г.</v>
      </c>
      <c r="T21" s="168" t="str">
        <f t="shared" si="13"/>
        <v>2026 г.</v>
      </c>
      <c r="U21" s="5298"/>
    </row>
    <row r="22" spans="1:26" ht="23.25" customHeight="1">
      <c r="A22" s="4558">
        <v>1</v>
      </c>
      <c r="B22" s="4559" t="s">
        <v>1909</v>
      </c>
      <c r="C22" s="4564"/>
      <c r="D22" s="4565"/>
      <c r="E22" s="4565"/>
      <c r="F22" s="4565"/>
      <c r="G22" s="4565"/>
      <c r="H22" s="4565"/>
      <c r="I22" s="4564"/>
      <c r="J22" s="4566">
        <f t="shared" ref="J22:N24" si="14">IF($I22=0,+D22*$U22/1000000,+D22*$I22/$C22)</f>
        <v>0</v>
      </c>
      <c r="K22" s="4566">
        <f t="shared" si="14"/>
        <v>0</v>
      </c>
      <c r="L22" s="4566">
        <f t="shared" si="14"/>
        <v>0</v>
      </c>
      <c r="M22" s="4566">
        <f t="shared" si="14"/>
        <v>0</v>
      </c>
      <c r="N22" s="4566">
        <f t="shared" si="14"/>
        <v>0</v>
      </c>
      <c r="O22" s="4561">
        <f t="shared" ref="O22:T24" si="15">ROUND((IFERROR((I22*1000)/(C22/1000),0)),3)</f>
        <v>0</v>
      </c>
      <c r="P22" s="4561">
        <f t="shared" si="15"/>
        <v>0</v>
      </c>
      <c r="Q22" s="4561">
        <f t="shared" si="15"/>
        <v>0</v>
      </c>
      <c r="R22" s="4561">
        <f t="shared" si="15"/>
        <v>0</v>
      </c>
      <c r="S22" s="4561">
        <f t="shared" si="15"/>
        <v>0</v>
      </c>
      <c r="T22" s="4561">
        <f t="shared" si="15"/>
        <v>0</v>
      </c>
      <c r="U22" s="662"/>
    </row>
    <row r="23" spans="1:26" ht="24">
      <c r="A23" s="3762">
        <v>2</v>
      </c>
      <c r="B23" s="107" t="s">
        <v>1911</v>
      </c>
      <c r="C23" s="674"/>
      <c r="D23" s="675"/>
      <c r="E23" s="674"/>
      <c r="F23" s="675">
        <v>650161</v>
      </c>
      <c r="G23" s="675">
        <v>650161</v>
      </c>
      <c r="H23" s="674">
        <v>650161</v>
      </c>
      <c r="I23" s="674"/>
      <c r="J23" s="2212">
        <f t="shared" si="14"/>
        <v>0</v>
      </c>
      <c r="K23" s="2212">
        <f t="shared" si="14"/>
        <v>0</v>
      </c>
      <c r="L23" s="2212">
        <f t="shared" si="14"/>
        <v>226.306740558</v>
      </c>
      <c r="M23" s="2212">
        <f t="shared" si="14"/>
        <v>226.306740558</v>
      </c>
      <c r="N23" s="2212">
        <f t="shared" si="14"/>
        <v>226.306740558</v>
      </c>
      <c r="O23" s="329">
        <f t="shared" si="15"/>
        <v>0</v>
      </c>
      <c r="P23" s="329">
        <f t="shared" si="15"/>
        <v>0</v>
      </c>
      <c r="Q23" s="329">
        <f t="shared" si="15"/>
        <v>0</v>
      </c>
      <c r="R23" s="329">
        <f t="shared" si="15"/>
        <v>348.07799999999997</v>
      </c>
      <c r="S23" s="329">
        <f t="shared" si="15"/>
        <v>348.07799999999997</v>
      </c>
      <c r="T23" s="329">
        <f t="shared" si="15"/>
        <v>348.07799999999997</v>
      </c>
      <c r="U23" s="4535">
        <v>348.07799999999997</v>
      </c>
    </row>
    <row r="24" spans="1:26" ht="24">
      <c r="A24" s="3762">
        <v>3</v>
      </c>
      <c r="B24" s="107" t="s">
        <v>1912</v>
      </c>
      <c r="C24" s="674"/>
      <c r="D24" s="675"/>
      <c r="E24" s="674"/>
      <c r="F24" s="675"/>
      <c r="G24" s="675"/>
      <c r="H24" s="674"/>
      <c r="I24" s="674"/>
      <c r="J24" s="2210">
        <f t="shared" si="14"/>
        <v>0</v>
      </c>
      <c r="K24" s="2212">
        <f t="shared" si="14"/>
        <v>0</v>
      </c>
      <c r="L24" s="2210">
        <f t="shared" si="14"/>
        <v>0</v>
      </c>
      <c r="M24" s="2210">
        <f t="shared" si="14"/>
        <v>0</v>
      </c>
      <c r="N24" s="2212">
        <f t="shared" si="14"/>
        <v>0</v>
      </c>
      <c r="O24" s="329">
        <f t="shared" si="15"/>
        <v>0</v>
      </c>
      <c r="P24" s="329">
        <f t="shared" si="15"/>
        <v>0</v>
      </c>
      <c r="Q24" s="329">
        <f t="shared" si="15"/>
        <v>0</v>
      </c>
      <c r="R24" s="329">
        <f t="shared" si="15"/>
        <v>0</v>
      </c>
      <c r="S24" s="329">
        <f t="shared" si="15"/>
        <v>0</v>
      </c>
      <c r="T24" s="329">
        <f t="shared" si="15"/>
        <v>0</v>
      </c>
      <c r="U24" s="4536"/>
    </row>
    <row r="25" spans="1:26" ht="24" customHeight="1">
      <c r="A25" s="3762">
        <v>4</v>
      </c>
      <c r="B25" s="699" t="s">
        <v>1913</v>
      </c>
      <c r="C25" s="674"/>
      <c r="D25" s="675"/>
      <c r="E25" s="674"/>
      <c r="F25" s="675"/>
      <c r="G25" s="675"/>
      <c r="H25" s="674"/>
      <c r="I25" s="2210">
        <f>(C25*O25)/1000000</f>
        <v>0</v>
      </c>
      <c r="J25" s="2210">
        <f>(D25*P25)/1000000</f>
        <v>0</v>
      </c>
      <c r="K25" s="2212">
        <f t="shared" ref="K25" si="16">(E25*Q25)/1000000</f>
        <v>0</v>
      </c>
      <c r="L25" s="2210">
        <f t="shared" ref="L25" si="17">(F25*R25)/1000000</f>
        <v>0</v>
      </c>
      <c r="M25" s="2210">
        <f t="shared" ref="M25" si="18">(G25*S25)/1000000</f>
        <v>0</v>
      </c>
      <c r="N25" s="2212">
        <f t="shared" ref="N25" si="19">(H25*T25)/1000000</f>
        <v>0</v>
      </c>
      <c r="O25" s="329">
        <f>ROUND($E$86,3)</f>
        <v>0</v>
      </c>
      <c r="P25" s="329">
        <f t="shared" ref="P25:T25" si="20">ROUND($E$86,3)</f>
        <v>0</v>
      </c>
      <c r="Q25" s="329">
        <f t="shared" si="20"/>
        <v>0</v>
      </c>
      <c r="R25" s="329">
        <f t="shared" si="20"/>
        <v>0</v>
      </c>
      <c r="S25" s="329">
        <f t="shared" si="20"/>
        <v>0</v>
      </c>
      <c r="T25" s="329">
        <f t="shared" si="20"/>
        <v>0</v>
      </c>
      <c r="U25" s="2298"/>
    </row>
    <row r="26" spans="1:26" ht="19.5" customHeight="1">
      <c r="A26" s="4528">
        <v>5</v>
      </c>
      <c r="B26" s="338" t="s">
        <v>1914</v>
      </c>
      <c r="C26" s="676">
        <f>C22+C23+C24+C25</f>
        <v>0</v>
      </c>
      <c r="D26" s="676">
        <f t="shared" ref="D26:H26" si="21">D22+D23+D24+D25</f>
        <v>0</v>
      </c>
      <c r="E26" s="676">
        <f t="shared" si="21"/>
        <v>0</v>
      </c>
      <c r="F26" s="676">
        <f t="shared" si="21"/>
        <v>650161</v>
      </c>
      <c r="G26" s="676">
        <f t="shared" si="21"/>
        <v>650161</v>
      </c>
      <c r="H26" s="676">
        <f t="shared" si="21"/>
        <v>650161</v>
      </c>
      <c r="I26" s="676">
        <f>I22+I23+I24+I25</f>
        <v>0</v>
      </c>
      <c r="J26" s="676">
        <f t="shared" ref="J26:N26" si="22">J22+J23+J24+J25</f>
        <v>0</v>
      </c>
      <c r="K26" s="676">
        <f t="shared" si="22"/>
        <v>0</v>
      </c>
      <c r="L26" s="676">
        <f t="shared" si="22"/>
        <v>226.306740558</v>
      </c>
      <c r="M26" s="676">
        <f t="shared" si="22"/>
        <v>226.306740558</v>
      </c>
      <c r="N26" s="676">
        <f t="shared" si="22"/>
        <v>226.306740558</v>
      </c>
      <c r="O26" s="330">
        <f t="shared" ref="O26:T26" si="23">IFERROR((I26*1000)/(C26/1000),0)</f>
        <v>0</v>
      </c>
      <c r="P26" s="330">
        <f t="shared" si="23"/>
        <v>0</v>
      </c>
      <c r="Q26" s="330">
        <f t="shared" si="23"/>
        <v>0</v>
      </c>
      <c r="R26" s="330">
        <f t="shared" si="23"/>
        <v>348.07800000000003</v>
      </c>
      <c r="S26" s="330">
        <f t="shared" si="23"/>
        <v>348.07800000000003</v>
      </c>
      <c r="T26" s="330">
        <f t="shared" si="23"/>
        <v>348.07800000000003</v>
      </c>
      <c r="U26" s="2298"/>
    </row>
    <row r="27" spans="1:26" ht="19.5" customHeight="1">
      <c r="A27" s="4529">
        <v>6</v>
      </c>
      <c r="B27" s="107" t="s">
        <v>355</v>
      </c>
      <c r="C27" s="677"/>
      <c r="D27" s="678">
        <f>D26-C26</f>
        <v>0</v>
      </c>
      <c r="E27" s="678">
        <f t="shared" ref="E27:H27" si="24">E26-D26</f>
        <v>0</v>
      </c>
      <c r="F27" s="678">
        <f t="shared" si="24"/>
        <v>650161</v>
      </c>
      <c r="G27" s="678">
        <f t="shared" si="24"/>
        <v>0</v>
      </c>
      <c r="H27" s="678">
        <f t="shared" si="24"/>
        <v>0</v>
      </c>
      <c r="I27" s="677"/>
      <c r="J27" s="678">
        <f>J26-I26</f>
        <v>0</v>
      </c>
      <c r="K27" s="678">
        <f t="shared" ref="K27:N27" si="25">K26-J26</f>
        <v>0</v>
      </c>
      <c r="L27" s="678">
        <f t="shared" si="25"/>
        <v>226.306740558</v>
      </c>
      <c r="M27" s="678">
        <f t="shared" si="25"/>
        <v>0</v>
      </c>
      <c r="N27" s="678">
        <f t="shared" si="25"/>
        <v>0</v>
      </c>
      <c r="O27" s="331"/>
      <c r="P27" s="332">
        <f>P26-O26</f>
        <v>0</v>
      </c>
      <c r="Q27" s="332">
        <f t="shared" ref="Q27:T27" si="26">Q26-P26</f>
        <v>0</v>
      </c>
      <c r="R27" s="332">
        <f t="shared" si="26"/>
        <v>348.07800000000003</v>
      </c>
      <c r="S27" s="332">
        <f t="shared" si="26"/>
        <v>0</v>
      </c>
      <c r="T27" s="332">
        <f t="shared" si="26"/>
        <v>0</v>
      </c>
      <c r="U27" s="4530"/>
    </row>
    <row r="28" spans="1:26" ht="26.25" thickBot="1">
      <c r="A28" s="4537">
        <v>7</v>
      </c>
      <c r="B28" s="4533" t="s">
        <v>1847</v>
      </c>
      <c r="C28" s="4534">
        <f>IFERROR(C26/'4. Отчет и прогн. потребление'!D48,0)</f>
        <v>0</v>
      </c>
      <c r="D28" s="4534">
        <f>IFERROR(D26/'4. Отчет и прогн. потребление'!E48,0)</f>
        <v>0</v>
      </c>
      <c r="E28" s="4534">
        <f>IFERROR(E26/'4. Отчет и прогн. потребление'!F48,0)</f>
        <v>0</v>
      </c>
      <c r="F28" s="4534">
        <f>IFERROR(F26/'4. Отчет и прогн. потребление'!G48,0)</f>
        <v>0.15924744714271238</v>
      </c>
      <c r="G28" s="4534">
        <f>IFERROR(G26/'4. Отчет и прогн. потребление'!H48,0)</f>
        <v>0.16068915556157512</v>
      </c>
      <c r="H28" s="4534">
        <f>IFERROR(H26/'4. Отчет и прогн. потребление'!I48,0)</f>
        <v>0.16188141669781567</v>
      </c>
      <c r="I28" s="459"/>
      <c r="J28" s="459"/>
      <c r="K28" s="459"/>
      <c r="L28" s="459"/>
      <c r="M28" s="459"/>
      <c r="N28" s="459"/>
      <c r="O28" s="459"/>
      <c r="P28" s="459"/>
      <c r="Q28" s="459"/>
      <c r="R28" s="459"/>
      <c r="S28" s="459"/>
      <c r="T28" s="459"/>
      <c r="U28" s="460"/>
    </row>
    <row r="29" spans="1:26" s="158" customFormat="1" ht="18.75" customHeight="1" thickBot="1">
      <c r="A29" s="337"/>
      <c r="B29" s="72"/>
      <c r="C29" s="334"/>
      <c r="D29" s="335"/>
      <c r="E29" s="335"/>
      <c r="F29" s="335"/>
      <c r="G29" s="335"/>
      <c r="H29" s="335"/>
      <c r="I29" s="334"/>
      <c r="J29" s="335"/>
      <c r="K29" s="335"/>
      <c r="L29" s="335"/>
      <c r="M29" s="335"/>
      <c r="N29" s="335"/>
      <c r="O29" s="334"/>
      <c r="P29" s="335"/>
      <c r="Q29" s="335"/>
      <c r="R29" s="335"/>
      <c r="S29" s="335"/>
      <c r="T29" s="335"/>
      <c r="U29" s="335"/>
      <c r="V29" s="159"/>
      <c r="W29" s="159"/>
      <c r="X29" s="159"/>
      <c r="Y29" s="159"/>
      <c r="Z29" s="159"/>
    </row>
    <row r="30" spans="1:26" ht="21.75" customHeight="1">
      <c r="A30" s="5302" t="s">
        <v>1</v>
      </c>
      <c r="B30" s="5299" t="s">
        <v>1910</v>
      </c>
      <c r="C30" s="5299" t="s">
        <v>214</v>
      </c>
      <c r="D30" s="5299"/>
      <c r="E30" s="5299"/>
      <c r="F30" s="5299"/>
      <c r="G30" s="5299"/>
      <c r="H30" s="5299"/>
      <c r="I30" s="5299"/>
      <c r="J30" s="5299"/>
      <c r="K30" s="5299"/>
      <c r="L30" s="5299"/>
      <c r="M30" s="5299"/>
      <c r="N30" s="5299"/>
      <c r="O30" s="5299"/>
      <c r="P30" s="5299"/>
      <c r="Q30" s="5299"/>
      <c r="R30" s="5299"/>
      <c r="S30" s="5299"/>
      <c r="T30" s="5299"/>
      <c r="U30" s="5300"/>
    </row>
    <row r="31" spans="1:26" ht="21.75" customHeight="1">
      <c r="A31" s="5303"/>
      <c r="B31" s="5305"/>
      <c r="C31" s="5296" t="s">
        <v>353</v>
      </c>
      <c r="D31" s="5296"/>
      <c r="E31" s="5296"/>
      <c r="F31" s="5296"/>
      <c r="G31" s="5296"/>
      <c r="H31" s="5296"/>
      <c r="I31" s="5296" t="s">
        <v>919</v>
      </c>
      <c r="J31" s="5296"/>
      <c r="K31" s="5296"/>
      <c r="L31" s="5296"/>
      <c r="M31" s="5296"/>
      <c r="N31" s="5296"/>
      <c r="O31" s="5296" t="s">
        <v>1929</v>
      </c>
      <c r="P31" s="5296"/>
      <c r="Q31" s="5296"/>
      <c r="R31" s="5296"/>
      <c r="S31" s="5296"/>
      <c r="T31" s="5296"/>
      <c r="U31" s="5297" t="s">
        <v>1260</v>
      </c>
    </row>
    <row r="32" spans="1:26" ht="21.75" customHeight="1" thickBot="1">
      <c r="A32" s="5304"/>
      <c r="B32" s="5306"/>
      <c r="C32" s="168" t="str">
        <f t="shared" ref="C32:H32" si="27">C21</f>
        <v>2020 г.</v>
      </c>
      <c r="D32" s="168" t="str">
        <f t="shared" si="27"/>
        <v>2022 г.</v>
      </c>
      <c r="E32" s="168" t="str">
        <f t="shared" si="27"/>
        <v>2023 г.</v>
      </c>
      <c r="F32" s="168" t="str">
        <f t="shared" si="27"/>
        <v>2024 г.</v>
      </c>
      <c r="G32" s="168" t="str">
        <f t="shared" si="27"/>
        <v>2025 г.</v>
      </c>
      <c r="H32" s="168" t="str">
        <f t="shared" si="27"/>
        <v>2026 г.</v>
      </c>
      <c r="I32" s="168" t="str">
        <f t="shared" ref="I32:T32" si="28">C32</f>
        <v>2020 г.</v>
      </c>
      <c r="J32" s="168" t="str">
        <f t="shared" si="28"/>
        <v>2022 г.</v>
      </c>
      <c r="K32" s="168" t="str">
        <f t="shared" si="28"/>
        <v>2023 г.</v>
      </c>
      <c r="L32" s="168" t="str">
        <f t="shared" si="28"/>
        <v>2024 г.</v>
      </c>
      <c r="M32" s="168" t="str">
        <f t="shared" si="28"/>
        <v>2025 г.</v>
      </c>
      <c r="N32" s="168" t="str">
        <f t="shared" si="28"/>
        <v>2026 г.</v>
      </c>
      <c r="O32" s="168" t="str">
        <f t="shared" si="28"/>
        <v>2020 г.</v>
      </c>
      <c r="P32" s="168" t="str">
        <f t="shared" si="28"/>
        <v>2022 г.</v>
      </c>
      <c r="Q32" s="168" t="str">
        <f t="shared" si="28"/>
        <v>2023 г.</v>
      </c>
      <c r="R32" s="168" t="str">
        <f t="shared" si="28"/>
        <v>2024 г.</v>
      </c>
      <c r="S32" s="168" t="str">
        <f t="shared" si="28"/>
        <v>2025 г.</v>
      </c>
      <c r="T32" s="168" t="str">
        <f t="shared" si="28"/>
        <v>2026 г.</v>
      </c>
      <c r="U32" s="5298"/>
    </row>
    <row r="33" spans="1:26" ht="22.5" customHeight="1">
      <c r="A33" s="4558">
        <v>1</v>
      </c>
      <c r="B33" s="4559" t="s">
        <v>1909</v>
      </c>
      <c r="C33" s="4564"/>
      <c r="D33" s="4939"/>
      <c r="E33" s="4939">
        <v>78084</v>
      </c>
      <c r="F33" s="4939">
        <v>77856</v>
      </c>
      <c r="G33" s="4939">
        <v>77658</v>
      </c>
      <c r="H33" s="4939">
        <v>77489</v>
      </c>
      <c r="I33" s="4564"/>
      <c r="J33" s="4566">
        <f t="shared" ref="J33:N35" si="29">IF($I33=0,+D33*$U33/1000000,+D33*$I33/$C33)</f>
        <v>0</v>
      </c>
      <c r="K33" s="4566">
        <f t="shared" si="29"/>
        <v>29.697063048</v>
      </c>
      <c r="L33" s="4566">
        <f t="shared" si="29"/>
        <v>29.610349631999998</v>
      </c>
      <c r="M33" s="4566">
        <f t="shared" si="29"/>
        <v>29.535045876000002</v>
      </c>
      <c r="N33" s="4566">
        <f t="shared" si="29"/>
        <v>29.470771458000002</v>
      </c>
      <c r="O33" s="4561">
        <f t="shared" ref="O33:T35" si="30">ROUND((IFERROR((I33*1000)/(C33/1000),0)),3)</f>
        <v>0</v>
      </c>
      <c r="P33" s="4561">
        <f t="shared" si="30"/>
        <v>0</v>
      </c>
      <c r="Q33" s="4561">
        <f t="shared" si="30"/>
        <v>380.322</v>
      </c>
      <c r="R33" s="4561">
        <f t="shared" si="30"/>
        <v>380.322</v>
      </c>
      <c r="S33" s="4561">
        <f t="shared" si="30"/>
        <v>380.322</v>
      </c>
      <c r="T33" s="4561">
        <f t="shared" si="30"/>
        <v>380.322</v>
      </c>
      <c r="U33" s="4567">
        <v>380.322</v>
      </c>
    </row>
    <row r="34" spans="1:26" ht="24">
      <c r="A34" s="3762">
        <v>2</v>
      </c>
      <c r="B34" s="107" t="s">
        <v>1911</v>
      </c>
      <c r="C34" s="674">
        <v>1123765</v>
      </c>
      <c r="D34" s="4941">
        <v>1020393</v>
      </c>
      <c r="E34" s="4940">
        <v>900123</v>
      </c>
      <c r="F34" s="4941">
        <v>2396897</v>
      </c>
      <c r="G34" s="4941">
        <v>2210555</v>
      </c>
      <c r="H34" s="4940">
        <v>2128357</v>
      </c>
      <c r="I34" s="674">
        <f>183+208.15</f>
        <v>391.15</v>
      </c>
      <c r="J34" s="2212">
        <f t="shared" si="29"/>
        <v>355.16920526088637</v>
      </c>
      <c r="K34" s="2212">
        <f t="shared" si="29"/>
        <v>313.30670687376806</v>
      </c>
      <c r="L34" s="2212">
        <f t="shared" si="29"/>
        <v>834.29032008471518</v>
      </c>
      <c r="M34" s="2212">
        <f t="shared" si="29"/>
        <v>769.43007501568388</v>
      </c>
      <c r="N34" s="2212">
        <f t="shared" si="29"/>
        <v>740.81933549274083</v>
      </c>
      <c r="O34" s="329">
        <f t="shared" si="30"/>
        <v>348.07100000000003</v>
      </c>
      <c r="P34" s="329">
        <f t="shared" si="30"/>
        <v>348.07100000000003</v>
      </c>
      <c r="Q34" s="329">
        <f t="shared" si="30"/>
        <v>348.07100000000003</v>
      </c>
      <c r="R34" s="329">
        <f t="shared" si="30"/>
        <v>348.07100000000003</v>
      </c>
      <c r="S34" s="329">
        <f t="shared" si="30"/>
        <v>348.07100000000003</v>
      </c>
      <c r="T34" s="329">
        <f t="shared" si="30"/>
        <v>348.07100000000003</v>
      </c>
      <c r="U34" s="4535">
        <v>348.07799999999997</v>
      </c>
    </row>
    <row r="35" spans="1:26" ht="24">
      <c r="A35" s="3762">
        <v>3</v>
      </c>
      <c r="B35" s="107" t="s">
        <v>1912</v>
      </c>
      <c r="C35" s="674"/>
      <c r="D35" s="675"/>
      <c r="E35" s="674"/>
      <c r="F35" s="675"/>
      <c r="G35" s="675"/>
      <c r="H35" s="674"/>
      <c r="I35" s="674"/>
      <c r="J35" s="2210">
        <f t="shared" si="29"/>
        <v>0</v>
      </c>
      <c r="K35" s="2212">
        <f t="shared" si="29"/>
        <v>0</v>
      </c>
      <c r="L35" s="2210">
        <f t="shared" si="29"/>
        <v>0</v>
      </c>
      <c r="M35" s="2210">
        <f t="shared" si="29"/>
        <v>0</v>
      </c>
      <c r="N35" s="2212">
        <f t="shared" si="29"/>
        <v>0</v>
      </c>
      <c r="O35" s="329">
        <f t="shared" si="30"/>
        <v>0</v>
      </c>
      <c r="P35" s="329">
        <f t="shared" si="30"/>
        <v>0</v>
      </c>
      <c r="Q35" s="329">
        <f t="shared" si="30"/>
        <v>0</v>
      </c>
      <c r="R35" s="329">
        <f t="shared" si="30"/>
        <v>0</v>
      </c>
      <c r="S35" s="329">
        <f t="shared" si="30"/>
        <v>0</v>
      </c>
      <c r="T35" s="329">
        <f t="shared" si="30"/>
        <v>0</v>
      </c>
      <c r="U35" s="4536"/>
    </row>
    <row r="36" spans="1:26" ht="24" customHeight="1">
      <c r="A36" s="3762">
        <v>4</v>
      </c>
      <c r="B36" s="699" t="s">
        <v>1913</v>
      </c>
      <c r="C36" s="674"/>
      <c r="D36" s="675"/>
      <c r="E36" s="674"/>
      <c r="F36" s="675"/>
      <c r="G36" s="675"/>
      <c r="H36" s="674"/>
      <c r="I36" s="2210">
        <f>(C36*O36)/1000000</f>
        <v>0</v>
      </c>
      <c r="J36" s="2210">
        <f>(D36*P36)/1000000</f>
        <v>0</v>
      </c>
      <c r="K36" s="2212">
        <f t="shared" ref="K36" si="31">(E36*Q36)/1000000</f>
        <v>0</v>
      </c>
      <c r="L36" s="2210">
        <f t="shared" ref="L36" si="32">(F36*R36)/1000000</f>
        <v>0</v>
      </c>
      <c r="M36" s="2210">
        <f t="shared" ref="M36" si="33">(G36*S36)/1000000</f>
        <v>0</v>
      </c>
      <c r="N36" s="2212">
        <f t="shared" ref="N36" si="34">(H36*T36)/1000000</f>
        <v>0</v>
      </c>
      <c r="O36" s="329">
        <f>ROUND($G$86,3)</f>
        <v>0</v>
      </c>
      <c r="P36" s="329">
        <f t="shared" ref="P36:T36" si="35">ROUND($G$86,3)</f>
        <v>0</v>
      </c>
      <c r="Q36" s="329">
        <f t="shared" si="35"/>
        <v>0</v>
      </c>
      <c r="R36" s="329">
        <f t="shared" si="35"/>
        <v>0</v>
      </c>
      <c r="S36" s="329">
        <f t="shared" si="35"/>
        <v>0</v>
      </c>
      <c r="T36" s="329">
        <f t="shared" si="35"/>
        <v>0</v>
      </c>
      <c r="U36" s="2298"/>
    </row>
    <row r="37" spans="1:26" ht="24.75" customHeight="1">
      <c r="A37" s="4528">
        <v>5</v>
      </c>
      <c r="B37" s="338" t="s">
        <v>1914</v>
      </c>
      <c r="C37" s="676">
        <f>C33+C34+C35+C36</f>
        <v>1123765</v>
      </c>
      <c r="D37" s="676">
        <f t="shared" ref="D37:H37" si="36">D33+D34+D35+D36</f>
        <v>1020393</v>
      </c>
      <c r="E37" s="676">
        <f t="shared" si="36"/>
        <v>978207</v>
      </c>
      <c r="F37" s="676">
        <f t="shared" si="36"/>
        <v>2474753</v>
      </c>
      <c r="G37" s="676">
        <f t="shared" si="36"/>
        <v>2288213</v>
      </c>
      <c r="H37" s="676">
        <f t="shared" si="36"/>
        <v>2205846</v>
      </c>
      <c r="I37" s="676">
        <f>I33+I34+I35+I36</f>
        <v>391.15</v>
      </c>
      <c r="J37" s="676">
        <f t="shared" ref="J37:N37" si="37">J33+J34+J35+J36</f>
        <v>355.16920526088637</v>
      </c>
      <c r="K37" s="676">
        <f t="shared" si="37"/>
        <v>343.00376992176808</v>
      </c>
      <c r="L37" s="676">
        <f t="shared" si="37"/>
        <v>863.90066971671513</v>
      </c>
      <c r="M37" s="676">
        <f t="shared" si="37"/>
        <v>798.96512089168391</v>
      </c>
      <c r="N37" s="676">
        <f t="shared" si="37"/>
        <v>770.29010695074089</v>
      </c>
      <c r="O37" s="330">
        <f t="shared" ref="O37:T37" si="38">IFERROR((I37*1000)/(C37/1000),0)</f>
        <v>348.07099349063191</v>
      </c>
      <c r="P37" s="330">
        <f t="shared" si="38"/>
        <v>348.07099349063191</v>
      </c>
      <c r="Q37" s="330">
        <f t="shared" si="38"/>
        <v>350.64538479255219</v>
      </c>
      <c r="R37" s="330">
        <f t="shared" si="38"/>
        <v>349.08561368213924</v>
      </c>
      <c r="S37" s="330">
        <f t="shared" si="38"/>
        <v>349.16553698964384</v>
      </c>
      <c r="T37" s="330">
        <f t="shared" si="38"/>
        <v>349.20393669854599</v>
      </c>
      <c r="U37" s="2298"/>
    </row>
    <row r="38" spans="1:26" ht="21.75" customHeight="1">
      <c r="A38" s="4529">
        <v>6</v>
      </c>
      <c r="B38" s="107" t="s">
        <v>355</v>
      </c>
      <c r="C38" s="677"/>
      <c r="D38" s="678">
        <f>D37-C37</f>
        <v>-103372</v>
      </c>
      <c r="E38" s="678">
        <f>E37-D37</f>
        <v>-42186</v>
      </c>
      <c r="F38" s="678">
        <f t="shared" ref="F38:H38" si="39">F37-E37</f>
        <v>1496546</v>
      </c>
      <c r="G38" s="678">
        <f t="shared" si="39"/>
        <v>-186540</v>
      </c>
      <c r="H38" s="678">
        <f t="shared" si="39"/>
        <v>-82367</v>
      </c>
      <c r="I38" s="677"/>
      <c r="J38" s="678">
        <f t="shared" ref="J38:N38" si="40">J37-I37</f>
        <v>-35.980794739113605</v>
      </c>
      <c r="K38" s="678">
        <f t="shared" si="40"/>
        <v>-12.165435339118289</v>
      </c>
      <c r="L38" s="678">
        <f t="shared" si="40"/>
        <v>520.8968997949471</v>
      </c>
      <c r="M38" s="678">
        <f t="shared" si="40"/>
        <v>-64.935548825031219</v>
      </c>
      <c r="N38" s="678">
        <f t="shared" si="40"/>
        <v>-28.675013940943018</v>
      </c>
      <c r="O38" s="331"/>
      <c r="P38" s="332">
        <f t="shared" ref="P38:T38" si="41">P37-O37</f>
        <v>0</v>
      </c>
      <c r="Q38" s="332">
        <f t="shared" si="41"/>
        <v>2.5743913019202864</v>
      </c>
      <c r="R38" s="332">
        <f t="shared" si="41"/>
        <v>-1.559771110412953</v>
      </c>
      <c r="S38" s="332">
        <f t="shared" si="41"/>
        <v>7.9923307504600416E-2</v>
      </c>
      <c r="T38" s="332">
        <f t="shared" si="41"/>
        <v>3.8399708902147722E-2</v>
      </c>
      <c r="U38" s="4530"/>
    </row>
    <row r="39" spans="1:26" ht="25.5">
      <c r="A39" s="4531">
        <v>7</v>
      </c>
      <c r="B39" s="336" t="s">
        <v>1848</v>
      </c>
      <c r="C39" s="333">
        <f>IFERROR(C37/'2. Променливи'!E66,0)</f>
        <v>0.12425828881564274</v>
      </c>
      <c r="D39" s="333">
        <f>IFERROR(D37/'2. Променливи'!F66,0)</f>
        <v>9.7654196881552038E-2</v>
      </c>
      <c r="E39" s="333">
        <f>IFERROR(E37/'2. Променливи'!G66,0)</f>
        <v>9.4261335417821793E-2</v>
      </c>
      <c r="F39" s="333">
        <f>IFERROR(F37/'2. Променливи'!H66,0)</f>
        <v>0.24129416392051375</v>
      </c>
      <c r="G39" s="333">
        <f>IFERROR(G37/'2. Променливи'!I66,0)</f>
        <v>0.22577944132091571</v>
      </c>
      <c r="H39" s="333">
        <f>IFERROR(H37/'2. Променливи'!J66,0)</f>
        <v>0.22026077261210569</v>
      </c>
      <c r="I39" s="331"/>
      <c r="J39" s="331"/>
      <c r="K39" s="331"/>
      <c r="L39" s="331"/>
      <c r="M39" s="331"/>
      <c r="N39" s="331"/>
      <c r="O39" s="331"/>
      <c r="P39" s="331"/>
      <c r="Q39" s="331"/>
      <c r="R39" s="331"/>
      <c r="S39" s="331"/>
      <c r="T39" s="331"/>
      <c r="U39" s="4530"/>
    </row>
    <row r="40" spans="1:26" ht="26.25" thickBot="1">
      <c r="A40" s="4532">
        <v>8</v>
      </c>
      <c r="B40" s="4533" t="s">
        <v>1847</v>
      </c>
      <c r="C40" s="4534">
        <f>IFERROR(C37/'4. Отчет и прогн. потребление'!D53,0)</f>
        <v>0.40923468763474063</v>
      </c>
      <c r="D40" s="4534">
        <f>IFERROR(D37/'4. Отчет и прогн. потребление'!E53,0)</f>
        <v>0.32989267099155345</v>
      </c>
      <c r="E40" s="4534">
        <f>IFERROR(E37/'4. Отчет и прогн. потребление'!F53,0)</f>
        <v>0.31654145941306561</v>
      </c>
      <c r="F40" s="4534">
        <f>IFERROR(F37/'4. Отчет и прогн. потребление'!G53,0)</f>
        <v>0.64192951467758874</v>
      </c>
      <c r="G40" s="4534">
        <f>IFERROR(G37/'4. Отчет и прогн. потребление'!H53,0)</f>
        <v>0.59917811820614431</v>
      </c>
      <c r="H40" s="4534">
        <f>IFERROR(H37/'4. Отчет и прогн. потребление'!I53,0)</f>
        <v>0.58308077227926514</v>
      </c>
      <c r="I40" s="459"/>
      <c r="J40" s="459"/>
      <c r="K40" s="459"/>
      <c r="L40" s="459"/>
      <c r="M40" s="459"/>
      <c r="N40" s="459"/>
      <c r="O40" s="459"/>
      <c r="P40" s="459"/>
      <c r="Q40" s="459"/>
      <c r="R40" s="459"/>
      <c r="S40" s="459"/>
      <c r="T40" s="459"/>
      <c r="U40" s="460"/>
    </row>
    <row r="41" spans="1:26" s="158" customFormat="1" ht="19.5" customHeight="1" thickBot="1">
      <c r="A41" s="337"/>
      <c r="B41" s="72"/>
      <c r="C41" s="334"/>
      <c r="D41" s="335"/>
      <c r="E41" s="335"/>
      <c r="F41" s="335"/>
      <c r="G41" s="335"/>
      <c r="H41" s="335"/>
      <c r="I41" s="334"/>
      <c r="J41" s="335"/>
      <c r="K41" s="335"/>
      <c r="L41" s="335"/>
      <c r="M41" s="335"/>
      <c r="N41" s="335"/>
      <c r="O41" s="334"/>
      <c r="P41" s="335"/>
      <c r="Q41" s="335"/>
      <c r="R41" s="335"/>
      <c r="S41" s="335"/>
      <c r="T41" s="335"/>
      <c r="U41" s="335"/>
      <c r="V41" s="159"/>
      <c r="W41" s="159"/>
      <c r="X41" s="159"/>
      <c r="Y41" s="159"/>
      <c r="Z41" s="159"/>
    </row>
    <row r="42" spans="1:26" s="158" customFormat="1" ht="23.25" customHeight="1">
      <c r="A42" s="5302" t="s">
        <v>1</v>
      </c>
      <c r="B42" s="5299" t="s">
        <v>1910</v>
      </c>
      <c r="C42" s="5299" t="s">
        <v>1037</v>
      </c>
      <c r="D42" s="5299"/>
      <c r="E42" s="5299"/>
      <c r="F42" s="5299"/>
      <c r="G42" s="5299"/>
      <c r="H42" s="5299"/>
      <c r="I42" s="5299"/>
      <c r="J42" s="5299"/>
      <c r="K42" s="5299"/>
      <c r="L42" s="5299"/>
      <c r="M42" s="5299"/>
      <c r="N42" s="5299"/>
      <c r="O42" s="5299"/>
      <c r="P42" s="5299"/>
      <c r="Q42" s="5299"/>
      <c r="R42" s="5299"/>
      <c r="S42" s="5299"/>
      <c r="T42" s="5299"/>
      <c r="U42" s="5300"/>
      <c r="V42" s="159"/>
      <c r="W42" s="159"/>
      <c r="X42" s="159"/>
      <c r="Y42" s="159"/>
      <c r="Z42" s="159"/>
    </row>
    <row r="43" spans="1:26" s="158" customFormat="1" ht="23.25" customHeight="1">
      <c r="A43" s="5303"/>
      <c r="B43" s="5305"/>
      <c r="C43" s="5296" t="s">
        <v>353</v>
      </c>
      <c r="D43" s="5296"/>
      <c r="E43" s="5296"/>
      <c r="F43" s="5296"/>
      <c r="G43" s="5296"/>
      <c r="H43" s="5296"/>
      <c r="I43" s="5296" t="s">
        <v>919</v>
      </c>
      <c r="J43" s="5296"/>
      <c r="K43" s="5296"/>
      <c r="L43" s="5296"/>
      <c r="M43" s="5296"/>
      <c r="N43" s="5296"/>
      <c r="O43" s="5292" t="s">
        <v>1929</v>
      </c>
      <c r="P43" s="5293"/>
      <c r="Q43" s="5293"/>
      <c r="R43" s="5293"/>
      <c r="S43" s="5293"/>
      <c r="T43" s="5293"/>
      <c r="U43" s="5294" t="s">
        <v>1260</v>
      </c>
      <c r="V43" s="159"/>
      <c r="W43" s="159"/>
      <c r="X43" s="159"/>
      <c r="Y43" s="159"/>
      <c r="Z43" s="159"/>
    </row>
    <row r="44" spans="1:26" s="158" customFormat="1" ht="23.25" customHeight="1" thickBot="1">
      <c r="A44" s="5304"/>
      <c r="B44" s="5306"/>
      <c r="C44" s="168" t="str">
        <f>'Приложение '!C12</f>
        <v>2020 г.</v>
      </c>
      <c r="D44" s="168" t="str">
        <f>'Приложение '!$C14</f>
        <v>2022 г.</v>
      </c>
      <c r="E44" s="168" t="str">
        <f>'Приложение '!$C15</f>
        <v>2023 г.</v>
      </c>
      <c r="F44" s="168" t="str">
        <f>'Приложение '!$C16</f>
        <v>2024 г.</v>
      </c>
      <c r="G44" s="168" t="str">
        <f>'Приложение '!$C17</f>
        <v>2025 г.</v>
      </c>
      <c r="H44" s="168" t="str">
        <f>'Приложение '!$C18</f>
        <v>2026 г.</v>
      </c>
      <c r="I44" s="168" t="str">
        <f t="shared" ref="I44:T44" si="42">C44</f>
        <v>2020 г.</v>
      </c>
      <c r="J44" s="168" t="str">
        <f t="shared" si="42"/>
        <v>2022 г.</v>
      </c>
      <c r="K44" s="168" t="str">
        <f t="shared" si="42"/>
        <v>2023 г.</v>
      </c>
      <c r="L44" s="168" t="str">
        <f t="shared" si="42"/>
        <v>2024 г.</v>
      </c>
      <c r="M44" s="168" t="str">
        <f t="shared" si="42"/>
        <v>2025 г.</v>
      </c>
      <c r="N44" s="168" t="str">
        <f t="shared" si="42"/>
        <v>2026 г.</v>
      </c>
      <c r="O44" s="168" t="str">
        <f t="shared" si="42"/>
        <v>2020 г.</v>
      </c>
      <c r="P44" s="168" t="str">
        <f t="shared" si="42"/>
        <v>2022 г.</v>
      </c>
      <c r="Q44" s="168" t="str">
        <f t="shared" si="42"/>
        <v>2023 г.</v>
      </c>
      <c r="R44" s="168" t="str">
        <f t="shared" si="42"/>
        <v>2024 г.</v>
      </c>
      <c r="S44" s="168" t="str">
        <f t="shared" si="42"/>
        <v>2025 г.</v>
      </c>
      <c r="T44" s="168" t="str">
        <f t="shared" si="42"/>
        <v>2026 г.</v>
      </c>
      <c r="U44" s="5295"/>
      <c r="V44" s="159"/>
      <c r="W44" s="159"/>
      <c r="X44" s="159"/>
      <c r="Y44" s="159"/>
      <c r="Z44" s="159"/>
    </row>
    <row r="45" spans="1:26" s="158" customFormat="1" ht="23.25" customHeight="1">
      <c r="A45" s="4558">
        <v>1</v>
      </c>
      <c r="B45" s="4559" t="s">
        <v>1909</v>
      </c>
      <c r="C45" s="4564">
        <v>0</v>
      </c>
      <c r="D45" s="4950">
        <v>314404</v>
      </c>
      <c r="E45" s="4565">
        <v>285584</v>
      </c>
      <c r="F45" s="4565">
        <v>247857</v>
      </c>
      <c r="G45" s="4565">
        <v>225074</v>
      </c>
      <c r="H45" s="4565">
        <v>209429</v>
      </c>
      <c r="I45" s="4564">
        <v>0</v>
      </c>
      <c r="J45" s="4566">
        <f t="shared" ref="J45:N47" si="43">IF($I45=0,+D45*$U45/1000000,+D45*$I45/$C45)</f>
        <v>117.50975261600001</v>
      </c>
      <c r="K45" s="4566">
        <f t="shared" si="43"/>
        <v>106.73816233600002</v>
      </c>
      <c r="L45" s="4566">
        <f t="shared" si="43"/>
        <v>92.637545177999996</v>
      </c>
      <c r="M45" s="4566">
        <f t="shared" si="43"/>
        <v>84.122307796000001</v>
      </c>
      <c r="N45" s="4566">
        <f t="shared" si="43"/>
        <v>78.274926466000011</v>
      </c>
      <c r="O45" s="4561">
        <f t="shared" ref="O45:T47" si="44">ROUND((IFERROR((I45*1000)/(C45/1000),0)),3)</f>
        <v>0</v>
      </c>
      <c r="P45" s="4561">
        <f t="shared" si="44"/>
        <v>373.75400000000002</v>
      </c>
      <c r="Q45" s="4561">
        <f t="shared" si="44"/>
        <v>373.75400000000002</v>
      </c>
      <c r="R45" s="4561">
        <f t="shared" si="44"/>
        <v>373.75400000000002</v>
      </c>
      <c r="S45" s="4561">
        <f t="shared" si="44"/>
        <v>373.75400000000002</v>
      </c>
      <c r="T45" s="4561">
        <f t="shared" si="44"/>
        <v>373.75400000000002</v>
      </c>
      <c r="U45" s="662">
        <v>373.75400000000002</v>
      </c>
      <c r="V45" s="159"/>
      <c r="W45" s="159"/>
      <c r="X45" s="159"/>
      <c r="Y45" s="159"/>
      <c r="Z45" s="159"/>
    </row>
    <row r="46" spans="1:26" s="158" customFormat="1" ht="23.25" customHeight="1">
      <c r="A46" s="3762">
        <v>2</v>
      </c>
      <c r="B46" s="107" t="s">
        <v>1911</v>
      </c>
      <c r="C46" s="674">
        <v>0</v>
      </c>
      <c r="D46" s="675">
        <v>0</v>
      </c>
      <c r="E46" s="674">
        <v>0</v>
      </c>
      <c r="F46" s="675">
        <v>0</v>
      </c>
      <c r="G46" s="675">
        <v>0</v>
      </c>
      <c r="H46" s="674">
        <v>0</v>
      </c>
      <c r="I46" s="674">
        <v>0</v>
      </c>
      <c r="J46" s="2212">
        <f t="shared" si="43"/>
        <v>0</v>
      </c>
      <c r="K46" s="2212">
        <f t="shared" si="43"/>
        <v>0</v>
      </c>
      <c r="L46" s="2212">
        <f t="shared" si="43"/>
        <v>0</v>
      </c>
      <c r="M46" s="2212">
        <f t="shared" si="43"/>
        <v>0</v>
      </c>
      <c r="N46" s="2212">
        <f t="shared" si="43"/>
        <v>0</v>
      </c>
      <c r="O46" s="329">
        <f t="shared" si="44"/>
        <v>0</v>
      </c>
      <c r="P46" s="329">
        <f t="shared" si="44"/>
        <v>0</v>
      </c>
      <c r="Q46" s="329">
        <f t="shared" si="44"/>
        <v>0</v>
      </c>
      <c r="R46" s="329">
        <f t="shared" si="44"/>
        <v>0</v>
      </c>
      <c r="S46" s="329">
        <f t="shared" si="44"/>
        <v>0</v>
      </c>
      <c r="T46" s="329">
        <f t="shared" si="44"/>
        <v>0</v>
      </c>
      <c r="U46" s="659"/>
      <c r="V46" s="159"/>
      <c r="W46" s="159"/>
      <c r="X46" s="159"/>
      <c r="Y46" s="159"/>
      <c r="Z46" s="159"/>
    </row>
    <row r="47" spans="1:26" s="158" customFormat="1" ht="23.25" customHeight="1">
      <c r="A47" s="3762">
        <v>3</v>
      </c>
      <c r="B47" s="107" t="s">
        <v>1912</v>
      </c>
      <c r="C47" s="674">
        <v>0</v>
      </c>
      <c r="D47" s="675">
        <v>0</v>
      </c>
      <c r="E47" s="674">
        <v>0</v>
      </c>
      <c r="F47" s="675">
        <v>0</v>
      </c>
      <c r="G47" s="675">
        <v>0</v>
      </c>
      <c r="H47" s="674">
        <v>0</v>
      </c>
      <c r="I47" s="674">
        <v>0</v>
      </c>
      <c r="J47" s="2210">
        <f t="shared" si="43"/>
        <v>0</v>
      </c>
      <c r="K47" s="2212">
        <f t="shared" si="43"/>
        <v>0</v>
      </c>
      <c r="L47" s="2210">
        <f t="shared" si="43"/>
        <v>0</v>
      </c>
      <c r="M47" s="2210">
        <f t="shared" si="43"/>
        <v>0</v>
      </c>
      <c r="N47" s="2212">
        <f t="shared" si="43"/>
        <v>0</v>
      </c>
      <c r="O47" s="329">
        <f t="shared" si="44"/>
        <v>0</v>
      </c>
      <c r="P47" s="329">
        <f t="shared" si="44"/>
        <v>0</v>
      </c>
      <c r="Q47" s="329">
        <f t="shared" si="44"/>
        <v>0</v>
      </c>
      <c r="R47" s="329">
        <f t="shared" si="44"/>
        <v>0</v>
      </c>
      <c r="S47" s="329">
        <f t="shared" si="44"/>
        <v>0</v>
      </c>
      <c r="T47" s="329">
        <f t="shared" si="44"/>
        <v>0</v>
      </c>
      <c r="U47" s="659"/>
      <c r="V47" s="159"/>
      <c r="W47" s="159"/>
      <c r="X47" s="159"/>
      <c r="Y47" s="159"/>
      <c r="Z47" s="159"/>
    </row>
    <row r="48" spans="1:26" s="158" customFormat="1" ht="23.25" customHeight="1">
      <c r="A48" s="4538">
        <v>4</v>
      </c>
      <c r="B48" s="699" t="s">
        <v>1915</v>
      </c>
      <c r="C48" s="674">
        <v>0</v>
      </c>
      <c r="D48" s="675">
        <v>0</v>
      </c>
      <c r="E48" s="674">
        <v>0</v>
      </c>
      <c r="F48" s="675">
        <v>0</v>
      </c>
      <c r="G48" s="675">
        <v>0</v>
      </c>
      <c r="H48" s="674">
        <v>0</v>
      </c>
      <c r="I48" s="2210">
        <f>(C48*O48)/1000000</f>
        <v>0</v>
      </c>
      <c r="J48" s="2210">
        <f>(D48*P48)/1000000</f>
        <v>0</v>
      </c>
      <c r="K48" s="2212">
        <f t="shared" ref="K48" si="45">(E48*Q48)/1000000</f>
        <v>0</v>
      </c>
      <c r="L48" s="2210">
        <f t="shared" ref="L48" si="46">(F48*R48)/1000000</f>
        <v>0</v>
      </c>
      <c r="M48" s="2210">
        <f t="shared" ref="M48" si="47">(G48*S48)/1000000</f>
        <v>0</v>
      </c>
      <c r="N48" s="2212">
        <f t="shared" ref="N48" si="48">(H48*T48)/1000000</f>
        <v>0</v>
      </c>
      <c r="O48" s="329">
        <f>ROUND($I$86,3)</f>
        <v>0</v>
      </c>
      <c r="P48" s="329">
        <f t="shared" ref="P48:T48" si="49">ROUND($I$86,3)</f>
        <v>0</v>
      </c>
      <c r="Q48" s="329">
        <f t="shared" si="49"/>
        <v>0</v>
      </c>
      <c r="R48" s="329">
        <f t="shared" si="49"/>
        <v>0</v>
      </c>
      <c r="S48" s="329">
        <f t="shared" si="49"/>
        <v>0</v>
      </c>
      <c r="T48" s="329">
        <f t="shared" si="49"/>
        <v>0</v>
      </c>
      <c r="U48" s="2298"/>
      <c r="V48" s="159"/>
      <c r="W48" s="159"/>
      <c r="X48" s="159"/>
      <c r="Y48" s="159"/>
      <c r="Z48" s="159"/>
    </row>
    <row r="49" spans="1:26" s="158" customFormat="1" ht="23.25" customHeight="1">
      <c r="A49" s="4528">
        <v>5</v>
      </c>
      <c r="B49" s="338" t="s">
        <v>1914</v>
      </c>
      <c r="C49" s="676">
        <f>C45+C46+C47+C48</f>
        <v>0</v>
      </c>
      <c r="D49" s="676">
        <f t="shared" ref="D49:H49" si="50">D45+D46+D47+D48</f>
        <v>314404</v>
      </c>
      <c r="E49" s="676">
        <f t="shared" si="50"/>
        <v>285584</v>
      </c>
      <c r="F49" s="676">
        <f t="shared" si="50"/>
        <v>247857</v>
      </c>
      <c r="G49" s="676">
        <f t="shared" si="50"/>
        <v>225074</v>
      </c>
      <c r="H49" s="676">
        <f t="shared" si="50"/>
        <v>209429</v>
      </c>
      <c r="I49" s="676">
        <f>I45+I46+I47+I48</f>
        <v>0</v>
      </c>
      <c r="J49" s="676">
        <f t="shared" ref="J49:N49" si="51">J45+J46+J47+J48</f>
        <v>117.50975261600001</v>
      </c>
      <c r="K49" s="676">
        <f t="shared" si="51"/>
        <v>106.73816233600002</v>
      </c>
      <c r="L49" s="676">
        <f t="shared" si="51"/>
        <v>92.637545177999996</v>
      </c>
      <c r="M49" s="676">
        <f t="shared" si="51"/>
        <v>84.122307796000001</v>
      </c>
      <c r="N49" s="676">
        <f t="shared" si="51"/>
        <v>78.274926466000011</v>
      </c>
      <c r="O49" s="330">
        <f t="shared" ref="O49:T49" si="52">IFERROR((I49*1000)/(C49/1000),0)</f>
        <v>0</v>
      </c>
      <c r="P49" s="330">
        <f t="shared" si="52"/>
        <v>373.75400000000002</v>
      </c>
      <c r="Q49" s="330">
        <f t="shared" si="52"/>
        <v>373.75400000000008</v>
      </c>
      <c r="R49" s="330">
        <f t="shared" si="52"/>
        <v>373.75400000000002</v>
      </c>
      <c r="S49" s="330">
        <f t="shared" si="52"/>
        <v>373.75400000000002</v>
      </c>
      <c r="T49" s="330">
        <f t="shared" si="52"/>
        <v>373.75400000000002</v>
      </c>
      <c r="U49" s="2298"/>
      <c r="V49" s="159"/>
      <c r="W49" s="159"/>
      <c r="X49" s="159"/>
      <c r="Y49" s="159"/>
      <c r="Z49" s="159"/>
    </row>
    <row r="50" spans="1:26" s="158" customFormat="1" ht="23.25" customHeight="1">
      <c r="A50" s="4529">
        <v>6</v>
      </c>
      <c r="B50" s="107" t="s">
        <v>355</v>
      </c>
      <c r="C50" s="677"/>
      <c r="D50" s="678">
        <f t="shared" ref="D50:H50" si="53">D49-C49</f>
        <v>314404</v>
      </c>
      <c r="E50" s="678">
        <f t="shared" si="53"/>
        <v>-28820</v>
      </c>
      <c r="F50" s="678">
        <f t="shared" si="53"/>
        <v>-37727</v>
      </c>
      <c r="G50" s="678">
        <f t="shared" si="53"/>
        <v>-22783</v>
      </c>
      <c r="H50" s="678">
        <f t="shared" si="53"/>
        <v>-15645</v>
      </c>
      <c r="I50" s="677"/>
      <c r="J50" s="678">
        <f t="shared" ref="J50:N50" si="54">J49-I49</f>
        <v>117.50975261600001</v>
      </c>
      <c r="K50" s="678">
        <f t="shared" si="54"/>
        <v>-10.771590279999998</v>
      </c>
      <c r="L50" s="678">
        <f t="shared" si="54"/>
        <v>-14.10061715800002</v>
      </c>
      <c r="M50" s="678">
        <f t="shared" si="54"/>
        <v>-8.5152373819999951</v>
      </c>
      <c r="N50" s="678">
        <f t="shared" si="54"/>
        <v>-5.8473813299999904</v>
      </c>
      <c r="O50" s="331"/>
      <c r="P50" s="654">
        <f t="shared" ref="P50:T50" si="55">P49-O49</f>
        <v>373.75400000000002</v>
      </c>
      <c r="Q50" s="654">
        <f t="shared" si="55"/>
        <v>0</v>
      </c>
      <c r="R50" s="654">
        <f t="shared" si="55"/>
        <v>0</v>
      </c>
      <c r="S50" s="654">
        <f t="shared" si="55"/>
        <v>0</v>
      </c>
      <c r="T50" s="654">
        <f t="shared" si="55"/>
        <v>0</v>
      </c>
      <c r="U50" s="4530"/>
      <c r="V50" s="159"/>
      <c r="W50" s="159"/>
      <c r="X50" s="159"/>
      <c r="Y50" s="159"/>
      <c r="Z50" s="159"/>
    </row>
    <row r="51" spans="1:26" s="158" customFormat="1" ht="23.25" customHeight="1">
      <c r="A51" s="4696">
        <v>7</v>
      </c>
      <c r="B51" s="336" t="s">
        <v>1846</v>
      </c>
      <c r="C51" s="333">
        <f>IFERROR(C49/'4. Отчет и прогн. потребление'!D62,0)</f>
        <v>0</v>
      </c>
      <c r="D51" s="333">
        <f>IFERROR(D49/'4. Отчет и прогн. потребление'!E62,0)</f>
        <v>0.23061917109942356</v>
      </c>
      <c r="E51" s="333">
        <f>IFERROR(E49/'4. Отчет и прогн. потребление'!F62,0)</f>
        <v>0.211930700729901</v>
      </c>
      <c r="F51" s="333">
        <f>IFERROR(F49/'4. Отчет и прогн. потребление'!G62,0)</f>
        <v>0.18611154934802071</v>
      </c>
      <c r="G51" s="333">
        <f>IFERROR(G49/'4. Отчет и прогн. потребление'!H62,0)</f>
        <v>0.17102928965886693</v>
      </c>
      <c r="H51" s="333">
        <f>IFERROR(H49/'4. Отчет и прогн. потребление'!I62,0)</f>
        <v>0.16104823649319996</v>
      </c>
      <c r="I51" s="4697"/>
      <c r="J51" s="331"/>
      <c r="K51" s="331"/>
      <c r="L51" s="331"/>
      <c r="M51" s="331"/>
      <c r="N51" s="331"/>
      <c r="O51" s="4698"/>
      <c r="P51" s="331"/>
      <c r="Q51" s="331"/>
      <c r="R51" s="331"/>
      <c r="S51" s="331"/>
      <c r="T51" s="331"/>
      <c r="U51" s="4699"/>
      <c r="V51" s="159"/>
      <c r="W51" s="159"/>
      <c r="X51" s="159"/>
      <c r="Y51" s="159"/>
      <c r="Z51" s="159"/>
    </row>
    <row r="52" spans="1:26" s="158" customFormat="1" ht="25.5" customHeight="1" thickBot="1">
      <c r="A52" s="4532">
        <v>8</v>
      </c>
      <c r="B52" s="4533" t="s">
        <v>1847</v>
      </c>
      <c r="C52" s="4700">
        <f>IFERROR(C49/'4. Отчет и прогн. потребление'!D69,0)</f>
        <v>0</v>
      </c>
      <c r="D52" s="4700">
        <f>IFERROR(D49/'4. Отчет и прогн. потребление'!E69,0)</f>
        <v>0.23061917109942356</v>
      </c>
      <c r="E52" s="4700">
        <f>IFERROR(E49/'4. Отчет и прогн. потребление'!F69,0)</f>
        <v>0.211930700729901</v>
      </c>
      <c r="F52" s="4700">
        <f>IFERROR(F49/'4. Отчет и прогн. потребление'!G69,0)</f>
        <v>0.18611154934802071</v>
      </c>
      <c r="G52" s="4700">
        <f>IFERROR(G49/'4. Отчет и прогн. потребление'!H69,0)</f>
        <v>0.17102928965886693</v>
      </c>
      <c r="H52" s="4700">
        <f>IFERROR(H49/'4. Отчет и прогн. потребление'!I69,0)</f>
        <v>0.16104823649319996</v>
      </c>
      <c r="I52" s="459"/>
      <c r="J52" s="459"/>
      <c r="K52" s="459"/>
      <c r="L52" s="459"/>
      <c r="M52" s="459"/>
      <c r="N52" s="459"/>
      <c r="O52" s="459"/>
      <c r="P52" s="459"/>
      <c r="Q52" s="459"/>
      <c r="R52" s="459"/>
      <c r="S52" s="459"/>
      <c r="T52" s="459"/>
      <c r="U52" s="460"/>
      <c r="V52" s="159"/>
      <c r="W52" s="159"/>
      <c r="X52" s="159"/>
      <c r="Y52" s="159"/>
      <c r="Z52" s="159"/>
    </row>
    <row r="53" spans="1:26" s="158" customFormat="1" ht="23.25" customHeight="1" thickBot="1">
      <c r="A53" s="481"/>
      <c r="B53" s="482"/>
      <c r="C53" s="337"/>
      <c r="D53" s="335"/>
      <c r="E53" s="335"/>
      <c r="F53" s="335"/>
      <c r="G53" s="335"/>
      <c r="H53" s="335"/>
      <c r="I53" s="483"/>
      <c r="J53" s="483"/>
      <c r="K53" s="483"/>
      <c r="L53" s="483"/>
      <c r="M53" s="483"/>
      <c r="N53" s="483"/>
      <c r="O53" s="334"/>
      <c r="P53" s="335"/>
      <c r="Q53" s="335"/>
      <c r="R53" s="335"/>
      <c r="S53" s="335"/>
      <c r="T53" s="335"/>
      <c r="U53" s="483"/>
      <c r="V53" s="159"/>
      <c r="W53" s="159"/>
      <c r="X53" s="159"/>
      <c r="Y53" s="159"/>
      <c r="Z53" s="159"/>
    </row>
    <row r="54" spans="1:26" s="158" customFormat="1" ht="23.25" customHeight="1">
      <c r="A54" s="5302" t="s">
        <v>1</v>
      </c>
      <c r="B54" s="5299" t="s">
        <v>1910</v>
      </c>
      <c r="C54" s="5299" t="s">
        <v>1102</v>
      </c>
      <c r="D54" s="5299"/>
      <c r="E54" s="5299"/>
      <c r="F54" s="5299"/>
      <c r="G54" s="5299"/>
      <c r="H54" s="5299"/>
      <c r="I54" s="5299"/>
      <c r="J54" s="5299"/>
      <c r="K54" s="5299"/>
      <c r="L54" s="5299"/>
      <c r="M54" s="5299"/>
      <c r="N54" s="5299"/>
      <c r="O54" s="5299"/>
      <c r="P54" s="5299"/>
      <c r="Q54" s="5299"/>
      <c r="R54" s="5299"/>
      <c r="S54" s="5299"/>
      <c r="T54" s="5299"/>
      <c r="U54" s="5300"/>
      <c r="V54" s="159"/>
      <c r="W54" s="159"/>
      <c r="X54" s="159"/>
      <c r="Y54" s="159"/>
      <c r="Z54" s="159"/>
    </row>
    <row r="55" spans="1:26" s="158" customFormat="1" ht="23.25" customHeight="1">
      <c r="A55" s="5303"/>
      <c r="B55" s="5305"/>
      <c r="C55" s="5296" t="s">
        <v>353</v>
      </c>
      <c r="D55" s="5296"/>
      <c r="E55" s="5296"/>
      <c r="F55" s="5296"/>
      <c r="G55" s="5296"/>
      <c r="H55" s="5296"/>
      <c r="I55" s="5296" t="s">
        <v>919</v>
      </c>
      <c r="J55" s="5296"/>
      <c r="K55" s="5296"/>
      <c r="L55" s="5296"/>
      <c r="M55" s="5296"/>
      <c r="N55" s="5296"/>
      <c r="O55" s="5292" t="s">
        <v>1929</v>
      </c>
      <c r="P55" s="5293"/>
      <c r="Q55" s="5293"/>
      <c r="R55" s="5293"/>
      <c r="S55" s="5293"/>
      <c r="T55" s="5293"/>
      <c r="U55" s="5294" t="s">
        <v>1260</v>
      </c>
      <c r="V55" s="159"/>
      <c r="W55" s="159"/>
      <c r="X55" s="159"/>
      <c r="Y55" s="159"/>
      <c r="Z55" s="159"/>
    </row>
    <row r="56" spans="1:26" s="158" customFormat="1" ht="23.25" customHeight="1" thickBot="1">
      <c r="A56" s="5304"/>
      <c r="B56" s="5306"/>
      <c r="C56" s="168" t="str">
        <f>'Приложение '!C12</f>
        <v>2020 г.</v>
      </c>
      <c r="D56" s="168" t="str">
        <f>'Приложение '!C14</f>
        <v>2022 г.</v>
      </c>
      <c r="E56" s="168" t="str">
        <f>'Приложение '!C15</f>
        <v>2023 г.</v>
      </c>
      <c r="F56" s="168" t="str">
        <f>'Приложение '!C16</f>
        <v>2024 г.</v>
      </c>
      <c r="G56" s="168" t="str">
        <f>'Приложение '!C17</f>
        <v>2025 г.</v>
      </c>
      <c r="H56" s="168" t="str">
        <f>'Приложение '!C18</f>
        <v>2026 г.</v>
      </c>
      <c r="I56" s="168" t="str">
        <f t="shared" ref="I56:T56" si="56">C56</f>
        <v>2020 г.</v>
      </c>
      <c r="J56" s="168" t="str">
        <f t="shared" si="56"/>
        <v>2022 г.</v>
      </c>
      <c r="K56" s="168" t="str">
        <f t="shared" si="56"/>
        <v>2023 г.</v>
      </c>
      <c r="L56" s="168" t="str">
        <f t="shared" si="56"/>
        <v>2024 г.</v>
      </c>
      <c r="M56" s="168" t="str">
        <f t="shared" si="56"/>
        <v>2025 г.</v>
      </c>
      <c r="N56" s="168" t="str">
        <f t="shared" si="56"/>
        <v>2026 г.</v>
      </c>
      <c r="O56" s="168" t="str">
        <f t="shared" si="56"/>
        <v>2020 г.</v>
      </c>
      <c r="P56" s="168" t="str">
        <f t="shared" si="56"/>
        <v>2022 г.</v>
      </c>
      <c r="Q56" s="168" t="str">
        <f t="shared" si="56"/>
        <v>2023 г.</v>
      </c>
      <c r="R56" s="168" t="str">
        <f t="shared" si="56"/>
        <v>2024 г.</v>
      </c>
      <c r="S56" s="168" t="str">
        <f t="shared" si="56"/>
        <v>2025 г.</v>
      </c>
      <c r="T56" s="168" t="str">
        <f t="shared" si="56"/>
        <v>2026 г.</v>
      </c>
      <c r="U56" s="5295"/>
      <c r="V56" s="159"/>
      <c r="W56" s="159"/>
      <c r="X56" s="159"/>
      <c r="Y56" s="159"/>
      <c r="Z56" s="159"/>
    </row>
    <row r="57" spans="1:26" s="158" customFormat="1" ht="23.25" customHeight="1">
      <c r="A57" s="4558">
        <v>1</v>
      </c>
      <c r="B57" s="4559" t="s">
        <v>1909</v>
      </c>
      <c r="C57" s="4564"/>
      <c r="D57" s="4565"/>
      <c r="E57" s="4565"/>
      <c r="F57" s="4565"/>
      <c r="G57" s="4565"/>
      <c r="H57" s="4565"/>
      <c r="I57" s="4564"/>
      <c r="J57" s="4566">
        <f t="shared" ref="J57:N59" si="57">IF($I57=0,+D57*$U57/1000000,+D57*$I57/$C57)</f>
        <v>0</v>
      </c>
      <c r="K57" s="4566">
        <f t="shared" si="57"/>
        <v>0</v>
      </c>
      <c r="L57" s="4566">
        <f t="shared" si="57"/>
        <v>0</v>
      </c>
      <c r="M57" s="4566">
        <f t="shared" si="57"/>
        <v>0</v>
      </c>
      <c r="N57" s="4566">
        <f t="shared" si="57"/>
        <v>0</v>
      </c>
      <c r="O57" s="4561">
        <f t="shared" ref="O57:T59" si="58">ROUND((IFERROR((I57*1000)/(C57/1000),0)),3)</f>
        <v>0</v>
      </c>
      <c r="P57" s="4561">
        <f t="shared" si="58"/>
        <v>0</v>
      </c>
      <c r="Q57" s="4561">
        <f t="shared" si="58"/>
        <v>0</v>
      </c>
      <c r="R57" s="4561">
        <f t="shared" si="58"/>
        <v>0</v>
      </c>
      <c r="S57" s="4561">
        <f t="shared" si="58"/>
        <v>0</v>
      </c>
      <c r="T57" s="4561">
        <f t="shared" si="58"/>
        <v>0</v>
      </c>
      <c r="U57" s="662"/>
      <c r="V57" s="159"/>
      <c r="W57" s="159"/>
      <c r="X57" s="159"/>
      <c r="Y57" s="159"/>
      <c r="Z57" s="159"/>
    </row>
    <row r="58" spans="1:26" s="158" customFormat="1" ht="23.25" customHeight="1">
      <c r="A58" s="3762">
        <v>2</v>
      </c>
      <c r="B58" s="107" t="s">
        <v>1911</v>
      </c>
      <c r="C58" s="674"/>
      <c r="D58" s="675"/>
      <c r="E58" s="674"/>
      <c r="F58" s="675"/>
      <c r="G58" s="675"/>
      <c r="H58" s="674"/>
      <c r="I58" s="674"/>
      <c r="J58" s="2210">
        <f t="shared" si="57"/>
        <v>0</v>
      </c>
      <c r="K58" s="2210">
        <f t="shared" si="57"/>
        <v>0</v>
      </c>
      <c r="L58" s="2210">
        <f t="shared" si="57"/>
        <v>0</v>
      </c>
      <c r="M58" s="2210">
        <f t="shared" si="57"/>
        <v>0</v>
      </c>
      <c r="N58" s="2210">
        <f t="shared" si="57"/>
        <v>0</v>
      </c>
      <c r="O58" s="329">
        <f t="shared" si="58"/>
        <v>0</v>
      </c>
      <c r="P58" s="329">
        <f t="shared" si="58"/>
        <v>0</v>
      </c>
      <c r="Q58" s="329">
        <f t="shared" si="58"/>
        <v>0</v>
      </c>
      <c r="R58" s="329">
        <f t="shared" si="58"/>
        <v>0</v>
      </c>
      <c r="S58" s="329">
        <f t="shared" si="58"/>
        <v>0</v>
      </c>
      <c r="T58" s="329">
        <f t="shared" si="58"/>
        <v>0</v>
      </c>
      <c r="U58" s="659"/>
      <c r="V58" s="159"/>
      <c r="W58" s="159"/>
      <c r="X58" s="159"/>
      <c r="Y58" s="159"/>
      <c r="Z58" s="159"/>
    </row>
    <row r="59" spans="1:26" s="158" customFormat="1" ht="23.25" customHeight="1">
      <c r="A59" s="3762">
        <v>3</v>
      </c>
      <c r="B59" s="107" t="s">
        <v>1912</v>
      </c>
      <c r="C59" s="674"/>
      <c r="D59" s="675"/>
      <c r="E59" s="674"/>
      <c r="F59" s="675"/>
      <c r="G59" s="675"/>
      <c r="H59" s="674"/>
      <c r="I59" s="674"/>
      <c r="J59" s="2210">
        <f t="shared" si="57"/>
        <v>0</v>
      </c>
      <c r="K59" s="2210">
        <f t="shared" si="57"/>
        <v>0</v>
      </c>
      <c r="L59" s="2210">
        <f t="shared" si="57"/>
        <v>0</v>
      </c>
      <c r="M59" s="2210">
        <f t="shared" si="57"/>
        <v>0</v>
      </c>
      <c r="N59" s="2210">
        <f t="shared" si="57"/>
        <v>0</v>
      </c>
      <c r="O59" s="329">
        <f t="shared" si="58"/>
        <v>0</v>
      </c>
      <c r="P59" s="329">
        <f t="shared" si="58"/>
        <v>0</v>
      </c>
      <c r="Q59" s="329">
        <f t="shared" si="58"/>
        <v>0</v>
      </c>
      <c r="R59" s="329">
        <f t="shared" si="58"/>
        <v>0</v>
      </c>
      <c r="S59" s="329">
        <f t="shared" si="58"/>
        <v>0</v>
      </c>
      <c r="T59" s="329">
        <f t="shared" si="58"/>
        <v>0</v>
      </c>
      <c r="U59" s="659"/>
      <c r="V59" s="159"/>
      <c r="W59" s="159"/>
      <c r="X59" s="159"/>
      <c r="Y59" s="159"/>
      <c r="Z59" s="159"/>
    </row>
    <row r="60" spans="1:26" s="158" customFormat="1" ht="23.25" customHeight="1">
      <c r="A60" s="4538">
        <v>4</v>
      </c>
      <c r="B60" s="699" t="s">
        <v>1916</v>
      </c>
      <c r="C60" s="674"/>
      <c r="D60" s="675"/>
      <c r="E60" s="674"/>
      <c r="F60" s="675"/>
      <c r="G60" s="675"/>
      <c r="H60" s="674"/>
      <c r="I60" s="2210">
        <f>(C60*O60)/1000000</f>
        <v>0</v>
      </c>
      <c r="J60" s="2210">
        <f>(D60*P60)/1000000</f>
        <v>0</v>
      </c>
      <c r="K60" s="2210">
        <f t="shared" ref="K60" si="59">(E60*Q60)/1000000</f>
        <v>0</v>
      </c>
      <c r="L60" s="2210">
        <f t="shared" ref="L60" si="60">(F60*R60)/1000000</f>
        <v>0</v>
      </c>
      <c r="M60" s="2210">
        <f t="shared" ref="M60" si="61">(G60*S60)/1000000</f>
        <v>0</v>
      </c>
      <c r="N60" s="2210">
        <f t="shared" ref="N60" si="62">(H60*T60)/1000000</f>
        <v>0</v>
      </c>
      <c r="O60" s="329">
        <f>ROUND($L$86,3)</f>
        <v>0</v>
      </c>
      <c r="P60" s="329">
        <f t="shared" ref="P60:T60" si="63">ROUND($L$86,3)</f>
        <v>0</v>
      </c>
      <c r="Q60" s="329">
        <f t="shared" si="63"/>
        <v>0</v>
      </c>
      <c r="R60" s="329">
        <f t="shared" si="63"/>
        <v>0</v>
      </c>
      <c r="S60" s="329">
        <f t="shared" si="63"/>
        <v>0</v>
      </c>
      <c r="T60" s="329">
        <f t="shared" si="63"/>
        <v>0</v>
      </c>
      <c r="U60" s="2298"/>
      <c r="V60" s="159"/>
      <c r="W60" s="159"/>
      <c r="X60" s="159"/>
      <c r="Y60" s="159"/>
      <c r="Z60" s="159"/>
    </row>
    <row r="61" spans="1:26" s="158" customFormat="1" ht="23.25" customHeight="1">
      <c r="A61" s="4528">
        <v>5</v>
      </c>
      <c r="B61" s="338" t="s">
        <v>1914</v>
      </c>
      <c r="C61" s="676">
        <f>C57+C58+C59+C60</f>
        <v>0</v>
      </c>
      <c r="D61" s="676">
        <f t="shared" ref="D61:H61" si="64">D57+D58+D59+D60</f>
        <v>0</v>
      </c>
      <c r="E61" s="676">
        <f t="shared" si="64"/>
        <v>0</v>
      </c>
      <c r="F61" s="676">
        <f t="shared" si="64"/>
        <v>0</v>
      </c>
      <c r="G61" s="676">
        <f t="shared" si="64"/>
        <v>0</v>
      </c>
      <c r="H61" s="676">
        <f t="shared" si="64"/>
        <v>0</v>
      </c>
      <c r="I61" s="676">
        <f>I57+I58+I59+I60</f>
        <v>0</v>
      </c>
      <c r="J61" s="676">
        <f t="shared" ref="J61:N61" si="65">J57+J58+J59+J60</f>
        <v>0</v>
      </c>
      <c r="K61" s="676">
        <f t="shared" si="65"/>
        <v>0</v>
      </c>
      <c r="L61" s="676">
        <f t="shared" si="65"/>
        <v>0</v>
      </c>
      <c r="M61" s="676">
        <f t="shared" si="65"/>
        <v>0</v>
      </c>
      <c r="N61" s="676">
        <f t="shared" si="65"/>
        <v>0</v>
      </c>
      <c r="O61" s="330">
        <f t="shared" ref="O61:T61" si="66">IFERROR((I61*1000)/(C61/1000),0)</f>
        <v>0</v>
      </c>
      <c r="P61" s="330">
        <f t="shared" si="66"/>
        <v>0</v>
      </c>
      <c r="Q61" s="330">
        <f t="shared" si="66"/>
        <v>0</v>
      </c>
      <c r="R61" s="330">
        <f t="shared" si="66"/>
        <v>0</v>
      </c>
      <c r="S61" s="330">
        <f t="shared" si="66"/>
        <v>0</v>
      </c>
      <c r="T61" s="330">
        <f t="shared" si="66"/>
        <v>0</v>
      </c>
      <c r="U61" s="2298"/>
      <c r="V61" s="159"/>
      <c r="W61" s="159"/>
      <c r="X61" s="159"/>
      <c r="Y61" s="159"/>
      <c r="Z61" s="159"/>
    </row>
    <row r="62" spans="1:26" s="158" customFormat="1" ht="23.25" customHeight="1">
      <c r="A62" s="4529">
        <v>6</v>
      </c>
      <c r="B62" s="107" t="s">
        <v>355</v>
      </c>
      <c r="C62" s="677"/>
      <c r="D62" s="678">
        <f>D61-C61</f>
        <v>0</v>
      </c>
      <c r="E62" s="678">
        <f t="shared" ref="E62:H62" si="67">E61-D61</f>
        <v>0</v>
      </c>
      <c r="F62" s="678">
        <f t="shared" si="67"/>
        <v>0</v>
      </c>
      <c r="G62" s="678">
        <f t="shared" si="67"/>
        <v>0</v>
      </c>
      <c r="H62" s="678">
        <f t="shared" si="67"/>
        <v>0</v>
      </c>
      <c r="I62" s="677"/>
      <c r="J62" s="678">
        <f t="shared" ref="J62:N62" si="68">J61-I61</f>
        <v>0</v>
      </c>
      <c r="K62" s="678">
        <f>K61-J61</f>
        <v>0</v>
      </c>
      <c r="L62" s="678">
        <f t="shared" si="68"/>
        <v>0</v>
      </c>
      <c r="M62" s="678">
        <f t="shared" si="68"/>
        <v>0</v>
      </c>
      <c r="N62" s="678">
        <f t="shared" si="68"/>
        <v>0</v>
      </c>
      <c r="O62" s="331"/>
      <c r="P62" s="654">
        <f t="shared" ref="P62:T62" si="69">P61-O61</f>
        <v>0</v>
      </c>
      <c r="Q62" s="654">
        <f t="shared" si="69"/>
        <v>0</v>
      </c>
      <c r="R62" s="654">
        <f t="shared" si="69"/>
        <v>0</v>
      </c>
      <c r="S62" s="654">
        <f t="shared" si="69"/>
        <v>0</v>
      </c>
      <c r="T62" s="654">
        <f t="shared" si="69"/>
        <v>0</v>
      </c>
      <c r="U62" s="4530"/>
      <c r="V62" s="159"/>
      <c r="W62" s="159"/>
      <c r="X62" s="159"/>
      <c r="Y62" s="159"/>
      <c r="Z62" s="159"/>
    </row>
    <row r="63" spans="1:26" s="158" customFormat="1" ht="23.25" customHeight="1">
      <c r="A63" s="4696">
        <v>7</v>
      </c>
      <c r="B63" s="336" t="s">
        <v>1846</v>
      </c>
      <c r="C63" s="333">
        <f>IFERROR(C61/'4. Отчет и прогн. потребление'!D93,0)</f>
        <v>0</v>
      </c>
      <c r="D63" s="333">
        <f>IFERROR(D61/'4. Отчет и прогн. потребление'!E93,0)</f>
        <v>0</v>
      </c>
      <c r="E63" s="333">
        <f>IFERROR(E61/'4. Отчет и прогн. потребление'!F93,0)</f>
        <v>0</v>
      </c>
      <c r="F63" s="333">
        <f>IFERROR(F61/'4. Отчет и прогн. потребление'!G93,0)</f>
        <v>0</v>
      </c>
      <c r="G63" s="333">
        <f>IFERROR(G61/'4. Отчет и прогн. потребление'!H93,0)</f>
        <v>0</v>
      </c>
      <c r="H63" s="333">
        <f>IFERROR(H61/'4. Отчет и прогн. потребление'!I93,0)</f>
        <v>0</v>
      </c>
      <c r="I63" s="4697"/>
      <c r="J63" s="331"/>
      <c r="K63" s="331"/>
      <c r="L63" s="331"/>
      <c r="M63" s="331"/>
      <c r="N63" s="331"/>
      <c r="O63" s="4698"/>
      <c r="P63" s="331"/>
      <c r="Q63" s="331"/>
      <c r="R63" s="331"/>
      <c r="S63" s="331"/>
      <c r="T63" s="331"/>
      <c r="U63" s="4699"/>
      <c r="V63" s="159"/>
      <c r="W63" s="159"/>
      <c r="X63" s="159"/>
      <c r="Y63" s="159"/>
      <c r="Z63" s="159"/>
    </row>
    <row r="64" spans="1:26" s="158" customFormat="1" ht="24.75" customHeight="1" thickBot="1">
      <c r="A64" s="4532">
        <v>8</v>
      </c>
      <c r="B64" s="4533" t="s">
        <v>1847</v>
      </c>
      <c r="C64" s="4700">
        <f>IFERROR(C61/'4. Отчет и прогн. потребление'!D100,0)</f>
        <v>0</v>
      </c>
      <c r="D64" s="4700">
        <f>IFERROR(D61/'4. Отчет и прогн. потребление'!E100,0)</f>
        <v>0</v>
      </c>
      <c r="E64" s="4700">
        <f>IFERROR(E61/'4. Отчет и прогн. потребление'!F100,0)</f>
        <v>0</v>
      </c>
      <c r="F64" s="4700">
        <f>IFERROR(F61/'4. Отчет и прогн. потребление'!G100,0)</f>
        <v>0</v>
      </c>
      <c r="G64" s="4700">
        <f>IFERROR(G61/'4. Отчет и прогн. потребление'!H100,0)</f>
        <v>0</v>
      </c>
      <c r="H64" s="4700">
        <f>IFERROR(H61/'4. Отчет и прогн. потребление'!I100,0)</f>
        <v>0</v>
      </c>
      <c r="I64" s="459"/>
      <c r="J64" s="459"/>
      <c r="K64" s="459"/>
      <c r="L64" s="459"/>
      <c r="M64" s="459"/>
      <c r="N64" s="459"/>
      <c r="O64" s="459"/>
      <c r="P64" s="459"/>
      <c r="Q64" s="459"/>
      <c r="R64" s="459"/>
      <c r="S64" s="459"/>
      <c r="T64" s="459"/>
      <c r="U64" s="460"/>
      <c r="V64" s="159"/>
      <c r="W64" s="159"/>
      <c r="X64" s="159"/>
      <c r="Y64" s="159"/>
      <c r="Z64" s="159"/>
    </row>
    <row r="65" spans="1:26" s="158" customFormat="1" ht="23.25" customHeight="1" thickBot="1">
      <c r="A65" s="481"/>
      <c r="B65" s="482"/>
      <c r="C65" s="337"/>
      <c r="D65" s="335"/>
      <c r="E65" s="335"/>
      <c r="F65" s="335"/>
      <c r="G65" s="335"/>
      <c r="H65" s="335"/>
      <c r="I65" s="483"/>
      <c r="J65" s="483"/>
      <c r="K65" s="483"/>
      <c r="L65" s="483"/>
      <c r="M65" s="483"/>
      <c r="N65" s="483"/>
      <c r="O65" s="334"/>
      <c r="P65" s="335"/>
      <c r="Q65" s="335"/>
      <c r="R65" s="335"/>
      <c r="S65" s="335"/>
      <c r="T65" s="335"/>
      <c r="U65" s="483"/>
      <c r="V65" s="159"/>
      <c r="W65" s="159"/>
      <c r="X65" s="159"/>
      <c r="Y65" s="159"/>
      <c r="Z65" s="159"/>
    </row>
    <row r="66" spans="1:26" ht="23.25" customHeight="1">
      <c r="A66" s="5302" t="s">
        <v>1</v>
      </c>
      <c r="B66" s="5299" t="s">
        <v>1910</v>
      </c>
      <c r="C66" s="5299" t="s">
        <v>1930</v>
      </c>
      <c r="D66" s="5299"/>
      <c r="E66" s="5299"/>
      <c r="F66" s="5299"/>
      <c r="G66" s="5299"/>
      <c r="H66" s="5299"/>
      <c r="I66" s="5299"/>
      <c r="J66" s="5299"/>
      <c r="K66" s="5299"/>
      <c r="L66" s="5299"/>
      <c r="M66" s="5299"/>
      <c r="N66" s="5299"/>
      <c r="O66" s="5299"/>
      <c r="P66" s="5299"/>
      <c r="Q66" s="5299"/>
      <c r="R66" s="5299"/>
      <c r="S66" s="5299"/>
      <c r="T66" s="5299"/>
      <c r="U66" s="5300"/>
    </row>
    <row r="67" spans="1:26" ht="24.75" customHeight="1">
      <c r="A67" s="5303"/>
      <c r="B67" s="5305"/>
      <c r="C67" s="5296" t="s">
        <v>353</v>
      </c>
      <c r="D67" s="5296"/>
      <c r="E67" s="5296"/>
      <c r="F67" s="5296"/>
      <c r="G67" s="5296"/>
      <c r="H67" s="5296"/>
      <c r="I67" s="5296" t="s">
        <v>919</v>
      </c>
      <c r="J67" s="5296"/>
      <c r="K67" s="5296"/>
      <c r="L67" s="5296"/>
      <c r="M67" s="5296"/>
      <c r="N67" s="5296"/>
      <c r="O67" s="5292" t="s">
        <v>1929</v>
      </c>
      <c r="P67" s="5293"/>
      <c r="Q67" s="5293"/>
      <c r="R67" s="5293"/>
      <c r="S67" s="5293"/>
      <c r="T67" s="5293"/>
      <c r="U67" s="5294" t="s">
        <v>1260</v>
      </c>
    </row>
    <row r="68" spans="1:26" ht="26.25" customHeight="1" thickBot="1">
      <c r="A68" s="5304"/>
      <c r="B68" s="5306"/>
      <c r="C68" s="168" t="str">
        <f t="shared" ref="C68:H68" si="70">C32</f>
        <v>2020 г.</v>
      </c>
      <c r="D68" s="168" t="str">
        <f t="shared" si="70"/>
        <v>2022 г.</v>
      </c>
      <c r="E68" s="168" t="str">
        <f t="shared" si="70"/>
        <v>2023 г.</v>
      </c>
      <c r="F68" s="168" t="str">
        <f t="shared" si="70"/>
        <v>2024 г.</v>
      </c>
      <c r="G68" s="168" t="str">
        <f t="shared" si="70"/>
        <v>2025 г.</v>
      </c>
      <c r="H68" s="168" t="str">
        <f t="shared" si="70"/>
        <v>2026 г.</v>
      </c>
      <c r="I68" s="168" t="str">
        <f t="shared" ref="I68:T68" si="71">C68</f>
        <v>2020 г.</v>
      </c>
      <c r="J68" s="168" t="str">
        <f t="shared" si="71"/>
        <v>2022 г.</v>
      </c>
      <c r="K68" s="168" t="str">
        <f t="shared" si="71"/>
        <v>2023 г.</v>
      </c>
      <c r="L68" s="168" t="str">
        <f t="shared" si="71"/>
        <v>2024 г.</v>
      </c>
      <c r="M68" s="168" t="str">
        <f t="shared" si="71"/>
        <v>2025 г.</v>
      </c>
      <c r="N68" s="168" t="str">
        <f t="shared" si="71"/>
        <v>2026 г.</v>
      </c>
      <c r="O68" s="168" t="str">
        <f t="shared" si="71"/>
        <v>2020 г.</v>
      </c>
      <c r="P68" s="168" t="str">
        <f t="shared" si="71"/>
        <v>2022 г.</v>
      </c>
      <c r="Q68" s="168" t="str">
        <f t="shared" si="71"/>
        <v>2023 г.</v>
      </c>
      <c r="R68" s="168" t="str">
        <f t="shared" si="71"/>
        <v>2024 г.</v>
      </c>
      <c r="S68" s="168" t="str">
        <f t="shared" si="71"/>
        <v>2025 г.</v>
      </c>
      <c r="T68" s="168" t="str">
        <f t="shared" si="71"/>
        <v>2026 г.</v>
      </c>
      <c r="U68" s="5295"/>
    </row>
    <row r="69" spans="1:26" ht="24" customHeight="1">
      <c r="A69" s="4558">
        <v>1</v>
      </c>
      <c r="B69" s="4559" t="s">
        <v>1909</v>
      </c>
      <c r="C69" s="4560">
        <f t="shared" ref="C69:H70" si="72">C10+C22+C33+C45+C57</f>
        <v>7782227</v>
      </c>
      <c r="D69" s="4560">
        <f t="shared" si="72"/>
        <v>6864479</v>
      </c>
      <c r="E69" s="4560">
        <f>E10+E22+E33+E45+E57</f>
        <v>4963791</v>
      </c>
      <c r="F69" s="4560">
        <f>F10+F22+F33+F45+F57</f>
        <v>4125725</v>
      </c>
      <c r="G69" s="4560">
        <f>G10+G22+G33+G45+G57</f>
        <v>3623752</v>
      </c>
      <c r="H69" s="4560">
        <f>H10+H22+H33+H45+H57</f>
        <v>3297050</v>
      </c>
      <c r="I69" s="4560">
        <f t="shared" ref="I69:N69" si="73">I10+I22+I33+I45+I57</f>
        <v>2908.6379999999999</v>
      </c>
      <c r="J69" s="4560">
        <f t="shared" si="73"/>
        <v>2565.6260884476324</v>
      </c>
      <c r="K69" s="4560">
        <f t="shared" si="73"/>
        <v>1855.7493192126688</v>
      </c>
      <c r="L69" s="4560">
        <f t="shared" si="73"/>
        <v>1542.5173502828357</v>
      </c>
      <c r="M69" s="4560">
        <f t="shared" si="73"/>
        <v>1354.9016621148146</v>
      </c>
      <c r="N69" s="4560">
        <f t="shared" si="73"/>
        <v>1232.7943915969036</v>
      </c>
      <c r="O69" s="4561">
        <f>IFERROR((I69*1000)/(C69/1000),0)</f>
        <v>373.75393958567389</v>
      </c>
      <c r="P69" s="4561">
        <f t="shared" ref="O69:T73" si="74">IFERROR((J69*1000)/(D69/1000),0)</f>
        <v>373.75394235274553</v>
      </c>
      <c r="Q69" s="4561">
        <f t="shared" si="74"/>
        <v>373.85726337242414</v>
      </c>
      <c r="R69" s="4561">
        <f t="shared" si="74"/>
        <v>373.87788819730724</v>
      </c>
      <c r="S69" s="4561">
        <f t="shared" si="74"/>
        <v>373.89469867552049</v>
      </c>
      <c r="T69" s="4562">
        <f t="shared" si="74"/>
        <v>373.90830942718594</v>
      </c>
      <c r="U69" s="4563"/>
    </row>
    <row r="70" spans="1:26" ht="24">
      <c r="A70" s="3762">
        <v>2</v>
      </c>
      <c r="B70" s="107" t="s">
        <v>1911</v>
      </c>
      <c r="C70" s="679">
        <f t="shared" si="72"/>
        <v>1123765</v>
      </c>
      <c r="D70" s="679">
        <f t="shared" si="72"/>
        <v>1020393</v>
      </c>
      <c r="E70" s="679">
        <f t="shared" si="72"/>
        <v>900123</v>
      </c>
      <c r="F70" s="679">
        <f t="shared" si="72"/>
        <v>3047058</v>
      </c>
      <c r="G70" s="679">
        <f t="shared" si="72"/>
        <v>2860716</v>
      </c>
      <c r="H70" s="679">
        <f t="shared" si="72"/>
        <v>2778518</v>
      </c>
      <c r="I70" s="679">
        <f t="shared" ref="I70:N70" si="75">I11+I23+I34+I46+I58</f>
        <v>391.15</v>
      </c>
      <c r="J70" s="679">
        <f t="shared" si="75"/>
        <v>355.16920526088637</v>
      </c>
      <c r="K70" s="679">
        <f t="shared" si="75"/>
        <v>313.30670687376806</v>
      </c>
      <c r="L70" s="679">
        <f t="shared" si="75"/>
        <v>1060.5970606427152</v>
      </c>
      <c r="M70" s="679">
        <f t="shared" si="75"/>
        <v>995.73681557368388</v>
      </c>
      <c r="N70" s="679">
        <f t="shared" si="75"/>
        <v>967.12607605074083</v>
      </c>
      <c r="O70" s="329">
        <f t="shared" si="74"/>
        <v>348.07099349063191</v>
      </c>
      <c r="P70" s="329">
        <f t="shared" si="74"/>
        <v>348.07099349063191</v>
      </c>
      <c r="Q70" s="329">
        <f t="shared" si="74"/>
        <v>348.07099349063191</v>
      </c>
      <c r="R70" s="329">
        <f t="shared" si="74"/>
        <v>348.07248849306939</v>
      </c>
      <c r="S70" s="329">
        <f t="shared" si="74"/>
        <v>348.07258587489423</v>
      </c>
      <c r="T70" s="329">
        <f t="shared" si="74"/>
        <v>348.07263298302934</v>
      </c>
      <c r="U70" s="2298"/>
    </row>
    <row r="71" spans="1:26" ht="24">
      <c r="A71" s="3762">
        <v>3</v>
      </c>
      <c r="B71" s="107" t="s">
        <v>1912</v>
      </c>
      <c r="C71" s="679">
        <f t="shared" ref="C71:N71" si="76">C12+C24+C35+C47+C59</f>
        <v>0</v>
      </c>
      <c r="D71" s="679">
        <f t="shared" si="76"/>
        <v>0</v>
      </c>
      <c r="E71" s="679">
        <f t="shared" si="76"/>
        <v>0</v>
      </c>
      <c r="F71" s="679">
        <f t="shared" si="76"/>
        <v>0</v>
      </c>
      <c r="G71" s="679">
        <f t="shared" si="76"/>
        <v>0</v>
      </c>
      <c r="H71" s="679">
        <f t="shared" si="76"/>
        <v>0</v>
      </c>
      <c r="I71" s="679">
        <f t="shared" si="76"/>
        <v>0</v>
      </c>
      <c r="J71" s="679">
        <f t="shared" si="76"/>
        <v>0</v>
      </c>
      <c r="K71" s="679">
        <f t="shared" si="76"/>
        <v>0</v>
      </c>
      <c r="L71" s="679">
        <f t="shared" si="76"/>
        <v>0</v>
      </c>
      <c r="M71" s="679">
        <f t="shared" si="76"/>
        <v>0</v>
      </c>
      <c r="N71" s="679">
        <f t="shared" si="76"/>
        <v>0</v>
      </c>
      <c r="O71" s="329">
        <f t="shared" si="74"/>
        <v>0</v>
      </c>
      <c r="P71" s="329">
        <f t="shared" si="74"/>
        <v>0</v>
      </c>
      <c r="Q71" s="329">
        <f t="shared" si="74"/>
        <v>0</v>
      </c>
      <c r="R71" s="329">
        <f t="shared" si="74"/>
        <v>0</v>
      </c>
      <c r="S71" s="329">
        <f t="shared" si="74"/>
        <v>0</v>
      </c>
      <c r="T71" s="329">
        <f t="shared" si="74"/>
        <v>0</v>
      </c>
      <c r="U71" s="2298"/>
    </row>
    <row r="72" spans="1:26" ht="24" customHeight="1">
      <c r="A72" s="4538">
        <v>4</v>
      </c>
      <c r="B72" s="699" t="s">
        <v>1915</v>
      </c>
      <c r="C72" s="679">
        <f>C13+C25+C36+C48+C60</f>
        <v>0</v>
      </c>
      <c r="D72" s="679">
        <f t="shared" ref="D72:N72" si="77">D13+D25+D36+D48+D60</f>
        <v>0</v>
      </c>
      <c r="E72" s="679">
        <f t="shared" si="77"/>
        <v>0</v>
      </c>
      <c r="F72" s="679">
        <f t="shared" si="77"/>
        <v>0</v>
      </c>
      <c r="G72" s="679">
        <f t="shared" si="77"/>
        <v>0</v>
      </c>
      <c r="H72" s="679">
        <f t="shared" si="77"/>
        <v>0</v>
      </c>
      <c r="I72" s="679">
        <f>I13+I25+I36+I48+I60</f>
        <v>0</v>
      </c>
      <c r="J72" s="679">
        <f t="shared" si="77"/>
        <v>0</v>
      </c>
      <c r="K72" s="679">
        <f t="shared" si="77"/>
        <v>0</v>
      </c>
      <c r="L72" s="679">
        <f t="shared" si="77"/>
        <v>0</v>
      </c>
      <c r="M72" s="679">
        <f t="shared" si="77"/>
        <v>0</v>
      </c>
      <c r="N72" s="679">
        <f t="shared" si="77"/>
        <v>0</v>
      </c>
      <c r="O72" s="329">
        <f t="shared" si="74"/>
        <v>0</v>
      </c>
      <c r="P72" s="329">
        <f t="shared" si="74"/>
        <v>0</v>
      </c>
      <c r="Q72" s="329">
        <f t="shared" si="74"/>
        <v>0</v>
      </c>
      <c r="R72" s="329">
        <f t="shared" si="74"/>
        <v>0</v>
      </c>
      <c r="S72" s="329">
        <f t="shared" si="74"/>
        <v>0</v>
      </c>
      <c r="T72" s="329">
        <f t="shared" si="74"/>
        <v>0</v>
      </c>
      <c r="U72" s="2298"/>
    </row>
    <row r="73" spans="1:26" ht="24">
      <c r="A73" s="4528">
        <v>5</v>
      </c>
      <c r="B73" s="338" t="s">
        <v>1917</v>
      </c>
      <c r="C73" s="676">
        <f>C69+C70+C71</f>
        <v>8905992</v>
      </c>
      <c r="D73" s="676">
        <f t="shared" ref="D73:N73" si="78">D69+D70+D71</f>
        <v>7884872</v>
      </c>
      <c r="E73" s="676">
        <f t="shared" si="78"/>
        <v>5863914</v>
      </c>
      <c r="F73" s="676">
        <f t="shared" si="78"/>
        <v>7172783</v>
      </c>
      <c r="G73" s="676">
        <f t="shared" si="78"/>
        <v>6484468</v>
      </c>
      <c r="H73" s="676">
        <f t="shared" si="78"/>
        <v>6075568</v>
      </c>
      <c r="I73" s="676">
        <f t="shared" si="78"/>
        <v>3299.788</v>
      </c>
      <c r="J73" s="676">
        <f t="shared" si="78"/>
        <v>2920.7952937085188</v>
      </c>
      <c r="K73" s="676">
        <f t="shared" si="78"/>
        <v>2169.0560260864368</v>
      </c>
      <c r="L73" s="676">
        <f t="shared" si="78"/>
        <v>2603.1144109255511</v>
      </c>
      <c r="M73" s="676">
        <f t="shared" si="78"/>
        <v>2350.6384776884984</v>
      </c>
      <c r="N73" s="676">
        <f t="shared" si="78"/>
        <v>2199.9204676476443</v>
      </c>
      <c r="O73" s="447">
        <f t="shared" si="74"/>
        <v>370.51324546440196</v>
      </c>
      <c r="P73" s="447">
        <f t="shared" si="74"/>
        <v>370.43027378358437</v>
      </c>
      <c r="Q73" s="447">
        <f t="shared" si="74"/>
        <v>369.89901729227898</v>
      </c>
      <c r="R73" s="447">
        <f t="shared" si="74"/>
        <v>362.91553932769898</v>
      </c>
      <c r="S73" s="447">
        <f t="shared" si="74"/>
        <v>362.50290350549938</v>
      </c>
      <c r="T73" s="447">
        <f t="shared" si="74"/>
        <v>362.09297100248801</v>
      </c>
      <c r="U73" s="2298"/>
    </row>
    <row r="74" spans="1:26" ht="29.25" customHeight="1">
      <c r="A74" s="3762">
        <v>6</v>
      </c>
      <c r="B74" s="107" t="s">
        <v>1918</v>
      </c>
      <c r="C74" s="799">
        <v>192500</v>
      </c>
      <c r="D74" s="799">
        <v>192500</v>
      </c>
      <c r="E74" s="799">
        <v>192500</v>
      </c>
      <c r="F74" s="799">
        <v>192500</v>
      </c>
      <c r="G74" s="799">
        <v>192500</v>
      </c>
      <c r="H74" s="799">
        <v>192500</v>
      </c>
      <c r="I74" s="799">
        <f>38+34.94364</f>
        <v>72.943640000000002</v>
      </c>
      <c r="J74" s="2210">
        <f t="shared" ref="J74:N75" si="79">IF($I74=0,+D74*$U74/1000000,+D74*P74/1000000)</f>
        <v>72.943640000000002</v>
      </c>
      <c r="K74" s="2210">
        <f t="shared" si="79"/>
        <v>72.943640000000002</v>
      </c>
      <c r="L74" s="2210">
        <f t="shared" si="79"/>
        <v>72.943640000000002</v>
      </c>
      <c r="M74" s="2210">
        <f t="shared" si="79"/>
        <v>72.943640000000002</v>
      </c>
      <c r="N74" s="2210">
        <f t="shared" si="79"/>
        <v>72.943640000000002</v>
      </c>
      <c r="O74" s="329">
        <f>IFERROR((I74*1000)/(C74/1000),0)</f>
        <v>378.928</v>
      </c>
      <c r="P74" s="329">
        <f t="shared" ref="P74:T75" si="80">+$O74</f>
        <v>378.928</v>
      </c>
      <c r="Q74" s="329">
        <f t="shared" si="80"/>
        <v>378.928</v>
      </c>
      <c r="R74" s="329">
        <f t="shared" si="80"/>
        <v>378.928</v>
      </c>
      <c r="S74" s="329">
        <f t="shared" si="80"/>
        <v>378.928</v>
      </c>
      <c r="T74" s="329">
        <f t="shared" si="80"/>
        <v>378.928</v>
      </c>
      <c r="U74" s="2298"/>
    </row>
    <row r="75" spans="1:26" ht="29.25" customHeight="1">
      <c r="A75" s="3762">
        <v>7</v>
      </c>
      <c r="B75" s="107" t="s">
        <v>1919</v>
      </c>
      <c r="C75" s="674">
        <v>27000</v>
      </c>
      <c r="D75" s="674">
        <v>27000</v>
      </c>
      <c r="E75" s="674">
        <v>27000</v>
      </c>
      <c r="F75" s="674">
        <v>27000</v>
      </c>
      <c r="G75" s="674">
        <v>27000</v>
      </c>
      <c r="H75" s="674">
        <v>27000</v>
      </c>
      <c r="I75" s="674">
        <f>7+3.091358</f>
        <v>10.091358</v>
      </c>
      <c r="J75" s="2210">
        <f t="shared" si="79"/>
        <v>10.091358</v>
      </c>
      <c r="K75" s="2210">
        <f t="shared" si="79"/>
        <v>10.091358</v>
      </c>
      <c r="L75" s="2210">
        <f t="shared" si="79"/>
        <v>10.091358</v>
      </c>
      <c r="M75" s="2210">
        <f t="shared" si="79"/>
        <v>10.091358</v>
      </c>
      <c r="N75" s="2210">
        <f t="shared" si="79"/>
        <v>10.091358</v>
      </c>
      <c r="O75" s="329">
        <f>IFERROR((I75*1000)/(C75/1000),0)</f>
        <v>373.75400000000002</v>
      </c>
      <c r="P75" s="329">
        <f t="shared" si="80"/>
        <v>373.75400000000002</v>
      </c>
      <c r="Q75" s="329">
        <f t="shared" si="80"/>
        <v>373.75400000000002</v>
      </c>
      <c r="R75" s="329">
        <f t="shared" si="80"/>
        <v>373.75400000000002</v>
      </c>
      <c r="S75" s="329">
        <f t="shared" si="80"/>
        <v>373.75400000000002</v>
      </c>
      <c r="T75" s="329">
        <f t="shared" si="80"/>
        <v>373.75400000000002</v>
      </c>
      <c r="U75" s="2298"/>
      <c r="V75" s="157"/>
      <c r="W75" s="157"/>
      <c r="X75" s="157"/>
      <c r="Y75" s="157"/>
      <c r="Z75" s="157"/>
    </row>
    <row r="76" spans="1:26" ht="24" customHeight="1" thickBot="1">
      <c r="A76" s="4539">
        <v>8</v>
      </c>
      <c r="B76" s="4540" t="s">
        <v>1914</v>
      </c>
      <c r="C76" s="4541">
        <f>C69+C70+C71+C72+C74+C75</f>
        <v>9125492</v>
      </c>
      <c r="D76" s="4541">
        <f t="shared" ref="D76:H76" si="81">D69+D70+D71+D72+D74+D75</f>
        <v>8104372</v>
      </c>
      <c r="E76" s="4541">
        <f t="shared" si="81"/>
        <v>6083414</v>
      </c>
      <c r="F76" s="4541">
        <f t="shared" si="81"/>
        <v>7392283</v>
      </c>
      <c r="G76" s="4541">
        <f t="shared" si="81"/>
        <v>6703968</v>
      </c>
      <c r="H76" s="4541">
        <f t="shared" si="81"/>
        <v>6295068</v>
      </c>
      <c r="I76" s="4541">
        <f>I69+I70+I71+I72+I74+I75</f>
        <v>3382.8229980000001</v>
      </c>
      <c r="J76" s="4541">
        <f>J69+J70+J71+J72+J74+J75</f>
        <v>3003.8302917085189</v>
      </c>
      <c r="K76" s="4541">
        <f>K69+K70+K71+K72+K74+K75</f>
        <v>2252.0910240864368</v>
      </c>
      <c r="L76" s="4541">
        <f>L69+L70+L71+L72+L74+L75</f>
        <v>2686.1494089255511</v>
      </c>
      <c r="M76" s="4541">
        <f>M69+M70+M71+M72+M74+M75</f>
        <v>2433.6734756884985</v>
      </c>
      <c r="N76" s="4541">
        <f t="shared" ref="N76" si="82">N69+N70+N71+N72+N74+N75</f>
        <v>2282.9554656476444</v>
      </c>
      <c r="O76" s="4542">
        <f>IFERROR((I76*1000)/(C76/1000),0)</f>
        <v>370.70034119804171</v>
      </c>
      <c r="P76" s="4542">
        <f>IFERROR((J76*1000)/(D76/1000),0)</f>
        <v>370.64319008413219</v>
      </c>
      <c r="Q76" s="4542">
        <f>IFERROR((K76*1000)/(E76/1000),0)</f>
        <v>370.20183470768831</v>
      </c>
      <c r="R76" s="4542">
        <f>IFERROR((L76*1000)/(F76/1000),0)</f>
        <v>363.3721015450235</v>
      </c>
      <c r="S76" s="4542">
        <f>IFERROR((M76*1000)/(G76/1000),0)</f>
        <v>363.01985267359549</v>
      </c>
      <c r="T76" s="4542">
        <f>IFERROR((N76*1000)/(H76/1000),0)</f>
        <v>362.65779267954599</v>
      </c>
      <c r="U76" s="2292"/>
      <c r="V76" s="157"/>
      <c r="W76" s="157"/>
      <c r="X76" s="157"/>
      <c r="Y76" s="157"/>
      <c r="Z76" s="157"/>
    </row>
    <row r="77" spans="1:26" ht="13.5" thickBot="1">
      <c r="A77" s="2208"/>
      <c r="B77" s="2208"/>
      <c r="C77" s="2213"/>
      <c r="D77" s="2213"/>
      <c r="E77" s="2213"/>
      <c r="F77" s="2213"/>
      <c r="G77" s="2213"/>
      <c r="H77" s="2213"/>
      <c r="I77" s="2213"/>
      <c r="J77" s="2213"/>
      <c r="K77" s="2213"/>
      <c r="L77" s="2213"/>
      <c r="M77" s="2213"/>
      <c r="N77" s="2213"/>
      <c r="O77" s="2213"/>
      <c r="P77" s="2213"/>
      <c r="Q77" s="2213"/>
      <c r="R77" s="2213"/>
      <c r="S77" s="2213"/>
      <c r="T77" s="2213"/>
      <c r="U77" s="2213"/>
    </row>
    <row r="78" spans="1:26" ht="21" customHeight="1">
      <c r="A78" s="5302" t="s">
        <v>1</v>
      </c>
      <c r="B78" s="5299" t="s">
        <v>1910</v>
      </c>
      <c r="C78" s="5299" t="s">
        <v>1920</v>
      </c>
      <c r="D78" s="5299"/>
      <c r="E78" s="5299"/>
      <c r="F78" s="5299"/>
      <c r="G78" s="5299"/>
      <c r="H78" s="5299"/>
      <c r="I78" s="5299"/>
      <c r="J78" s="5299"/>
      <c r="K78" s="5299"/>
      <c r="L78" s="5299"/>
      <c r="M78" s="5299"/>
      <c r="N78" s="5300"/>
      <c r="O78" s="2213"/>
      <c r="P78" s="2213"/>
      <c r="Q78" s="2213"/>
      <c r="R78" s="2213"/>
      <c r="S78" s="2213"/>
      <c r="T78" s="2213"/>
      <c r="U78" s="650"/>
      <c r="V78" s="157"/>
      <c r="W78" s="157"/>
      <c r="X78" s="157"/>
      <c r="Y78" s="157"/>
      <c r="Z78" s="157"/>
    </row>
    <row r="79" spans="1:26" ht="21" customHeight="1">
      <c r="A79" s="5303"/>
      <c r="B79" s="5305"/>
      <c r="C79" s="5296" t="s">
        <v>353</v>
      </c>
      <c r="D79" s="5296"/>
      <c r="E79" s="5296"/>
      <c r="F79" s="5296"/>
      <c r="G79" s="5296"/>
      <c r="H79" s="5296"/>
      <c r="I79" s="5296" t="s">
        <v>920</v>
      </c>
      <c r="J79" s="5296"/>
      <c r="K79" s="5296"/>
      <c r="L79" s="5296"/>
      <c r="M79" s="5296"/>
      <c r="N79" s="5297"/>
      <c r="O79" s="2213"/>
      <c r="P79" s="2213"/>
      <c r="Q79" s="2213"/>
      <c r="R79" s="2213"/>
      <c r="S79" s="2213"/>
      <c r="T79" s="2213"/>
      <c r="U79" s="651"/>
      <c r="V79" s="157"/>
      <c r="W79" s="157"/>
      <c r="X79" s="157"/>
      <c r="Y79" s="157"/>
      <c r="Z79" s="157"/>
    </row>
    <row r="80" spans="1:26" ht="21.75" customHeight="1" thickBot="1">
      <c r="A80" s="5304"/>
      <c r="B80" s="5306"/>
      <c r="C80" s="168" t="str">
        <f t="shared" ref="C80:H80" si="83">C68</f>
        <v>2020 г.</v>
      </c>
      <c r="D80" s="168" t="str">
        <f t="shared" si="83"/>
        <v>2022 г.</v>
      </c>
      <c r="E80" s="168" t="str">
        <f t="shared" si="83"/>
        <v>2023 г.</v>
      </c>
      <c r="F80" s="168" t="str">
        <f t="shared" si="83"/>
        <v>2024 г.</v>
      </c>
      <c r="G80" s="168" t="str">
        <f t="shared" si="83"/>
        <v>2025 г.</v>
      </c>
      <c r="H80" s="168" t="str">
        <f t="shared" si="83"/>
        <v>2026 г.</v>
      </c>
      <c r="I80" s="168" t="str">
        <f>C80</f>
        <v>2020 г.</v>
      </c>
      <c r="J80" s="168" t="str">
        <f t="shared" ref="J80:N80" si="84">D80</f>
        <v>2022 г.</v>
      </c>
      <c r="K80" s="168" t="str">
        <f t="shared" si="84"/>
        <v>2023 г.</v>
      </c>
      <c r="L80" s="168" t="str">
        <f t="shared" si="84"/>
        <v>2024 г.</v>
      </c>
      <c r="M80" s="168" t="str">
        <f t="shared" si="84"/>
        <v>2025 г.</v>
      </c>
      <c r="N80" s="169" t="str">
        <f t="shared" si="84"/>
        <v>2026 г.</v>
      </c>
      <c r="O80" s="2213"/>
      <c r="P80" s="2213"/>
      <c r="Q80" s="2213"/>
      <c r="R80" s="2213"/>
      <c r="S80" s="2213"/>
      <c r="T80" s="2213"/>
      <c r="U80" s="652"/>
      <c r="V80" s="157"/>
      <c r="W80" s="157"/>
      <c r="X80" s="157"/>
      <c r="Y80" s="157"/>
      <c r="Z80" s="157"/>
    </row>
    <row r="81" spans="1:26" ht="24">
      <c r="A81" s="4558">
        <v>1</v>
      </c>
      <c r="B81" s="4568" t="s">
        <v>1921</v>
      </c>
      <c r="C81" s="4527">
        <f>C82+C83</f>
        <v>0</v>
      </c>
      <c r="D81" s="4527">
        <f t="shared" ref="D81:H81" si="85">D82+D83</f>
        <v>2424465</v>
      </c>
      <c r="E81" s="4527">
        <f t="shared" si="85"/>
        <v>3150000</v>
      </c>
      <c r="F81" s="4527">
        <f t="shared" si="85"/>
        <v>3150000</v>
      </c>
      <c r="G81" s="4527">
        <f t="shared" si="85"/>
        <v>3150000</v>
      </c>
      <c r="H81" s="4527">
        <f t="shared" si="85"/>
        <v>3150000</v>
      </c>
      <c r="I81" s="4569"/>
      <c r="J81" s="4569"/>
      <c r="K81" s="4569"/>
      <c r="L81" s="4569"/>
      <c r="M81" s="4569"/>
      <c r="N81" s="4570"/>
      <c r="O81" s="2213"/>
      <c r="P81" s="2213"/>
      <c r="Q81" s="2213"/>
      <c r="R81" s="2213"/>
      <c r="S81" s="2213"/>
      <c r="T81" s="2213"/>
      <c r="U81" s="2215"/>
      <c r="V81" s="157"/>
      <c r="W81" s="157"/>
      <c r="X81" s="157"/>
      <c r="Y81" s="157"/>
      <c r="Z81" s="157"/>
    </row>
    <row r="82" spans="1:26" ht="24">
      <c r="A82" s="3762">
        <v>2</v>
      </c>
      <c r="B82" s="110" t="s">
        <v>1922</v>
      </c>
      <c r="C82" s="2214">
        <f t="shared" ref="C82:H82" si="86">C13+C25+C36+C48+C60</f>
        <v>0</v>
      </c>
      <c r="D82" s="2214">
        <f t="shared" si="86"/>
        <v>0</v>
      </c>
      <c r="E82" s="2214">
        <f t="shared" si="86"/>
        <v>0</v>
      </c>
      <c r="F82" s="2214">
        <f t="shared" si="86"/>
        <v>0</v>
      </c>
      <c r="G82" s="2214">
        <f t="shared" si="86"/>
        <v>0</v>
      </c>
      <c r="H82" s="2214">
        <f t="shared" si="86"/>
        <v>0</v>
      </c>
      <c r="I82" s="331"/>
      <c r="J82" s="331"/>
      <c r="K82" s="331"/>
      <c r="L82" s="331"/>
      <c r="M82" s="331"/>
      <c r="N82" s="4530"/>
      <c r="O82" s="2213"/>
      <c r="P82" s="2213"/>
      <c r="Q82" s="2213"/>
      <c r="R82" s="2213"/>
      <c r="S82" s="2213"/>
      <c r="T82" s="2213"/>
      <c r="U82" s="2215"/>
      <c r="V82" s="157"/>
      <c r="W82" s="157"/>
      <c r="X82" s="157"/>
      <c r="Y82" s="157"/>
      <c r="Z82" s="157"/>
    </row>
    <row r="83" spans="1:26" ht="24">
      <c r="A83" s="4543">
        <v>3</v>
      </c>
      <c r="B83" s="111" t="s">
        <v>1923</v>
      </c>
      <c r="C83" s="193"/>
      <c r="D83" s="4942">
        <v>2424465</v>
      </c>
      <c r="E83" s="193">
        <v>3150000</v>
      </c>
      <c r="F83" s="193">
        <v>3150000</v>
      </c>
      <c r="G83" s="193">
        <v>3150000</v>
      </c>
      <c r="H83" s="193">
        <v>3150000</v>
      </c>
      <c r="I83" s="193">
        <v>0</v>
      </c>
      <c r="J83" s="193">
        <v>352.8</v>
      </c>
      <c r="K83" s="193">
        <v>352.8</v>
      </c>
      <c r="L83" s="193">
        <v>352.8</v>
      </c>
      <c r="M83" s="193">
        <v>352.8</v>
      </c>
      <c r="N83" s="193">
        <v>352.8</v>
      </c>
      <c r="O83" s="2213"/>
      <c r="P83" s="2213"/>
      <c r="Q83" s="2213"/>
      <c r="R83" s="2213"/>
      <c r="S83" s="2213"/>
      <c r="T83" s="2213"/>
      <c r="U83" s="2216"/>
      <c r="V83" s="157"/>
      <c r="W83" s="157"/>
      <c r="X83" s="157"/>
      <c r="Y83" s="157"/>
      <c r="Z83" s="157"/>
    </row>
    <row r="84" spans="1:26" ht="59.25" customHeight="1" thickBot="1">
      <c r="A84" s="4544">
        <v>4</v>
      </c>
      <c r="B84" s="1605" t="s">
        <v>1924</v>
      </c>
      <c r="C84" s="5313" t="s">
        <v>2027</v>
      </c>
      <c r="D84" s="5314"/>
      <c r="E84" s="5314"/>
      <c r="F84" s="5314"/>
      <c r="G84" s="5314"/>
      <c r="H84" s="5314"/>
      <c r="I84" s="5314"/>
      <c r="J84" s="5314"/>
      <c r="K84" s="5314"/>
      <c r="L84" s="5314"/>
      <c r="M84" s="5314"/>
      <c r="N84" s="5315"/>
      <c r="O84" s="2213"/>
      <c r="P84" s="2213"/>
      <c r="Q84" s="2213"/>
      <c r="R84" s="2213"/>
      <c r="S84" s="2213"/>
      <c r="T84" s="2213"/>
      <c r="U84" s="2216"/>
      <c r="V84" s="157"/>
      <c r="W84" s="157"/>
      <c r="X84" s="157"/>
      <c r="Y84" s="157"/>
      <c r="Z84" s="157"/>
    </row>
    <row r="85" spans="1:26" ht="48.75" customHeight="1" thickBot="1">
      <c r="A85" s="5285" t="s">
        <v>1361</v>
      </c>
      <c r="B85" s="5286"/>
      <c r="C85" s="5287" t="s">
        <v>212</v>
      </c>
      <c r="D85" s="5312"/>
      <c r="E85" s="5287" t="s">
        <v>178</v>
      </c>
      <c r="F85" s="5312"/>
      <c r="G85" s="5287" t="s">
        <v>188</v>
      </c>
      <c r="H85" s="5312"/>
      <c r="I85" s="5287" t="s">
        <v>1037</v>
      </c>
      <c r="J85" s="5288"/>
      <c r="K85" s="5312"/>
      <c r="L85" s="5287" t="s">
        <v>1102</v>
      </c>
      <c r="M85" s="5288"/>
      <c r="N85" s="5289"/>
      <c r="O85" s="2213"/>
      <c r="P85" s="2213"/>
      <c r="Q85" s="2213"/>
      <c r="R85" s="2213"/>
      <c r="S85" s="2213"/>
      <c r="T85" s="2213"/>
      <c r="U85" s="2216"/>
      <c r="V85" s="157"/>
      <c r="W85" s="157"/>
      <c r="X85" s="157"/>
      <c r="Y85" s="157"/>
      <c r="Z85" s="157"/>
    </row>
    <row r="86" spans="1:26" ht="37.5" customHeight="1" thickBot="1">
      <c r="A86" s="4571">
        <v>5</v>
      </c>
      <c r="B86" s="4572" t="s">
        <v>1925</v>
      </c>
      <c r="C86" s="5283"/>
      <c r="D86" s="5284"/>
      <c r="E86" s="5283"/>
      <c r="F86" s="5284"/>
      <c r="G86" s="5283"/>
      <c r="H86" s="5284"/>
      <c r="I86" s="5283"/>
      <c r="J86" s="5290"/>
      <c r="K86" s="5284"/>
      <c r="L86" s="5283"/>
      <c r="M86" s="5290"/>
      <c r="N86" s="5291"/>
      <c r="O86" s="2213"/>
      <c r="P86" s="2213"/>
      <c r="Q86" s="2213"/>
      <c r="R86" s="2213"/>
      <c r="S86" s="2213"/>
      <c r="T86" s="2213"/>
      <c r="U86" s="2216"/>
      <c r="V86" s="157"/>
      <c r="W86" s="157"/>
      <c r="X86" s="157"/>
      <c r="Y86" s="157"/>
      <c r="Z86" s="157"/>
    </row>
    <row r="87" spans="1:26" ht="20.25" customHeight="1" thickBot="1">
      <c r="A87" s="2208"/>
      <c r="B87" s="2208"/>
      <c r="C87" s="2213"/>
      <c r="D87" s="2213"/>
      <c r="E87" s="2213"/>
      <c r="F87" s="2213"/>
      <c r="G87" s="2213"/>
      <c r="H87" s="2213"/>
      <c r="I87" s="2213"/>
      <c r="J87" s="2213"/>
      <c r="K87" s="2213"/>
      <c r="L87" s="2213"/>
      <c r="M87" s="2213"/>
      <c r="N87" s="2213"/>
      <c r="O87" s="2213"/>
      <c r="P87" s="2213"/>
      <c r="Q87" s="2213"/>
      <c r="R87" s="2213"/>
      <c r="S87" s="2213"/>
      <c r="T87" s="2213"/>
      <c r="U87" s="2213"/>
    </row>
    <row r="88" spans="1:26" ht="19.5" customHeight="1" thickBot="1">
      <c r="A88" s="4551" t="s">
        <v>1</v>
      </c>
      <c r="B88" s="4557" t="s">
        <v>1042</v>
      </c>
      <c r="C88" s="1580" t="str">
        <f t="shared" ref="C88:H88" si="87">C80</f>
        <v>2020 г.</v>
      </c>
      <c r="D88" s="1580" t="str">
        <f t="shared" si="87"/>
        <v>2022 г.</v>
      </c>
      <c r="E88" s="1580" t="str">
        <f t="shared" si="87"/>
        <v>2023 г.</v>
      </c>
      <c r="F88" s="1580" t="str">
        <f t="shared" si="87"/>
        <v>2024 г.</v>
      </c>
      <c r="G88" s="1580" t="str">
        <f t="shared" si="87"/>
        <v>2025 г.</v>
      </c>
      <c r="H88" s="1581" t="str">
        <f t="shared" si="87"/>
        <v>2026 г.</v>
      </c>
      <c r="I88" s="2213"/>
      <c r="J88" s="2213"/>
      <c r="K88" s="2213"/>
      <c r="L88" s="2213"/>
      <c r="M88" s="2213"/>
      <c r="N88" s="2213"/>
      <c r="O88" s="2213"/>
      <c r="P88" s="2213"/>
      <c r="Q88" s="2213"/>
      <c r="R88" s="2213"/>
      <c r="S88" s="2213"/>
      <c r="T88" s="2213"/>
      <c r="U88" s="2213"/>
      <c r="V88" s="157"/>
      <c r="W88" s="157"/>
      <c r="X88" s="157"/>
      <c r="Y88" s="157"/>
      <c r="Z88" s="157"/>
    </row>
    <row r="89" spans="1:26" ht="36">
      <c r="A89" s="4545">
        <v>1</v>
      </c>
      <c r="B89" s="4552" t="s">
        <v>1926</v>
      </c>
      <c r="C89" s="4553">
        <v>115</v>
      </c>
      <c r="D89" s="4554">
        <f>C89</f>
        <v>115</v>
      </c>
      <c r="E89" s="4555">
        <f>C89</f>
        <v>115</v>
      </c>
      <c r="F89" s="4554">
        <f>C89</f>
        <v>115</v>
      </c>
      <c r="G89" s="4554">
        <f>C89</f>
        <v>115</v>
      </c>
      <c r="H89" s="4556">
        <f>C89</f>
        <v>115</v>
      </c>
      <c r="I89" s="2213"/>
      <c r="J89" s="2213"/>
      <c r="K89" s="2213"/>
      <c r="L89" s="2213"/>
      <c r="M89" s="2213"/>
      <c r="N89" s="2213"/>
      <c r="O89" s="2213"/>
      <c r="P89" s="2213"/>
      <c r="Q89" s="2213"/>
      <c r="R89" s="2213"/>
      <c r="S89" s="2213"/>
      <c r="T89" s="2213"/>
      <c r="U89" s="2213"/>
      <c r="V89" s="157"/>
      <c r="W89" s="157"/>
      <c r="X89" s="157"/>
      <c r="Y89" s="157"/>
      <c r="Z89" s="157"/>
    </row>
    <row r="90" spans="1:26" ht="36">
      <c r="A90" s="4545">
        <v>2</v>
      </c>
      <c r="B90" s="110" t="s">
        <v>1927</v>
      </c>
      <c r="C90" s="351">
        <v>115</v>
      </c>
      <c r="D90" s="2217">
        <f>C90</f>
        <v>115</v>
      </c>
      <c r="E90" s="2217">
        <f>C90</f>
        <v>115</v>
      </c>
      <c r="F90" s="2217">
        <f>C90</f>
        <v>115</v>
      </c>
      <c r="G90" s="2217">
        <f>C90</f>
        <v>115</v>
      </c>
      <c r="H90" s="4546">
        <f>C90</f>
        <v>115</v>
      </c>
      <c r="I90" s="2213"/>
      <c r="J90" s="2213"/>
      <c r="K90" s="2213"/>
      <c r="L90" s="2213"/>
      <c r="M90" s="2213"/>
      <c r="N90" s="2213"/>
      <c r="O90" s="2213"/>
      <c r="P90" s="2213"/>
      <c r="Q90" s="2213"/>
      <c r="R90" s="2213"/>
      <c r="S90" s="2213"/>
      <c r="T90" s="2213"/>
      <c r="U90" s="2213"/>
    </row>
    <row r="91" spans="1:26" ht="36.75" thickBot="1">
      <c r="A91" s="4547">
        <v>3</v>
      </c>
      <c r="B91" s="1605" t="s">
        <v>1928</v>
      </c>
      <c r="C91" s="4548">
        <v>0</v>
      </c>
      <c r="D91" s="4549">
        <f>C91</f>
        <v>0</v>
      </c>
      <c r="E91" s="4549">
        <f>C91</f>
        <v>0</v>
      </c>
      <c r="F91" s="4549">
        <f>C91</f>
        <v>0</v>
      </c>
      <c r="G91" s="4549">
        <f>C91</f>
        <v>0</v>
      </c>
      <c r="H91" s="4550">
        <f>C91</f>
        <v>0</v>
      </c>
      <c r="I91" s="2213"/>
      <c r="J91" s="2213"/>
      <c r="K91" s="2213"/>
      <c r="L91" s="2213"/>
      <c r="M91" s="2213"/>
      <c r="N91" s="2213"/>
      <c r="O91" s="2213"/>
      <c r="P91" s="2213"/>
      <c r="Q91" s="2213"/>
      <c r="R91" s="2213"/>
      <c r="S91" s="2213"/>
      <c r="T91" s="2213"/>
      <c r="U91" s="2213"/>
    </row>
    <row r="92" spans="1:26">
      <c r="A92" s="2208"/>
      <c r="B92" s="2208"/>
      <c r="C92" s="2213"/>
      <c r="D92" s="2213"/>
      <c r="E92" s="2213"/>
      <c r="F92" s="2213"/>
      <c r="G92" s="2213"/>
      <c r="H92" s="2213"/>
      <c r="I92" s="2213"/>
      <c r="J92" s="2213"/>
      <c r="K92" s="2213"/>
      <c r="L92" s="2213"/>
      <c r="M92" s="2213"/>
      <c r="N92" s="2213"/>
      <c r="O92" s="2213"/>
      <c r="P92" s="2213"/>
      <c r="Q92" s="2213"/>
      <c r="R92" s="2213"/>
      <c r="S92" s="2213"/>
      <c r="T92" s="2213"/>
      <c r="U92" s="2213"/>
    </row>
    <row r="93" spans="1:26">
      <c r="A93" s="2208"/>
      <c r="B93" s="2208"/>
      <c r="C93" s="2213"/>
      <c r="D93" s="2213"/>
      <c r="E93" s="2213"/>
      <c r="F93" s="2213"/>
      <c r="G93" s="2213"/>
      <c r="H93" s="2213"/>
      <c r="I93" s="2213"/>
      <c r="J93" s="2213"/>
      <c r="K93" s="2213"/>
      <c r="L93" s="2213"/>
      <c r="M93" s="2213"/>
      <c r="N93" s="2213"/>
      <c r="O93" s="2213"/>
      <c r="P93" s="2213"/>
      <c r="Q93" s="2213"/>
      <c r="R93" s="2213"/>
      <c r="S93" s="2213"/>
      <c r="T93" s="2213"/>
      <c r="U93" s="2213"/>
    </row>
    <row r="94" spans="1:26">
      <c r="A94" s="2218"/>
      <c r="B94" s="2219" t="str">
        <f>'Приложение '!B81</f>
        <v>Дата: 24 юни 2021 година</v>
      </c>
      <c r="C94" s="2220"/>
      <c r="D94" s="2220"/>
      <c r="E94" s="2213"/>
      <c r="F94" s="2213"/>
      <c r="G94" s="2213"/>
      <c r="H94" s="2213"/>
      <c r="I94" s="2213"/>
      <c r="J94" s="2221" t="str">
        <f>'Приложение '!C81</f>
        <v xml:space="preserve">Гл. счетоводител/Фин.директор: </v>
      </c>
      <c r="K94" s="2222" t="str">
        <f>'Приложение '!D81</f>
        <v>..............................................</v>
      </c>
      <c r="L94" s="2213"/>
      <c r="M94" s="2213"/>
      <c r="N94" s="2213"/>
      <c r="O94" s="2213"/>
      <c r="P94" s="2213"/>
      <c r="Q94" s="2213"/>
      <c r="R94" s="2213"/>
      <c r="S94" s="2213"/>
      <c r="T94" s="2213"/>
      <c r="U94" s="2213"/>
    </row>
    <row r="95" spans="1:26">
      <c r="A95" s="2223"/>
      <c r="B95" s="2224"/>
      <c r="C95" s="5311"/>
      <c r="D95" s="5311"/>
      <c r="E95" s="2213"/>
      <c r="F95" s="2213"/>
      <c r="G95" s="2213"/>
      <c r="H95" s="2213"/>
      <c r="I95" s="2213"/>
      <c r="J95" s="2225"/>
      <c r="K95" s="2226" t="str">
        <f>'Приложение '!D82</f>
        <v>(подпис)</v>
      </c>
      <c r="L95" s="2213"/>
      <c r="M95" s="2213"/>
      <c r="N95" s="2213"/>
      <c r="O95" s="2213"/>
      <c r="P95" s="2213"/>
      <c r="Q95" s="2213"/>
      <c r="R95" s="2213"/>
      <c r="S95" s="2213"/>
      <c r="T95" s="2213"/>
      <c r="U95" s="2213"/>
    </row>
    <row r="96" spans="1:26">
      <c r="A96" s="2223"/>
      <c r="B96" s="2223"/>
      <c r="C96" s="2220"/>
      <c r="D96" s="2227"/>
      <c r="E96" s="2213"/>
      <c r="F96" s="2213"/>
      <c r="G96" s="2213"/>
      <c r="H96" s="2213"/>
      <c r="I96" s="2213"/>
      <c r="J96" s="2225"/>
      <c r="K96" s="2228"/>
      <c r="L96" s="2213"/>
      <c r="M96" s="2213"/>
      <c r="N96" s="2213"/>
      <c r="O96" s="2213"/>
      <c r="P96" s="2213"/>
      <c r="Q96" s="2213"/>
      <c r="R96" s="2213"/>
      <c r="S96" s="2213"/>
      <c r="T96" s="2213"/>
      <c r="U96" s="2213"/>
    </row>
    <row r="97" spans="1:26">
      <c r="A97" s="2223"/>
      <c r="B97" s="2223"/>
      <c r="C97" s="2220"/>
      <c r="D97" s="2227"/>
      <c r="E97" s="2213"/>
      <c r="F97" s="2213"/>
      <c r="G97" s="2213"/>
      <c r="H97" s="2213"/>
      <c r="I97" s="2213"/>
      <c r="J97" s="2225"/>
      <c r="K97" s="2228"/>
      <c r="L97" s="2213"/>
      <c r="M97" s="2213"/>
      <c r="N97" s="2213"/>
      <c r="O97" s="2213"/>
      <c r="P97" s="2213"/>
      <c r="Q97" s="2213"/>
      <c r="R97" s="2213"/>
      <c r="S97" s="2213"/>
      <c r="T97" s="2213"/>
      <c r="U97" s="2213"/>
    </row>
    <row r="98" spans="1:26" s="77" customFormat="1" ht="12">
      <c r="A98" s="2229"/>
      <c r="B98" s="2229"/>
      <c r="C98" s="2230"/>
      <c r="D98" s="2231"/>
      <c r="E98" s="2229"/>
      <c r="F98" s="2229"/>
      <c r="G98" s="2229"/>
      <c r="H98" s="2230"/>
      <c r="I98" s="2229"/>
      <c r="J98" s="2232" t="str">
        <f>'Приложение '!C85</f>
        <v xml:space="preserve">Управител/Изп.директор: </v>
      </c>
      <c r="K98" s="2233" t="str">
        <f>'Приложение '!D85</f>
        <v>.............................................</v>
      </c>
      <c r="L98" s="2230"/>
      <c r="M98" s="2230"/>
      <c r="N98" s="2230"/>
      <c r="O98" s="2230"/>
      <c r="P98" s="2230"/>
      <c r="Q98" s="2230"/>
      <c r="R98" s="2230"/>
      <c r="S98" s="2230"/>
      <c r="T98" s="2230"/>
      <c r="U98" s="2230"/>
      <c r="V98" s="162"/>
      <c r="W98" s="162"/>
      <c r="X98" s="162"/>
      <c r="Y98" s="162"/>
      <c r="Z98" s="162"/>
    </row>
    <row r="99" spans="1:26" s="76" customFormat="1">
      <c r="A99" s="2234"/>
      <c r="B99" s="2234"/>
      <c r="C99" s="2235"/>
      <c r="D99" s="2236"/>
      <c r="E99" s="2234"/>
      <c r="F99" s="2234"/>
      <c r="G99" s="2234"/>
      <c r="H99" s="2237"/>
      <c r="I99" s="2234"/>
      <c r="J99" s="2238"/>
      <c r="K99" s="2226" t="str">
        <f>'Приложение '!D86</f>
        <v>(подпис и печат)</v>
      </c>
      <c r="L99" s="2213"/>
      <c r="M99" s="2235"/>
      <c r="N99" s="2235"/>
      <c r="O99" s="2235"/>
      <c r="P99" s="2235"/>
      <c r="Q99" s="2235"/>
      <c r="R99" s="2235"/>
      <c r="S99" s="2235"/>
      <c r="T99" s="2235"/>
      <c r="U99" s="2235"/>
      <c r="V99" s="163"/>
      <c r="W99" s="163"/>
      <c r="X99" s="163"/>
      <c r="Y99" s="163"/>
      <c r="Z99" s="163"/>
    </row>
    <row r="100" spans="1:26">
      <c r="A100" s="2208"/>
      <c r="B100" s="2208"/>
      <c r="C100" s="2213"/>
      <c r="D100" s="2213"/>
      <c r="E100" s="2213"/>
      <c r="F100" s="2239"/>
      <c r="G100" s="2213"/>
      <c r="H100" s="2213"/>
      <c r="I100" s="2213"/>
      <c r="J100" s="2213"/>
      <c r="K100" s="2213"/>
      <c r="L100" s="2213"/>
      <c r="M100" s="2213"/>
      <c r="N100" s="2213"/>
      <c r="O100" s="2213"/>
      <c r="P100" s="2213"/>
      <c r="Q100" s="2213"/>
      <c r="R100" s="2213"/>
      <c r="S100" s="2213"/>
      <c r="T100" s="2213"/>
      <c r="U100" s="2213"/>
    </row>
    <row r="101" spans="1:26">
      <c r="A101" s="5309" t="s">
        <v>191</v>
      </c>
      <c r="B101" s="5309"/>
      <c r="C101" s="5309"/>
      <c r="D101" s="2240"/>
      <c r="E101" s="2240"/>
      <c r="F101" s="2240"/>
      <c r="G101" s="2240"/>
      <c r="H101" s="2240"/>
      <c r="I101" s="2240"/>
      <c r="J101" s="2240"/>
      <c r="K101" s="2240"/>
      <c r="L101" s="2240"/>
      <c r="M101" s="2240"/>
      <c r="N101" s="2240"/>
      <c r="O101" s="2240"/>
      <c r="P101" s="2240"/>
      <c r="Q101" s="2240"/>
      <c r="R101" s="2240"/>
      <c r="S101" s="2213"/>
      <c r="T101" s="2213"/>
      <c r="U101" s="2213"/>
    </row>
    <row r="102" spans="1:26">
      <c r="A102" s="5310" t="s">
        <v>192</v>
      </c>
      <c r="B102" s="5310"/>
      <c r="C102" s="5310"/>
      <c r="D102" s="2240"/>
      <c r="E102" s="2240"/>
      <c r="F102" s="2240"/>
      <c r="G102" s="2240"/>
      <c r="H102" s="2240"/>
      <c r="I102" s="2240"/>
      <c r="J102" s="2240"/>
      <c r="K102" s="2240"/>
      <c r="L102" s="2240"/>
      <c r="M102" s="2240"/>
      <c r="N102" s="2240"/>
      <c r="O102" s="2240"/>
      <c r="P102" s="2240"/>
      <c r="Q102" s="2240"/>
      <c r="R102" s="2240"/>
      <c r="S102" s="2213"/>
      <c r="T102" s="2213"/>
      <c r="U102" s="2213"/>
    </row>
    <row r="103" spans="1:26" ht="14.25" customHeight="1">
      <c r="A103" s="2241" t="s">
        <v>1409</v>
      </c>
      <c r="B103" s="2242"/>
      <c r="C103" s="2242"/>
      <c r="D103" s="2243"/>
      <c r="E103" s="2243"/>
      <c r="F103" s="2243"/>
      <c r="G103" s="2243"/>
      <c r="H103" s="2240"/>
      <c r="I103" s="2240"/>
      <c r="J103" s="2240"/>
      <c r="K103" s="2240"/>
      <c r="L103" s="2240"/>
      <c r="M103" s="2240"/>
      <c r="N103" s="2240"/>
      <c r="O103" s="2240"/>
      <c r="P103" s="2240"/>
      <c r="Q103" s="2240"/>
      <c r="R103" s="2240"/>
      <c r="S103" s="2213"/>
      <c r="T103" s="2213"/>
      <c r="U103" s="2213"/>
    </row>
    <row r="104" spans="1:26" ht="14.25" customHeight="1">
      <c r="A104" s="5227" t="s">
        <v>1451</v>
      </c>
      <c r="B104" s="5227"/>
      <c r="C104" s="5227"/>
      <c r="D104" s="5227"/>
      <c r="E104" s="5227"/>
      <c r="F104" s="5227"/>
      <c r="G104" s="5227"/>
      <c r="H104" s="5227"/>
      <c r="I104" s="5227"/>
      <c r="J104" s="5227"/>
      <c r="K104" s="5227"/>
      <c r="L104" s="5227"/>
      <c r="M104" s="5227"/>
      <c r="N104" s="5227"/>
      <c r="O104" s="5227"/>
      <c r="P104" s="5227"/>
      <c r="Q104" s="5227"/>
      <c r="R104" s="5227"/>
      <c r="S104" s="2213"/>
      <c r="T104" s="2213"/>
      <c r="U104" s="2213"/>
    </row>
    <row r="107" spans="1:26">
      <c r="B107" s="703"/>
    </row>
  </sheetData>
  <sheetProtection password="EB75" sheet="1" objects="1" scenarios="1" formatCells="0" formatColumns="0" formatRows="0"/>
  <mergeCells count="68">
    <mergeCell ref="B19:B21"/>
    <mergeCell ref="A19:A21"/>
    <mergeCell ref="I31:N31"/>
    <mergeCell ref="A30:A32"/>
    <mergeCell ref="B30:B32"/>
    <mergeCell ref="C31:H31"/>
    <mergeCell ref="C19:U19"/>
    <mergeCell ref="C30:U30"/>
    <mergeCell ref="C20:H20"/>
    <mergeCell ref="C84:N84"/>
    <mergeCell ref="I85:K85"/>
    <mergeCell ref="G86:H86"/>
    <mergeCell ref="E86:F86"/>
    <mergeCell ref="A42:A44"/>
    <mergeCell ref="B42:B44"/>
    <mergeCell ref="C43:H43"/>
    <mergeCell ref="I43:N43"/>
    <mergeCell ref="A66:A68"/>
    <mergeCell ref="A54:A56"/>
    <mergeCell ref="B54:B56"/>
    <mergeCell ref="C55:H55"/>
    <mergeCell ref="I55:N55"/>
    <mergeCell ref="B66:B68"/>
    <mergeCell ref="C67:H67"/>
    <mergeCell ref="C54:U54"/>
    <mergeCell ref="A3:U3"/>
    <mergeCell ref="A2:U2"/>
    <mergeCell ref="A4:U4"/>
    <mergeCell ref="A5:U5"/>
    <mergeCell ref="A104:R104"/>
    <mergeCell ref="I79:N79"/>
    <mergeCell ref="C78:N78"/>
    <mergeCell ref="A101:C101"/>
    <mergeCell ref="A102:C102"/>
    <mergeCell ref="A78:A80"/>
    <mergeCell ref="B78:B80"/>
    <mergeCell ref="C79:H79"/>
    <mergeCell ref="C95:D95"/>
    <mergeCell ref="C85:D85"/>
    <mergeCell ref="E85:F85"/>
    <mergeCell ref="G85:H85"/>
    <mergeCell ref="S6:T6"/>
    <mergeCell ref="A7:A9"/>
    <mergeCell ref="B7:B9"/>
    <mergeCell ref="C8:H8"/>
    <mergeCell ref="I8:N8"/>
    <mergeCell ref="C7:U7"/>
    <mergeCell ref="O8:T8"/>
    <mergeCell ref="U8:U9"/>
    <mergeCell ref="O55:T55"/>
    <mergeCell ref="U55:U56"/>
    <mergeCell ref="I20:N20"/>
    <mergeCell ref="O67:T67"/>
    <mergeCell ref="U67:U68"/>
    <mergeCell ref="O20:T20"/>
    <mergeCell ref="U20:U21"/>
    <mergeCell ref="O31:T31"/>
    <mergeCell ref="U31:U32"/>
    <mergeCell ref="I67:N67"/>
    <mergeCell ref="C66:U66"/>
    <mergeCell ref="C42:U42"/>
    <mergeCell ref="O43:T43"/>
    <mergeCell ref="U43:U44"/>
    <mergeCell ref="C86:D86"/>
    <mergeCell ref="A85:B85"/>
    <mergeCell ref="L85:N85"/>
    <mergeCell ref="I86:K86"/>
    <mergeCell ref="L86:N86"/>
  </mergeCells>
  <printOptions horizontalCentered="1"/>
  <pageMargins left="0" right="0" top="0.74803149606299213" bottom="0.27559055118110237" header="0.31496062992125984" footer="0.11811023622047245"/>
  <pageSetup paperSize="9" scale="70" orientation="landscape" r:id="rId1"/>
  <headerFooter alignWithMargins="0">
    <oddFooter>&amp;C&amp;A&amp;RСтр. &amp;P от &amp;N</oddFooter>
  </headerFooter>
  <rowBreaks count="3" manualBreakCount="3">
    <brk id="29" max="20" man="1"/>
    <brk id="53" max="20" man="1"/>
    <brk id="77"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Работни листове</vt:lpstr>
      </vt:variant>
      <vt:variant>
        <vt:i4>33</vt:i4>
      </vt:variant>
      <vt:variant>
        <vt:lpstr>Наименувани диапазони</vt:lpstr>
      </vt:variant>
      <vt:variant>
        <vt:i4>39</vt:i4>
      </vt:variant>
    </vt:vector>
  </HeadingPairs>
  <TitlesOfParts>
    <vt:vector size="72" baseType="lpstr">
      <vt:lpstr>Приложение </vt:lpstr>
      <vt:lpstr>1. Обща информация</vt:lpstr>
      <vt:lpstr>2. Променливи</vt:lpstr>
      <vt:lpstr>3. Показатели за качество</vt:lpstr>
      <vt:lpstr>4. Отчет и прогн. потребление</vt:lpstr>
      <vt:lpstr>4.1. Фактурирани количества</vt:lpstr>
      <vt:lpstr>4.2. Продад. и закупени кол-ва</vt:lpstr>
      <vt:lpstr>5. Персонал</vt:lpstr>
      <vt:lpstr>6. Ел.Енергия</vt:lpstr>
      <vt:lpstr>7. Утайки от ПСОВ</vt:lpstr>
      <vt:lpstr>8. Ремонтна програма</vt:lpstr>
      <vt:lpstr>9.Инвестиционна програма</vt:lpstr>
      <vt:lpstr>10. Финансиране на ИП</vt:lpstr>
      <vt:lpstr>11. Амортиз. план</vt:lpstr>
      <vt:lpstr>11.1.Амортиз.нови активи</vt:lpstr>
      <vt:lpstr>11.2. ДА за периода</vt:lpstr>
      <vt:lpstr>12. Разходи</vt:lpstr>
      <vt:lpstr>12.1. Разходи изменение</vt:lpstr>
      <vt:lpstr>12.2.Нови дейности или обекти</vt:lpstr>
      <vt:lpstr>13. Соц. поносимост</vt:lpstr>
      <vt:lpstr>14. ОПР</vt:lpstr>
      <vt:lpstr>15. ОПП</vt:lpstr>
      <vt:lpstr>16. Необходими приходи</vt:lpstr>
      <vt:lpstr>17. РБА</vt:lpstr>
      <vt:lpstr>18. OK</vt:lpstr>
      <vt:lpstr>19. HB</vt:lpstr>
      <vt:lpstr>20.Цени </vt:lpstr>
      <vt:lpstr>Анализ (ТЧ)</vt:lpstr>
      <vt:lpstr>Анализ (ОЧ)</vt:lpstr>
      <vt:lpstr>Анализ (ИЧ)</vt:lpstr>
      <vt:lpstr>Лист1</vt:lpstr>
      <vt:lpstr>Лист2</vt:lpstr>
      <vt:lpstr>Лист3</vt:lpstr>
      <vt:lpstr>'1. Обща информация'!Област_печат</vt:lpstr>
      <vt:lpstr>'10. Финансиране на ИП'!Област_печат</vt:lpstr>
      <vt:lpstr>'11. Амортиз. план'!Област_печат</vt:lpstr>
      <vt:lpstr>'11.1.Амортиз.нови активи'!Област_печат</vt:lpstr>
      <vt:lpstr>'11.2. ДА за периода'!Област_печат</vt:lpstr>
      <vt:lpstr>'12. Разходи'!Област_печат</vt:lpstr>
      <vt:lpstr>'12.1. Разходи изменение'!Област_печат</vt:lpstr>
      <vt:lpstr>'12.2.Нови дейности или обекти'!Област_печат</vt:lpstr>
      <vt:lpstr>'13. Соц. поносимост'!Област_печат</vt:lpstr>
      <vt:lpstr>'14. ОПР'!Област_печат</vt:lpstr>
      <vt:lpstr>'15. ОПП'!Област_печат</vt:lpstr>
      <vt:lpstr>'16. Необходими приходи'!Област_печат</vt:lpstr>
      <vt:lpstr>'17. РБА'!Област_печат</vt:lpstr>
      <vt:lpstr>'18. OK'!Област_печат</vt:lpstr>
      <vt:lpstr>'19. HB'!Област_печат</vt:lpstr>
      <vt:lpstr>'2. Променливи'!Област_печат</vt:lpstr>
      <vt:lpstr>'3. Показатели за качество'!Област_печат</vt:lpstr>
      <vt:lpstr>'4. Отчет и прогн. потребление'!Област_печат</vt:lpstr>
      <vt:lpstr>'4.1. Фактурирани количества'!Област_печат</vt:lpstr>
      <vt:lpstr>'4.2. Продад. и закупени кол-ва'!Област_печат</vt:lpstr>
      <vt:lpstr>'5. Персонал'!Област_печат</vt:lpstr>
      <vt:lpstr>'6. Ел.Енергия'!Област_печат</vt:lpstr>
      <vt:lpstr>'7. Утайки от ПСОВ'!Област_печат</vt:lpstr>
      <vt:lpstr>'8. Ремонтна програма'!Област_печат</vt:lpstr>
      <vt:lpstr>'9.Инвестиционна програма'!Област_печат</vt:lpstr>
      <vt:lpstr>'10. Финансиране на ИП'!Печат_заглавия</vt:lpstr>
      <vt:lpstr>'11. Амортиз. план'!Печат_заглавия</vt:lpstr>
      <vt:lpstr>'11.1.Амортиз.нови активи'!Печат_заглавия</vt:lpstr>
      <vt:lpstr>'11.2. ДА за периода'!Печат_заглавия</vt:lpstr>
      <vt:lpstr>'12. Разходи'!Печат_заглавия</vt:lpstr>
      <vt:lpstr>'12.1. Разходи изменение'!Печат_заглавия</vt:lpstr>
      <vt:lpstr>'12.2.Нови дейности или обекти'!Печат_заглавия</vt:lpstr>
      <vt:lpstr>'2. Променливи'!Печат_заглавия</vt:lpstr>
      <vt:lpstr>'4. Отчет и прогн. потребление'!Печат_заглавия</vt:lpstr>
      <vt:lpstr>'4.1. Фактурирани количества'!Печат_заглавия</vt:lpstr>
      <vt:lpstr>'4.2. Продад. и закупени кол-ва'!Печат_заглавия</vt:lpstr>
      <vt:lpstr>'5. Персонал'!Печат_заглавия</vt:lpstr>
      <vt:lpstr>'8. Ремонтна програма'!Печат_заглавия</vt:lpstr>
      <vt:lpstr>'9.Инвестиционна програма'!Печат_заглавия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Yakimov</dc:creator>
  <cp:lastModifiedBy>User</cp:lastModifiedBy>
  <cp:lastPrinted>2023-03-30T11:14:48Z</cp:lastPrinted>
  <dcterms:created xsi:type="dcterms:W3CDTF">2015-02-06T07:26:45Z</dcterms:created>
  <dcterms:modified xsi:type="dcterms:W3CDTF">2023-04-07T12:02:31Z</dcterms:modified>
</cp:coreProperties>
</file>